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merus\Documents\ИнтерСтрой !!!\Ульяновск\"/>
    </mc:Choice>
  </mc:AlternateContent>
  <bookViews>
    <workbookView xWindow="0" yWindow="0" windowWidth="19392" windowHeight="8256" tabRatio="315" activeTab="1"/>
  </bookViews>
  <sheets>
    <sheet name="Себест 43" sheetId="36" r:id="rId1"/>
    <sheet name="Себест43 факт" sheetId="38" r:id="rId2"/>
    <sheet name="43" sheetId="16" r:id="rId3"/>
    <sheet name="Смета+200 руб" sheetId="37" r:id="rId4"/>
    <sheet name="Д2" sheetId="30" r:id="rId5"/>
    <sheet name="Ек" sheetId="31" r:id="rId6"/>
    <sheet name="Д" sheetId="32" r:id="rId7"/>
    <sheet name="Е" sheetId="33" r:id="rId8"/>
    <sheet name="ведомость затрат" sheetId="35" r:id="rId9"/>
    <sheet name="кладка" sheetId="24" r:id="rId10"/>
    <sheet name="МУ" sheetId="34" r:id="rId11"/>
    <sheet name="окна" sheetId="27" r:id="rId12"/>
    <sheet name="МЭ" sheetId="21" r:id="rId13"/>
    <sheet name="балконы" sheetId="28" r:id="rId14"/>
    <sheet name="фасад" sheetId="26" r:id="rId15"/>
    <sheet name="металл" sheetId="20" r:id="rId16"/>
    <sheet name="кровля" sheetId="18" r:id="rId17"/>
    <sheet name="лестницы" sheetId="22" r:id="rId18"/>
    <sheet name="арматура" sheetId="15" r:id="rId19"/>
    <sheet name="ЖБИ" sheetId="17" r:id="rId20"/>
    <sheet name="отделка" sheetId="29" r:id="rId21"/>
    <sheet name="внут.отделка" sheetId="25" r:id="rId22"/>
    <sheet name="пример" sheetId="14" r:id="rId23"/>
  </sheets>
  <externalReferences>
    <externalReference r:id="rId24"/>
  </externalReferences>
  <definedNames>
    <definedName name="_xlnm.Print_Area" localSheetId="22">пример!$A$9:$I$576</definedName>
  </definedNames>
  <calcPr calcId="162913"/>
</workbook>
</file>

<file path=xl/calcChain.xml><?xml version="1.0" encoding="utf-8"?>
<calcChain xmlns="http://schemas.openxmlformats.org/spreadsheetml/2006/main">
  <c r="G817" i="38" l="1"/>
  <c r="F817" i="38"/>
  <c r="H817" i="38" s="1"/>
  <c r="E817" i="38"/>
  <c r="G779" i="38"/>
  <c r="F779" i="38"/>
  <c r="H779" i="38" s="1"/>
  <c r="E779" i="38"/>
  <c r="G658" i="38"/>
  <c r="F658" i="38"/>
  <c r="H658" i="38" s="1"/>
  <c r="E658" i="38"/>
  <c r="F628" i="38"/>
  <c r="H628" i="38" s="1"/>
  <c r="E628" i="38"/>
  <c r="G628" i="38" s="1"/>
  <c r="I628" i="38" s="1"/>
  <c r="H606" i="38"/>
  <c r="I606" i="38" s="1"/>
  <c r="F606" i="38"/>
  <c r="G606" i="38"/>
  <c r="E606" i="38"/>
  <c r="C13" i="38"/>
  <c r="D13" i="38" s="1"/>
  <c r="E13" i="38" s="1"/>
  <c r="F13" i="38" s="1"/>
  <c r="G13" i="38" s="1"/>
  <c r="H13" i="38" s="1"/>
  <c r="I13" i="38" s="1"/>
  <c r="J13" i="38" s="1"/>
  <c r="K13" i="38" s="1"/>
  <c r="L13" i="38" s="1"/>
  <c r="M13" i="38" s="1"/>
  <c r="N13" i="38" s="1"/>
  <c r="B13" i="38"/>
  <c r="I817" i="38" l="1"/>
  <c r="I779" i="38"/>
  <c r="I658" i="38"/>
  <c r="D191" i="37"/>
  <c r="I829" i="38"/>
  <c r="I828" i="38"/>
  <c r="I827" i="38"/>
  <c r="I826" i="38"/>
  <c r="I825" i="38"/>
  <c r="I824" i="38"/>
  <c r="G823" i="38"/>
  <c r="I823" i="38"/>
  <c r="G822" i="38"/>
  <c r="I822" i="38"/>
  <c r="I819" i="38"/>
  <c r="D815" i="38"/>
  <c r="H815" i="38"/>
  <c r="I815" i="38"/>
  <c r="D814" i="38"/>
  <c r="H814" i="38"/>
  <c r="I814" i="38"/>
  <c r="I812" i="38"/>
  <c r="H812" i="38"/>
  <c r="H811" i="38"/>
  <c r="I811" i="38"/>
  <c r="H810" i="38"/>
  <c r="I810" i="38"/>
  <c r="H809" i="38"/>
  <c r="I809" i="38"/>
  <c r="I808" i="38"/>
  <c r="H808" i="38"/>
  <c r="H807" i="38"/>
  <c r="I807" i="38"/>
  <c r="H806" i="38"/>
  <c r="I806" i="38"/>
  <c r="H805" i="38"/>
  <c r="I805" i="38"/>
  <c r="I804" i="38"/>
  <c r="H804" i="38"/>
  <c r="H803" i="38"/>
  <c r="I803" i="38"/>
  <c r="H802" i="38"/>
  <c r="I802" i="38"/>
  <c r="H801" i="38"/>
  <c r="I801" i="38"/>
  <c r="I800" i="38"/>
  <c r="D800" i="38"/>
  <c r="H799" i="38"/>
  <c r="I799" i="38"/>
  <c r="H798" i="38"/>
  <c r="I798" i="38"/>
  <c r="H797" i="38"/>
  <c r="I797" i="38"/>
  <c r="I796" i="38"/>
  <c r="H796" i="38"/>
  <c r="F795" i="38"/>
  <c r="H795" i="38"/>
  <c r="I795" i="38"/>
  <c r="F794" i="38"/>
  <c r="H794" i="38"/>
  <c r="I794" i="38"/>
  <c r="I793" i="38"/>
  <c r="H793" i="38"/>
  <c r="H792" i="38"/>
  <c r="I792" i="38"/>
  <c r="H791" i="38"/>
  <c r="I791" i="38"/>
  <c r="D791" i="38"/>
  <c r="D816" i="38"/>
  <c r="F790" i="38"/>
  <c r="D790" i="38"/>
  <c r="H790" i="38"/>
  <c r="I790" i="38"/>
  <c r="I789" i="38"/>
  <c r="H788" i="38"/>
  <c r="I788" i="38"/>
  <c r="H787" i="38"/>
  <c r="I787" i="38"/>
  <c r="I786" i="38"/>
  <c r="H785" i="38"/>
  <c r="I785" i="38"/>
  <c r="I784" i="38"/>
  <c r="E783" i="38"/>
  <c r="G783" i="38"/>
  <c r="I783" i="38"/>
  <c r="I781" i="38"/>
  <c r="K780" i="38"/>
  <c r="I780" i="38"/>
  <c r="L780" i="38"/>
  <c r="I778" i="38"/>
  <c r="H778" i="38"/>
  <c r="H777" i="38"/>
  <c r="I777" i="38"/>
  <c r="I776" i="38"/>
  <c r="H776" i="38"/>
  <c r="F775" i="38"/>
  <c r="H775" i="38"/>
  <c r="I775" i="38"/>
  <c r="H774" i="38"/>
  <c r="I774" i="38"/>
  <c r="H773" i="38"/>
  <c r="I773" i="38"/>
  <c r="D772" i="38"/>
  <c r="G772" i="38"/>
  <c r="I772" i="38"/>
  <c r="I771" i="38"/>
  <c r="H770" i="38"/>
  <c r="I770" i="38"/>
  <c r="H769" i="38"/>
  <c r="I769" i="38"/>
  <c r="F768" i="38"/>
  <c r="H768" i="38"/>
  <c r="I768" i="38"/>
  <c r="I767" i="38"/>
  <c r="H767" i="38"/>
  <c r="H766" i="38"/>
  <c r="I766" i="38"/>
  <c r="I765" i="38"/>
  <c r="H765" i="38"/>
  <c r="H764" i="38"/>
  <c r="I764" i="38"/>
  <c r="D763" i="38"/>
  <c r="G763" i="38"/>
  <c r="I763" i="38"/>
  <c r="I762" i="38"/>
  <c r="I761" i="38"/>
  <c r="H761" i="38"/>
  <c r="H760" i="38"/>
  <c r="I760" i="38"/>
  <c r="I759" i="38"/>
  <c r="H759" i="38"/>
  <c r="H758" i="38"/>
  <c r="I758" i="38"/>
  <c r="D757" i="38"/>
  <c r="H757" i="38"/>
  <c r="I756" i="38"/>
  <c r="G754" i="38"/>
  <c r="I754" i="38"/>
  <c r="D754" i="38"/>
  <c r="D755" i="38"/>
  <c r="H755" i="38"/>
  <c r="I755" i="38"/>
  <c r="D753" i="38"/>
  <c r="H753" i="38"/>
  <c r="I753" i="38"/>
  <c r="I752" i="38"/>
  <c r="H752" i="38"/>
  <c r="D751" i="38"/>
  <c r="G751" i="38"/>
  <c r="I751" i="38"/>
  <c r="H750" i="38"/>
  <c r="I750" i="38"/>
  <c r="G749" i="38"/>
  <c r="I749" i="38"/>
  <c r="D749" i="38"/>
  <c r="H748" i="38"/>
  <c r="I748" i="38"/>
  <c r="H747" i="38"/>
  <c r="I747" i="38"/>
  <c r="H746" i="38"/>
  <c r="I746" i="38"/>
  <c r="I745" i="38"/>
  <c r="H745" i="38"/>
  <c r="H744" i="38"/>
  <c r="I744" i="38"/>
  <c r="H743" i="38"/>
  <c r="I743" i="38"/>
  <c r="H742" i="38"/>
  <c r="I742" i="38"/>
  <c r="I741" i="38"/>
  <c r="H741" i="38"/>
  <c r="G740" i="38"/>
  <c r="I740" i="38"/>
  <c r="D740" i="38"/>
  <c r="H739" i="38"/>
  <c r="I739" i="38"/>
  <c r="G738" i="38"/>
  <c r="I738" i="38"/>
  <c r="I737" i="38"/>
  <c r="H736" i="38"/>
  <c r="I736" i="38"/>
  <c r="H735" i="38"/>
  <c r="I735" i="38"/>
  <c r="I734" i="38"/>
  <c r="H733" i="38"/>
  <c r="I733" i="38"/>
  <c r="F733" i="38"/>
  <c r="G732" i="38"/>
  <c r="I732" i="38"/>
  <c r="D732" i="38"/>
  <c r="F731" i="38"/>
  <c r="H731" i="38"/>
  <c r="I731" i="38"/>
  <c r="D730" i="38"/>
  <c r="G730" i="38"/>
  <c r="I730" i="38"/>
  <c r="F729" i="38"/>
  <c r="I727" i="38"/>
  <c r="D726" i="38"/>
  <c r="H723" i="38"/>
  <c r="I723" i="38"/>
  <c r="I722" i="38"/>
  <c r="H722" i="38"/>
  <c r="H721" i="38"/>
  <c r="I721" i="38"/>
  <c r="D720" i="38"/>
  <c r="H720" i="38"/>
  <c r="I720" i="38"/>
  <c r="H719" i="38"/>
  <c r="I719" i="38"/>
  <c r="H718" i="38"/>
  <c r="I718" i="38"/>
  <c r="I717" i="38"/>
  <c r="H717" i="38"/>
  <c r="H716" i="38"/>
  <c r="I716" i="38"/>
  <c r="H715" i="38"/>
  <c r="I715" i="38"/>
  <c r="H714" i="38"/>
  <c r="I714" i="38"/>
  <c r="H713" i="38"/>
  <c r="I713" i="38"/>
  <c r="D712" i="38"/>
  <c r="G712" i="38"/>
  <c r="I712" i="38"/>
  <c r="I711" i="38"/>
  <c r="H710" i="38"/>
  <c r="I710" i="38"/>
  <c r="I709" i="38"/>
  <c r="H709" i="38"/>
  <c r="D708" i="38"/>
  <c r="G708" i="38"/>
  <c r="I708" i="38"/>
  <c r="I707" i="38"/>
  <c r="H707" i="38"/>
  <c r="H706" i="38"/>
  <c r="I706" i="38"/>
  <c r="I705" i="38"/>
  <c r="H704" i="38"/>
  <c r="I704" i="38"/>
  <c r="H702" i="38"/>
  <c r="I702" i="38"/>
  <c r="F701" i="38"/>
  <c r="H701" i="38"/>
  <c r="I701" i="38"/>
  <c r="G700" i="38"/>
  <c r="I700" i="38"/>
  <c r="D700" i="38"/>
  <c r="I699" i="38"/>
  <c r="H699" i="38"/>
  <c r="H698" i="38"/>
  <c r="I698" i="38"/>
  <c r="I697" i="38"/>
  <c r="H697" i="38"/>
  <c r="F696" i="38"/>
  <c r="H696" i="38"/>
  <c r="I696" i="38"/>
  <c r="D695" i="38"/>
  <c r="D703" i="38"/>
  <c r="G703" i="38"/>
  <c r="I703" i="38"/>
  <c r="I694" i="38"/>
  <c r="F693" i="38"/>
  <c r="H693" i="38"/>
  <c r="I693" i="38"/>
  <c r="I692" i="38"/>
  <c r="H692" i="38"/>
  <c r="H691" i="38"/>
  <c r="I691" i="38"/>
  <c r="I690" i="38"/>
  <c r="H690" i="38"/>
  <c r="H689" i="38"/>
  <c r="I689" i="38"/>
  <c r="I688" i="38"/>
  <c r="H688" i="38"/>
  <c r="H687" i="38"/>
  <c r="I687" i="38"/>
  <c r="I686" i="38"/>
  <c r="H686" i="38"/>
  <c r="H685" i="38"/>
  <c r="I685" i="38"/>
  <c r="I684" i="38"/>
  <c r="H684" i="38"/>
  <c r="H683" i="38"/>
  <c r="I683" i="38"/>
  <c r="I682" i="38"/>
  <c r="G682" i="38"/>
  <c r="I681" i="38"/>
  <c r="H680" i="38"/>
  <c r="I680" i="38"/>
  <c r="F680" i="38"/>
  <c r="H679" i="38"/>
  <c r="I679" i="38"/>
  <c r="I678" i="38"/>
  <c r="G678" i="38"/>
  <c r="H677" i="38"/>
  <c r="I677" i="38"/>
  <c r="H675" i="38"/>
  <c r="I675" i="38"/>
  <c r="H674" i="38"/>
  <c r="I674" i="38"/>
  <c r="H672" i="38"/>
  <c r="I672" i="38"/>
  <c r="H671" i="38"/>
  <c r="I671" i="38"/>
  <c r="H670" i="38"/>
  <c r="I670" i="38"/>
  <c r="H669" i="38"/>
  <c r="I669" i="38"/>
  <c r="H668" i="38"/>
  <c r="I668" i="38"/>
  <c r="I667" i="38"/>
  <c r="H667" i="38"/>
  <c r="H666" i="38"/>
  <c r="I666" i="38"/>
  <c r="H665" i="38"/>
  <c r="I665" i="38"/>
  <c r="H664" i="38"/>
  <c r="I664" i="38"/>
  <c r="D663" i="38"/>
  <c r="D676" i="38"/>
  <c r="G676" i="38"/>
  <c r="I676" i="38"/>
  <c r="I659" i="38"/>
  <c r="H657" i="38"/>
  <c r="I657" i="38"/>
  <c r="H656" i="38"/>
  <c r="I656" i="38"/>
  <c r="D655" i="38"/>
  <c r="G655" i="38"/>
  <c r="I655" i="38"/>
  <c r="I654" i="38"/>
  <c r="H654" i="38"/>
  <c r="H653" i="38"/>
  <c r="I653" i="38"/>
  <c r="H652" i="38"/>
  <c r="I652" i="38"/>
  <c r="H651" i="38"/>
  <c r="I651" i="38"/>
  <c r="I650" i="38"/>
  <c r="H650" i="38"/>
  <c r="H649" i="38"/>
  <c r="I649" i="38"/>
  <c r="H648" i="38"/>
  <c r="I648" i="38"/>
  <c r="H647" i="38"/>
  <c r="I647" i="38"/>
  <c r="I646" i="38"/>
  <c r="H646" i="38"/>
  <c r="G645" i="38"/>
  <c r="I645" i="38"/>
  <c r="H644" i="38"/>
  <c r="I644" i="38"/>
  <c r="H643" i="38"/>
  <c r="I643" i="38"/>
  <c r="I642" i="38"/>
  <c r="H642" i="38"/>
  <c r="H641" i="38"/>
  <c r="I641" i="38"/>
  <c r="H640" i="38"/>
  <c r="I640" i="38"/>
  <c r="H639" i="38"/>
  <c r="I639" i="38"/>
  <c r="I638" i="38"/>
  <c r="H638" i="38"/>
  <c r="H637" i="38"/>
  <c r="I637" i="38"/>
  <c r="D636" i="38"/>
  <c r="G636" i="38"/>
  <c r="I636" i="38"/>
  <c r="H635" i="38"/>
  <c r="I635" i="38"/>
  <c r="F635" i="38"/>
  <c r="H634" i="38"/>
  <c r="I634" i="38"/>
  <c r="F634" i="38"/>
  <c r="F633" i="38"/>
  <c r="H633" i="38"/>
  <c r="I633" i="38"/>
  <c r="D632" i="38"/>
  <c r="G632" i="38"/>
  <c r="I632" i="38"/>
  <c r="K629" i="38"/>
  <c r="I629" i="38"/>
  <c r="I630" i="38"/>
  <c r="F627" i="38"/>
  <c r="H627" i="38"/>
  <c r="I627" i="38"/>
  <c r="D626" i="38"/>
  <c r="G626" i="38"/>
  <c r="I626" i="38"/>
  <c r="H625" i="38"/>
  <c r="I625" i="38"/>
  <c r="H624" i="38"/>
  <c r="I624" i="38"/>
  <c r="H623" i="38"/>
  <c r="I623" i="38"/>
  <c r="H622" i="38"/>
  <c r="I622" i="38"/>
  <c r="H621" i="38"/>
  <c r="I621" i="38"/>
  <c r="H620" i="38"/>
  <c r="I620" i="38"/>
  <c r="H619" i="38"/>
  <c r="I619" i="38"/>
  <c r="H618" i="38"/>
  <c r="I618" i="38"/>
  <c r="H617" i="38"/>
  <c r="I617" i="38"/>
  <c r="G616" i="38"/>
  <c r="I616" i="38"/>
  <c r="H615" i="38"/>
  <c r="I615" i="38"/>
  <c r="G614" i="38"/>
  <c r="I614" i="38"/>
  <c r="H613" i="38"/>
  <c r="I613" i="38"/>
  <c r="G612" i="38"/>
  <c r="I612" i="38"/>
  <c r="H611" i="38"/>
  <c r="I611" i="38"/>
  <c r="G610" i="38"/>
  <c r="I610" i="38"/>
  <c r="L607" i="38"/>
  <c r="K607" i="38"/>
  <c r="I607" i="38"/>
  <c r="I608" i="38"/>
  <c r="H605" i="38"/>
  <c r="G605" i="38"/>
  <c r="I605" i="38"/>
  <c r="H603" i="38"/>
  <c r="I603" i="38"/>
  <c r="I602" i="38"/>
  <c r="H602" i="38"/>
  <c r="I601" i="38"/>
  <c r="H601" i="38"/>
  <c r="I600" i="38"/>
  <c r="H600" i="38"/>
  <c r="H599" i="38"/>
  <c r="I599" i="38"/>
  <c r="I598" i="38"/>
  <c r="H598" i="38"/>
  <c r="I597" i="38"/>
  <c r="H597" i="38"/>
  <c r="I596" i="38"/>
  <c r="H596" i="38"/>
  <c r="H595" i="38"/>
  <c r="I595" i="38"/>
  <c r="I594" i="38"/>
  <c r="H594" i="38"/>
  <c r="I593" i="38"/>
  <c r="H593" i="38"/>
  <c r="I592" i="38"/>
  <c r="H592" i="38"/>
  <c r="H591" i="38"/>
  <c r="I591" i="38"/>
  <c r="I590" i="38"/>
  <c r="H590" i="38"/>
  <c r="I589" i="38"/>
  <c r="H589" i="38"/>
  <c r="F588" i="38"/>
  <c r="H588" i="38"/>
  <c r="I588" i="38"/>
  <c r="H587" i="38"/>
  <c r="I587" i="38"/>
  <c r="F587" i="38"/>
  <c r="F586" i="38"/>
  <c r="H586" i="38"/>
  <c r="I586" i="38"/>
  <c r="F585" i="38"/>
  <c r="H585" i="38"/>
  <c r="I585" i="38"/>
  <c r="F584" i="38"/>
  <c r="H584" i="38"/>
  <c r="I584" i="38"/>
  <c r="H583" i="38"/>
  <c r="I583" i="38"/>
  <c r="F583" i="38"/>
  <c r="F582" i="38"/>
  <c r="H582" i="38"/>
  <c r="I582" i="38"/>
  <c r="G581" i="38"/>
  <c r="I581" i="38"/>
  <c r="H580" i="38"/>
  <c r="I580" i="38"/>
  <c r="F580" i="38"/>
  <c r="H579" i="38"/>
  <c r="I579" i="38"/>
  <c r="I578" i="38"/>
  <c r="H578" i="38"/>
  <c r="I577" i="38"/>
  <c r="H577" i="38"/>
  <c r="I576" i="38"/>
  <c r="H576" i="38"/>
  <c r="G575" i="38"/>
  <c r="I575" i="38"/>
  <c r="I574" i="38"/>
  <c r="H574" i="38"/>
  <c r="I573" i="38"/>
  <c r="H573" i="38"/>
  <c r="I572" i="38"/>
  <c r="H572" i="38"/>
  <c r="H571" i="38"/>
  <c r="I571" i="38"/>
  <c r="I570" i="38"/>
  <c r="H570" i="38"/>
  <c r="I569" i="38"/>
  <c r="H569" i="38"/>
  <c r="I568" i="38"/>
  <c r="H568" i="38"/>
  <c r="H567" i="38"/>
  <c r="I567" i="38"/>
  <c r="I566" i="38"/>
  <c r="H566" i="38"/>
  <c r="I565" i="38"/>
  <c r="H565" i="38"/>
  <c r="I564" i="38"/>
  <c r="H564" i="38"/>
  <c r="F563" i="38"/>
  <c r="H563" i="38"/>
  <c r="I563" i="38"/>
  <c r="F562" i="38"/>
  <c r="H562" i="38"/>
  <c r="I562" i="38"/>
  <c r="I561" i="38"/>
  <c r="H561" i="38"/>
  <c r="F560" i="38"/>
  <c r="H560" i="38"/>
  <c r="I560" i="38"/>
  <c r="I559" i="38"/>
  <c r="F559" i="38"/>
  <c r="H559" i="38"/>
  <c r="F558" i="38"/>
  <c r="H558" i="38"/>
  <c r="I558" i="38"/>
  <c r="H557" i="38"/>
  <c r="I557" i="38"/>
  <c r="F557" i="38"/>
  <c r="F556" i="38"/>
  <c r="H556" i="38"/>
  <c r="I556" i="38"/>
  <c r="H555" i="38"/>
  <c r="I555" i="38"/>
  <c r="H554" i="38"/>
  <c r="I554" i="38"/>
  <c r="G554" i="38"/>
  <c r="H553" i="38"/>
  <c r="I553" i="38"/>
  <c r="I552" i="38"/>
  <c r="H552" i="38"/>
  <c r="H551" i="38"/>
  <c r="I551" i="38"/>
  <c r="I550" i="38"/>
  <c r="H550" i="38"/>
  <c r="H549" i="38"/>
  <c r="I549" i="38"/>
  <c r="I548" i="38"/>
  <c r="H548" i="38"/>
  <c r="H547" i="38"/>
  <c r="I547" i="38"/>
  <c r="I546" i="38"/>
  <c r="H546" i="38"/>
  <c r="H545" i="38"/>
  <c r="I545" i="38"/>
  <c r="I544" i="38"/>
  <c r="H544" i="38"/>
  <c r="F543" i="38"/>
  <c r="H543" i="38"/>
  <c r="I543" i="38"/>
  <c r="H542" i="38"/>
  <c r="I542" i="38"/>
  <c r="H541" i="38"/>
  <c r="I541" i="38"/>
  <c r="H540" i="38"/>
  <c r="I540" i="38"/>
  <c r="H539" i="38"/>
  <c r="I539" i="38"/>
  <c r="H538" i="38"/>
  <c r="G538" i="38"/>
  <c r="I538" i="38"/>
  <c r="I536" i="38"/>
  <c r="H536" i="38"/>
  <c r="H535" i="38"/>
  <c r="I535" i="38"/>
  <c r="I534" i="38"/>
  <c r="H534" i="38"/>
  <c r="H533" i="38"/>
  <c r="I533" i="38"/>
  <c r="I532" i="38"/>
  <c r="H532" i="38"/>
  <c r="H531" i="38"/>
  <c r="I531" i="38"/>
  <c r="I530" i="38"/>
  <c r="H530" i="38"/>
  <c r="H529" i="38"/>
  <c r="I529" i="38"/>
  <c r="H528" i="38"/>
  <c r="G528" i="38"/>
  <c r="I528" i="38"/>
  <c r="H527" i="38"/>
  <c r="I527" i="38"/>
  <c r="F527" i="38"/>
  <c r="H526" i="38"/>
  <c r="G526" i="38"/>
  <c r="H525" i="38"/>
  <c r="I525" i="38"/>
  <c r="H524" i="38"/>
  <c r="I524" i="38"/>
  <c r="H523" i="38"/>
  <c r="I523" i="38"/>
  <c r="H522" i="38"/>
  <c r="I522" i="38"/>
  <c r="H521" i="38"/>
  <c r="I521" i="38"/>
  <c r="H520" i="38"/>
  <c r="I520" i="38"/>
  <c r="H519" i="38"/>
  <c r="I519" i="38"/>
  <c r="H518" i="38"/>
  <c r="I518" i="38"/>
  <c r="H517" i="38"/>
  <c r="I517" i="38"/>
  <c r="H516" i="38"/>
  <c r="I516" i="38"/>
  <c r="G516" i="38"/>
  <c r="I515" i="38"/>
  <c r="H515" i="38"/>
  <c r="I514" i="38"/>
  <c r="H514" i="38"/>
  <c r="H513" i="38"/>
  <c r="I513" i="38"/>
  <c r="I512" i="38"/>
  <c r="G512" i="38"/>
  <c r="I511" i="38"/>
  <c r="H511" i="38"/>
  <c r="I510" i="38"/>
  <c r="H510" i="38"/>
  <c r="H509" i="38"/>
  <c r="I509" i="38"/>
  <c r="I508" i="38"/>
  <c r="G508" i="38"/>
  <c r="D504" i="38"/>
  <c r="H504" i="38"/>
  <c r="I504" i="38"/>
  <c r="H503" i="38"/>
  <c r="I503" i="38"/>
  <c r="H502" i="38"/>
  <c r="I502" i="38"/>
  <c r="D501" i="38"/>
  <c r="H501" i="38"/>
  <c r="I501" i="38"/>
  <c r="G500" i="38"/>
  <c r="I500" i="38"/>
  <c r="D493" i="38"/>
  <c r="D492" i="38" s="1"/>
  <c r="H471" i="38"/>
  <c r="D471" i="38"/>
  <c r="D474" i="38"/>
  <c r="D466" i="38"/>
  <c r="D465" i="38"/>
  <c r="G465" i="38"/>
  <c r="H463" i="38"/>
  <c r="D463" i="38"/>
  <c r="F462" i="38"/>
  <c r="D462" i="38"/>
  <c r="G462" i="38"/>
  <c r="D460" i="38"/>
  <c r="G460" i="38"/>
  <c r="F458" i="38"/>
  <c r="H457" i="38"/>
  <c r="G457" i="38"/>
  <c r="D457" i="38"/>
  <c r="D461" i="38"/>
  <c r="H461" i="38"/>
  <c r="F456" i="38"/>
  <c r="H456" i="38"/>
  <c r="D456" i="38"/>
  <c r="G456" i="38"/>
  <c r="I455" i="38"/>
  <c r="H455" i="38"/>
  <c r="G455" i="38"/>
  <c r="D454" i="38"/>
  <c r="H453" i="38"/>
  <c r="G453" i="38"/>
  <c r="D453" i="38"/>
  <c r="H452" i="38"/>
  <c r="I452" i="38"/>
  <c r="G452" i="38"/>
  <c r="H451" i="38"/>
  <c r="G451" i="38"/>
  <c r="I451" i="38"/>
  <c r="I446" i="38"/>
  <c r="I445" i="38"/>
  <c r="H443" i="38"/>
  <c r="H442" i="38"/>
  <c r="I442" i="38"/>
  <c r="G442" i="38"/>
  <c r="D441" i="38"/>
  <c r="G441" i="38"/>
  <c r="H440" i="38"/>
  <c r="I440" i="38"/>
  <c r="G440" i="38"/>
  <c r="G439" i="38"/>
  <c r="D439" i="38"/>
  <c r="H439" i="38"/>
  <c r="I439" i="38"/>
  <c r="H438" i="38"/>
  <c r="I438" i="38"/>
  <c r="G438" i="38"/>
  <c r="H437" i="38"/>
  <c r="G437" i="38"/>
  <c r="F435" i="38"/>
  <c r="G430" i="38"/>
  <c r="D430" i="38"/>
  <c r="D432" i="38"/>
  <c r="H432" i="38"/>
  <c r="H427" i="38"/>
  <c r="D427" i="38"/>
  <c r="D426" i="38"/>
  <c r="G426" i="38"/>
  <c r="D424" i="38"/>
  <c r="F423" i="38"/>
  <c r="D423" i="38"/>
  <c r="G423" i="38"/>
  <c r="D422" i="38"/>
  <c r="G422" i="38"/>
  <c r="D410" i="38"/>
  <c r="H410" i="38" s="1"/>
  <c r="D409" i="38"/>
  <c r="G409" i="38" s="1"/>
  <c r="D407" i="38"/>
  <c r="H407" i="38" s="1"/>
  <c r="D406" i="38"/>
  <c r="H406" i="38" s="1"/>
  <c r="D405" i="38"/>
  <c r="G405" i="38" s="1"/>
  <c r="F403" i="38"/>
  <c r="D403" i="38"/>
  <c r="G403" i="38" s="1"/>
  <c r="F402" i="38"/>
  <c r="D402" i="38"/>
  <c r="G402" i="38" s="1"/>
  <c r="F401" i="38"/>
  <c r="D401" i="38"/>
  <c r="H401" i="38" s="1"/>
  <c r="D399" i="38"/>
  <c r="H399" i="38" s="1"/>
  <c r="D398" i="38"/>
  <c r="H398" i="38" s="1"/>
  <c r="D397" i="38"/>
  <c r="H397" i="38" s="1"/>
  <c r="D396" i="38"/>
  <c r="H396" i="38" s="1"/>
  <c r="D395" i="38"/>
  <c r="G395" i="38" s="1"/>
  <c r="D394" i="38"/>
  <c r="G394" i="38" s="1"/>
  <c r="G393" i="38"/>
  <c r="I393" i="38"/>
  <c r="I383" i="38"/>
  <c r="I382" i="38"/>
  <c r="H380" i="38"/>
  <c r="D376" i="38"/>
  <c r="G376" i="38" s="1"/>
  <c r="D362" i="38"/>
  <c r="G362" i="38" s="1"/>
  <c r="D355" i="38"/>
  <c r="H355" i="38" s="1"/>
  <c r="H354" i="38"/>
  <c r="G354" i="38"/>
  <c r="D352" i="38"/>
  <c r="H352" i="38" s="1"/>
  <c r="D351" i="38"/>
  <c r="H351" i="38" s="1"/>
  <c r="D350" i="38"/>
  <c r="H350" i="38" s="1"/>
  <c r="D349" i="38"/>
  <c r="H349" i="38" s="1"/>
  <c r="D347" i="38"/>
  <c r="G347" i="38" s="1"/>
  <c r="D346" i="38"/>
  <c r="G346" i="38" s="1"/>
  <c r="I346" i="38" s="1"/>
  <c r="D345" i="38"/>
  <c r="G345" i="38" s="1"/>
  <c r="D344" i="38"/>
  <c r="H344" i="38" s="1"/>
  <c r="G341" i="38"/>
  <c r="D341" i="38"/>
  <c r="H341" i="38"/>
  <c r="I341" i="38"/>
  <c r="D340" i="38"/>
  <c r="G339" i="38"/>
  <c r="D339" i="38"/>
  <c r="H339" i="38"/>
  <c r="I339" i="38"/>
  <c r="D337" i="38"/>
  <c r="D336" i="38"/>
  <c r="F326" i="38"/>
  <c r="D321" i="38"/>
  <c r="G321" i="38"/>
  <c r="H321" i="38"/>
  <c r="I321" i="38"/>
  <c r="D320" i="38"/>
  <c r="H319" i="38"/>
  <c r="G319" i="38"/>
  <c r="I319" i="38"/>
  <c r="D315" i="38"/>
  <c r="H315" i="38" s="1"/>
  <c r="H313" i="38"/>
  <c r="G313" i="38"/>
  <c r="I313" i="38"/>
  <c r="I312" i="38"/>
  <c r="H312" i="38"/>
  <c r="G312" i="38"/>
  <c r="G309" i="38"/>
  <c r="I309" i="38"/>
  <c r="D304" i="38"/>
  <c r="H304" i="38"/>
  <c r="I304" i="38"/>
  <c r="D303" i="38"/>
  <c r="D305" i="38"/>
  <c r="H305" i="38"/>
  <c r="I305" i="38"/>
  <c r="I302" i="38"/>
  <c r="H302" i="38"/>
  <c r="H301" i="38"/>
  <c r="I301" i="38"/>
  <c r="F300" i="38"/>
  <c r="H300" i="38"/>
  <c r="I300" i="38"/>
  <c r="I299" i="38"/>
  <c r="H299" i="38"/>
  <c r="G298" i="38"/>
  <c r="I298" i="38"/>
  <c r="I297" i="38"/>
  <c r="I296" i="38"/>
  <c r="H296" i="38"/>
  <c r="H295" i="38"/>
  <c r="I295" i="38"/>
  <c r="I294" i="38"/>
  <c r="H294" i="38"/>
  <c r="H293" i="38"/>
  <c r="I293" i="38"/>
  <c r="I292" i="38"/>
  <c r="H292" i="38"/>
  <c r="H291" i="38"/>
  <c r="I291" i="38"/>
  <c r="I290" i="38"/>
  <c r="H290" i="38"/>
  <c r="H289" i="38"/>
  <c r="I289" i="38"/>
  <c r="I288" i="38"/>
  <c r="H288" i="38"/>
  <c r="H287" i="38"/>
  <c r="I287" i="38"/>
  <c r="I286" i="38"/>
  <c r="H286" i="38"/>
  <c r="H285" i="38"/>
  <c r="I285" i="38"/>
  <c r="I284" i="38"/>
  <c r="H284" i="38"/>
  <c r="H283" i="38"/>
  <c r="I283" i="38"/>
  <c r="G283" i="38"/>
  <c r="D281" i="38"/>
  <c r="H281" i="38"/>
  <c r="I281" i="38"/>
  <c r="I279" i="38"/>
  <c r="G279" i="38"/>
  <c r="D279" i="38"/>
  <c r="D280" i="38"/>
  <c r="H280" i="38"/>
  <c r="I280" i="38"/>
  <c r="H278" i="38"/>
  <c r="I278" i="38"/>
  <c r="I277" i="38"/>
  <c r="H277" i="38"/>
  <c r="H276" i="38"/>
  <c r="I276" i="38"/>
  <c r="I275" i="38"/>
  <c r="H275" i="38"/>
  <c r="H274" i="38"/>
  <c r="I274" i="38"/>
  <c r="I273" i="38"/>
  <c r="H273" i="38"/>
  <c r="H272" i="38"/>
  <c r="I272" i="38"/>
  <c r="I271" i="38"/>
  <c r="H271" i="38"/>
  <c r="H270" i="38"/>
  <c r="I270" i="38"/>
  <c r="I269" i="38"/>
  <c r="H269" i="38"/>
  <c r="G269" i="38"/>
  <c r="I267" i="38"/>
  <c r="H267" i="38"/>
  <c r="H266" i="38"/>
  <c r="I266" i="38"/>
  <c r="H265" i="38"/>
  <c r="I265" i="38"/>
  <c r="H264" i="38"/>
  <c r="G264" i="38"/>
  <c r="I264" i="38"/>
  <c r="I263" i="38"/>
  <c r="H263" i="38"/>
  <c r="H262" i="38"/>
  <c r="I262" i="38"/>
  <c r="I261" i="38"/>
  <c r="H261" i="38"/>
  <c r="H260" i="38"/>
  <c r="I260" i="38"/>
  <c r="F260" i="38"/>
  <c r="D260" i="38"/>
  <c r="G259" i="38"/>
  <c r="I259" i="38"/>
  <c r="I258" i="38"/>
  <c r="H258" i="38"/>
  <c r="G258" i="38"/>
  <c r="I254" i="38"/>
  <c r="I253" i="38"/>
  <c r="H251" i="38"/>
  <c r="D246" i="38"/>
  <c r="H246" i="38" s="1"/>
  <c r="D237" i="38"/>
  <c r="G237" i="38" s="1"/>
  <c r="D233" i="38"/>
  <c r="H233" i="38" s="1"/>
  <c r="I228" i="38"/>
  <c r="I227" i="38"/>
  <c r="H224" i="38"/>
  <c r="G224" i="38"/>
  <c r="I224" i="38"/>
  <c r="D217" i="38"/>
  <c r="H217" i="38" s="1"/>
  <c r="D216" i="38"/>
  <c r="H216" i="38" s="1"/>
  <c r="D215" i="38"/>
  <c r="G215" i="38" s="1"/>
  <c r="D214" i="38"/>
  <c r="H214" i="38" s="1"/>
  <c r="D212" i="38"/>
  <c r="H212" i="38" s="1"/>
  <c r="D211" i="38"/>
  <c r="H211" i="38" s="1"/>
  <c r="D209" i="38"/>
  <c r="H209" i="38" s="1"/>
  <c r="D208" i="38"/>
  <c r="H208" i="38" s="1"/>
  <c r="D207" i="38"/>
  <c r="H207" i="38" s="1"/>
  <c r="D205" i="38"/>
  <c r="H205" i="38" s="1"/>
  <c r="D204" i="38"/>
  <c r="H204" i="38" s="1"/>
  <c r="I196" i="38"/>
  <c r="I195" i="38"/>
  <c r="H193" i="38"/>
  <c r="I192" i="38"/>
  <c r="G192" i="38"/>
  <c r="D192" i="38"/>
  <c r="H192" i="38"/>
  <c r="H191" i="38"/>
  <c r="G191" i="38"/>
  <c r="I191" i="38"/>
  <c r="H190" i="38"/>
  <c r="G190" i="38"/>
  <c r="I190" i="38"/>
  <c r="I189" i="38"/>
  <c r="H189" i="38"/>
  <c r="G189" i="38"/>
  <c r="H188" i="38"/>
  <c r="I188" i="38"/>
  <c r="G188" i="38"/>
  <c r="D185" i="38"/>
  <c r="D186" i="38" s="1"/>
  <c r="D180" i="38"/>
  <c r="G180" i="38" s="1"/>
  <c r="D175" i="38"/>
  <c r="D177" i="38" s="1"/>
  <c r="H177" i="38" s="1"/>
  <c r="D172" i="38"/>
  <c r="G172" i="38" s="1"/>
  <c r="D146" i="38"/>
  <c r="H146" i="38"/>
  <c r="D145" i="38"/>
  <c r="I144" i="38"/>
  <c r="H144" i="38"/>
  <c r="G144" i="38"/>
  <c r="D143" i="38"/>
  <c r="H142" i="38"/>
  <c r="I142" i="38"/>
  <c r="D142" i="38"/>
  <c r="G142" i="38"/>
  <c r="H141" i="38"/>
  <c r="I141" i="38"/>
  <c r="G141" i="38"/>
  <c r="I140" i="38"/>
  <c r="H140" i="38"/>
  <c r="G140" i="38"/>
  <c r="H136" i="38"/>
  <c r="G136" i="38"/>
  <c r="I136" i="38"/>
  <c r="J133" i="38"/>
  <c r="H132" i="38"/>
  <c r="I131" i="38"/>
  <c r="H131" i="38"/>
  <c r="I130" i="38"/>
  <c r="H130" i="38"/>
  <c r="D129" i="38"/>
  <c r="H129" i="38"/>
  <c r="I129" i="38"/>
  <c r="H128" i="38"/>
  <c r="I128" i="38"/>
  <c r="D128" i="38"/>
  <c r="G127" i="38"/>
  <c r="I127" i="38"/>
  <c r="I123" i="38"/>
  <c r="I122" i="38"/>
  <c r="H120" i="38"/>
  <c r="H119" i="38"/>
  <c r="I119" i="38"/>
  <c r="G119" i="38"/>
  <c r="D118" i="38"/>
  <c r="H118" i="38"/>
  <c r="D117" i="38"/>
  <c r="I116" i="38"/>
  <c r="H116" i="38"/>
  <c r="G116" i="38"/>
  <c r="D115" i="38"/>
  <c r="H114" i="38"/>
  <c r="G114" i="38"/>
  <c r="H113" i="38"/>
  <c r="G113" i="38"/>
  <c r="D109" i="38"/>
  <c r="G109" i="38" s="1"/>
  <c r="F108" i="38"/>
  <c r="D103" i="38"/>
  <c r="H103" i="38" s="1"/>
  <c r="D102" i="38"/>
  <c r="G102" i="38" s="1"/>
  <c r="D101" i="38"/>
  <c r="G101" i="38" s="1"/>
  <c r="D100" i="38"/>
  <c r="H100" i="38" s="1"/>
  <c r="D97" i="38"/>
  <c r="H97" i="38" s="1"/>
  <c r="D96" i="38"/>
  <c r="G96" i="38" s="1"/>
  <c r="D95" i="38"/>
  <c r="G95" i="38" s="1"/>
  <c r="D94" i="38"/>
  <c r="G94" i="38" s="1"/>
  <c r="D90" i="38"/>
  <c r="D87" i="38"/>
  <c r="D88" i="38" s="1"/>
  <c r="D78" i="38"/>
  <c r="H78" i="38" s="1"/>
  <c r="D73" i="38"/>
  <c r="H73" i="38" s="1"/>
  <c r="D72" i="38"/>
  <c r="G72" i="38" s="1"/>
  <c r="D71" i="38"/>
  <c r="H71" i="38" s="1"/>
  <c r="D68" i="38"/>
  <c r="H68" i="38" s="1"/>
  <c r="D67" i="38"/>
  <c r="H67" i="38" s="1"/>
  <c r="D66" i="38"/>
  <c r="G66" i="38" s="1"/>
  <c r="D64" i="38"/>
  <c r="H64" i="38" s="1"/>
  <c r="D63" i="38"/>
  <c r="H63" i="38" s="1"/>
  <c r="J60" i="38"/>
  <c r="H60" i="38"/>
  <c r="G60" i="38"/>
  <c r="I60" i="38"/>
  <c r="D60" i="38"/>
  <c r="J59" i="38"/>
  <c r="G59" i="38"/>
  <c r="I59" i="38"/>
  <c r="I55" i="38"/>
  <c r="I54" i="38"/>
  <c r="H52" i="38"/>
  <c r="D51" i="38"/>
  <c r="H51" i="38"/>
  <c r="D50" i="38"/>
  <c r="H50" i="38" s="1"/>
  <c r="D48" i="38"/>
  <c r="D49" i="38" s="1"/>
  <c r="H49" i="38" s="1"/>
  <c r="D46" i="38"/>
  <c r="G46" i="38" s="1"/>
  <c r="D44" i="38"/>
  <c r="G44" i="38" s="1"/>
  <c r="D42" i="38"/>
  <c r="D45" i="38" s="1"/>
  <c r="D39" i="38"/>
  <c r="H39" i="38" s="1"/>
  <c r="D37" i="38"/>
  <c r="H37" i="38" s="1"/>
  <c r="J36" i="38"/>
  <c r="D36" i="38"/>
  <c r="G36" i="38" s="1"/>
  <c r="J35" i="38"/>
  <c r="J34" i="38"/>
  <c r="D34" i="38"/>
  <c r="H34" i="38" s="1"/>
  <c r="J33" i="38"/>
  <c r="D33" i="38"/>
  <c r="J32" i="38"/>
  <c r="D32" i="38"/>
  <c r="H32" i="38" s="1"/>
  <c r="J31" i="38"/>
  <c r="D31" i="38"/>
  <c r="H31" i="38" s="1"/>
  <c r="J30" i="38"/>
  <c r="D30" i="38"/>
  <c r="H30" i="38" s="1"/>
  <c r="J29" i="38"/>
  <c r="D29" i="38"/>
  <c r="H29" i="38" s="1"/>
  <c r="F27" i="38"/>
  <c r="D27" i="38"/>
  <c r="G27" i="38" s="1"/>
  <c r="D26" i="38"/>
  <c r="G26" i="38" s="1"/>
  <c r="D23" i="38"/>
  <c r="D24" i="38" s="1"/>
  <c r="H22" i="38"/>
  <c r="G22" i="38"/>
  <c r="I22" i="38" s="1"/>
  <c r="D21" i="38"/>
  <c r="H21" i="38" s="1"/>
  <c r="D19" i="38"/>
  <c r="H19" i="38" s="1"/>
  <c r="D17" i="38"/>
  <c r="H17" i="38" s="1"/>
  <c r="G625" i="37"/>
  <c r="H625" i="37"/>
  <c r="K774" i="37"/>
  <c r="I774" i="37"/>
  <c r="I775" i="37" s="1"/>
  <c r="H773" i="37"/>
  <c r="I773" i="37" s="1"/>
  <c r="H772" i="37"/>
  <c r="I772" i="37" s="1"/>
  <c r="H771" i="37"/>
  <c r="I771" i="37" s="1"/>
  <c r="F770" i="37"/>
  <c r="H770" i="37"/>
  <c r="I770" i="37" s="1"/>
  <c r="H769" i="37"/>
  <c r="I769" i="37" s="1"/>
  <c r="H768" i="37"/>
  <c r="I768" i="37" s="1"/>
  <c r="D767" i="37"/>
  <c r="G767" i="37" s="1"/>
  <c r="I767" i="37" s="1"/>
  <c r="I766" i="37"/>
  <c r="H765" i="37"/>
  <c r="I765" i="37" s="1"/>
  <c r="H764" i="37"/>
  <c r="I764" i="37" s="1"/>
  <c r="F763" i="37"/>
  <c r="H763" i="37"/>
  <c r="I763" i="37" s="1"/>
  <c r="H762" i="37"/>
  <c r="I762" i="37" s="1"/>
  <c r="H761" i="37"/>
  <c r="I761" i="37" s="1"/>
  <c r="H760" i="37"/>
  <c r="I760" i="37" s="1"/>
  <c r="H759" i="37"/>
  <c r="I759" i="37" s="1"/>
  <c r="D758" i="37"/>
  <c r="G758" i="37" s="1"/>
  <c r="I758" i="37" s="1"/>
  <c r="I757" i="37"/>
  <c r="H756" i="37"/>
  <c r="I756" i="37" s="1"/>
  <c r="H755" i="37"/>
  <c r="I755" i="37" s="1"/>
  <c r="H754" i="37"/>
  <c r="I754" i="37" s="1"/>
  <c r="H753" i="37"/>
  <c r="I753" i="37" s="1"/>
  <c r="D752" i="37"/>
  <c r="G752" i="37" s="1"/>
  <c r="I751" i="37"/>
  <c r="D748" i="37"/>
  <c r="H747" i="37"/>
  <c r="I747" i="37" s="1"/>
  <c r="D746" i="37"/>
  <c r="G746" i="37" s="1"/>
  <c r="I746" i="37" s="1"/>
  <c r="H745" i="37"/>
  <c r="I745" i="37" s="1"/>
  <c r="D744" i="37"/>
  <c r="G744" i="37" s="1"/>
  <c r="I744" i="37" s="1"/>
  <c r="H743" i="37"/>
  <c r="I743" i="37" s="1"/>
  <c r="H742" i="37"/>
  <c r="I742" i="37" s="1"/>
  <c r="H741" i="37"/>
  <c r="I741" i="37" s="1"/>
  <c r="H740" i="37"/>
  <c r="I740" i="37" s="1"/>
  <c r="H739" i="37"/>
  <c r="I739" i="37" s="1"/>
  <c r="H738" i="37"/>
  <c r="I738" i="37" s="1"/>
  <c r="H737" i="37"/>
  <c r="I737" i="37" s="1"/>
  <c r="H736" i="37"/>
  <c r="I736" i="37" s="1"/>
  <c r="D735" i="37"/>
  <c r="G735" i="37" s="1"/>
  <c r="I735" i="37" s="1"/>
  <c r="H734" i="37"/>
  <c r="I734" i="37" s="1"/>
  <c r="G733" i="37"/>
  <c r="I733" i="37" s="1"/>
  <c r="I732" i="37"/>
  <c r="H731" i="37"/>
  <c r="I731" i="37" s="1"/>
  <c r="H730" i="37"/>
  <c r="I730" i="37" s="1"/>
  <c r="I729" i="37"/>
  <c r="F728" i="37"/>
  <c r="H728" i="37"/>
  <c r="I728" i="37" s="1"/>
  <c r="D727" i="37"/>
  <c r="G727" i="37" s="1"/>
  <c r="I727" i="37" s="1"/>
  <c r="F726" i="37"/>
  <c r="H726" i="37"/>
  <c r="I726" i="37" s="1"/>
  <c r="D725" i="37"/>
  <c r="G725" i="37" s="1"/>
  <c r="I725" i="37" s="1"/>
  <c r="F724" i="37"/>
  <c r="I722" i="37"/>
  <c r="D721" i="37"/>
  <c r="H718" i="37"/>
  <c r="I718" i="37" s="1"/>
  <c r="H717" i="37"/>
  <c r="I717" i="37" s="1"/>
  <c r="H716" i="37"/>
  <c r="I716" i="37" s="1"/>
  <c r="H714" i="37"/>
  <c r="I714" i="37" s="1"/>
  <c r="H713" i="37"/>
  <c r="I713" i="37" s="1"/>
  <c r="H712" i="37"/>
  <c r="I712" i="37" s="1"/>
  <c r="H711" i="37"/>
  <c r="I711" i="37" s="1"/>
  <c r="H710" i="37"/>
  <c r="I710" i="37" s="1"/>
  <c r="H709" i="37"/>
  <c r="I709" i="37" s="1"/>
  <c r="H708" i="37"/>
  <c r="I708" i="37" s="1"/>
  <c r="D707" i="37"/>
  <c r="G707" i="37" s="1"/>
  <c r="I707" i="37" s="1"/>
  <c r="I706" i="37"/>
  <c r="H705" i="37"/>
  <c r="I705" i="37" s="1"/>
  <c r="H704" i="37"/>
  <c r="I704" i="37" s="1"/>
  <c r="D703" i="37"/>
  <c r="G703" i="37" s="1"/>
  <c r="I703" i="37" s="1"/>
  <c r="H702" i="37"/>
  <c r="I702" i="37" s="1"/>
  <c r="H701" i="37"/>
  <c r="I701" i="37" s="1"/>
  <c r="I700" i="37"/>
  <c r="H699" i="37"/>
  <c r="I699" i="37" s="1"/>
  <c r="H697" i="37"/>
  <c r="I697" i="37" s="1"/>
  <c r="F696" i="37"/>
  <c r="H696" i="37"/>
  <c r="I696" i="37" s="1"/>
  <c r="D695" i="37"/>
  <c r="G695" i="37" s="1"/>
  <c r="I695" i="37" s="1"/>
  <c r="H694" i="37"/>
  <c r="I694" i="37" s="1"/>
  <c r="H693" i="37"/>
  <c r="I693" i="37" s="1"/>
  <c r="H692" i="37"/>
  <c r="I692" i="37" s="1"/>
  <c r="F691" i="37"/>
  <c r="H691" i="37"/>
  <c r="I691" i="37" s="1"/>
  <c r="D690" i="37"/>
  <c r="D698" i="37" s="1"/>
  <c r="G698" i="37" s="1"/>
  <c r="I698" i="37" s="1"/>
  <c r="I689" i="37"/>
  <c r="H688" i="37"/>
  <c r="I688" i="37" s="1"/>
  <c r="F688" i="37"/>
  <c r="H687" i="37"/>
  <c r="I687" i="37" s="1"/>
  <c r="H686" i="37"/>
  <c r="I686" i="37" s="1"/>
  <c r="H685" i="37"/>
  <c r="I685" i="37" s="1"/>
  <c r="H684" i="37"/>
  <c r="I684" i="37" s="1"/>
  <c r="H683" i="37"/>
  <c r="I683" i="37" s="1"/>
  <c r="H682" i="37"/>
  <c r="I682" i="37" s="1"/>
  <c r="H681" i="37"/>
  <c r="I681" i="37" s="1"/>
  <c r="H680" i="37"/>
  <c r="I680" i="37" s="1"/>
  <c r="H679" i="37"/>
  <c r="I679" i="37" s="1"/>
  <c r="H678" i="37"/>
  <c r="I678" i="37" s="1"/>
  <c r="G677" i="37"/>
  <c r="I677" i="37" s="1"/>
  <c r="I676" i="37"/>
  <c r="F675" i="37"/>
  <c r="H675" i="37"/>
  <c r="I675" i="37" s="1"/>
  <c r="H674" i="37"/>
  <c r="I674" i="37" s="1"/>
  <c r="G673" i="37"/>
  <c r="I673" i="37" s="1"/>
  <c r="H672" i="37"/>
  <c r="I672" i="37" s="1"/>
  <c r="H670" i="37"/>
  <c r="I670" i="37" s="1"/>
  <c r="H669" i="37"/>
  <c r="I669" i="37" s="1"/>
  <c r="H667" i="37"/>
  <c r="I667" i="37" s="1"/>
  <c r="H666" i="37"/>
  <c r="I666" i="37" s="1"/>
  <c r="H665" i="37"/>
  <c r="I665" i="37" s="1"/>
  <c r="H664" i="37"/>
  <c r="I664" i="37" s="1"/>
  <c r="H663" i="37"/>
  <c r="I663" i="37" s="1"/>
  <c r="H662" i="37"/>
  <c r="I662" i="37" s="1"/>
  <c r="H661" i="37"/>
  <c r="I661" i="37" s="1"/>
  <c r="H660" i="37"/>
  <c r="I660" i="37" s="1"/>
  <c r="H659" i="37"/>
  <c r="I659" i="37" s="1"/>
  <c r="D658" i="37"/>
  <c r="I654" i="37"/>
  <c r="L654" i="37" s="1"/>
  <c r="H653" i="37"/>
  <c r="I653" i="37" s="1"/>
  <c r="H652" i="37"/>
  <c r="I652" i="37" s="1"/>
  <c r="D651" i="37"/>
  <c r="G651" i="37" s="1"/>
  <c r="I651" i="37" s="1"/>
  <c r="H650" i="37"/>
  <c r="I650" i="37" s="1"/>
  <c r="H649" i="37"/>
  <c r="I649" i="37" s="1"/>
  <c r="H648" i="37"/>
  <c r="I648" i="37" s="1"/>
  <c r="H647" i="37"/>
  <c r="I647" i="37" s="1"/>
  <c r="H646" i="37"/>
  <c r="I646" i="37" s="1"/>
  <c r="H645" i="37"/>
  <c r="I645" i="37" s="1"/>
  <c r="H644" i="37"/>
  <c r="I644" i="37" s="1"/>
  <c r="H643" i="37"/>
  <c r="I643" i="37" s="1"/>
  <c r="H642" i="37"/>
  <c r="I642" i="37" s="1"/>
  <c r="G641" i="37"/>
  <c r="I641" i="37" s="1"/>
  <c r="H640" i="37"/>
  <c r="I640" i="37" s="1"/>
  <c r="H639" i="37"/>
  <c r="I639" i="37" s="1"/>
  <c r="H638" i="37"/>
  <c r="I638" i="37" s="1"/>
  <c r="H637" i="37"/>
  <c r="I637" i="37" s="1"/>
  <c r="H636" i="37"/>
  <c r="I636" i="37" s="1"/>
  <c r="H635" i="37"/>
  <c r="I635" i="37" s="1"/>
  <c r="H634" i="37"/>
  <c r="I634" i="37" s="1"/>
  <c r="H633" i="37"/>
  <c r="I633" i="37" s="1"/>
  <c r="D632" i="37"/>
  <c r="G632" i="37" s="1"/>
  <c r="I632" i="37" s="1"/>
  <c r="F631" i="37"/>
  <c r="H631" i="37"/>
  <c r="I631" i="37" s="1"/>
  <c r="F630" i="37"/>
  <c r="H630" i="37"/>
  <c r="I630" i="37" s="1"/>
  <c r="F629" i="37"/>
  <c r="H629" i="37"/>
  <c r="I629" i="37" s="1"/>
  <c r="D628" i="37"/>
  <c r="G628" i="37" s="1"/>
  <c r="I628" i="37" s="1"/>
  <c r="K625" i="37"/>
  <c r="J625" i="37"/>
  <c r="F624" i="37"/>
  <c r="H624" i="37"/>
  <c r="I624" i="37" s="1"/>
  <c r="D623" i="37"/>
  <c r="G623" i="37" s="1"/>
  <c r="I623" i="37" s="1"/>
  <c r="H622" i="37"/>
  <c r="I622" i="37" s="1"/>
  <c r="H621" i="37"/>
  <c r="I621" i="37" s="1"/>
  <c r="H620" i="37"/>
  <c r="I620" i="37" s="1"/>
  <c r="H619" i="37"/>
  <c r="I619" i="37" s="1"/>
  <c r="H618" i="37"/>
  <c r="I618" i="37" s="1"/>
  <c r="H617" i="37"/>
  <c r="I617" i="37" s="1"/>
  <c r="H616" i="37"/>
  <c r="I616" i="37" s="1"/>
  <c r="H615" i="37"/>
  <c r="I615" i="37" s="1"/>
  <c r="H614" i="37"/>
  <c r="I614" i="37" s="1"/>
  <c r="G613" i="37"/>
  <c r="I613" i="37" s="1"/>
  <c r="H612" i="37"/>
  <c r="I612" i="37" s="1"/>
  <c r="G611" i="37"/>
  <c r="I611" i="37" s="1"/>
  <c r="H610" i="37"/>
  <c r="I610" i="37" s="1"/>
  <c r="G609" i="37"/>
  <c r="I609" i="37" s="1"/>
  <c r="H608" i="37"/>
  <c r="I608" i="37" s="1"/>
  <c r="G607" i="37"/>
  <c r="I607" i="37" s="1"/>
  <c r="K604" i="37"/>
  <c r="I604" i="37"/>
  <c r="H603" i="37"/>
  <c r="G603" i="37"/>
  <c r="H601" i="37"/>
  <c r="I601" i="37" s="1"/>
  <c r="H600" i="37"/>
  <c r="I600" i="37" s="1"/>
  <c r="H599" i="37"/>
  <c r="I599" i="37" s="1"/>
  <c r="H598" i="37"/>
  <c r="I598" i="37" s="1"/>
  <c r="H597" i="37"/>
  <c r="I597" i="37" s="1"/>
  <c r="H596" i="37"/>
  <c r="I596" i="37" s="1"/>
  <c r="H595" i="37"/>
  <c r="I595" i="37" s="1"/>
  <c r="H594" i="37"/>
  <c r="I594" i="37" s="1"/>
  <c r="H593" i="37"/>
  <c r="I593" i="37" s="1"/>
  <c r="H592" i="37"/>
  <c r="I592" i="37" s="1"/>
  <c r="H591" i="37"/>
  <c r="I591" i="37" s="1"/>
  <c r="H590" i="37"/>
  <c r="I590" i="37" s="1"/>
  <c r="H589" i="37"/>
  <c r="I589" i="37" s="1"/>
  <c r="H588" i="37"/>
  <c r="I588" i="37" s="1"/>
  <c r="H587" i="37"/>
  <c r="I587" i="37" s="1"/>
  <c r="F586" i="37"/>
  <c r="H586" i="37"/>
  <c r="I586" i="37" s="1"/>
  <c r="F585" i="37"/>
  <c r="H585" i="37"/>
  <c r="I585" i="37" s="1"/>
  <c r="F584" i="37"/>
  <c r="H584" i="37"/>
  <c r="I584" i="37" s="1"/>
  <c r="F583" i="37"/>
  <c r="H583" i="37"/>
  <c r="I583" i="37" s="1"/>
  <c r="F582" i="37"/>
  <c r="H582" i="37"/>
  <c r="I582" i="37" s="1"/>
  <c r="F581" i="37"/>
  <c r="H581" i="37"/>
  <c r="I581" i="37" s="1"/>
  <c r="F580" i="37"/>
  <c r="H580" i="37"/>
  <c r="I580" i="37" s="1"/>
  <c r="G579" i="37"/>
  <c r="I579" i="37" s="1"/>
  <c r="F578" i="37"/>
  <c r="H578" i="37"/>
  <c r="I578" i="37" s="1"/>
  <c r="H577" i="37"/>
  <c r="I577" i="37" s="1"/>
  <c r="H576" i="37"/>
  <c r="I576" i="37" s="1"/>
  <c r="H575" i="37"/>
  <c r="I575" i="37" s="1"/>
  <c r="H574" i="37"/>
  <c r="I574" i="37" s="1"/>
  <c r="G573" i="37"/>
  <c r="I573" i="37" s="1"/>
  <c r="H572" i="37"/>
  <c r="I572" i="37" s="1"/>
  <c r="H571" i="37"/>
  <c r="I571" i="37" s="1"/>
  <c r="H570" i="37"/>
  <c r="I570" i="37" s="1"/>
  <c r="H569" i="37"/>
  <c r="I569" i="37" s="1"/>
  <c r="H568" i="37"/>
  <c r="I568" i="37" s="1"/>
  <c r="H567" i="37"/>
  <c r="I567" i="37" s="1"/>
  <c r="H566" i="37"/>
  <c r="I566" i="37" s="1"/>
  <c r="H565" i="37"/>
  <c r="I565" i="37" s="1"/>
  <c r="H564" i="37"/>
  <c r="I564" i="37" s="1"/>
  <c r="H563" i="37"/>
  <c r="I563" i="37" s="1"/>
  <c r="H562" i="37"/>
  <c r="I562" i="37" s="1"/>
  <c r="F561" i="37"/>
  <c r="H561" i="37"/>
  <c r="I561" i="37" s="1"/>
  <c r="F560" i="37"/>
  <c r="H560" i="37"/>
  <c r="I560" i="37" s="1"/>
  <c r="H559" i="37"/>
  <c r="I559" i="37" s="1"/>
  <c r="F558" i="37"/>
  <c r="H558" i="37"/>
  <c r="I558" i="37" s="1"/>
  <c r="F557" i="37"/>
  <c r="H557" i="37"/>
  <c r="I557" i="37" s="1"/>
  <c r="F556" i="37"/>
  <c r="H556" i="37"/>
  <c r="I556" i="37" s="1"/>
  <c r="F555" i="37"/>
  <c r="H555" i="37"/>
  <c r="I555" i="37" s="1"/>
  <c r="F554" i="37"/>
  <c r="H554" i="37"/>
  <c r="I554" i="37" s="1"/>
  <c r="H553" i="37"/>
  <c r="I553" i="37" s="1"/>
  <c r="H552" i="37"/>
  <c r="G552" i="37"/>
  <c r="H551" i="37"/>
  <c r="I551" i="37" s="1"/>
  <c r="H550" i="37"/>
  <c r="I550" i="37" s="1"/>
  <c r="H549" i="37"/>
  <c r="I549" i="37" s="1"/>
  <c r="H548" i="37"/>
  <c r="I548" i="37" s="1"/>
  <c r="H547" i="37"/>
  <c r="I547" i="37" s="1"/>
  <c r="H546" i="37"/>
  <c r="I546" i="37" s="1"/>
  <c r="H545" i="37"/>
  <c r="I545" i="37" s="1"/>
  <c r="H544" i="37"/>
  <c r="I544" i="37" s="1"/>
  <c r="H543" i="37"/>
  <c r="I543" i="37" s="1"/>
  <c r="H542" i="37"/>
  <c r="I542" i="37" s="1"/>
  <c r="F541" i="37"/>
  <c r="H541" i="37"/>
  <c r="I541" i="37" s="1"/>
  <c r="H540" i="37"/>
  <c r="I540" i="37" s="1"/>
  <c r="H539" i="37"/>
  <c r="I539" i="37" s="1"/>
  <c r="H538" i="37"/>
  <c r="I538" i="37" s="1"/>
  <c r="H537" i="37"/>
  <c r="I537" i="37" s="1"/>
  <c r="H536" i="37"/>
  <c r="G536" i="37"/>
  <c r="H534" i="37"/>
  <c r="I534" i="37" s="1"/>
  <c r="H533" i="37"/>
  <c r="I533" i="37" s="1"/>
  <c r="H532" i="37"/>
  <c r="I532" i="37" s="1"/>
  <c r="H531" i="37"/>
  <c r="I531" i="37" s="1"/>
  <c r="H530" i="37"/>
  <c r="I530" i="37" s="1"/>
  <c r="H529" i="37"/>
  <c r="I529" i="37" s="1"/>
  <c r="H528" i="37"/>
  <c r="I528" i="37" s="1"/>
  <c r="H527" i="37"/>
  <c r="I527" i="37" s="1"/>
  <c r="H526" i="37"/>
  <c r="G526" i="37"/>
  <c r="F525" i="37"/>
  <c r="H525" i="37"/>
  <c r="I525" i="37" s="1"/>
  <c r="H524" i="37"/>
  <c r="G524" i="37"/>
  <c r="H523" i="37"/>
  <c r="I523" i="37" s="1"/>
  <c r="H522" i="37"/>
  <c r="I522" i="37" s="1"/>
  <c r="H521" i="37"/>
  <c r="I521" i="37" s="1"/>
  <c r="H520" i="37"/>
  <c r="I520" i="37" s="1"/>
  <c r="H519" i="37"/>
  <c r="I519" i="37" s="1"/>
  <c r="H518" i="37"/>
  <c r="I518" i="37" s="1"/>
  <c r="H517" i="37"/>
  <c r="I517" i="37" s="1"/>
  <c r="H516" i="37"/>
  <c r="I516" i="37" s="1"/>
  <c r="H515" i="37"/>
  <c r="I515" i="37" s="1"/>
  <c r="H514" i="37"/>
  <c r="G514" i="37"/>
  <c r="H513" i="37"/>
  <c r="I513" i="37" s="1"/>
  <c r="H512" i="37"/>
  <c r="I512" i="37" s="1"/>
  <c r="H511" i="37"/>
  <c r="I511" i="37" s="1"/>
  <c r="G510" i="37"/>
  <c r="I510" i="37" s="1"/>
  <c r="H509" i="37"/>
  <c r="I509" i="37" s="1"/>
  <c r="H508" i="37"/>
  <c r="I508" i="37" s="1"/>
  <c r="H507" i="37"/>
  <c r="I507" i="37" s="1"/>
  <c r="G506" i="37"/>
  <c r="I506" i="37" s="1"/>
  <c r="D502" i="37"/>
  <c r="H502" i="37" s="1"/>
  <c r="I502" i="37" s="1"/>
  <c r="H501" i="37"/>
  <c r="I501" i="37" s="1"/>
  <c r="H500" i="37"/>
  <c r="I500" i="37" s="1"/>
  <c r="D499" i="37"/>
  <c r="H499" i="37" s="1"/>
  <c r="I499" i="37" s="1"/>
  <c r="G498" i="37"/>
  <c r="I498" i="37" s="1"/>
  <c r="D491" i="37"/>
  <c r="H491" i="37"/>
  <c r="I491" i="37" s="1"/>
  <c r="D469" i="37"/>
  <c r="D471" i="37"/>
  <c r="H471" i="37" s="1"/>
  <c r="I471" i="37" s="1"/>
  <c r="D473" i="37"/>
  <c r="H473" i="37" s="1"/>
  <c r="I473" i="37" s="1"/>
  <c r="D464" i="37"/>
  <c r="D461" i="37"/>
  <c r="F460" i="37"/>
  <c r="F456" i="37"/>
  <c r="D455" i="37"/>
  <c r="F454" i="37"/>
  <c r="D454" i="37"/>
  <c r="H454" i="37" s="1"/>
  <c r="I454" i="37" s="1"/>
  <c r="G453" i="37"/>
  <c r="I453" i="37" s="1"/>
  <c r="D451" i="37"/>
  <c r="D452" i="37" s="1"/>
  <c r="H452" i="37" s="1"/>
  <c r="I452" i="37" s="1"/>
  <c r="G450" i="37"/>
  <c r="I450" i="37"/>
  <c r="I444" i="37"/>
  <c r="I443" i="37"/>
  <c r="D440" i="37"/>
  <c r="H440" i="37" s="1"/>
  <c r="I440" i="37" s="1"/>
  <c r="D439" i="37"/>
  <c r="H439" i="37" s="1"/>
  <c r="I439" i="37" s="1"/>
  <c r="G438" i="37"/>
  <c r="I438" i="37" s="1"/>
  <c r="D436" i="37"/>
  <c r="D437" i="37"/>
  <c r="H437" i="37" s="1"/>
  <c r="I437" i="37" s="1"/>
  <c r="F433" i="37"/>
  <c r="G428" i="37"/>
  <c r="I428" i="37" s="1"/>
  <c r="D428" i="37"/>
  <c r="D430" i="37"/>
  <c r="H430" i="37" s="1"/>
  <c r="I430" i="37" s="1"/>
  <c r="D425" i="37"/>
  <c r="D424" i="37"/>
  <c r="D422" i="37"/>
  <c r="F421" i="37"/>
  <c r="D420" i="37"/>
  <c r="D408" i="37"/>
  <c r="H407" i="37"/>
  <c r="I407" i="37" s="1"/>
  <c r="D407" i="37"/>
  <c r="D405" i="37"/>
  <c r="D404" i="37"/>
  <c r="D403" i="37"/>
  <c r="F401" i="37"/>
  <c r="D401" i="37"/>
  <c r="H401" i="37"/>
  <c r="I401" i="37" s="1"/>
  <c r="F400" i="37"/>
  <c r="D400" i="37"/>
  <c r="H400" i="37"/>
  <c r="I400" i="37" s="1"/>
  <c r="F399" i="37"/>
  <c r="D399" i="37"/>
  <c r="D397" i="37"/>
  <c r="H397" i="37"/>
  <c r="I397" i="37" s="1"/>
  <c r="D396" i="37"/>
  <c r="H396" i="37"/>
  <c r="I396" i="37" s="1"/>
  <c r="D395" i="37"/>
  <c r="H395" i="37"/>
  <c r="I395" i="37" s="1"/>
  <c r="D394" i="37"/>
  <c r="H394" i="37"/>
  <c r="I394" i="37" s="1"/>
  <c r="D393" i="37"/>
  <c r="H393" i="37"/>
  <c r="I393" i="37" s="1"/>
  <c r="D392" i="37"/>
  <c r="D374" i="37"/>
  <c r="H374" i="37"/>
  <c r="I374" i="37" s="1"/>
  <c r="D360" i="37"/>
  <c r="G360" i="37"/>
  <c r="I360" i="37" s="1"/>
  <c r="D353" i="37"/>
  <c r="G353" i="37"/>
  <c r="I353" i="37" s="1"/>
  <c r="D350" i="37"/>
  <c r="H350" i="37"/>
  <c r="I350" i="37" s="1"/>
  <c r="D349" i="37"/>
  <c r="H349" i="37"/>
  <c r="I349" i="37" s="1"/>
  <c r="D348" i="37"/>
  <c r="H348" i="37"/>
  <c r="I348" i="37" s="1"/>
  <c r="D347" i="37"/>
  <c r="G347" i="37"/>
  <c r="I347" i="37" s="1"/>
  <c r="D345" i="37"/>
  <c r="H345" i="37"/>
  <c r="I345" i="37" s="1"/>
  <c r="D344" i="37"/>
  <c r="G344" i="37"/>
  <c r="I344" i="37" s="1"/>
  <c r="D343" i="37"/>
  <c r="H343" i="37"/>
  <c r="I343" i="37" s="1"/>
  <c r="G342" i="37"/>
  <c r="I342" i="37" s="1"/>
  <c r="D342" i="37"/>
  <c r="D339" i="37"/>
  <c r="H339" i="37"/>
  <c r="I339" i="37" s="1"/>
  <c r="D338" i="37"/>
  <c r="H338" i="37"/>
  <c r="I338" i="37" s="1"/>
  <c r="D337" i="37"/>
  <c r="H337" i="37"/>
  <c r="I337" i="37" s="1"/>
  <c r="D335" i="37"/>
  <c r="H335" i="37"/>
  <c r="I335" i="37" s="1"/>
  <c r="D334" i="37"/>
  <c r="H334" i="37"/>
  <c r="I334" i="37" s="1"/>
  <c r="F324" i="37"/>
  <c r="D313" i="37"/>
  <c r="G313" i="37"/>
  <c r="I313" i="37" s="1"/>
  <c r="D302" i="37"/>
  <c r="D303" i="37" s="1"/>
  <c r="H303" i="37" s="1"/>
  <c r="I303" i="37" s="1"/>
  <c r="H301" i="37"/>
  <c r="I301" i="37" s="1"/>
  <c r="H300" i="37"/>
  <c r="I300" i="37" s="1"/>
  <c r="F299" i="37"/>
  <c r="H299" i="37" s="1"/>
  <c r="I299" i="37" s="1"/>
  <c r="H298" i="37"/>
  <c r="I298" i="37" s="1"/>
  <c r="G297" i="37"/>
  <c r="I297" i="37" s="1"/>
  <c r="I296" i="37"/>
  <c r="H295" i="37"/>
  <c r="I295" i="37" s="1"/>
  <c r="H294" i="37"/>
  <c r="I294" i="37" s="1"/>
  <c r="H293" i="37"/>
  <c r="I293" i="37" s="1"/>
  <c r="H292" i="37"/>
  <c r="I292" i="37" s="1"/>
  <c r="H291" i="37"/>
  <c r="I291" i="37" s="1"/>
  <c r="H290" i="37"/>
  <c r="I290" i="37" s="1"/>
  <c r="H289" i="37"/>
  <c r="I289" i="37" s="1"/>
  <c r="H288" i="37"/>
  <c r="I288" i="37" s="1"/>
  <c r="H287" i="37"/>
  <c r="I287" i="37" s="1"/>
  <c r="H286" i="37"/>
  <c r="I286" i="37" s="1"/>
  <c r="H285" i="37"/>
  <c r="I285" i="37" s="1"/>
  <c r="H284" i="37"/>
  <c r="I284" i="37" s="1"/>
  <c r="H283" i="37"/>
  <c r="I283" i="37" s="1"/>
  <c r="H282" i="37"/>
  <c r="G282" i="37"/>
  <c r="D278" i="37"/>
  <c r="G278" i="37" s="1"/>
  <c r="I278" i="37" s="1"/>
  <c r="H277" i="37"/>
  <c r="I277" i="37" s="1"/>
  <c r="H276" i="37"/>
  <c r="I276" i="37" s="1"/>
  <c r="H275" i="37"/>
  <c r="I275" i="37" s="1"/>
  <c r="H274" i="37"/>
  <c r="I274" i="37" s="1"/>
  <c r="H273" i="37"/>
  <c r="I273" i="37" s="1"/>
  <c r="H272" i="37"/>
  <c r="I272" i="37" s="1"/>
  <c r="H271" i="37"/>
  <c r="I271" i="37" s="1"/>
  <c r="H270" i="37"/>
  <c r="I270" i="37" s="1"/>
  <c r="H269" i="37"/>
  <c r="I269" i="37" s="1"/>
  <c r="H268" i="37"/>
  <c r="G268" i="37"/>
  <c r="H266" i="37"/>
  <c r="I266" i="37" s="1"/>
  <c r="H265" i="37"/>
  <c r="I265" i="37" s="1"/>
  <c r="H264" i="37"/>
  <c r="I264" i="37" s="1"/>
  <c r="H263" i="37"/>
  <c r="G263" i="37"/>
  <c r="H262" i="37"/>
  <c r="I262" i="37" s="1"/>
  <c r="H261" i="37"/>
  <c r="I261" i="37" s="1"/>
  <c r="H260" i="37"/>
  <c r="I260" i="37" s="1"/>
  <c r="F259" i="37"/>
  <c r="D259" i="37"/>
  <c r="G258" i="37"/>
  <c r="I258" i="37" s="1"/>
  <c r="H257" i="37"/>
  <c r="G257" i="37"/>
  <c r="D245" i="37"/>
  <c r="G245" i="37"/>
  <c r="I245" i="37" s="1"/>
  <c r="D236" i="37"/>
  <c r="G236" i="37"/>
  <c r="I236" i="37" s="1"/>
  <c r="D232" i="37"/>
  <c r="G223" i="37"/>
  <c r="I223" i="37" s="1"/>
  <c r="D216" i="37"/>
  <c r="H216" i="37"/>
  <c r="I216" i="37" s="1"/>
  <c r="D215" i="37"/>
  <c r="H215" i="37"/>
  <c r="I215" i="37" s="1"/>
  <c r="D214" i="37"/>
  <c r="H214" i="37"/>
  <c r="I214" i="37" s="1"/>
  <c r="D213" i="37"/>
  <c r="H213" i="37"/>
  <c r="I213" i="37" s="1"/>
  <c r="D211" i="37"/>
  <c r="H211" i="37"/>
  <c r="I211" i="37" s="1"/>
  <c r="D210" i="37"/>
  <c r="H210" i="37"/>
  <c r="I210" i="37" s="1"/>
  <c r="D209" i="37"/>
  <c r="H209" i="37"/>
  <c r="I209" i="37" s="1"/>
  <c r="D208" i="37"/>
  <c r="H208" i="37"/>
  <c r="I208" i="37" s="1"/>
  <c r="D207" i="37"/>
  <c r="H207" i="37"/>
  <c r="I207" i="37" s="1"/>
  <c r="D206" i="37"/>
  <c r="H206" i="37"/>
  <c r="I206" i="37" s="1"/>
  <c r="D204" i="37"/>
  <c r="H204" i="37"/>
  <c r="I204" i="37" s="1"/>
  <c r="D203" i="37"/>
  <c r="H203" i="37"/>
  <c r="I203" i="37" s="1"/>
  <c r="G191" i="37"/>
  <c r="I191" i="37" s="1"/>
  <c r="H190" i="37"/>
  <c r="I190" i="37" s="1"/>
  <c r="H189" i="37"/>
  <c r="I189" i="37" s="1"/>
  <c r="H188" i="37"/>
  <c r="I188" i="37" s="1"/>
  <c r="G187" i="37"/>
  <c r="I187" i="37" s="1"/>
  <c r="D184" i="37"/>
  <c r="G184" i="37"/>
  <c r="I184" i="37" s="1"/>
  <c r="D182" i="37"/>
  <c r="H182" i="37" s="1"/>
  <c r="I182" i="37" s="1"/>
  <c r="D179" i="37"/>
  <c r="D183" i="37"/>
  <c r="H183" i="37" s="1"/>
  <c r="I183" i="37" s="1"/>
  <c r="D174" i="37"/>
  <c r="D171" i="37"/>
  <c r="D172" i="37"/>
  <c r="H172" i="37" s="1"/>
  <c r="I172" i="37" s="1"/>
  <c r="D145" i="37"/>
  <c r="H145" i="37" s="1"/>
  <c r="I145" i="37" s="1"/>
  <c r="D144" i="37"/>
  <c r="H144" i="37" s="1"/>
  <c r="I144" i="37" s="1"/>
  <c r="G143" i="37"/>
  <c r="I143" i="37" s="1"/>
  <c r="D142" i="37"/>
  <c r="H142" i="37" s="1"/>
  <c r="I142" i="37" s="1"/>
  <c r="D141" i="37"/>
  <c r="H141" i="37" s="1"/>
  <c r="I141" i="37" s="1"/>
  <c r="G140" i="37"/>
  <c r="I140" i="37" s="1"/>
  <c r="H139" i="37"/>
  <c r="I139" i="37" s="1"/>
  <c r="H135" i="37"/>
  <c r="I135" i="37" s="1"/>
  <c r="H131" i="37"/>
  <c r="I131" i="37" s="1"/>
  <c r="H130" i="37"/>
  <c r="I130" i="37" s="1"/>
  <c r="H129" i="37"/>
  <c r="I129" i="37" s="1"/>
  <c r="D128" i="37"/>
  <c r="H128" i="37" s="1"/>
  <c r="I128" i="37" s="1"/>
  <c r="D127" i="37"/>
  <c r="H127" i="37" s="1"/>
  <c r="I127" i="37" s="1"/>
  <c r="G126" i="37"/>
  <c r="I126" i="37" s="1"/>
  <c r="G118" i="37"/>
  <c r="I118" i="37" s="1"/>
  <c r="D117" i="37"/>
  <c r="H117" i="37" s="1"/>
  <c r="I117" i="37" s="1"/>
  <c r="D116" i="37"/>
  <c r="H116" i="37" s="1"/>
  <c r="I116" i="37" s="1"/>
  <c r="G115" i="37"/>
  <c r="I115" i="37" s="1"/>
  <c r="D114" i="37"/>
  <c r="H114" i="37" s="1"/>
  <c r="I114" i="37" s="1"/>
  <c r="G113" i="37"/>
  <c r="I113" i="37" s="1"/>
  <c r="F107" i="37"/>
  <c r="D102" i="37"/>
  <c r="H102" i="37"/>
  <c r="I102" i="37" s="1"/>
  <c r="D101" i="37"/>
  <c r="H101" i="37"/>
  <c r="I101" i="37" s="1"/>
  <c r="D100" i="37"/>
  <c r="H100" i="37"/>
  <c r="I100" i="37" s="1"/>
  <c r="D99" i="37"/>
  <c r="H99" i="37"/>
  <c r="I99" i="37" s="1"/>
  <c r="D96" i="37"/>
  <c r="H96" i="37"/>
  <c r="I96" i="37" s="1"/>
  <c r="D95" i="37"/>
  <c r="H95" i="37"/>
  <c r="I95" i="37" s="1"/>
  <c r="D94" i="37"/>
  <c r="H94" i="37"/>
  <c r="I94" i="37" s="1"/>
  <c r="D93" i="37"/>
  <c r="H93" i="37"/>
  <c r="I93" i="37" s="1"/>
  <c r="D86" i="37"/>
  <c r="D77" i="37"/>
  <c r="H77" i="37"/>
  <c r="I77" i="37" s="1"/>
  <c r="D71" i="37"/>
  <c r="H71" i="37"/>
  <c r="I71" i="37" s="1"/>
  <c r="D70" i="37"/>
  <c r="H70" i="37"/>
  <c r="I70" i="37" s="1"/>
  <c r="D67" i="37"/>
  <c r="H67" i="37"/>
  <c r="I67" i="37" s="1"/>
  <c r="D66" i="37"/>
  <c r="H66" i="37"/>
  <c r="I66" i="37" s="1"/>
  <c r="D65" i="37"/>
  <c r="D63" i="37"/>
  <c r="H63" i="37"/>
  <c r="I63" i="37" s="1"/>
  <c r="D62" i="37"/>
  <c r="H62" i="37"/>
  <c r="I62" i="37" s="1"/>
  <c r="H59" i="37"/>
  <c r="I59" i="37" s="1"/>
  <c r="D50" i="37"/>
  <c r="G50" i="37"/>
  <c r="I50" i="37" s="1"/>
  <c r="D49" i="37"/>
  <c r="H49" i="37" s="1"/>
  <c r="I49" i="37" s="1"/>
  <c r="D47" i="37"/>
  <c r="D45" i="37"/>
  <c r="D46" i="37"/>
  <c r="H46" i="37" s="1"/>
  <c r="I46" i="37" s="1"/>
  <c r="D43" i="37"/>
  <c r="H43" i="37" s="1"/>
  <c r="I43" i="37" s="1"/>
  <c r="D41" i="37"/>
  <c r="D44" i="37" s="1"/>
  <c r="H44" i="37" s="1"/>
  <c r="I44" i="37" s="1"/>
  <c r="D38" i="37"/>
  <c r="D40" i="37" s="1"/>
  <c r="H40" i="37" s="1"/>
  <c r="I40" i="37" s="1"/>
  <c r="D36" i="37"/>
  <c r="G36" i="37"/>
  <c r="I36" i="37" s="1"/>
  <c r="J35" i="37"/>
  <c r="D35" i="37"/>
  <c r="H35" i="37" s="1"/>
  <c r="I35" i="37" s="1"/>
  <c r="J34" i="37"/>
  <c r="J33" i="37"/>
  <c r="D33" i="37"/>
  <c r="H33" i="37" s="1"/>
  <c r="I33" i="37" s="1"/>
  <c r="J32" i="37"/>
  <c r="D32" i="37"/>
  <c r="H32" i="37" s="1"/>
  <c r="I32" i="37" s="1"/>
  <c r="J31" i="37"/>
  <c r="D31" i="37"/>
  <c r="H31" i="37"/>
  <c r="I31" i="37" s="1"/>
  <c r="J30" i="37"/>
  <c r="D30" i="37"/>
  <c r="H30" i="37"/>
  <c r="I30" i="37" s="1"/>
  <c r="J29" i="37"/>
  <c r="D29" i="37"/>
  <c r="H29" i="37" s="1"/>
  <c r="I29" i="37" s="1"/>
  <c r="J28" i="37"/>
  <c r="D28" i="37"/>
  <c r="D27" i="37" s="1"/>
  <c r="F26" i="37"/>
  <c r="D26" i="37"/>
  <c r="H26" i="37"/>
  <c r="I26" i="37" s="1"/>
  <c r="D25" i="37"/>
  <c r="G25" i="37" s="1"/>
  <c r="I25" i="37" s="1"/>
  <c r="D22" i="37"/>
  <c r="D24" i="37" s="1"/>
  <c r="H24" i="37" s="1"/>
  <c r="H21" i="37"/>
  <c r="I21" i="37" s="1"/>
  <c r="D20" i="37"/>
  <c r="H20" i="37"/>
  <c r="I20" i="37" s="1"/>
  <c r="D18" i="37"/>
  <c r="D19" i="37" s="1"/>
  <c r="H19" i="37" s="1"/>
  <c r="I19" i="37" s="1"/>
  <c r="D16" i="37"/>
  <c r="D17" i="37"/>
  <c r="H17" i="37" s="1"/>
  <c r="I17" i="37" s="1"/>
  <c r="J627" i="16"/>
  <c r="H451" i="36"/>
  <c r="H454" i="36"/>
  <c r="H450" i="36"/>
  <c r="G450" i="36"/>
  <c r="G451" i="36"/>
  <c r="G454" i="36"/>
  <c r="H436" i="36"/>
  <c r="H437" i="36"/>
  <c r="H439" i="36"/>
  <c r="H441" i="36"/>
  <c r="H442" i="36"/>
  <c r="G436" i="36"/>
  <c r="G437" i="36"/>
  <c r="G439" i="36"/>
  <c r="G441" i="36"/>
  <c r="G392" i="36"/>
  <c r="H353" i="36"/>
  <c r="H379" i="36"/>
  <c r="G353" i="36"/>
  <c r="H311" i="36"/>
  <c r="H312" i="36"/>
  <c r="H318" i="36"/>
  <c r="G311" i="36"/>
  <c r="I311" i="36"/>
  <c r="G312" i="36"/>
  <c r="G318" i="36"/>
  <c r="G308" i="36"/>
  <c r="H250" i="36"/>
  <c r="H223" i="36"/>
  <c r="G223" i="36"/>
  <c r="I223" i="36"/>
  <c r="H135" i="36"/>
  <c r="H139" i="36"/>
  <c r="H140" i="36"/>
  <c r="H143" i="36"/>
  <c r="H187" i="36"/>
  <c r="H188" i="36"/>
  <c r="H189" i="36"/>
  <c r="H190" i="36"/>
  <c r="H192" i="36"/>
  <c r="G135" i="36"/>
  <c r="G139" i="36"/>
  <c r="G140" i="36"/>
  <c r="G143" i="36"/>
  <c r="G187" i="36"/>
  <c r="G188" i="36"/>
  <c r="I188" i="36"/>
  <c r="G189" i="36"/>
  <c r="I189" i="36"/>
  <c r="G190" i="36"/>
  <c r="H112" i="36"/>
  <c r="H113" i="36"/>
  <c r="I113" i="36"/>
  <c r="H115" i="36"/>
  <c r="H118" i="36"/>
  <c r="H119" i="36"/>
  <c r="G112" i="36"/>
  <c r="G113" i="36"/>
  <c r="G115" i="36"/>
  <c r="I115" i="36"/>
  <c r="G118" i="36"/>
  <c r="G58" i="36"/>
  <c r="H21" i="36"/>
  <c r="H51" i="36"/>
  <c r="G21" i="36"/>
  <c r="D438" i="36"/>
  <c r="D320" i="36"/>
  <c r="J132" i="36"/>
  <c r="D59" i="36"/>
  <c r="G59" i="36"/>
  <c r="J59" i="36"/>
  <c r="J58" i="36"/>
  <c r="I817" i="36"/>
  <c r="I818" i="36"/>
  <c r="I819" i="36"/>
  <c r="I820" i="36"/>
  <c r="I821" i="36"/>
  <c r="I822" i="36"/>
  <c r="G816" i="36"/>
  <c r="I816" i="36"/>
  <c r="G815" i="36"/>
  <c r="I815" i="36"/>
  <c r="D191" i="36"/>
  <c r="I813" i="36"/>
  <c r="D810" i="36"/>
  <c r="H810" i="36"/>
  <c r="I810" i="36"/>
  <c r="D809" i="36"/>
  <c r="H809" i="36"/>
  <c r="I809" i="36"/>
  <c r="H807" i="36"/>
  <c r="I807" i="36"/>
  <c r="H806" i="36"/>
  <c r="I806" i="36"/>
  <c r="H805" i="36"/>
  <c r="I805" i="36"/>
  <c r="H804" i="36"/>
  <c r="I804" i="36"/>
  <c r="H803" i="36"/>
  <c r="I803" i="36"/>
  <c r="H802" i="36"/>
  <c r="I802" i="36"/>
  <c r="H801" i="36"/>
  <c r="I801" i="36"/>
  <c r="H800" i="36"/>
  <c r="I800" i="36"/>
  <c r="H799" i="36"/>
  <c r="I799" i="36"/>
  <c r="H798" i="36"/>
  <c r="I798" i="36"/>
  <c r="H797" i="36"/>
  <c r="I797" i="36"/>
  <c r="H796" i="36"/>
  <c r="I796" i="36"/>
  <c r="I795" i="36"/>
  <c r="D795" i="36"/>
  <c r="H794" i="36"/>
  <c r="I794" i="36"/>
  <c r="H793" i="36"/>
  <c r="I793" i="36"/>
  <c r="H792" i="36"/>
  <c r="I792" i="36"/>
  <c r="H791" i="36"/>
  <c r="I791" i="36"/>
  <c r="F790" i="36"/>
  <c r="H790" i="36"/>
  <c r="I790" i="36"/>
  <c r="F789" i="36"/>
  <c r="H789" i="36"/>
  <c r="I789" i="36"/>
  <c r="H788" i="36"/>
  <c r="I788" i="36"/>
  <c r="H787" i="36"/>
  <c r="I787" i="36"/>
  <c r="D786" i="36"/>
  <c r="H786" i="36"/>
  <c r="I786" i="36"/>
  <c r="F785" i="36"/>
  <c r="D785" i="36"/>
  <c r="I784" i="36"/>
  <c r="H783" i="36"/>
  <c r="I783" i="36"/>
  <c r="H782" i="36"/>
  <c r="I782" i="36"/>
  <c r="I781" i="36"/>
  <c r="H780" i="36"/>
  <c r="I780" i="36"/>
  <c r="I779" i="36"/>
  <c r="E778" i="36"/>
  <c r="G778" i="36"/>
  <c r="I778" i="36"/>
  <c r="K775" i="36"/>
  <c r="I775" i="36"/>
  <c r="H774" i="36"/>
  <c r="I774" i="36"/>
  <c r="H773" i="36"/>
  <c r="I773" i="36"/>
  <c r="H772" i="36"/>
  <c r="I772" i="36"/>
  <c r="F771" i="36"/>
  <c r="H771" i="36"/>
  <c r="I771" i="36"/>
  <c r="H770" i="36"/>
  <c r="I770" i="36"/>
  <c r="H769" i="36"/>
  <c r="I769" i="36"/>
  <c r="D768" i="36"/>
  <c r="G768" i="36"/>
  <c r="I768" i="36"/>
  <c r="I767" i="36"/>
  <c r="H766" i="36"/>
  <c r="I766" i="36"/>
  <c r="H765" i="36"/>
  <c r="I765" i="36"/>
  <c r="F764" i="36"/>
  <c r="H764" i="36"/>
  <c r="I764" i="36"/>
  <c r="H763" i="36"/>
  <c r="I763" i="36"/>
  <c r="H762" i="36"/>
  <c r="I762" i="36"/>
  <c r="H761" i="36"/>
  <c r="I761" i="36"/>
  <c r="H760" i="36"/>
  <c r="I760" i="36"/>
  <c r="D759" i="36"/>
  <c r="G759" i="36"/>
  <c r="I759" i="36"/>
  <c r="I758" i="36"/>
  <c r="H757" i="36"/>
  <c r="I757" i="36"/>
  <c r="H756" i="36"/>
  <c r="I756" i="36"/>
  <c r="H755" i="36"/>
  <c r="I755" i="36"/>
  <c r="H754" i="36"/>
  <c r="I754" i="36"/>
  <c r="D753" i="36"/>
  <c r="H753" i="36"/>
  <c r="I752" i="36"/>
  <c r="D749" i="36"/>
  <c r="D750" i="36"/>
  <c r="G750" i="36"/>
  <c r="I750" i="36"/>
  <c r="H748" i="36"/>
  <c r="I748" i="36"/>
  <c r="D747" i="36"/>
  <c r="G747" i="36"/>
  <c r="I747" i="36"/>
  <c r="H746" i="36"/>
  <c r="I746" i="36"/>
  <c r="D745" i="36"/>
  <c r="G745" i="36"/>
  <c r="I745" i="36"/>
  <c r="H744" i="36"/>
  <c r="I744" i="36"/>
  <c r="H743" i="36"/>
  <c r="I743" i="36"/>
  <c r="H742" i="36"/>
  <c r="I742" i="36"/>
  <c r="H741" i="36"/>
  <c r="I741" i="36"/>
  <c r="H740" i="36"/>
  <c r="I740" i="36"/>
  <c r="H739" i="36"/>
  <c r="I739" i="36"/>
  <c r="H738" i="36"/>
  <c r="I738" i="36"/>
  <c r="H737" i="36"/>
  <c r="I737" i="36"/>
  <c r="D736" i="36"/>
  <c r="G736" i="36"/>
  <c r="I736" i="36"/>
  <c r="H735" i="36"/>
  <c r="I735" i="36"/>
  <c r="G734" i="36"/>
  <c r="I734" i="36"/>
  <c r="I733" i="36"/>
  <c r="H732" i="36"/>
  <c r="I732" i="36"/>
  <c r="H731" i="36"/>
  <c r="I731" i="36"/>
  <c r="I730" i="36"/>
  <c r="F729" i="36"/>
  <c r="H729" i="36"/>
  <c r="I729" i="36"/>
  <c r="D728" i="36"/>
  <c r="G728" i="36"/>
  <c r="I728" i="36"/>
  <c r="I727" i="36"/>
  <c r="F727" i="36"/>
  <c r="H727" i="36"/>
  <c r="D726" i="36"/>
  <c r="G726" i="36"/>
  <c r="I726" i="36"/>
  <c r="F725" i="36"/>
  <c r="I723" i="36"/>
  <c r="D722" i="36"/>
  <c r="H719" i="36"/>
  <c r="I719" i="36"/>
  <c r="H718" i="36"/>
  <c r="I718" i="36"/>
  <c r="H717" i="36"/>
  <c r="I717" i="36"/>
  <c r="H715" i="36"/>
  <c r="I715" i="36"/>
  <c r="H714" i="36"/>
  <c r="I714" i="36"/>
  <c r="H713" i="36"/>
  <c r="I713" i="36"/>
  <c r="H712" i="36"/>
  <c r="I712" i="36"/>
  <c r="H711" i="36"/>
  <c r="I711" i="36"/>
  <c r="H710" i="36"/>
  <c r="I710" i="36"/>
  <c r="H709" i="36"/>
  <c r="I709" i="36"/>
  <c r="D708" i="36"/>
  <c r="G708" i="36"/>
  <c r="I708" i="36"/>
  <c r="I707" i="36"/>
  <c r="H706" i="36"/>
  <c r="I706" i="36"/>
  <c r="H705" i="36"/>
  <c r="I705" i="36"/>
  <c r="D704" i="36"/>
  <c r="G704" i="36"/>
  <c r="I704" i="36"/>
  <c r="H703" i="36"/>
  <c r="I703" i="36"/>
  <c r="H702" i="36"/>
  <c r="I702" i="36"/>
  <c r="I701" i="36"/>
  <c r="H700" i="36"/>
  <c r="I700" i="36"/>
  <c r="H698" i="36"/>
  <c r="I698" i="36"/>
  <c r="F697" i="36"/>
  <c r="H697" i="36"/>
  <c r="I697" i="36"/>
  <c r="D696" i="36"/>
  <c r="G696" i="36"/>
  <c r="I696" i="36"/>
  <c r="H695" i="36"/>
  <c r="I695" i="36"/>
  <c r="H694" i="36"/>
  <c r="I694" i="36"/>
  <c r="H693" i="36"/>
  <c r="I693" i="36"/>
  <c r="F692" i="36"/>
  <c r="H692" i="36"/>
  <c r="I692" i="36"/>
  <c r="D691" i="36"/>
  <c r="I690" i="36"/>
  <c r="F689" i="36"/>
  <c r="H689" i="36"/>
  <c r="I689" i="36"/>
  <c r="H688" i="36"/>
  <c r="I688" i="36"/>
  <c r="H687" i="36"/>
  <c r="I687" i="36"/>
  <c r="H686" i="36"/>
  <c r="I686" i="36"/>
  <c r="H685" i="36"/>
  <c r="I685" i="36"/>
  <c r="H684" i="36"/>
  <c r="I684" i="36"/>
  <c r="H683" i="36"/>
  <c r="I683" i="36"/>
  <c r="H682" i="36"/>
  <c r="I682" i="36"/>
  <c r="H681" i="36"/>
  <c r="I681" i="36"/>
  <c r="H680" i="36"/>
  <c r="I680" i="36"/>
  <c r="H679" i="36"/>
  <c r="I679" i="36"/>
  <c r="G678" i="36"/>
  <c r="I678" i="36"/>
  <c r="I677" i="36"/>
  <c r="F676" i="36"/>
  <c r="H676" i="36"/>
  <c r="I676" i="36"/>
  <c r="H675" i="36"/>
  <c r="I675" i="36"/>
  <c r="G674" i="36"/>
  <c r="I674" i="36"/>
  <c r="H673" i="36"/>
  <c r="I673" i="36"/>
  <c r="H671" i="36"/>
  <c r="I671" i="36"/>
  <c r="H670" i="36"/>
  <c r="I670" i="36"/>
  <c r="H668" i="36"/>
  <c r="I668" i="36"/>
  <c r="H667" i="36"/>
  <c r="I667" i="36"/>
  <c r="H666" i="36"/>
  <c r="I666" i="36"/>
  <c r="H665" i="36"/>
  <c r="I665" i="36"/>
  <c r="H664" i="36"/>
  <c r="I664" i="36"/>
  <c r="H663" i="36"/>
  <c r="I663" i="36"/>
  <c r="H662" i="36"/>
  <c r="I662" i="36"/>
  <c r="H661" i="36"/>
  <c r="I661" i="36"/>
  <c r="H660" i="36"/>
  <c r="I660" i="36"/>
  <c r="D659" i="36"/>
  <c r="D672" i="36"/>
  <c r="G672" i="36"/>
  <c r="I672" i="36"/>
  <c r="I655" i="36"/>
  <c r="H654" i="36"/>
  <c r="I654" i="36"/>
  <c r="H653" i="36"/>
  <c r="I653" i="36"/>
  <c r="D652" i="36"/>
  <c r="G652" i="36"/>
  <c r="I652" i="36"/>
  <c r="H651" i="36"/>
  <c r="I651" i="36"/>
  <c r="I650" i="36"/>
  <c r="H650" i="36"/>
  <c r="H649" i="36"/>
  <c r="I649" i="36"/>
  <c r="H648" i="36"/>
  <c r="I648" i="36"/>
  <c r="H647" i="36"/>
  <c r="I647" i="36"/>
  <c r="H646" i="36"/>
  <c r="I646" i="36"/>
  <c r="H645" i="36"/>
  <c r="I645" i="36"/>
  <c r="H644" i="36"/>
  <c r="I644" i="36"/>
  <c r="H643" i="36"/>
  <c r="I643" i="36"/>
  <c r="G642" i="36"/>
  <c r="I642" i="36"/>
  <c r="H641" i="36"/>
  <c r="I641" i="36"/>
  <c r="H640" i="36"/>
  <c r="I640" i="36"/>
  <c r="H639" i="36"/>
  <c r="I639" i="36"/>
  <c r="I638" i="36"/>
  <c r="H638" i="36"/>
  <c r="H637" i="36"/>
  <c r="I637" i="36"/>
  <c r="H636" i="36"/>
  <c r="I636" i="36"/>
  <c r="H635" i="36"/>
  <c r="I635" i="36"/>
  <c r="H634" i="36"/>
  <c r="I634" i="36"/>
  <c r="D633" i="36"/>
  <c r="G633" i="36"/>
  <c r="I633" i="36"/>
  <c r="F632" i="36"/>
  <c r="H632" i="36"/>
  <c r="I632" i="36"/>
  <c r="F631" i="36"/>
  <c r="H631" i="36"/>
  <c r="I631" i="36"/>
  <c r="F630" i="36"/>
  <c r="H630" i="36"/>
  <c r="I630" i="36"/>
  <c r="D629" i="36"/>
  <c r="G629" i="36"/>
  <c r="I629" i="36"/>
  <c r="K626" i="36"/>
  <c r="I626" i="36"/>
  <c r="I627" i="36"/>
  <c r="F625" i="36"/>
  <c r="H625" i="36"/>
  <c r="I625" i="36"/>
  <c r="D624" i="36"/>
  <c r="G624" i="36"/>
  <c r="I624" i="36"/>
  <c r="H623" i="36"/>
  <c r="I623" i="36"/>
  <c r="H622" i="36"/>
  <c r="I622" i="36"/>
  <c r="H621" i="36"/>
  <c r="I621" i="36"/>
  <c r="H620" i="36"/>
  <c r="I620" i="36"/>
  <c r="H619" i="36"/>
  <c r="I619" i="36"/>
  <c r="H618" i="36"/>
  <c r="I618" i="36"/>
  <c r="H617" i="36"/>
  <c r="I617" i="36"/>
  <c r="H616" i="36"/>
  <c r="I616" i="36"/>
  <c r="H615" i="36"/>
  <c r="I615" i="36"/>
  <c r="G614" i="36"/>
  <c r="I614" i="36"/>
  <c r="H613" i="36"/>
  <c r="I613" i="36"/>
  <c r="G612" i="36"/>
  <c r="I612" i="36"/>
  <c r="H611" i="36"/>
  <c r="I611" i="36"/>
  <c r="G610" i="36"/>
  <c r="I610" i="36"/>
  <c r="H609" i="36"/>
  <c r="I609" i="36"/>
  <c r="G608" i="36"/>
  <c r="I608" i="36"/>
  <c r="K605" i="36"/>
  <c r="I605" i="36"/>
  <c r="I606" i="36"/>
  <c r="H604" i="36"/>
  <c r="G604" i="36"/>
  <c r="I604" i="36"/>
  <c r="I602" i="36"/>
  <c r="H602" i="36"/>
  <c r="H601" i="36"/>
  <c r="I601" i="36"/>
  <c r="H600" i="36"/>
  <c r="I600" i="36"/>
  <c r="H599" i="36"/>
  <c r="I599" i="36"/>
  <c r="I598" i="36"/>
  <c r="H598" i="36"/>
  <c r="H597" i="36"/>
  <c r="I597" i="36"/>
  <c r="H596" i="36"/>
  <c r="I596" i="36"/>
  <c r="H595" i="36"/>
  <c r="I595" i="36"/>
  <c r="H594" i="36"/>
  <c r="I594" i="36"/>
  <c r="H593" i="36"/>
  <c r="I593" i="36"/>
  <c r="H592" i="36"/>
  <c r="I592" i="36"/>
  <c r="H591" i="36"/>
  <c r="I591" i="36"/>
  <c r="H590" i="36"/>
  <c r="I590" i="36"/>
  <c r="H589" i="36"/>
  <c r="I589" i="36"/>
  <c r="H588" i="36"/>
  <c r="I588" i="36"/>
  <c r="F587" i="36"/>
  <c r="H587" i="36"/>
  <c r="I587" i="36"/>
  <c r="F586" i="36"/>
  <c r="H586" i="36"/>
  <c r="I586" i="36"/>
  <c r="F585" i="36"/>
  <c r="H585" i="36"/>
  <c r="I585" i="36"/>
  <c r="F584" i="36"/>
  <c r="H584" i="36"/>
  <c r="I584" i="36"/>
  <c r="F583" i="36"/>
  <c r="H583" i="36"/>
  <c r="I583" i="36"/>
  <c r="F582" i="36"/>
  <c r="H582" i="36"/>
  <c r="I582" i="36"/>
  <c r="F581" i="36"/>
  <c r="H581" i="36"/>
  <c r="I581" i="36"/>
  <c r="G580" i="36"/>
  <c r="I580" i="36"/>
  <c r="F579" i="36"/>
  <c r="H579" i="36"/>
  <c r="I579" i="36"/>
  <c r="H578" i="36"/>
  <c r="I578" i="36"/>
  <c r="H577" i="36"/>
  <c r="I577" i="36"/>
  <c r="H576" i="36"/>
  <c r="I576" i="36"/>
  <c r="H575" i="36"/>
  <c r="I575" i="36"/>
  <c r="G574" i="36"/>
  <c r="I574" i="36"/>
  <c r="H573" i="36"/>
  <c r="I573" i="36"/>
  <c r="H572" i="36"/>
  <c r="I572" i="36"/>
  <c r="H571" i="36"/>
  <c r="I571" i="36"/>
  <c r="I570" i="36"/>
  <c r="H570" i="36"/>
  <c r="H569" i="36"/>
  <c r="I569" i="36"/>
  <c r="H568" i="36"/>
  <c r="I568" i="36"/>
  <c r="H567" i="36"/>
  <c r="I567" i="36"/>
  <c r="I566" i="36"/>
  <c r="H566" i="36"/>
  <c r="H565" i="36"/>
  <c r="I565" i="36"/>
  <c r="H564" i="36"/>
  <c r="I564" i="36"/>
  <c r="H563" i="36"/>
  <c r="I563" i="36"/>
  <c r="F562" i="36"/>
  <c r="H562" i="36"/>
  <c r="I562" i="36"/>
  <c r="F561" i="36"/>
  <c r="H561" i="36"/>
  <c r="I561" i="36"/>
  <c r="H560" i="36"/>
  <c r="I560" i="36"/>
  <c r="F559" i="36"/>
  <c r="H559" i="36"/>
  <c r="I559" i="36"/>
  <c r="F558" i="36"/>
  <c r="H558" i="36"/>
  <c r="I558" i="36"/>
  <c r="F557" i="36"/>
  <c r="H557" i="36"/>
  <c r="I557" i="36"/>
  <c r="F556" i="36"/>
  <c r="H556" i="36"/>
  <c r="I556" i="36"/>
  <c r="I555" i="36"/>
  <c r="F555" i="36"/>
  <c r="H555" i="36"/>
  <c r="H554" i="36"/>
  <c r="I554" i="36"/>
  <c r="H553" i="36"/>
  <c r="G553" i="36"/>
  <c r="I553" i="36"/>
  <c r="H552" i="36"/>
  <c r="I552" i="36"/>
  <c r="H551" i="36"/>
  <c r="I551" i="36"/>
  <c r="H550" i="36"/>
  <c r="I550" i="36"/>
  <c r="H549" i="36"/>
  <c r="I549" i="36"/>
  <c r="H548" i="36"/>
  <c r="I548" i="36"/>
  <c r="H547" i="36"/>
  <c r="I547" i="36"/>
  <c r="H546" i="36"/>
  <c r="I546" i="36"/>
  <c r="H545" i="36"/>
  <c r="I545" i="36"/>
  <c r="H544" i="36"/>
  <c r="I544" i="36"/>
  <c r="H543" i="36"/>
  <c r="I543" i="36"/>
  <c r="F542" i="36"/>
  <c r="H542" i="36"/>
  <c r="I542" i="36"/>
  <c r="H541" i="36"/>
  <c r="I541" i="36"/>
  <c r="H540" i="36"/>
  <c r="I540" i="36"/>
  <c r="H539" i="36"/>
  <c r="I539" i="36"/>
  <c r="H538" i="36"/>
  <c r="I538" i="36"/>
  <c r="H537" i="36"/>
  <c r="G537" i="36"/>
  <c r="H535" i="36"/>
  <c r="I535" i="36"/>
  <c r="H534" i="36"/>
  <c r="I534" i="36"/>
  <c r="H533" i="36"/>
  <c r="I533" i="36"/>
  <c r="H532" i="36"/>
  <c r="I532" i="36"/>
  <c r="H531" i="36"/>
  <c r="I531" i="36"/>
  <c r="H530" i="36"/>
  <c r="I530" i="36"/>
  <c r="H529" i="36"/>
  <c r="I529" i="36"/>
  <c r="H528" i="36"/>
  <c r="I528" i="36"/>
  <c r="H527" i="36"/>
  <c r="G527" i="36"/>
  <c r="I527" i="36"/>
  <c r="F526" i="36"/>
  <c r="H526" i="36"/>
  <c r="I526" i="36"/>
  <c r="H525" i="36"/>
  <c r="G525" i="36"/>
  <c r="H524" i="36"/>
  <c r="I524" i="36"/>
  <c r="H523" i="36"/>
  <c r="I523" i="36"/>
  <c r="H522" i="36"/>
  <c r="I522" i="36"/>
  <c r="H521" i="36"/>
  <c r="I521" i="36"/>
  <c r="H520" i="36"/>
  <c r="I520" i="36"/>
  <c r="H519" i="36"/>
  <c r="I519" i="36"/>
  <c r="H518" i="36"/>
  <c r="I518" i="36"/>
  <c r="H517" i="36"/>
  <c r="I517" i="36"/>
  <c r="H516" i="36"/>
  <c r="I516" i="36"/>
  <c r="H515" i="36"/>
  <c r="G515" i="36"/>
  <c r="H514" i="36"/>
  <c r="I514" i="36"/>
  <c r="H513" i="36"/>
  <c r="I513" i="36"/>
  <c r="H512" i="36"/>
  <c r="I512" i="36"/>
  <c r="G511" i="36"/>
  <c r="I511" i="36"/>
  <c r="H510" i="36"/>
  <c r="I510" i="36"/>
  <c r="H509" i="36"/>
  <c r="I509" i="36"/>
  <c r="H508" i="36"/>
  <c r="I508" i="36"/>
  <c r="G507" i="36"/>
  <c r="I507" i="36"/>
  <c r="D503" i="36"/>
  <c r="H503" i="36"/>
  <c r="I503" i="36"/>
  <c r="H502" i="36"/>
  <c r="I502" i="36"/>
  <c r="I501" i="36"/>
  <c r="H501" i="36"/>
  <c r="D500" i="36"/>
  <c r="H500" i="36"/>
  <c r="I500" i="36"/>
  <c r="G499" i="36"/>
  <c r="I499" i="36"/>
  <c r="D492" i="36"/>
  <c r="D470" i="36"/>
  <c r="D472" i="36"/>
  <c r="D465" i="36"/>
  <c r="D462" i="36"/>
  <c r="F461" i="36"/>
  <c r="F457" i="36"/>
  <c r="D456" i="36"/>
  <c r="F455" i="36"/>
  <c r="D455" i="36"/>
  <c r="G455" i="36"/>
  <c r="D452" i="36"/>
  <c r="I445" i="36"/>
  <c r="I444" i="36"/>
  <c r="D440" i="36"/>
  <c r="F434" i="36"/>
  <c r="D429" i="36"/>
  <c r="D426" i="36"/>
  <c r="D428" i="36"/>
  <c r="D425" i="36"/>
  <c r="H425" i="36"/>
  <c r="D423" i="36"/>
  <c r="F422" i="36"/>
  <c r="D421" i="36"/>
  <c r="G421" i="36"/>
  <c r="I421" i="36"/>
  <c r="D409" i="36"/>
  <c r="D408" i="36"/>
  <c r="D406" i="36"/>
  <c r="G406" i="36"/>
  <c r="D405" i="36"/>
  <c r="D404" i="36"/>
  <c r="F402" i="36"/>
  <c r="D402" i="36"/>
  <c r="G402" i="36"/>
  <c r="F401" i="36"/>
  <c r="D401" i="36"/>
  <c r="G401" i="36"/>
  <c r="F400" i="36"/>
  <c r="D400" i="36"/>
  <c r="G400" i="36"/>
  <c r="D398" i="36"/>
  <c r="D397" i="36"/>
  <c r="D396" i="36"/>
  <c r="D395" i="36"/>
  <c r="H395" i="36"/>
  <c r="D394" i="36"/>
  <c r="H394" i="36"/>
  <c r="D393" i="36"/>
  <c r="D375" i="36"/>
  <c r="H375" i="36"/>
  <c r="D361" i="36"/>
  <c r="D354" i="36"/>
  <c r="D351" i="36"/>
  <c r="D350" i="36"/>
  <c r="D349" i="36"/>
  <c r="D348" i="36"/>
  <c r="D346" i="36"/>
  <c r="D345" i="36"/>
  <c r="D344" i="36"/>
  <c r="D343" i="36"/>
  <c r="D340" i="36"/>
  <c r="D339" i="36"/>
  <c r="D338" i="36"/>
  <c r="D336" i="36"/>
  <c r="D335" i="36"/>
  <c r="F325" i="36"/>
  <c r="D314" i="36"/>
  <c r="I308" i="36"/>
  <c r="D302" i="36"/>
  <c r="H301" i="36"/>
  <c r="I301" i="36"/>
  <c r="H300" i="36"/>
  <c r="I300" i="36"/>
  <c r="F299" i="36"/>
  <c r="H299" i="36"/>
  <c r="I299" i="36"/>
  <c r="H298" i="36"/>
  <c r="I298" i="36"/>
  <c r="G297" i="36"/>
  <c r="I297" i="36"/>
  <c r="I296" i="36"/>
  <c r="H295" i="36"/>
  <c r="I295" i="36"/>
  <c r="H294" i="36"/>
  <c r="I294" i="36"/>
  <c r="H293" i="36"/>
  <c r="I293" i="36"/>
  <c r="H292" i="36"/>
  <c r="I292" i="36"/>
  <c r="H291" i="36"/>
  <c r="I291" i="36"/>
  <c r="I290" i="36"/>
  <c r="H290" i="36"/>
  <c r="H289" i="36"/>
  <c r="I289" i="36"/>
  <c r="H288" i="36"/>
  <c r="I288" i="36"/>
  <c r="H287" i="36"/>
  <c r="I287" i="36"/>
  <c r="H286" i="36"/>
  <c r="I286" i="36"/>
  <c r="H285" i="36"/>
  <c r="I285" i="36"/>
  <c r="H284" i="36"/>
  <c r="I284" i="36"/>
  <c r="H283" i="36"/>
  <c r="I283" i="36"/>
  <c r="H282" i="36"/>
  <c r="G282" i="36"/>
  <c r="D278" i="36"/>
  <c r="D280" i="36"/>
  <c r="H280" i="36"/>
  <c r="I280" i="36"/>
  <c r="H277" i="36"/>
  <c r="I277" i="36"/>
  <c r="H276" i="36"/>
  <c r="I276" i="36"/>
  <c r="H275" i="36"/>
  <c r="I275" i="36"/>
  <c r="H274" i="36"/>
  <c r="I274" i="36"/>
  <c r="H273" i="36"/>
  <c r="I273" i="36"/>
  <c r="H272" i="36"/>
  <c r="I272" i="36"/>
  <c r="H271" i="36"/>
  <c r="I271" i="36"/>
  <c r="H270" i="36"/>
  <c r="I270" i="36"/>
  <c r="H269" i="36"/>
  <c r="I269" i="36"/>
  <c r="H268" i="36"/>
  <c r="G268" i="36"/>
  <c r="H266" i="36"/>
  <c r="I266" i="36"/>
  <c r="H265" i="36"/>
  <c r="I265" i="36"/>
  <c r="H264" i="36"/>
  <c r="I264" i="36"/>
  <c r="H263" i="36"/>
  <c r="I263" i="36"/>
  <c r="G263" i="36"/>
  <c r="H262" i="36"/>
  <c r="I262" i="36"/>
  <c r="H261" i="36"/>
  <c r="I261" i="36"/>
  <c r="H260" i="36"/>
  <c r="I260" i="36"/>
  <c r="F259" i="36"/>
  <c r="H259" i="36"/>
  <c r="D259" i="36"/>
  <c r="G258" i="36"/>
  <c r="I258" i="36"/>
  <c r="H257" i="36"/>
  <c r="G257" i="36"/>
  <c r="D245" i="36"/>
  <c r="D236" i="36"/>
  <c r="D232" i="36"/>
  <c r="D231" i="36"/>
  <c r="G231" i="36"/>
  <c r="I231" i="36"/>
  <c r="D216" i="36"/>
  <c r="D215" i="36"/>
  <c r="D214" i="36"/>
  <c r="D213" i="36"/>
  <c r="D211" i="36"/>
  <c r="D210" i="36"/>
  <c r="D208" i="36"/>
  <c r="D207" i="36"/>
  <c r="D206" i="36"/>
  <c r="D204" i="36"/>
  <c r="D203" i="36"/>
  <c r="I190" i="36"/>
  <c r="D184" i="36"/>
  <c r="D186" i="36"/>
  <c r="D179" i="36"/>
  <c r="D174" i="36"/>
  <c r="D171" i="36"/>
  <c r="D173" i="36"/>
  <c r="D145" i="36"/>
  <c r="D144" i="36"/>
  <c r="I143" i="36"/>
  <c r="D142" i="36"/>
  <c r="D141" i="36"/>
  <c r="I139" i="36"/>
  <c r="I135" i="36"/>
  <c r="H131" i="36"/>
  <c r="H130" i="36"/>
  <c r="I130" i="36"/>
  <c r="H129" i="36"/>
  <c r="I129" i="36"/>
  <c r="D128" i="36"/>
  <c r="H128" i="36"/>
  <c r="I128" i="36"/>
  <c r="D127" i="36"/>
  <c r="H127" i="36"/>
  <c r="I127" i="36"/>
  <c r="G126" i="36"/>
  <c r="I126" i="36"/>
  <c r="D117" i="36"/>
  <c r="D116" i="36"/>
  <c r="D114" i="36"/>
  <c r="F107" i="36"/>
  <c r="D102" i="36"/>
  <c r="D101" i="36"/>
  <c r="D100" i="36"/>
  <c r="D99" i="36"/>
  <c r="D96" i="36"/>
  <c r="D95" i="36"/>
  <c r="D94" i="36"/>
  <c r="D93" i="36"/>
  <c r="D86" i="36"/>
  <c r="D87" i="36"/>
  <c r="D77" i="36"/>
  <c r="D71" i="36"/>
  <c r="D70" i="36"/>
  <c r="D67" i="36"/>
  <c r="D66" i="36"/>
  <c r="D65" i="36"/>
  <c r="D63" i="36"/>
  <c r="D62" i="36"/>
  <c r="D61" i="36"/>
  <c r="D50" i="36"/>
  <c r="D49" i="36"/>
  <c r="D47" i="36"/>
  <c r="D48" i="36" s="1"/>
  <c r="H48" i="36" s="1"/>
  <c r="D45" i="36"/>
  <c r="D46" i="36"/>
  <c r="G46" i="36" s="1"/>
  <c r="D43" i="36"/>
  <c r="D41" i="36"/>
  <c r="D44" i="36"/>
  <c r="H44" i="36" s="1"/>
  <c r="D38" i="36"/>
  <c r="D40" i="36" s="1"/>
  <c r="D36" i="36"/>
  <c r="D37" i="36" s="1"/>
  <c r="J35" i="36"/>
  <c r="D35" i="36"/>
  <c r="H35" i="36" s="1"/>
  <c r="J34" i="36"/>
  <c r="J33" i="36"/>
  <c r="D33" i="36"/>
  <c r="H33" i="36" s="1"/>
  <c r="J32" i="36"/>
  <c r="D32" i="36"/>
  <c r="J31" i="36"/>
  <c r="D31" i="36"/>
  <c r="H31" i="36" s="1"/>
  <c r="J30" i="36"/>
  <c r="D30" i="36"/>
  <c r="J29" i="36"/>
  <c r="D29" i="36"/>
  <c r="H29" i="36" s="1"/>
  <c r="J28" i="36"/>
  <c r="D28" i="36"/>
  <c r="F26" i="36"/>
  <c r="D26" i="36"/>
  <c r="H26" i="36" s="1"/>
  <c r="I26" i="36" s="1"/>
  <c r="G26" i="36"/>
  <c r="D25" i="36"/>
  <c r="D22" i="36"/>
  <c r="D24" i="36"/>
  <c r="G24" i="36" s="1"/>
  <c r="I21" i="36"/>
  <c r="D20" i="36"/>
  <c r="D18" i="36"/>
  <c r="D19" i="36"/>
  <c r="G19" i="36" s="1"/>
  <c r="D16" i="36"/>
  <c r="D17" i="36" s="1"/>
  <c r="H17" i="36" s="1"/>
  <c r="J37" i="16"/>
  <c r="J36" i="16"/>
  <c r="J35" i="16"/>
  <c r="J34" i="16"/>
  <c r="J33" i="16"/>
  <c r="J32" i="16"/>
  <c r="J31" i="16"/>
  <c r="J30" i="16"/>
  <c r="K776" i="16"/>
  <c r="L776" i="16"/>
  <c r="K627" i="16"/>
  <c r="K606" i="16"/>
  <c r="D52" i="16"/>
  <c r="G52" i="16"/>
  <c r="I52" i="16"/>
  <c r="I627" i="16"/>
  <c r="G225" i="16"/>
  <c r="I225" i="16"/>
  <c r="D193" i="16"/>
  <c r="G193" i="16"/>
  <c r="I193" i="16"/>
  <c r="G120" i="16"/>
  <c r="I120" i="16"/>
  <c r="I656" i="16"/>
  <c r="L656" i="16"/>
  <c r="I606" i="16"/>
  <c r="H19" i="35"/>
  <c r="I776" i="16"/>
  <c r="H17" i="35"/>
  <c r="H16" i="35"/>
  <c r="G4" i="35"/>
  <c r="G3" i="35"/>
  <c r="H3" i="35"/>
  <c r="D493" i="16"/>
  <c r="D492" i="16"/>
  <c r="G492" i="16"/>
  <c r="I492" i="16"/>
  <c r="H433" i="33"/>
  <c r="I433" i="33"/>
  <c r="D432" i="33"/>
  <c r="G432" i="33"/>
  <c r="I432" i="33"/>
  <c r="H401" i="32"/>
  <c r="I401" i="32"/>
  <c r="D400" i="32"/>
  <c r="G400" i="32"/>
  <c r="H440" i="31"/>
  <c r="I440" i="31"/>
  <c r="D439" i="31"/>
  <c r="G439" i="31"/>
  <c r="D403" i="30"/>
  <c r="G403" i="30"/>
  <c r="I403" i="30"/>
  <c r="H404" i="30"/>
  <c r="I404" i="30"/>
  <c r="O28" i="26"/>
  <c r="O16" i="26"/>
  <c r="O15" i="26"/>
  <c r="D353" i="31"/>
  <c r="D331" i="30"/>
  <c r="G331" i="30"/>
  <c r="D338" i="33"/>
  <c r="D331" i="33"/>
  <c r="D410" i="16"/>
  <c r="H410" i="16"/>
  <c r="I410" i="16"/>
  <c r="D409" i="16"/>
  <c r="H409" i="16"/>
  <c r="I409" i="16"/>
  <c r="D407" i="16"/>
  <c r="D406" i="16"/>
  <c r="D405" i="16"/>
  <c r="D404" i="16"/>
  <c r="D403" i="16"/>
  <c r="D402" i="16"/>
  <c r="F402" i="16"/>
  <c r="D401" i="16"/>
  <c r="H401" i="16"/>
  <c r="D399" i="16"/>
  <c r="H399" i="16"/>
  <c r="I399" i="16"/>
  <c r="D398" i="16"/>
  <c r="H398" i="16"/>
  <c r="I398" i="16"/>
  <c r="D397" i="16"/>
  <c r="H397" i="16"/>
  <c r="I397" i="16"/>
  <c r="D396" i="16"/>
  <c r="H396" i="16"/>
  <c r="I396" i="16"/>
  <c r="D395" i="16"/>
  <c r="H395" i="16"/>
  <c r="I395" i="16"/>
  <c r="D394" i="16"/>
  <c r="F403" i="16"/>
  <c r="F401" i="16"/>
  <c r="D337" i="16"/>
  <c r="H337" i="16"/>
  <c r="I337" i="16"/>
  <c r="D336" i="16"/>
  <c r="H336" i="16"/>
  <c r="I336" i="16"/>
  <c r="D376" i="16"/>
  <c r="H376" i="16"/>
  <c r="I376" i="16"/>
  <c r="D362" i="16"/>
  <c r="G362" i="16"/>
  <c r="I362" i="16"/>
  <c r="D355" i="16"/>
  <c r="G355" i="16"/>
  <c r="I355" i="16"/>
  <c r="D352" i="16"/>
  <c r="H352" i="16"/>
  <c r="I352" i="16"/>
  <c r="D351" i="16"/>
  <c r="H351" i="16"/>
  <c r="I351" i="16"/>
  <c r="D350" i="16"/>
  <c r="H350" i="16"/>
  <c r="I350" i="16"/>
  <c r="D349" i="16"/>
  <c r="G349" i="16"/>
  <c r="I349" i="16"/>
  <c r="D347" i="16"/>
  <c r="H347" i="16"/>
  <c r="I347" i="16"/>
  <c r="D346" i="16"/>
  <c r="G346" i="16"/>
  <c r="I346" i="16"/>
  <c r="D345" i="16"/>
  <c r="H345" i="16"/>
  <c r="I345" i="16"/>
  <c r="D344" i="16"/>
  <c r="G344" i="16"/>
  <c r="I344" i="16"/>
  <c r="D341" i="16"/>
  <c r="H341" i="16"/>
  <c r="I341" i="16"/>
  <c r="D340" i="16"/>
  <c r="H340" i="16"/>
  <c r="I340" i="16"/>
  <c r="D339" i="16"/>
  <c r="H339" i="16"/>
  <c r="I339" i="16"/>
  <c r="D282" i="33"/>
  <c r="D283" i="33"/>
  <c r="H283" i="33"/>
  <c r="D284" i="33"/>
  <c r="H284" i="33"/>
  <c r="I284" i="33"/>
  <c r="F326" i="16"/>
  <c r="D315" i="16"/>
  <c r="G315" i="16"/>
  <c r="I315" i="16"/>
  <c r="D186" i="33"/>
  <c r="H186" i="33"/>
  <c r="I186" i="33"/>
  <c r="D197" i="31"/>
  <c r="H197" i="31"/>
  <c r="D188" i="30"/>
  <c r="H188" i="30"/>
  <c r="I188" i="30"/>
  <c r="D187" i="30"/>
  <c r="D247" i="16"/>
  <c r="G247" i="16"/>
  <c r="I247" i="16"/>
  <c r="D42" i="20"/>
  <c r="D41" i="20"/>
  <c r="D40" i="20"/>
  <c r="D39" i="20"/>
  <c r="D36" i="20"/>
  <c r="D35" i="20"/>
  <c r="D34" i="20"/>
  <c r="D33" i="20"/>
  <c r="D37" i="20"/>
  <c r="D178" i="32"/>
  <c r="H178" i="32"/>
  <c r="I178" i="32"/>
  <c r="D234" i="16"/>
  <c r="D233" i="16"/>
  <c r="G233" i="16"/>
  <c r="D154" i="32"/>
  <c r="D173" i="31"/>
  <c r="D215" i="16"/>
  <c r="H215" i="16"/>
  <c r="I215" i="16"/>
  <c r="D216" i="16"/>
  <c r="H216" i="16"/>
  <c r="I216" i="16"/>
  <c r="D217" i="16"/>
  <c r="D218" i="16"/>
  <c r="H218" i="16"/>
  <c r="I218" i="16"/>
  <c r="D213" i="16"/>
  <c r="H213" i="16"/>
  <c r="I213" i="16"/>
  <c r="D212" i="16"/>
  <c r="H212" i="16"/>
  <c r="I212" i="16"/>
  <c r="D209" i="16"/>
  <c r="H209" i="16"/>
  <c r="I209" i="16"/>
  <c r="D210" i="16"/>
  <c r="H210" i="16"/>
  <c r="I210" i="16"/>
  <c r="D208" i="16"/>
  <c r="D206" i="16"/>
  <c r="H206" i="16"/>
  <c r="I206" i="16"/>
  <c r="D205" i="16"/>
  <c r="H205" i="16"/>
  <c r="I205" i="16"/>
  <c r="G142" i="16"/>
  <c r="I142" i="16"/>
  <c r="D143" i="16"/>
  <c r="H143" i="16"/>
  <c r="I143" i="16"/>
  <c r="D144" i="16"/>
  <c r="H144" i="16"/>
  <c r="I144" i="16"/>
  <c r="G145" i="16"/>
  <c r="I145" i="16"/>
  <c r="D146" i="16"/>
  <c r="H146" i="16"/>
  <c r="I146" i="16"/>
  <c r="D147" i="16"/>
  <c r="H147" i="16"/>
  <c r="I147" i="16"/>
  <c r="D186" i="16"/>
  <c r="D187" i="16"/>
  <c r="H187" i="16"/>
  <c r="I187" i="16"/>
  <c r="D181" i="16"/>
  <c r="D183" i="16"/>
  <c r="H183" i="16"/>
  <c r="I183" i="16"/>
  <c r="D176" i="16"/>
  <c r="D177" i="16"/>
  <c r="H177" i="16"/>
  <c r="I177" i="16"/>
  <c r="D173" i="16"/>
  <c r="D175" i="16"/>
  <c r="H175" i="16"/>
  <c r="I175" i="16"/>
  <c r="D102" i="16"/>
  <c r="H102" i="16"/>
  <c r="I102" i="16"/>
  <c r="D81" i="32"/>
  <c r="D104" i="16"/>
  <c r="H104" i="16"/>
  <c r="I104" i="16"/>
  <c r="D103" i="16"/>
  <c r="H103" i="16"/>
  <c r="I103" i="16"/>
  <c r="D101" i="16"/>
  <c r="H101" i="16"/>
  <c r="I101" i="16"/>
  <c r="D98" i="16"/>
  <c r="H98" i="16"/>
  <c r="I98" i="16"/>
  <c r="D97" i="16"/>
  <c r="H97" i="16"/>
  <c r="I97" i="16"/>
  <c r="D96" i="16"/>
  <c r="H96" i="16"/>
  <c r="I96" i="16"/>
  <c r="D95" i="16"/>
  <c r="H95" i="16"/>
  <c r="I95" i="16"/>
  <c r="D88" i="16"/>
  <c r="D89" i="16"/>
  <c r="H89" i="16"/>
  <c r="I89" i="16"/>
  <c r="D74" i="30"/>
  <c r="D79" i="16"/>
  <c r="H79" i="16"/>
  <c r="I79" i="16"/>
  <c r="D73" i="16"/>
  <c r="H73" i="16"/>
  <c r="I73" i="16"/>
  <c r="D72" i="16"/>
  <c r="H72" i="16"/>
  <c r="I72" i="16"/>
  <c r="D69" i="16"/>
  <c r="H69" i="16"/>
  <c r="I69" i="16"/>
  <c r="D68" i="16"/>
  <c r="H68" i="16"/>
  <c r="I68" i="16"/>
  <c r="D67" i="16"/>
  <c r="H67" i="16"/>
  <c r="D65" i="16"/>
  <c r="D64" i="16"/>
  <c r="H64" i="16"/>
  <c r="I64" i="16"/>
  <c r="D54" i="33"/>
  <c r="D55" i="32"/>
  <c r="D58" i="31"/>
  <c r="D60" i="31"/>
  <c r="H60" i="31"/>
  <c r="I60" i="31"/>
  <c r="D51" i="16"/>
  <c r="H51" i="16"/>
  <c r="I51" i="16" s="1"/>
  <c r="D49" i="16"/>
  <c r="G49" i="16"/>
  <c r="I49" i="16"/>
  <c r="D47" i="16"/>
  <c r="D48" i="16" s="1"/>
  <c r="H48" i="16" s="1"/>
  <c r="I48" i="16" s="1"/>
  <c r="D45" i="16"/>
  <c r="H45" i="16" s="1"/>
  <c r="I45" i="16" s="1"/>
  <c r="D43" i="16"/>
  <c r="D44" i="16" s="1"/>
  <c r="H44" i="16" s="1"/>
  <c r="I44" i="16" s="1"/>
  <c r="D40" i="16"/>
  <c r="G40" i="16" s="1"/>
  <c r="I40" i="16" s="1"/>
  <c r="D38" i="16"/>
  <c r="G38" i="16" s="1"/>
  <c r="I38" i="16" s="1"/>
  <c r="D39" i="16"/>
  <c r="H39" i="16" s="1"/>
  <c r="I39" i="16" s="1"/>
  <c r="D37" i="16"/>
  <c r="H37" i="16"/>
  <c r="I37" i="16" s="1"/>
  <c r="D35" i="16"/>
  <c r="H35" i="16"/>
  <c r="I35" i="16"/>
  <c r="D34" i="16"/>
  <c r="H34" i="16" s="1"/>
  <c r="I34" i="16" s="1"/>
  <c r="D33" i="16"/>
  <c r="H33" i="16" s="1"/>
  <c r="I33" i="16" s="1"/>
  <c r="D32" i="16"/>
  <c r="H32" i="16" s="1"/>
  <c r="I32" i="16" s="1"/>
  <c r="D31" i="16"/>
  <c r="H31" i="16" s="1"/>
  <c r="I31" i="16" s="1"/>
  <c r="D30" i="16"/>
  <c r="D29" i="16" s="1"/>
  <c r="H30" i="16"/>
  <c r="I30" i="16" s="1"/>
  <c r="F28" i="16"/>
  <c r="D28" i="16"/>
  <c r="D27" i="16"/>
  <c r="G27" i="16" s="1"/>
  <c r="I27" i="16" s="1"/>
  <c r="D24" i="16"/>
  <c r="D25" i="16" s="1"/>
  <c r="H25" i="16" s="1"/>
  <c r="I25" i="16" s="1"/>
  <c r="G24" i="16"/>
  <c r="I24" i="16" s="1"/>
  <c r="D22" i="16"/>
  <c r="H22" i="16"/>
  <c r="I22" i="16"/>
  <c r="D20" i="16"/>
  <c r="G20" i="16" s="1"/>
  <c r="I20" i="16" s="1"/>
  <c r="H23" i="16"/>
  <c r="I23" i="16"/>
  <c r="D18" i="16"/>
  <c r="D19" i="16" s="1"/>
  <c r="H19" i="16" s="1"/>
  <c r="I19" i="16" s="1"/>
  <c r="D16" i="16"/>
  <c r="D17" i="16" s="1"/>
  <c r="H17" i="16" s="1"/>
  <c r="D47" i="33"/>
  <c r="H47" i="33"/>
  <c r="I47" i="33"/>
  <c r="D46" i="33"/>
  <c r="H46" i="33"/>
  <c r="I46" i="33"/>
  <c r="G45" i="33"/>
  <c r="I45" i="33"/>
  <c r="D43" i="33"/>
  <c r="G43" i="33"/>
  <c r="I43" i="33"/>
  <c r="D40" i="33"/>
  <c r="D41" i="33"/>
  <c r="H41" i="33"/>
  <c r="I41" i="33"/>
  <c r="D39" i="33"/>
  <c r="H39" i="33"/>
  <c r="I39" i="33"/>
  <c r="D38" i="33"/>
  <c r="H38" i="33"/>
  <c r="I38" i="33"/>
  <c r="D37" i="33"/>
  <c r="H37" i="33"/>
  <c r="I37" i="33"/>
  <c r="G36" i="33"/>
  <c r="I36" i="33"/>
  <c r="D35" i="33"/>
  <c r="H35" i="33"/>
  <c r="I35" i="33"/>
  <c r="G34" i="33"/>
  <c r="I34" i="33"/>
  <c r="D33" i="33"/>
  <c r="H33" i="33" s="1"/>
  <c r="H31" i="33"/>
  <c r="I31" i="33"/>
  <c r="H30" i="33"/>
  <c r="I30" i="33"/>
  <c r="H29" i="33"/>
  <c r="I29" i="33"/>
  <c r="H28" i="33"/>
  <c r="I28" i="33"/>
  <c r="D27" i="33"/>
  <c r="D32" i="33"/>
  <c r="H32" i="33"/>
  <c r="I32" i="33"/>
  <c r="F26" i="33"/>
  <c r="D25" i="33"/>
  <c r="D26" i="33"/>
  <c r="H26" i="33"/>
  <c r="I26" i="33"/>
  <c r="D22" i="33"/>
  <c r="D23" i="33"/>
  <c r="H23" i="33"/>
  <c r="I23" i="33"/>
  <c r="D20" i="33"/>
  <c r="H20" i="33"/>
  <c r="I20" i="33"/>
  <c r="D18" i="33"/>
  <c r="D19" i="33"/>
  <c r="H19" i="33"/>
  <c r="I19" i="33"/>
  <c r="D16" i="33"/>
  <c r="D17" i="33"/>
  <c r="H17" i="33"/>
  <c r="D49" i="32"/>
  <c r="H49" i="32"/>
  <c r="I49" i="32"/>
  <c r="D48" i="32"/>
  <c r="H48" i="32"/>
  <c r="I48" i="32"/>
  <c r="G47" i="32"/>
  <c r="I47" i="32"/>
  <c r="D46" i="32"/>
  <c r="H46" i="32"/>
  <c r="I46" i="32"/>
  <c r="D45" i="32"/>
  <c r="H45" i="32"/>
  <c r="I45" i="32"/>
  <c r="D44" i="32"/>
  <c r="H44" i="32"/>
  <c r="I44" i="32"/>
  <c r="G43" i="32"/>
  <c r="I43" i="32"/>
  <c r="D41" i="32"/>
  <c r="D42" i="32"/>
  <c r="H42" i="32"/>
  <c r="I42" i="32"/>
  <c r="D38" i="32"/>
  <c r="D40" i="32"/>
  <c r="H40" i="32"/>
  <c r="I40" i="32"/>
  <c r="D37" i="32"/>
  <c r="H37" i="32"/>
  <c r="I37" i="32"/>
  <c r="G36" i="32"/>
  <c r="I36" i="32"/>
  <c r="D35" i="32"/>
  <c r="H35" i="32" s="1"/>
  <c r="H33" i="32"/>
  <c r="I33" i="32"/>
  <c r="H32" i="32"/>
  <c r="I32" i="32"/>
  <c r="H31" i="32"/>
  <c r="I31" i="32"/>
  <c r="H30" i="32"/>
  <c r="I30" i="32"/>
  <c r="D29" i="32"/>
  <c r="G29" i="32"/>
  <c r="I29" i="32"/>
  <c r="F28" i="32"/>
  <c r="D27" i="32"/>
  <c r="D28" i="32"/>
  <c r="D24" i="32"/>
  <c r="D26" i="32"/>
  <c r="H26" i="32"/>
  <c r="I26" i="32"/>
  <c r="D22" i="32"/>
  <c r="H22" i="32"/>
  <c r="I22" i="32"/>
  <c r="D20" i="32"/>
  <c r="D23" i="32"/>
  <c r="H23" i="32"/>
  <c r="I23" i="32"/>
  <c r="D18" i="32"/>
  <c r="D19" i="32"/>
  <c r="H19" i="32"/>
  <c r="I19" i="32"/>
  <c r="D16" i="32"/>
  <c r="G16" i="32"/>
  <c r="D51" i="31"/>
  <c r="H51" i="31"/>
  <c r="I51" i="31"/>
  <c r="D50" i="31"/>
  <c r="H50" i="31"/>
  <c r="I50" i="31"/>
  <c r="G49" i="31"/>
  <c r="I49" i="31"/>
  <c r="D47" i="31"/>
  <c r="G47" i="31"/>
  <c r="I47" i="31"/>
  <c r="D44" i="31"/>
  <c r="D46" i="31"/>
  <c r="H46" i="31"/>
  <c r="I46" i="31"/>
  <c r="D43" i="31"/>
  <c r="H43" i="31"/>
  <c r="I43" i="31"/>
  <c r="D42" i="31"/>
  <c r="H42" i="31"/>
  <c r="I42" i="31"/>
  <c r="D41" i="31"/>
  <c r="H41" i="31"/>
  <c r="I41" i="31"/>
  <c r="G40" i="31"/>
  <c r="I40" i="31"/>
  <c r="D38" i="31"/>
  <c r="D39" i="31"/>
  <c r="H39" i="31"/>
  <c r="I39" i="31"/>
  <c r="D37" i="31"/>
  <c r="H37" i="31"/>
  <c r="H35" i="31"/>
  <c r="I35" i="31"/>
  <c r="D34" i="31"/>
  <c r="H34" i="31"/>
  <c r="I34" i="31"/>
  <c r="D33" i="31"/>
  <c r="H33" i="31"/>
  <c r="I33" i="31"/>
  <c r="D32" i="31"/>
  <c r="H32" i="31"/>
  <c r="I32" i="31"/>
  <c r="D31" i="31"/>
  <c r="H31" i="31"/>
  <c r="I31" i="31"/>
  <c r="D30" i="31"/>
  <c r="H30" i="31"/>
  <c r="I30" i="31"/>
  <c r="F28" i="31"/>
  <c r="D27" i="31"/>
  <c r="G27" i="31"/>
  <c r="I27" i="31"/>
  <c r="D24" i="31"/>
  <c r="G24" i="31"/>
  <c r="I24" i="31"/>
  <c r="D22" i="31"/>
  <c r="H22" i="31"/>
  <c r="I22" i="31"/>
  <c r="D20" i="31"/>
  <c r="D23" i="31"/>
  <c r="H23" i="31"/>
  <c r="I23" i="31"/>
  <c r="D18" i="31"/>
  <c r="D19" i="31"/>
  <c r="H19" i="31"/>
  <c r="I19" i="31"/>
  <c r="D16" i="31"/>
  <c r="G16" i="31"/>
  <c r="D50" i="30"/>
  <c r="H50" i="30"/>
  <c r="I50" i="30"/>
  <c r="D49" i="30"/>
  <c r="H49" i="30"/>
  <c r="I49" i="30"/>
  <c r="G48" i="30"/>
  <c r="I48" i="30"/>
  <c r="D47" i="30"/>
  <c r="H47" i="30"/>
  <c r="I47" i="30"/>
  <c r="G46" i="30"/>
  <c r="I46" i="30"/>
  <c r="D45" i="30"/>
  <c r="H45" i="30"/>
  <c r="I45" i="30"/>
  <c r="D44" i="30"/>
  <c r="H44" i="30"/>
  <c r="I44" i="30"/>
  <c r="D43" i="30"/>
  <c r="H43" i="30"/>
  <c r="I43" i="30"/>
  <c r="G42" i="30"/>
  <c r="I42" i="30"/>
  <c r="D39" i="30"/>
  <c r="D40" i="30"/>
  <c r="H40" i="30"/>
  <c r="I40" i="30"/>
  <c r="D38" i="30"/>
  <c r="H38" i="30"/>
  <c r="I38" i="30"/>
  <c r="G37" i="30"/>
  <c r="I37" i="30"/>
  <c r="D36" i="30"/>
  <c r="H36" i="30"/>
  <c r="I36" i="30"/>
  <c r="H34" i="30"/>
  <c r="I34" i="30"/>
  <c r="H33" i="30"/>
  <c r="I33" i="30"/>
  <c r="H32" i="30"/>
  <c r="I32" i="30"/>
  <c r="H31" i="30"/>
  <c r="I31" i="30"/>
  <c r="H30" i="30"/>
  <c r="I30" i="30"/>
  <c r="D29" i="30"/>
  <c r="F28" i="30"/>
  <c r="D27" i="30"/>
  <c r="D28" i="30"/>
  <c r="D24" i="30"/>
  <c r="G24" i="30"/>
  <c r="I24" i="30"/>
  <c r="D22" i="30"/>
  <c r="H22" i="30"/>
  <c r="I22" i="30"/>
  <c r="D20" i="30"/>
  <c r="D23" i="30"/>
  <c r="H23" i="30"/>
  <c r="I23" i="30"/>
  <c r="D18" i="30"/>
  <c r="G18" i="30"/>
  <c r="I18" i="30"/>
  <c r="D16" i="30"/>
  <c r="G16" i="30"/>
  <c r="I16" i="30"/>
  <c r="J22" i="32"/>
  <c r="J25" i="32"/>
  <c r="J26" i="32"/>
  <c r="J25" i="31"/>
  <c r="J22" i="31"/>
  <c r="J16" i="31"/>
  <c r="J22" i="33"/>
  <c r="D312" i="31"/>
  <c r="D356" i="38"/>
  <c r="H356" i="38" s="1"/>
  <c r="I356" i="38" s="1"/>
  <c r="D354" i="37"/>
  <c r="H354" i="37"/>
  <c r="I354" i="37" s="1"/>
  <c r="D356" i="16"/>
  <c r="H356" i="16"/>
  <c r="I356" i="16"/>
  <c r="X122" i="27"/>
  <c r="X121" i="27"/>
  <c r="X120" i="27"/>
  <c r="X118" i="27"/>
  <c r="X116" i="27"/>
  <c r="X113" i="27"/>
  <c r="X111" i="27"/>
  <c r="X144" i="27"/>
  <c r="X143" i="27"/>
  <c r="X141" i="27"/>
  <c r="X139" i="27"/>
  <c r="X137" i="27"/>
  <c r="X135" i="27"/>
  <c r="X131" i="27"/>
  <c r="P136" i="27"/>
  <c r="P135" i="27"/>
  <c r="P131" i="27"/>
  <c r="P129" i="27"/>
  <c r="P117" i="27"/>
  <c r="P115" i="27"/>
  <c r="P114" i="27"/>
  <c r="P113" i="27"/>
  <c r="V134" i="27"/>
  <c r="X134" i="27"/>
  <c r="V133" i="27"/>
  <c r="X133" i="27"/>
  <c r="V132" i="27"/>
  <c r="X132" i="27"/>
  <c r="V138" i="27"/>
  <c r="V112" i="27"/>
  <c r="X112" i="27"/>
  <c r="V114" i="27"/>
  <c r="V119" i="27"/>
  <c r="X119" i="27"/>
  <c r="V117" i="27"/>
  <c r="V124" i="27"/>
  <c r="X124" i="27"/>
  <c r="V123" i="27"/>
  <c r="V146" i="27"/>
  <c r="X146" i="27"/>
  <c r="V145" i="27"/>
  <c r="X145" i="27"/>
  <c r="V142" i="27"/>
  <c r="X142" i="27"/>
  <c r="N138" i="27"/>
  <c r="P138" i="27"/>
  <c r="V140" i="27"/>
  <c r="X140" i="27"/>
  <c r="N142" i="27"/>
  <c r="N141" i="27"/>
  <c r="P141" i="27"/>
  <c r="N140" i="27"/>
  <c r="P140" i="27"/>
  <c r="N139" i="27"/>
  <c r="P139" i="27"/>
  <c r="N134" i="27"/>
  <c r="N133" i="27"/>
  <c r="P133" i="27"/>
  <c r="N132" i="27"/>
  <c r="P132" i="27"/>
  <c r="V110" i="27"/>
  <c r="X110" i="27"/>
  <c r="V130" i="27"/>
  <c r="N130" i="27"/>
  <c r="P130" i="27"/>
  <c r="N125" i="27"/>
  <c r="P125" i="27"/>
  <c r="N124" i="27"/>
  <c r="N123" i="27"/>
  <c r="P123" i="27"/>
  <c r="N122" i="27"/>
  <c r="P122" i="27"/>
  <c r="N121" i="27"/>
  <c r="P121" i="27"/>
  <c r="N120" i="27"/>
  <c r="P120" i="27"/>
  <c r="N119" i="27"/>
  <c r="N118" i="27"/>
  <c r="P118" i="27"/>
  <c r="N112" i="27"/>
  <c r="P112" i="27"/>
  <c r="N111" i="27"/>
  <c r="P111" i="27"/>
  <c r="N110" i="27"/>
  <c r="N116" i="27"/>
  <c r="P110" i="27"/>
  <c r="N90" i="27"/>
  <c r="D326" i="30"/>
  <c r="D308" i="32"/>
  <c r="H328" i="30"/>
  <c r="D356" i="31"/>
  <c r="D313" i="32"/>
  <c r="F340" i="33"/>
  <c r="H340" i="33"/>
  <c r="I340" i="33"/>
  <c r="F316" i="32"/>
  <c r="H316" i="32"/>
  <c r="I316" i="32"/>
  <c r="F355" i="31"/>
  <c r="H355" i="31"/>
  <c r="I355" i="31"/>
  <c r="H337" i="33"/>
  <c r="I337" i="33"/>
  <c r="H312" i="32"/>
  <c r="I312" i="32"/>
  <c r="H352" i="31"/>
  <c r="I352" i="31"/>
  <c r="F333" i="30"/>
  <c r="H333" i="30"/>
  <c r="I333" i="30"/>
  <c r="D282" i="32"/>
  <c r="D306" i="33"/>
  <c r="H306" i="33"/>
  <c r="I306" i="33"/>
  <c r="D304" i="33"/>
  <c r="H304" i="33"/>
  <c r="I304" i="33"/>
  <c r="D321" i="31"/>
  <c r="H321" i="31"/>
  <c r="I321" i="31"/>
  <c r="D307" i="33"/>
  <c r="H319" i="33"/>
  <c r="I319" i="33"/>
  <c r="H295" i="32"/>
  <c r="I295" i="32"/>
  <c r="H334" i="31"/>
  <c r="I334" i="31"/>
  <c r="D333" i="31"/>
  <c r="D332" i="31"/>
  <c r="D331" i="31"/>
  <c r="D330" i="31"/>
  <c r="H330" i="31"/>
  <c r="I330" i="31"/>
  <c r="D329" i="31"/>
  <c r="D328" i="31"/>
  <c r="D327" i="31"/>
  <c r="D326" i="31"/>
  <c r="D325" i="31"/>
  <c r="D324" i="31"/>
  <c r="D323" i="31"/>
  <c r="D319" i="31"/>
  <c r="H319" i="31"/>
  <c r="I319" i="31"/>
  <c r="D317" i="31"/>
  <c r="D316" i="31"/>
  <c r="D315" i="31"/>
  <c r="D313" i="31"/>
  <c r="D356" i="36"/>
  <c r="D203" i="28"/>
  <c r="D202" i="28"/>
  <c r="D305" i="30"/>
  <c r="D375" i="38"/>
  <c r="H375" i="38" s="1"/>
  <c r="I375" i="38" s="1"/>
  <c r="D201" i="28"/>
  <c r="D304" i="30"/>
  <c r="D374" i="38"/>
  <c r="H374" i="38" s="1"/>
  <c r="I374" i="38" s="1"/>
  <c r="D200" i="28"/>
  <c r="D303" i="30"/>
  <c r="D373" i="38"/>
  <c r="H373" i="38" s="1"/>
  <c r="D199" i="28"/>
  <c r="D302" i="30"/>
  <c r="D198" i="28"/>
  <c r="D301" i="30"/>
  <c r="D197" i="28"/>
  <c r="D300" i="30"/>
  <c r="D368" i="37"/>
  <c r="H368" i="37"/>
  <c r="I368" i="37" s="1"/>
  <c r="D196" i="28"/>
  <c r="D299" i="30"/>
  <c r="D369" i="38"/>
  <c r="H369" i="38" s="1"/>
  <c r="D195" i="28"/>
  <c r="D298" i="30"/>
  <c r="D368" i="38"/>
  <c r="G368" i="38" s="1"/>
  <c r="D194" i="28"/>
  <c r="D297" i="30"/>
  <c r="D367" i="38"/>
  <c r="H367" i="38" s="1"/>
  <c r="D365" i="37"/>
  <c r="H365" i="37"/>
  <c r="I365" i="37" s="1"/>
  <c r="D193" i="28"/>
  <c r="D296" i="30"/>
  <c r="D366" i="38"/>
  <c r="G366" i="38" s="1"/>
  <c r="D364" i="37"/>
  <c r="H364" i="37"/>
  <c r="I364" i="37" s="1"/>
  <c r="D192" i="28"/>
  <c r="D295" i="30"/>
  <c r="D293" i="30"/>
  <c r="D289" i="30"/>
  <c r="D359" i="38"/>
  <c r="H359" i="38" s="1"/>
  <c r="I359" i="38" s="1"/>
  <c r="D357" i="37"/>
  <c r="H357" i="37"/>
  <c r="I357" i="37" s="1"/>
  <c r="D359" i="16"/>
  <c r="H359" i="16"/>
  <c r="I359" i="16"/>
  <c r="H289" i="30"/>
  <c r="D287" i="30"/>
  <c r="D355" i="37"/>
  <c r="G355" i="37"/>
  <c r="I355" i="37" s="1"/>
  <c r="D291" i="30"/>
  <c r="D361" i="38"/>
  <c r="H361" i="38" s="1"/>
  <c r="D290" i="30"/>
  <c r="D360" i="38"/>
  <c r="G360" i="38" s="1"/>
  <c r="E156" i="28"/>
  <c r="G305" i="33"/>
  <c r="I305" i="33"/>
  <c r="G320" i="31"/>
  <c r="I320" i="31"/>
  <c r="G245" i="32"/>
  <c r="I245" i="32"/>
  <c r="G258" i="33"/>
  <c r="I258" i="33"/>
  <c r="G269" i="31"/>
  <c r="I269" i="31"/>
  <c r="I5" i="28"/>
  <c r="D260" i="33"/>
  <c r="H5" i="28"/>
  <c r="D247" i="32"/>
  <c r="H247" i="32"/>
  <c r="I247" i="32"/>
  <c r="G5" i="28"/>
  <c r="D271" i="31"/>
  <c r="H271" i="31"/>
  <c r="I271" i="31"/>
  <c r="F5" i="28"/>
  <c r="D256" i="30"/>
  <c r="I130" i="28"/>
  <c r="G130" i="28"/>
  <c r="F130" i="28"/>
  <c r="H106" i="28"/>
  <c r="I77" i="28"/>
  <c r="G77" i="28"/>
  <c r="F53" i="28"/>
  <c r="I29" i="28"/>
  <c r="H29" i="28"/>
  <c r="H4" i="28"/>
  <c r="G29" i="28"/>
  <c r="G4" i="28"/>
  <c r="F29" i="28"/>
  <c r="F4" i="28"/>
  <c r="D257" i="30"/>
  <c r="E25" i="28"/>
  <c r="H25" i="28"/>
  <c r="F25" i="28"/>
  <c r="E49" i="28"/>
  <c r="F49" i="28"/>
  <c r="E73" i="28"/>
  <c r="G73" i="28"/>
  <c r="E102" i="28"/>
  <c r="H102" i="28"/>
  <c r="E126" i="28"/>
  <c r="G254" i="30"/>
  <c r="I254" i="30"/>
  <c r="I61" i="28"/>
  <c r="G61" i="28"/>
  <c r="I67" i="28"/>
  <c r="G67" i="28"/>
  <c r="H91" i="28"/>
  <c r="H85" i="28"/>
  <c r="H96" i="28"/>
  <c r="I114" i="28"/>
  <c r="G114" i="28"/>
  <c r="F114" i="28"/>
  <c r="I120" i="28"/>
  <c r="G120" i="28"/>
  <c r="F120" i="28"/>
  <c r="F43" i="28"/>
  <c r="F37" i="28"/>
  <c r="I19" i="28"/>
  <c r="H19" i="28"/>
  <c r="H7" i="28"/>
  <c r="G19" i="28"/>
  <c r="F19" i="28"/>
  <c r="D24" i="28"/>
  <c r="D23" i="28"/>
  <c r="D22" i="28"/>
  <c r="D21" i="28"/>
  <c r="D48" i="28"/>
  <c r="D47" i="28"/>
  <c r="D46" i="28"/>
  <c r="D45" i="28"/>
  <c r="D101" i="28"/>
  <c r="D100" i="28"/>
  <c r="E98" i="28"/>
  <c r="D99" i="28"/>
  <c r="D98" i="28"/>
  <c r="H98" i="28"/>
  <c r="D125" i="28"/>
  <c r="D124" i="28"/>
  <c r="D123" i="28"/>
  <c r="E122" i="28"/>
  <c r="D122" i="28"/>
  <c r="D72" i="28"/>
  <c r="D71" i="28"/>
  <c r="E69" i="28"/>
  <c r="D70" i="28"/>
  <c r="D69" i="28"/>
  <c r="D119" i="28"/>
  <c r="D118" i="28"/>
  <c r="E116" i="28"/>
  <c r="D117" i="28"/>
  <c r="D116" i="28"/>
  <c r="D90" i="28"/>
  <c r="D89" i="28"/>
  <c r="D88" i="28"/>
  <c r="D87" i="28"/>
  <c r="D18" i="28"/>
  <c r="D17" i="28"/>
  <c r="D16" i="28"/>
  <c r="D15" i="28"/>
  <c r="E15" i="28"/>
  <c r="D66" i="28"/>
  <c r="D65" i="28"/>
  <c r="D64" i="28"/>
  <c r="D63" i="28"/>
  <c r="D42" i="28"/>
  <c r="D41" i="28"/>
  <c r="D40" i="28"/>
  <c r="E39" i="28"/>
  <c r="F39" i="28"/>
  <c r="D39" i="28"/>
  <c r="D113" i="28"/>
  <c r="D112" i="28"/>
  <c r="D111" i="28"/>
  <c r="D110" i="28"/>
  <c r="D84" i="28"/>
  <c r="D83" i="28"/>
  <c r="D82" i="28"/>
  <c r="D81" i="28"/>
  <c r="D60" i="28"/>
  <c r="D59" i="28"/>
  <c r="D58" i="28"/>
  <c r="D57" i="28"/>
  <c r="D36" i="28"/>
  <c r="E33" i="28"/>
  <c r="F33" i="28"/>
  <c r="D35" i="28"/>
  <c r="D34" i="28"/>
  <c r="D33" i="28"/>
  <c r="D9" i="28"/>
  <c r="D10" i="28"/>
  <c r="D11" i="28"/>
  <c r="D12" i="28"/>
  <c r="D95" i="28"/>
  <c r="E93" i="28"/>
  <c r="H93" i="28"/>
  <c r="I8" i="28"/>
  <c r="I13" i="28"/>
  <c r="H8" i="28"/>
  <c r="H13" i="28"/>
  <c r="D242" i="32"/>
  <c r="H242" i="32"/>
  <c r="I242" i="32"/>
  <c r="E10" i="31"/>
  <c r="M12" i="28"/>
  <c r="M11" i="28"/>
  <c r="G8" i="28"/>
  <c r="G13" i="28"/>
  <c r="M10" i="28"/>
  <c r="M9" i="28"/>
  <c r="M8" i="28"/>
  <c r="F8" i="28"/>
  <c r="F13" i="28"/>
  <c r="V37" i="27"/>
  <c r="V38" i="27"/>
  <c r="V36" i="27"/>
  <c r="V58" i="27"/>
  <c r="V59" i="27"/>
  <c r="V57" i="27"/>
  <c r="V48" i="27"/>
  <c r="V26" i="27"/>
  <c r="V35" i="27"/>
  <c r="D399" i="31"/>
  <c r="D397" i="31"/>
  <c r="D394" i="31"/>
  <c r="D396" i="31"/>
  <c r="H396" i="31"/>
  <c r="I396" i="31"/>
  <c r="D353" i="32"/>
  <c r="D355" i="32"/>
  <c r="H355" i="32"/>
  <c r="I355" i="32"/>
  <c r="D384" i="33"/>
  <c r="G384" i="33"/>
  <c r="I384" i="33"/>
  <c r="D382" i="33"/>
  <c r="D379" i="33"/>
  <c r="D381" i="33"/>
  <c r="H381" i="33"/>
  <c r="I381" i="33"/>
  <c r="D358" i="32"/>
  <c r="D356" i="32"/>
  <c r="D379" i="30"/>
  <c r="D377" i="30"/>
  <c r="D411" i="33"/>
  <c r="D406" i="33"/>
  <c r="D466" i="16"/>
  <c r="G466" i="16"/>
  <c r="I466" i="16"/>
  <c r="D471" i="16"/>
  <c r="D475" i="16"/>
  <c r="H475" i="16"/>
  <c r="I475" i="16"/>
  <c r="D457" i="16"/>
  <c r="D462" i="16"/>
  <c r="D463" i="16"/>
  <c r="G463" i="16"/>
  <c r="I463" i="16"/>
  <c r="D442" i="16"/>
  <c r="H442" i="16"/>
  <c r="I442" i="16"/>
  <c r="D438" i="16"/>
  <c r="D439" i="16"/>
  <c r="H439" i="16"/>
  <c r="I439" i="16"/>
  <c r="D374" i="30"/>
  <c r="D375" i="30"/>
  <c r="D419" i="33"/>
  <c r="D374" i="33"/>
  <c r="D428" i="33"/>
  <c r="D430" i="33"/>
  <c r="H430" i="33"/>
  <c r="I430" i="33"/>
  <c r="D424" i="33"/>
  <c r="D387" i="32"/>
  <c r="D390" i="32"/>
  <c r="H390" i="32"/>
  <c r="I390" i="32"/>
  <c r="D396" i="32"/>
  <c r="D399" i="32"/>
  <c r="H399" i="32"/>
  <c r="I399" i="32"/>
  <c r="D348" i="32"/>
  <c r="D392" i="32"/>
  <c r="D426" i="31"/>
  <c r="D429" i="31"/>
  <c r="H429" i="31"/>
  <c r="I429" i="31"/>
  <c r="D435" i="31"/>
  <c r="D431" i="31"/>
  <c r="D433" i="31"/>
  <c r="H433" i="31"/>
  <c r="I433" i="31"/>
  <c r="D389" i="31"/>
  <c r="D399" i="30"/>
  <c r="D395" i="30"/>
  <c r="D396" i="30"/>
  <c r="H396" i="30"/>
  <c r="I396" i="30"/>
  <c r="D390" i="30"/>
  <c r="D478" i="36"/>
  <c r="D369" i="30"/>
  <c r="D341" i="32"/>
  <c r="D371" i="33"/>
  <c r="D373" i="33"/>
  <c r="H373" i="33"/>
  <c r="I373" i="33"/>
  <c r="D368" i="33"/>
  <c r="G368" i="33"/>
  <c r="I368" i="33"/>
  <c r="D367" i="33"/>
  <c r="D365" i="33"/>
  <c r="F364" i="33"/>
  <c r="D363" i="33"/>
  <c r="D383" i="31"/>
  <c r="G383" i="31"/>
  <c r="I383" i="31"/>
  <c r="D362" i="30"/>
  <c r="D382" i="31"/>
  <c r="D380" i="31"/>
  <c r="D378" i="31"/>
  <c r="D386" i="31"/>
  <c r="D388" i="31"/>
  <c r="H388" i="31"/>
  <c r="I388" i="31"/>
  <c r="F379" i="31"/>
  <c r="D366" i="30"/>
  <c r="D367" i="30"/>
  <c r="H367" i="30"/>
  <c r="I367" i="30"/>
  <c r="D363" i="30"/>
  <c r="D360" i="30"/>
  <c r="F359" i="30"/>
  <c r="D358" i="30"/>
  <c r="D345" i="32"/>
  <c r="D342" i="32"/>
  <c r="D339" i="32"/>
  <c r="D337" i="32"/>
  <c r="D338" i="32"/>
  <c r="D430" i="16"/>
  <c r="D432" i="16"/>
  <c r="H432" i="16"/>
  <c r="I432" i="16"/>
  <c r="D427" i="16"/>
  <c r="D428" i="16"/>
  <c r="H428" i="16"/>
  <c r="I428" i="16"/>
  <c r="D426" i="16"/>
  <c r="D424" i="16"/>
  <c r="D425" i="16"/>
  <c r="H425" i="16"/>
  <c r="I425" i="16"/>
  <c r="F423" i="16"/>
  <c r="D422" i="16"/>
  <c r="D423" i="16"/>
  <c r="H423" i="16"/>
  <c r="F412" i="31"/>
  <c r="D412" i="31"/>
  <c r="H412" i="31"/>
  <c r="I412" i="31"/>
  <c r="D411" i="31"/>
  <c r="H411" i="31"/>
  <c r="D410" i="31"/>
  <c r="H410" i="31"/>
  <c r="I410" i="31"/>
  <c r="D409" i="31"/>
  <c r="H409" i="31"/>
  <c r="I409" i="31"/>
  <c r="F408" i="31"/>
  <c r="H408" i="31"/>
  <c r="I408" i="31"/>
  <c r="D408" i="31"/>
  <c r="G407" i="31"/>
  <c r="I407" i="31"/>
  <c r="D405" i="31"/>
  <c r="D385" i="30"/>
  <c r="D449" i="36"/>
  <c r="G449" i="36"/>
  <c r="D364" i="32"/>
  <c r="G364" i="32"/>
  <c r="I364" i="32"/>
  <c r="G379" i="33"/>
  <c r="I379" i="33"/>
  <c r="D380" i="33"/>
  <c r="H380" i="33"/>
  <c r="I380" i="33"/>
  <c r="G399" i="31"/>
  <c r="I399" i="31"/>
  <c r="G428" i="33"/>
  <c r="I428" i="33"/>
  <c r="D429" i="33"/>
  <c r="H429" i="33"/>
  <c r="I429" i="33"/>
  <c r="D388" i="32"/>
  <c r="D434" i="31"/>
  <c r="H434" i="31"/>
  <c r="I434" i="31"/>
  <c r="G435" i="31"/>
  <c r="I435" i="31"/>
  <c r="D390" i="33"/>
  <c r="G390" i="33"/>
  <c r="I390" i="33"/>
  <c r="D391" i="33"/>
  <c r="H391" i="33"/>
  <c r="F396" i="33"/>
  <c r="D396" i="33"/>
  <c r="G395" i="33"/>
  <c r="I395" i="33"/>
  <c r="D393" i="33"/>
  <c r="D394" i="33"/>
  <c r="H394" i="33"/>
  <c r="G392" i="33"/>
  <c r="I392" i="33"/>
  <c r="F370" i="32"/>
  <c r="D370" i="32"/>
  <c r="G369" i="32"/>
  <c r="I369" i="32"/>
  <c r="D367" i="32"/>
  <c r="D368" i="32"/>
  <c r="G366" i="32"/>
  <c r="I366" i="32"/>
  <c r="D453" i="16"/>
  <c r="D454" i="16"/>
  <c r="H454" i="16"/>
  <c r="I454" i="16"/>
  <c r="G452" i="16"/>
  <c r="I452" i="16"/>
  <c r="D302" i="31"/>
  <c r="D291" i="33"/>
  <c r="D195" i="33"/>
  <c r="H195" i="33"/>
  <c r="I195" i="33"/>
  <c r="G194" i="33"/>
  <c r="I194" i="33"/>
  <c r="D193" i="33"/>
  <c r="H193" i="33"/>
  <c r="I193" i="33"/>
  <c r="D192" i="33"/>
  <c r="H192" i="33"/>
  <c r="I192" i="33"/>
  <c r="D191" i="33"/>
  <c r="H191" i="33"/>
  <c r="I191" i="33"/>
  <c r="G190" i="33"/>
  <c r="I190" i="33"/>
  <c r="D189" i="33"/>
  <c r="H189" i="33"/>
  <c r="D187" i="33"/>
  <c r="G187" i="33"/>
  <c r="I187" i="33"/>
  <c r="G185" i="33"/>
  <c r="I185" i="33"/>
  <c r="H182" i="33"/>
  <c r="I182" i="33"/>
  <c r="D181" i="33"/>
  <c r="G181" i="33"/>
  <c r="I181" i="33"/>
  <c r="B24" i="34"/>
  <c r="C23" i="34"/>
  <c r="B3" i="34"/>
  <c r="C2" i="34"/>
  <c r="B4" i="34"/>
  <c r="C4" i="34"/>
  <c r="D115" i="31"/>
  <c r="H115" i="31"/>
  <c r="I115" i="31"/>
  <c r="D108" i="33"/>
  <c r="H108" i="33"/>
  <c r="I108" i="33"/>
  <c r="D28" i="20"/>
  <c r="D27" i="20"/>
  <c r="D26" i="20"/>
  <c r="D25" i="20"/>
  <c r="D24" i="20"/>
  <c r="D23" i="20"/>
  <c r="D22" i="20"/>
  <c r="D182" i="32"/>
  <c r="H182" i="32"/>
  <c r="I182" i="32"/>
  <c r="D181" i="32"/>
  <c r="D180" i="32"/>
  <c r="G177" i="32"/>
  <c r="I177" i="32"/>
  <c r="H174" i="32"/>
  <c r="I174" i="32"/>
  <c r="H173" i="32"/>
  <c r="I173" i="32"/>
  <c r="D172" i="32"/>
  <c r="G172" i="32"/>
  <c r="I172" i="32"/>
  <c r="B96" i="34"/>
  <c r="C95" i="34"/>
  <c r="B97" i="34"/>
  <c r="C97" i="34"/>
  <c r="B93" i="34"/>
  <c r="C92" i="34"/>
  <c r="B94" i="34"/>
  <c r="C94" i="34"/>
  <c r="B90" i="34"/>
  <c r="C89" i="34"/>
  <c r="B91" i="34"/>
  <c r="C91" i="34"/>
  <c r="B87" i="34"/>
  <c r="C86" i="34"/>
  <c r="B88" i="34"/>
  <c r="C88" i="34"/>
  <c r="B84" i="34"/>
  <c r="C83" i="34"/>
  <c r="B85" i="34"/>
  <c r="C85" i="34"/>
  <c r="M57" i="21"/>
  <c r="M56" i="21"/>
  <c r="M55" i="21"/>
  <c r="B107" i="34"/>
  <c r="C107" i="34"/>
  <c r="B106" i="34"/>
  <c r="C105" i="34"/>
  <c r="E105" i="34"/>
  <c r="B104" i="34"/>
  <c r="C104" i="34"/>
  <c r="B103" i="34"/>
  <c r="C103" i="34"/>
  <c r="B102" i="34"/>
  <c r="C101" i="34"/>
  <c r="E101" i="34"/>
  <c r="B100" i="34"/>
  <c r="C100" i="34"/>
  <c r="B99" i="34"/>
  <c r="C98" i="34"/>
  <c r="E98" i="34"/>
  <c r="E95" i="34"/>
  <c r="E92" i="34"/>
  <c r="E89" i="34"/>
  <c r="E86" i="34"/>
  <c r="E83" i="34"/>
  <c r="D164" i="32"/>
  <c r="H164" i="32"/>
  <c r="I164" i="32"/>
  <c r="M54" i="21"/>
  <c r="M53" i="21"/>
  <c r="M52" i="21"/>
  <c r="M51" i="21"/>
  <c r="D130" i="32"/>
  <c r="H130" i="32"/>
  <c r="I130" i="32"/>
  <c r="D125" i="32"/>
  <c r="D124" i="32"/>
  <c r="H124" i="32"/>
  <c r="I124" i="32"/>
  <c r="D122" i="32"/>
  <c r="H122" i="32"/>
  <c r="I122" i="32"/>
  <c r="D133" i="32"/>
  <c r="D132" i="32"/>
  <c r="H132" i="32"/>
  <c r="I132" i="32"/>
  <c r="D131" i="32"/>
  <c r="H131" i="32"/>
  <c r="I131" i="32"/>
  <c r="D107" i="32"/>
  <c r="H107" i="32"/>
  <c r="I107" i="32"/>
  <c r="D126" i="32"/>
  <c r="D127" i="32"/>
  <c r="H312" i="31"/>
  <c r="I312" i="31"/>
  <c r="D206" i="31"/>
  <c r="G205" i="31"/>
  <c r="I205" i="31"/>
  <c r="D204" i="31"/>
  <c r="D203" i="31"/>
  <c r="D202" i="31"/>
  <c r="D191" i="30"/>
  <c r="D245" i="38"/>
  <c r="H245" i="38" s="1"/>
  <c r="I245" i="38" s="1"/>
  <c r="D190" i="30"/>
  <c r="H190" i="30"/>
  <c r="D18" i="20"/>
  <c r="D17" i="20"/>
  <c r="D16" i="20"/>
  <c r="D15" i="20"/>
  <c r="D14" i="20"/>
  <c r="D13" i="20"/>
  <c r="D12" i="20"/>
  <c r="D200" i="31"/>
  <c r="D241" i="38"/>
  <c r="G241" i="38" s="1"/>
  <c r="D240" i="37"/>
  <c r="H240" i="37"/>
  <c r="I240" i="37" s="1"/>
  <c r="D198" i="31"/>
  <c r="D238" i="37"/>
  <c r="D238" i="36"/>
  <c r="H193" i="31"/>
  <c r="I193" i="31"/>
  <c r="D192" i="31"/>
  <c r="G192" i="31"/>
  <c r="I192" i="31"/>
  <c r="B78" i="34"/>
  <c r="C77" i="34"/>
  <c r="B79" i="34"/>
  <c r="C79" i="34"/>
  <c r="B57" i="34"/>
  <c r="C57" i="34"/>
  <c r="B60" i="34"/>
  <c r="C60" i="34"/>
  <c r="B63" i="34"/>
  <c r="C63" i="34"/>
  <c r="B74" i="34"/>
  <c r="C73" i="34"/>
  <c r="B76" i="34"/>
  <c r="C76" i="34"/>
  <c r="B75" i="34"/>
  <c r="C75" i="34"/>
  <c r="B66" i="34"/>
  <c r="C66" i="34"/>
  <c r="B69" i="34"/>
  <c r="C69" i="34"/>
  <c r="B72" i="34"/>
  <c r="C72" i="34"/>
  <c r="B71" i="34"/>
  <c r="C70" i="34"/>
  <c r="B65" i="34"/>
  <c r="C64" i="34"/>
  <c r="B62" i="34"/>
  <c r="C61" i="34"/>
  <c r="B59" i="34"/>
  <c r="C58" i="34"/>
  <c r="B56" i="34"/>
  <c r="C55" i="34"/>
  <c r="M48" i="21"/>
  <c r="M47" i="21"/>
  <c r="M46" i="21"/>
  <c r="M45" i="21"/>
  <c r="M44" i="21"/>
  <c r="M43" i="21"/>
  <c r="M42" i="21"/>
  <c r="H143" i="31"/>
  <c r="I143" i="31"/>
  <c r="H142" i="31"/>
  <c r="I142" i="31"/>
  <c r="D184" i="31"/>
  <c r="H184" i="31"/>
  <c r="I184" i="31"/>
  <c r="E77" i="34"/>
  <c r="E73" i="34"/>
  <c r="E70" i="34"/>
  <c r="B68" i="34"/>
  <c r="C67" i="34"/>
  <c r="E67" i="34"/>
  <c r="E64" i="34"/>
  <c r="E61" i="34"/>
  <c r="E58" i="34"/>
  <c r="E55" i="34"/>
  <c r="D139" i="31"/>
  <c r="D162" i="38"/>
  <c r="G162" i="38" s="1"/>
  <c r="D161" i="37"/>
  <c r="H161" i="37"/>
  <c r="I161" i="37" s="1"/>
  <c r="D141" i="31"/>
  <c r="D132" i="31"/>
  <c r="D137" i="31"/>
  <c r="D160" i="38"/>
  <c r="G160" i="38" s="1"/>
  <c r="D159" i="37"/>
  <c r="H159" i="37"/>
  <c r="I159" i="37" s="1"/>
  <c r="D159" i="36"/>
  <c r="D161" i="16"/>
  <c r="H161" i="16"/>
  <c r="I161" i="16"/>
  <c r="D145" i="31"/>
  <c r="D135" i="31"/>
  <c r="D156" i="38"/>
  <c r="H156" i="38" s="1"/>
  <c r="D134" i="31"/>
  <c r="D155" i="38"/>
  <c r="G155" i="38" s="1"/>
  <c r="D133" i="31"/>
  <c r="D131" i="31"/>
  <c r="D140" i="31"/>
  <c r="D138" i="31"/>
  <c r="D136" i="31"/>
  <c r="D148" i="31"/>
  <c r="H148" i="31"/>
  <c r="I148" i="31"/>
  <c r="D147" i="31"/>
  <c r="D146" i="31"/>
  <c r="D149" i="31"/>
  <c r="E15" i="18"/>
  <c r="F15" i="18"/>
  <c r="D15" i="18"/>
  <c r="C14" i="18"/>
  <c r="B14" i="18"/>
  <c r="D14" i="18"/>
  <c r="H290" i="33"/>
  <c r="I290" i="33"/>
  <c r="G289" i="33"/>
  <c r="I289" i="33"/>
  <c r="H288" i="33"/>
  <c r="I288" i="33"/>
  <c r="G287" i="33"/>
  <c r="I287" i="33"/>
  <c r="D286" i="33"/>
  <c r="H286" i="33"/>
  <c r="I286" i="33"/>
  <c r="D285" i="33"/>
  <c r="G285" i="33"/>
  <c r="I285" i="33"/>
  <c r="I283" i="33"/>
  <c r="H282" i="33"/>
  <c r="I282" i="33"/>
  <c r="D280" i="33"/>
  <c r="H280" i="33"/>
  <c r="I280" i="33"/>
  <c r="D279" i="33"/>
  <c r="H279" i="33"/>
  <c r="I279" i="33"/>
  <c r="F269" i="33"/>
  <c r="E11" i="18"/>
  <c r="F11" i="18"/>
  <c r="D11" i="18"/>
  <c r="C10" i="18"/>
  <c r="B10" i="18"/>
  <c r="D274" i="32"/>
  <c r="H274" i="32"/>
  <c r="I274" i="32"/>
  <c r="D273" i="32"/>
  <c r="G273" i="32"/>
  <c r="I273" i="32"/>
  <c r="D272" i="32"/>
  <c r="H272" i="32"/>
  <c r="I272" i="32"/>
  <c r="D271" i="32"/>
  <c r="H271" i="32"/>
  <c r="I271" i="32"/>
  <c r="D270" i="32"/>
  <c r="H270" i="32"/>
  <c r="I270" i="32"/>
  <c r="D267" i="32"/>
  <c r="H267" i="32"/>
  <c r="I267" i="32"/>
  <c r="D266" i="32"/>
  <c r="H266" i="32"/>
  <c r="I266" i="32"/>
  <c r="F256" i="32"/>
  <c r="D296" i="31"/>
  <c r="C6" i="18"/>
  <c r="D6" i="18"/>
  <c r="B6" i="18"/>
  <c r="E7" i="18"/>
  <c r="F7" i="18"/>
  <c r="D7" i="18"/>
  <c r="D297" i="31"/>
  <c r="H297" i="31"/>
  <c r="I297" i="31"/>
  <c r="D283" i="30"/>
  <c r="D281" i="30"/>
  <c r="D280" i="30"/>
  <c r="D279" i="30"/>
  <c r="D276" i="30"/>
  <c r="H276" i="30"/>
  <c r="I276" i="30"/>
  <c r="D275" i="30"/>
  <c r="H275" i="30"/>
  <c r="I275" i="30"/>
  <c r="D291" i="31"/>
  <c r="H291" i="31"/>
  <c r="I291" i="31"/>
  <c r="D290" i="31"/>
  <c r="H290" i="31"/>
  <c r="I290" i="31"/>
  <c r="D295" i="31"/>
  <c r="D294" i="31"/>
  <c r="H294" i="31"/>
  <c r="I294" i="31"/>
  <c r="D293" i="31"/>
  <c r="H293" i="31"/>
  <c r="I293" i="31"/>
  <c r="H299" i="31"/>
  <c r="I299" i="31"/>
  <c r="G298" i="31"/>
  <c r="I298" i="31"/>
  <c r="F280" i="31"/>
  <c r="D282" i="30"/>
  <c r="D278" i="30"/>
  <c r="Q54" i="24"/>
  <c r="Q53" i="24"/>
  <c r="E3" i="18"/>
  <c r="F3" i="18"/>
  <c r="D3" i="18"/>
  <c r="D4" i="18"/>
  <c r="D264" i="30"/>
  <c r="C2" i="18"/>
  <c r="B2" i="18"/>
  <c r="D2" i="18"/>
  <c r="D189" i="30"/>
  <c r="D183" i="30"/>
  <c r="D234" i="38"/>
  <c r="H234" i="38" s="1"/>
  <c r="D9" i="20"/>
  <c r="D8" i="20"/>
  <c r="D7" i="20"/>
  <c r="D6" i="20"/>
  <c r="D5" i="20"/>
  <c r="D4" i="20"/>
  <c r="D3" i="20"/>
  <c r="D10" i="20"/>
  <c r="D185" i="30"/>
  <c r="B51" i="34"/>
  <c r="C51" i="34"/>
  <c r="B48" i="34"/>
  <c r="C48" i="34"/>
  <c r="B45" i="34"/>
  <c r="C45" i="34"/>
  <c r="B42" i="34"/>
  <c r="C42" i="34"/>
  <c r="B39" i="34"/>
  <c r="C39" i="34"/>
  <c r="B36" i="34"/>
  <c r="C36" i="34"/>
  <c r="B33" i="34"/>
  <c r="C33" i="34"/>
  <c r="B30" i="34"/>
  <c r="C30" i="34"/>
  <c r="B50" i="34"/>
  <c r="C49" i="34"/>
  <c r="B47" i="34"/>
  <c r="C46" i="34"/>
  <c r="B44" i="34"/>
  <c r="C43" i="34"/>
  <c r="B41" i="34"/>
  <c r="C40" i="34"/>
  <c r="B38" i="34"/>
  <c r="C37" i="34"/>
  <c r="B35" i="34"/>
  <c r="C34" i="34"/>
  <c r="B32" i="34"/>
  <c r="C31" i="34"/>
  <c r="B29" i="34"/>
  <c r="C28" i="34"/>
  <c r="D128" i="30"/>
  <c r="M39" i="21"/>
  <c r="M38" i="21"/>
  <c r="M37" i="21"/>
  <c r="M36" i="21"/>
  <c r="M35" i="21"/>
  <c r="M34" i="21"/>
  <c r="M33" i="21"/>
  <c r="M32" i="21"/>
  <c r="D173" i="30"/>
  <c r="D220" i="38"/>
  <c r="D172" i="30"/>
  <c r="E49" i="34"/>
  <c r="E46" i="34"/>
  <c r="E43" i="34"/>
  <c r="E40" i="34"/>
  <c r="E37" i="34"/>
  <c r="E34" i="34"/>
  <c r="E31" i="34"/>
  <c r="E28" i="34"/>
  <c r="D168" i="30"/>
  <c r="D213" i="38"/>
  <c r="D212" i="37"/>
  <c r="H212" i="37"/>
  <c r="I212" i="37" s="1"/>
  <c r="D212" i="36"/>
  <c r="D167" i="30"/>
  <c r="D210" i="38"/>
  <c r="H210" i="38" s="1"/>
  <c r="D162" i="30"/>
  <c r="D205" i="37"/>
  <c r="H162" i="30"/>
  <c r="I162" i="30"/>
  <c r="D165" i="30"/>
  <c r="D202" i="36"/>
  <c r="D133" i="30"/>
  <c r="H133" i="30"/>
  <c r="I133" i="30"/>
  <c r="D138" i="30"/>
  <c r="H138" i="30"/>
  <c r="I138" i="30"/>
  <c r="D137" i="30"/>
  <c r="H137" i="30"/>
  <c r="I137" i="30"/>
  <c r="D139" i="30"/>
  <c r="D170" i="37"/>
  <c r="H170" i="37"/>
  <c r="I170" i="37" s="1"/>
  <c r="D135" i="30"/>
  <c r="D169" i="16"/>
  <c r="H169" i="16"/>
  <c r="I169" i="16"/>
  <c r="D111" i="30"/>
  <c r="D136" i="30"/>
  <c r="D169" i="38"/>
  <c r="D168" i="37"/>
  <c r="H168" i="37"/>
  <c r="I168" i="37" s="1"/>
  <c r="D131" i="30"/>
  <c r="D159" i="38"/>
  <c r="G159" i="38" s="1"/>
  <c r="D134" i="30"/>
  <c r="D127" i="30"/>
  <c r="D129" i="30"/>
  <c r="D132" i="30"/>
  <c r="D130" i="30"/>
  <c r="H130" i="30"/>
  <c r="I130" i="30"/>
  <c r="E23" i="34"/>
  <c r="E20" i="34"/>
  <c r="E17" i="34"/>
  <c r="E14" i="34"/>
  <c r="E11" i="34"/>
  <c r="E8" i="34"/>
  <c r="E5" i="34"/>
  <c r="E2" i="34"/>
  <c r="B21" i="34"/>
  <c r="C20" i="34"/>
  <c r="B18" i="34"/>
  <c r="C17" i="34"/>
  <c r="B15" i="34"/>
  <c r="C14" i="34"/>
  <c r="B12" i="34"/>
  <c r="C11" i="34"/>
  <c r="B9" i="34"/>
  <c r="C8" i="34"/>
  <c r="B6" i="34"/>
  <c r="C5" i="34"/>
  <c r="D172" i="33"/>
  <c r="H172" i="33"/>
  <c r="I172" i="33"/>
  <c r="M29" i="21"/>
  <c r="M28" i="21"/>
  <c r="M27" i="21"/>
  <c r="M26" i="21"/>
  <c r="M30" i="21"/>
  <c r="M25" i="21"/>
  <c r="M24" i="21"/>
  <c r="D171" i="33"/>
  <c r="D173" i="33"/>
  <c r="H173" i="33"/>
  <c r="I173" i="33"/>
  <c r="D130" i="33"/>
  <c r="D165" i="38"/>
  <c r="D164" i="37"/>
  <c r="H164" i="37"/>
  <c r="I164" i="37" s="1"/>
  <c r="D132" i="33"/>
  <c r="D163" i="33"/>
  <c r="D201" i="36"/>
  <c r="D162" i="33"/>
  <c r="D201" i="38"/>
  <c r="H201" i="38" s="1"/>
  <c r="D125" i="33"/>
  <c r="H125" i="33"/>
  <c r="I125" i="33"/>
  <c r="D152" i="36"/>
  <c r="D134" i="33"/>
  <c r="H134" i="33"/>
  <c r="I134" i="33"/>
  <c r="D127" i="33"/>
  <c r="H127" i="33"/>
  <c r="I127" i="33"/>
  <c r="D126" i="33"/>
  <c r="H126" i="33"/>
  <c r="I126" i="33"/>
  <c r="D124" i="33"/>
  <c r="D129" i="33"/>
  <c r="H129" i="33"/>
  <c r="I129" i="33"/>
  <c r="D128" i="33"/>
  <c r="H128" i="33"/>
  <c r="I128" i="33"/>
  <c r="D131" i="33"/>
  <c r="H131" i="33"/>
  <c r="I131" i="33"/>
  <c r="D136" i="33"/>
  <c r="H136" i="33"/>
  <c r="I136" i="33"/>
  <c r="D135" i="33"/>
  <c r="H135" i="33"/>
  <c r="I135" i="33"/>
  <c r="D137" i="33"/>
  <c r="H137" i="33"/>
  <c r="I137" i="33"/>
  <c r="D437" i="33"/>
  <c r="D405" i="32"/>
  <c r="D406" i="32"/>
  <c r="H406" i="32"/>
  <c r="I406" i="32"/>
  <c r="D444" i="31"/>
  <c r="D445" i="31"/>
  <c r="H445" i="31"/>
  <c r="I445" i="31"/>
  <c r="D408" i="30"/>
  <c r="H63" i="33"/>
  <c r="I63" i="33"/>
  <c r="D72" i="32"/>
  <c r="D74" i="32"/>
  <c r="H74" i="32"/>
  <c r="I74" i="32"/>
  <c r="H64" i="32"/>
  <c r="I64" i="32"/>
  <c r="H66" i="30"/>
  <c r="I66" i="30"/>
  <c r="D81" i="31"/>
  <c r="H81" i="31"/>
  <c r="I81" i="31"/>
  <c r="H67" i="31"/>
  <c r="I67" i="31"/>
  <c r="D101" i="31"/>
  <c r="T18" i="21"/>
  <c r="T17" i="21"/>
  <c r="T16" i="21"/>
  <c r="D99" i="31"/>
  <c r="T9" i="21"/>
  <c r="T8" i="21"/>
  <c r="T7" i="21"/>
  <c r="D92" i="31"/>
  <c r="D99" i="38"/>
  <c r="H99" i="38" s="1"/>
  <c r="D91" i="31"/>
  <c r="D98" i="38"/>
  <c r="D97" i="37"/>
  <c r="H97" i="37"/>
  <c r="I97" i="37" s="1"/>
  <c r="H91" i="31"/>
  <c r="I91" i="31"/>
  <c r="T13" i="21"/>
  <c r="T15" i="21"/>
  <c r="T14" i="21"/>
  <c r="T6" i="21"/>
  <c r="T5" i="21"/>
  <c r="T4" i="21"/>
  <c r="T3" i="21"/>
  <c r="T2" i="21"/>
  <c r="H96" i="31"/>
  <c r="I96" i="31"/>
  <c r="D95" i="31"/>
  <c r="D104" i="38"/>
  <c r="H94" i="31"/>
  <c r="I94" i="31"/>
  <c r="H93" i="31"/>
  <c r="I93" i="31"/>
  <c r="H90" i="31"/>
  <c r="I90" i="31"/>
  <c r="H89" i="31"/>
  <c r="I89" i="31"/>
  <c r="D85" i="31"/>
  <c r="D89" i="37"/>
  <c r="D89" i="36"/>
  <c r="D87" i="31"/>
  <c r="D84" i="31"/>
  <c r="D98" i="31"/>
  <c r="D55" i="31"/>
  <c r="D56" i="31"/>
  <c r="H56" i="31"/>
  <c r="M73" i="15"/>
  <c r="M72" i="15"/>
  <c r="M71" i="15"/>
  <c r="M70" i="15"/>
  <c r="M69" i="15"/>
  <c r="M68" i="15"/>
  <c r="M67" i="15"/>
  <c r="M66" i="15"/>
  <c r="M74" i="15"/>
  <c r="P3" i="26"/>
  <c r="P25" i="26"/>
  <c r="P18" i="26"/>
  <c r="O27" i="26"/>
  <c r="O26" i="26"/>
  <c r="O25" i="26"/>
  <c r="O22" i="26"/>
  <c r="O19" i="26"/>
  <c r="O18" i="26"/>
  <c r="O9" i="26"/>
  <c r="O4" i="26"/>
  <c r="O3" i="26"/>
  <c r="O14" i="26"/>
  <c r="O13" i="26"/>
  <c r="O12" i="26"/>
  <c r="O11" i="26"/>
  <c r="P11" i="26"/>
  <c r="P12" i="26"/>
  <c r="F34" i="24"/>
  <c r="F32" i="24"/>
  <c r="F31" i="24"/>
  <c r="F30" i="24"/>
  <c r="F28" i="24"/>
  <c r="I38" i="24"/>
  <c r="F38" i="24"/>
  <c r="J38" i="24"/>
  <c r="F12" i="24"/>
  <c r="I28" i="24"/>
  <c r="J28" i="24"/>
  <c r="I12" i="24"/>
  <c r="I2" i="24"/>
  <c r="F2" i="24"/>
  <c r="M14" i="33"/>
  <c r="L13" i="33"/>
  <c r="O13" i="31"/>
  <c r="N13" i="31"/>
  <c r="E10" i="30"/>
  <c r="C10" i="30"/>
  <c r="D52" i="32"/>
  <c r="V106" i="27"/>
  <c r="V105" i="27"/>
  <c r="V104" i="27"/>
  <c r="V103" i="27"/>
  <c r="V102" i="27"/>
  <c r="V101" i="27"/>
  <c r="V100" i="27"/>
  <c r="V99" i="27"/>
  <c r="V98" i="27"/>
  <c r="V95" i="27"/>
  <c r="V94" i="27"/>
  <c r="V93" i="27"/>
  <c r="V92" i="27"/>
  <c r="V91" i="27"/>
  <c r="V90" i="27"/>
  <c r="V80" i="27"/>
  <c r="V79" i="27"/>
  <c r="V78" i="27"/>
  <c r="V77" i="27"/>
  <c r="V76" i="27"/>
  <c r="V75" i="27"/>
  <c r="V74" i="27"/>
  <c r="V81" i="27"/>
  <c r="V73" i="27"/>
  <c r="V70" i="27"/>
  <c r="V69" i="27"/>
  <c r="V68" i="27"/>
  <c r="V67" i="27"/>
  <c r="V66" i="27"/>
  <c r="N106" i="27"/>
  <c r="N105" i="27"/>
  <c r="N104" i="27"/>
  <c r="N103" i="27"/>
  <c r="N102" i="27"/>
  <c r="N101" i="27"/>
  <c r="N100" i="27"/>
  <c r="N99" i="27"/>
  <c r="N98" i="27"/>
  <c r="N96" i="27"/>
  <c r="N95" i="27"/>
  <c r="N94" i="27"/>
  <c r="N93" i="27"/>
  <c r="N92" i="27"/>
  <c r="N91" i="27"/>
  <c r="N97" i="27"/>
  <c r="N85" i="27"/>
  <c r="N84" i="27"/>
  <c r="N83" i="27"/>
  <c r="N82" i="27"/>
  <c r="N81" i="27"/>
  <c r="N80" i="27"/>
  <c r="N79" i="27"/>
  <c r="N78" i="27"/>
  <c r="N77" i="27"/>
  <c r="N76" i="27"/>
  <c r="N75" i="27"/>
  <c r="N74" i="27"/>
  <c r="N71" i="27"/>
  <c r="N70" i="27"/>
  <c r="N69" i="27"/>
  <c r="N68" i="27"/>
  <c r="N67" i="27"/>
  <c r="N66" i="27"/>
  <c r="H71" i="32"/>
  <c r="I71" i="32"/>
  <c r="H70" i="32"/>
  <c r="I70" i="32"/>
  <c r="H69" i="32"/>
  <c r="I69" i="32"/>
  <c r="H68" i="32"/>
  <c r="I68" i="32"/>
  <c r="H67" i="32"/>
  <c r="I67" i="32"/>
  <c r="H66" i="32"/>
  <c r="I66" i="32"/>
  <c r="H65" i="32"/>
  <c r="I65" i="32"/>
  <c r="H63" i="32"/>
  <c r="I63" i="32"/>
  <c r="H62" i="32"/>
  <c r="I62" i="32"/>
  <c r="H61" i="32"/>
  <c r="I61" i="32"/>
  <c r="H60" i="32"/>
  <c r="I60" i="32"/>
  <c r="H59" i="32"/>
  <c r="I59" i="32"/>
  <c r="D77" i="32"/>
  <c r="D68" i="31"/>
  <c r="D65" i="31"/>
  <c r="D70" i="38"/>
  <c r="D64" i="31"/>
  <c r="D68" i="37"/>
  <c r="H68" i="37"/>
  <c r="I68" i="37" s="1"/>
  <c r="H75" i="31"/>
  <c r="I75" i="31"/>
  <c r="H74" i="31"/>
  <c r="I74" i="31"/>
  <c r="H73" i="31"/>
  <c r="I73" i="31"/>
  <c r="H72" i="31"/>
  <c r="I72" i="31"/>
  <c r="H71" i="31"/>
  <c r="I71" i="31"/>
  <c r="H70" i="31"/>
  <c r="I70" i="31"/>
  <c r="H69" i="31"/>
  <c r="I69" i="31"/>
  <c r="H66" i="31"/>
  <c r="I66" i="31"/>
  <c r="H63" i="31"/>
  <c r="I63" i="31"/>
  <c r="H62" i="31"/>
  <c r="I62" i="31"/>
  <c r="D77" i="33"/>
  <c r="H77" i="33"/>
  <c r="I77" i="33"/>
  <c r="D75" i="33"/>
  <c r="H69" i="33"/>
  <c r="I69" i="33"/>
  <c r="D71" i="33"/>
  <c r="D80" i="38"/>
  <c r="G80" i="38" s="1"/>
  <c r="D81" i="16"/>
  <c r="H81" i="16"/>
  <c r="I81" i="16"/>
  <c r="D70" i="33"/>
  <c r="D68" i="33"/>
  <c r="D77" i="38"/>
  <c r="H77" i="38" s="1"/>
  <c r="D76" i="37"/>
  <c r="H76" i="37"/>
  <c r="I76" i="37" s="1"/>
  <c r="D76" i="36"/>
  <c r="H68" i="33"/>
  <c r="I68" i="33"/>
  <c r="D67" i="33"/>
  <c r="D76" i="38"/>
  <c r="D66" i="33"/>
  <c r="D74" i="36"/>
  <c r="D65" i="33"/>
  <c r="D74" i="38"/>
  <c r="D51" i="33"/>
  <c r="D53" i="33"/>
  <c r="H53" i="33"/>
  <c r="I53" i="33"/>
  <c r="D64" i="33"/>
  <c r="D61" i="33"/>
  <c r="H61" i="33"/>
  <c r="I61" i="33"/>
  <c r="D60" i="33"/>
  <c r="H62" i="33"/>
  <c r="I62" i="33"/>
  <c r="H59" i="33"/>
  <c r="I59" i="33"/>
  <c r="H58" i="33"/>
  <c r="I58" i="33"/>
  <c r="O10" i="21"/>
  <c r="O20" i="21"/>
  <c r="O19" i="21"/>
  <c r="O18" i="21"/>
  <c r="O16" i="21"/>
  <c r="O12" i="21"/>
  <c r="O11" i="21"/>
  <c r="O6" i="21"/>
  <c r="O5" i="21"/>
  <c r="O4" i="21"/>
  <c r="O3" i="21"/>
  <c r="O2" i="21"/>
  <c r="H89" i="33"/>
  <c r="I89" i="33"/>
  <c r="D88" i="33"/>
  <c r="D81" i="33"/>
  <c r="G81" i="33"/>
  <c r="I81" i="33"/>
  <c r="H87" i="33"/>
  <c r="I87" i="33"/>
  <c r="H83" i="33"/>
  <c r="I83" i="33"/>
  <c r="H82" i="33"/>
  <c r="I82" i="33"/>
  <c r="M63" i="15"/>
  <c r="M62" i="15"/>
  <c r="M61" i="15"/>
  <c r="M60" i="15"/>
  <c r="M59" i="15"/>
  <c r="M58" i="15"/>
  <c r="M64" i="15"/>
  <c r="D79" i="30"/>
  <c r="D86" i="38"/>
  <c r="D54" i="30"/>
  <c r="H67" i="30"/>
  <c r="I67" i="30"/>
  <c r="H65" i="30"/>
  <c r="I65" i="30"/>
  <c r="H64" i="30"/>
  <c r="I64" i="30"/>
  <c r="H757" i="33"/>
  <c r="G756" i="33"/>
  <c r="I756" i="33"/>
  <c r="I757" i="33"/>
  <c r="D751" i="33"/>
  <c r="H751" i="33"/>
  <c r="D750" i="33"/>
  <c r="H750" i="33"/>
  <c r="I750" i="33"/>
  <c r="H748" i="33"/>
  <c r="I748" i="33"/>
  <c r="H747" i="33"/>
  <c r="I747" i="33"/>
  <c r="H746" i="33"/>
  <c r="I746" i="33"/>
  <c r="H745" i="33"/>
  <c r="I745" i="33"/>
  <c r="H744" i="33"/>
  <c r="I744" i="33"/>
  <c r="H743" i="33"/>
  <c r="I743" i="33"/>
  <c r="H742" i="33"/>
  <c r="I742" i="33"/>
  <c r="H741" i="33"/>
  <c r="I741" i="33"/>
  <c r="H740" i="33"/>
  <c r="I740" i="33"/>
  <c r="H739" i="33"/>
  <c r="I739" i="33"/>
  <c r="H738" i="33"/>
  <c r="I738" i="33"/>
  <c r="H737" i="33"/>
  <c r="I737" i="33"/>
  <c r="I736" i="33"/>
  <c r="D736" i="33"/>
  <c r="H735" i="33"/>
  <c r="I735" i="33"/>
  <c r="H734" i="33"/>
  <c r="I734" i="33"/>
  <c r="H733" i="33"/>
  <c r="I733" i="33"/>
  <c r="H732" i="33"/>
  <c r="I732" i="33"/>
  <c r="F731" i="33"/>
  <c r="H731" i="33"/>
  <c r="I731" i="33"/>
  <c r="F730" i="33"/>
  <c r="H730" i="33"/>
  <c r="I730" i="33"/>
  <c r="H729" i="33"/>
  <c r="I729" i="33"/>
  <c r="H728" i="33"/>
  <c r="I728" i="33"/>
  <c r="D727" i="33"/>
  <c r="D752" i="33"/>
  <c r="F726" i="33"/>
  <c r="D726" i="33"/>
  <c r="H726" i="33"/>
  <c r="I726" i="33"/>
  <c r="I725" i="33"/>
  <c r="H724" i="33"/>
  <c r="I724" i="33"/>
  <c r="H723" i="33"/>
  <c r="I723" i="33"/>
  <c r="I722" i="33"/>
  <c r="H721" i="33"/>
  <c r="I721" i="33"/>
  <c r="I720" i="33"/>
  <c r="H715" i="33"/>
  <c r="I715" i="33"/>
  <c r="H714" i="33"/>
  <c r="I714" i="33"/>
  <c r="H713" i="33"/>
  <c r="I713" i="33"/>
  <c r="F712" i="33"/>
  <c r="H712" i="33"/>
  <c r="I712" i="33"/>
  <c r="H711" i="33"/>
  <c r="I711" i="33"/>
  <c r="H710" i="33"/>
  <c r="I710" i="33"/>
  <c r="D709" i="33"/>
  <c r="G709" i="33"/>
  <c r="I709" i="33"/>
  <c r="I708" i="33"/>
  <c r="H707" i="33"/>
  <c r="I707" i="33"/>
  <c r="H706" i="33"/>
  <c r="I706" i="33"/>
  <c r="F705" i="33"/>
  <c r="H705" i="33"/>
  <c r="I705" i="33"/>
  <c r="H704" i="33"/>
  <c r="I704" i="33"/>
  <c r="H703" i="33"/>
  <c r="I703" i="33"/>
  <c r="H702" i="33"/>
  <c r="I702" i="33"/>
  <c r="H701" i="33"/>
  <c r="I701" i="33"/>
  <c r="D700" i="33"/>
  <c r="G700" i="33"/>
  <c r="I700" i="33"/>
  <c r="I699" i="33"/>
  <c r="H698" i="33"/>
  <c r="I698" i="33"/>
  <c r="H697" i="33"/>
  <c r="I697" i="33"/>
  <c r="H696" i="33"/>
  <c r="I696" i="33"/>
  <c r="H695" i="33"/>
  <c r="I695" i="33"/>
  <c r="D694" i="33"/>
  <c r="G694" i="33"/>
  <c r="I693" i="33"/>
  <c r="D690" i="33"/>
  <c r="D691" i="33"/>
  <c r="H689" i="33"/>
  <c r="I689" i="33"/>
  <c r="D688" i="33"/>
  <c r="G688" i="33"/>
  <c r="I688" i="33"/>
  <c r="H687" i="33"/>
  <c r="I687" i="33"/>
  <c r="D686" i="33"/>
  <c r="G686" i="33"/>
  <c r="I686" i="33"/>
  <c r="H685" i="33"/>
  <c r="I685" i="33"/>
  <c r="H684" i="33"/>
  <c r="I684" i="33"/>
  <c r="H683" i="33"/>
  <c r="I683" i="33"/>
  <c r="H682" i="33"/>
  <c r="I682" i="33"/>
  <c r="H681" i="33"/>
  <c r="I681" i="33"/>
  <c r="H680" i="33"/>
  <c r="I680" i="33"/>
  <c r="H679" i="33"/>
  <c r="I679" i="33"/>
  <c r="H678" i="33"/>
  <c r="I678" i="33"/>
  <c r="D677" i="33"/>
  <c r="G677" i="33"/>
  <c r="I677" i="33"/>
  <c r="H676" i="33"/>
  <c r="I676" i="33"/>
  <c r="G675" i="33"/>
  <c r="I675" i="33"/>
  <c r="I674" i="33"/>
  <c r="H673" i="33"/>
  <c r="I673" i="33"/>
  <c r="H672" i="33"/>
  <c r="I672" i="33"/>
  <c r="I671" i="33"/>
  <c r="F670" i="33"/>
  <c r="H670" i="33"/>
  <c r="I670" i="33"/>
  <c r="D669" i="33"/>
  <c r="G669" i="33"/>
  <c r="I669" i="33"/>
  <c r="F668" i="33"/>
  <c r="H668" i="33"/>
  <c r="I668" i="33"/>
  <c r="D667" i="33"/>
  <c r="G667" i="33"/>
  <c r="I667" i="33"/>
  <c r="F666" i="33"/>
  <c r="I664" i="33"/>
  <c r="D663" i="33"/>
  <c r="H660" i="33"/>
  <c r="I660" i="33"/>
  <c r="H659" i="33"/>
  <c r="I659" i="33"/>
  <c r="H658" i="33"/>
  <c r="I658" i="33"/>
  <c r="H656" i="33"/>
  <c r="I656" i="33"/>
  <c r="H655" i="33"/>
  <c r="I655" i="33"/>
  <c r="H654" i="33"/>
  <c r="I654" i="33"/>
  <c r="H653" i="33"/>
  <c r="I653" i="33"/>
  <c r="H652" i="33"/>
  <c r="I652" i="33"/>
  <c r="H651" i="33"/>
  <c r="I651" i="33"/>
  <c r="H650" i="33"/>
  <c r="I650" i="33"/>
  <c r="D649" i="33"/>
  <c r="G649" i="33"/>
  <c r="I649" i="33"/>
  <c r="I648" i="33"/>
  <c r="H647" i="33"/>
  <c r="I647" i="33"/>
  <c r="H646" i="33"/>
  <c r="I646" i="33"/>
  <c r="D645" i="33"/>
  <c r="G645" i="33"/>
  <c r="I645" i="33"/>
  <c r="H644" i="33"/>
  <c r="I644" i="33"/>
  <c r="H643" i="33"/>
  <c r="I643" i="33"/>
  <c r="I642" i="33"/>
  <c r="H641" i="33"/>
  <c r="I641" i="33"/>
  <c r="H639" i="33"/>
  <c r="I639" i="33"/>
  <c r="F638" i="33"/>
  <c r="H638" i="33"/>
  <c r="I638" i="33"/>
  <c r="D637" i="33"/>
  <c r="G637" i="33"/>
  <c r="I637" i="33"/>
  <c r="H636" i="33"/>
  <c r="I636" i="33"/>
  <c r="H635" i="33"/>
  <c r="I635" i="33"/>
  <c r="H634" i="33"/>
  <c r="I634" i="33"/>
  <c r="F633" i="33"/>
  <c r="H633" i="33"/>
  <c r="I633" i="33"/>
  <c r="D632" i="33"/>
  <c r="I631" i="33"/>
  <c r="F630" i="33"/>
  <c r="H630" i="33"/>
  <c r="I630" i="33"/>
  <c r="H629" i="33"/>
  <c r="I629" i="33"/>
  <c r="H628" i="33"/>
  <c r="I628" i="33"/>
  <c r="H627" i="33"/>
  <c r="I627" i="33"/>
  <c r="H626" i="33"/>
  <c r="I626" i="33"/>
  <c r="H625" i="33"/>
  <c r="I625" i="33"/>
  <c r="H624" i="33"/>
  <c r="I624" i="33"/>
  <c r="H623" i="33"/>
  <c r="I623" i="33"/>
  <c r="H622" i="33"/>
  <c r="I622" i="33"/>
  <c r="H621" i="33"/>
  <c r="I621" i="33"/>
  <c r="H620" i="33"/>
  <c r="I620" i="33"/>
  <c r="G619" i="33"/>
  <c r="I619" i="33"/>
  <c r="I618" i="33"/>
  <c r="F617" i="33"/>
  <c r="H617" i="33"/>
  <c r="H616" i="33"/>
  <c r="I616" i="33"/>
  <c r="G615" i="33"/>
  <c r="I615" i="33"/>
  <c r="H614" i="33"/>
  <c r="I614" i="33"/>
  <c r="H612" i="33"/>
  <c r="I612" i="33"/>
  <c r="H611" i="33"/>
  <c r="I611" i="33"/>
  <c r="H609" i="33"/>
  <c r="I609" i="33"/>
  <c r="H608" i="33"/>
  <c r="I608" i="33"/>
  <c r="H607" i="33"/>
  <c r="I607" i="33"/>
  <c r="H606" i="33"/>
  <c r="I606" i="33"/>
  <c r="H605" i="33"/>
  <c r="I605" i="33"/>
  <c r="H604" i="33"/>
  <c r="I604" i="33"/>
  <c r="H603" i="33"/>
  <c r="I603" i="33"/>
  <c r="H602" i="33"/>
  <c r="I602" i="33"/>
  <c r="H601" i="33"/>
  <c r="I601" i="33"/>
  <c r="D600" i="33"/>
  <c r="D613" i="33"/>
  <c r="G613" i="33"/>
  <c r="I613" i="33"/>
  <c r="H595" i="33"/>
  <c r="I595" i="33"/>
  <c r="H594" i="33"/>
  <c r="I594" i="33"/>
  <c r="D593" i="33"/>
  <c r="G593" i="33"/>
  <c r="I593" i="33"/>
  <c r="H592" i="33"/>
  <c r="I592" i="33"/>
  <c r="H591" i="33"/>
  <c r="I591" i="33"/>
  <c r="H590" i="33"/>
  <c r="I590" i="33"/>
  <c r="H589" i="33"/>
  <c r="I589" i="33"/>
  <c r="H588" i="33"/>
  <c r="I588" i="33"/>
  <c r="H587" i="33"/>
  <c r="I587" i="33"/>
  <c r="H586" i="33"/>
  <c r="I586" i="33"/>
  <c r="H585" i="33"/>
  <c r="I585" i="33"/>
  <c r="H584" i="33"/>
  <c r="I584" i="33"/>
  <c r="G583" i="33"/>
  <c r="I583" i="33"/>
  <c r="H582" i="33"/>
  <c r="I582" i="33"/>
  <c r="H581" i="33"/>
  <c r="I581" i="33"/>
  <c r="H580" i="33"/>
  <c r="I580" i="33"/>
  <c r="H579" i="33"/>
  <c r="I579" i="33"/>
  <c r="H578" i="33"/>
  <c r="I578" i="33"/>
  <c r="H577" i="33"/>
  <c r="I577" i="33"/>
  <c r="H576" i="33"/>
  <c r="I576" i="33"/>
  <c r="H575" i="33"/>
  <c r="I575" i="33"/>
  <c r="D574" i="33"/>
  <c r="G574" i="33"/>
  <c r="F573" i="33"/>
  <c r="H573" i="33"/>
  <c r="F572" i="33"/>
  <c r="H572" i="33"/>
  <c r="I572" i="33"/>
  <c r="F571" i="33"/>
  <c r="H571" i="33"/>
  <c r="I571" i="33"/>
  <c r="D570" i="33"/>
  <c r="G570" i="33"/>
  <c r="I570" i="33"/>
  <c r="F566" i="33"/>
  <c r="H566" i="33"/>
  <c r="I566" i="33"/>
  <c r="D565" i="33"/>
  <c r="G565" i="33"/>
  <c r="I565" i="33"/>
  <c r="H564" i="33"/>
  <c r="I564" i="33"/>
  <c r="H563" i="33"/>
  <c r="I563" i="33"/>
  <c r="H562" i="33"/>
  <c r="I562" i="33"/>
  <c r="H561" i="33"/>
  <c r="I561" i="33"/>
  <c r="H560" i="33"/>
  <c r="I560" i="33"/>
  <c r="H559" i="33"/>
  <c r="I559" i="33"/>
  <c r="H558" i="33"/>
  <c r="I558" i="33"/>
  <c r="H557" i="33"/>
  <c r="I557" i="33"/>
  <c r="H556" i="33"/>
  <c r="I556" i="33"/>
  <c r="G555" i="33"/>
  <c r="I555" i="33"/>
  <c r="H554" i="33"/>
  <c r="I554" i="33"/>
  <c r="G553" i="33"/>
  <c r="I553" i="33"/>
  <c r="H552" i="33"/>
  <c r="I552" i="33"/>
  <c r="G551" i="33"/>
  <c r="I551" i="33"/>
  <c r="H550" i="33"/>
  <c r="G549" i="33"/>
  <c r="I549" i="33"/>
  <c r="H545" i="33"/>
  <c r="G545" i="33"/>
  <c r="I545" i="33"/>
  <c r="H543" i="33"/>
  <c r="I543" i="33"/>
  <c r="H542" i="33"/>
  <c r="I542" i="33"/>
  <c r="H541" i="33"/>
  <c r="I541" i="33"/>
  <c r="H540" i="33"/>
  <c r="I540" i="33"/>
  <c r="H539" i="33"/>
  <c r="I539" i="33"/>
  <c r="H538" i="33"/>
  <c r="I538" i="33"/>
  <c r="H537" i="33"/>
  <c r="I537" i="33"/>
  <c r="H536" i="33"/>
  <c r="I536" i="33"/>
  <c r="H535" i="33"/>
  <c r="I535" i="33"/>
  <c r="H534" i="33"/>
  <c r="I534" i="33"/>
  <c r="H533" i="33"/>
  <c r="I533" i="33"/>
  <c r="H532" i="33"/>
  <c r="I532" i="33"/>
  <c r="H531" i="33"/>
  <c r="I531" i="33"/>
  <c r="H530" i="33"/>
  <c r="I530" i="33"/>
  <c r="H529" i="33"/>
  <c r="I529" i="33"/>
  <c r="F528" i="33"/>
  <c r="H528" i="33"/>
  <c r="I528" i="33"/>
  <c r="F527" i="33"/>
  <c r="H527" i="33"/>
  <c r="I527" i="33"/>
  <c r="F526" i="33"/>
  <c r="H526" i="33"/>
  <c r="I526" i="33"/>
  <c r="F525" i="33"/>
  <c r="H525" i="33"/>
  <c r="I525" i="33"/>
  <c r="F524" i="33"/>
  <c r="H524" i="33"/>
  <c r="I524" i="33"/>
  <c r="F523" i="33"/>
  <c r="H523" i="33"/>
  <c r="I523" i="33"/>
  <c r="F522" i="33"/>
  <c r="H522" i="33"/>
  <c r="I522" i="33"/>
  <c r="G521" i="33"/>
  <c r="I521" i="33"/>
  <c r="F520" i="33"/>
  <c r="H520" i="33"/>
  <c r="I520" i="33"/>
  <c r="H519" i="33"/>
  <c r="I519" i="33"/>
  <c r="H518" i="33"/>
  <c r="I518" i="33"/>
  <c r="H517" i="33"/>
  <c r="I517" i="33"/>
  <c r="H516" i="33"/>
  <c r="I516" i="33"/>
  <c r="G515" i="33"/>
  <c r="I515" i="33"/>
  <c r="H514" i="33"/>
  <c r="I514" i="33"/>
  <c r="H513" i="33"/>
  <c r="I513" i="33"/>
  <c r="H512" i="33"/>
  <c r="I512" i="33"/>
  <c r="H511" i="33"/>
  <c r="I511" i="33"/>
  <c r="H510" i="33"/>
  <c r="I510" i="33"/>
  <c r="H509" i="33"/>
  <c r="I509" i="33"/>
  <c r="H508" i="33"/>
  <c r="H507" i="33"/>
  <c r="I507" i="33"/>
  <c r="H506" i="33"/>
  <c r="I506" i="33"/>
  <c r="H505" i="33"/>
  <c r="I505" i="33"/>
  <c r="H504" i="33"/>
  <c r="I504" i="33"/>
  <c r="F503" i="33"/>
  <c r="H503" i="33"/>
  <c r="I503" i="33"/>
  <c r="F502" i="33"/>
  <c r="H502" i="33"/>
  <c r="I502" i="33"/>
  <c r="H501" i="33"/>
  <c r="I501" i="33"/>
  <c r="F500" i="33"/>
  <c r="H500" i="33"/>
  <c r="I500" i="33"/>
  <c r="F499" i="33"/>
  <c r="H499" i="33"/>
  <c r="I499" i="33"/>
  <c r="F498" i="33"/>
  <c r="H498" i="33"/>
  <c r="I498" i="33"/>
  <c r="F497" i="33"/>
  <c r="H497" i="33"/>
  <c r="I497" i="33"/>
  <c r="F496" i="33"/>
  <c r="H496" i="33"/>
  <c r="I496" i="33"/>
  <c r="H495" i="33"/>
  <c r="I495" i="33"/>
  <c r="H494" i="33"/>
  <c r="G494" i="33"/>
  <c r="I494" i="33"/>
  <c r="H493" i="33"/>
  <c r="I493" i="33"/>
  <c r="H492" i="33"/>
  <c r="I492" i="33"/>
  <c r="H491" i="33"/>
  <c r="I491" i="33"/>
  <c r="H490" i="33"/>
  <c r="I490" i="33"/>
  <c r="H489" i="33"/>
  <c r="I489" i="33"/>
  <c r="H488" i="33"/>
  <c r="I488" i="33"/>
  <c r="H487" i="33"/>
  <c r="I487" i="33"/>
  <c r="H486" i="33"/>
  <c r="I486" i="33"/>
  <c r="H485" i="33"/>
  <c r="I485" i="33"/>
  <c r="H484" i="33"/>
  <c r="I484" i="33"/>
  <c r="F483" i="33"/>
  <c r="H483" i="33"/>
  <c r="I483" i="33"/>
  <c r="H482" i="33"/>
  <c r="I482" i="33"/>
  <c r="H481" i="33"/>
  <c r="I481" i="33"/>
  <c r="H480" i="33"/>
  <c r="I480" i="33"/>
  <c r="H479" i="33"/>
  <c r="I479" i="33"/>
  <c r="H478" i="33"/>
  <c r="G478" i="33"/>
  <c r="H476" i="33"/>
  <c r="I476" i="33"/>
  <c r="H475" i="33"/>
  <c r="I475" i="33"/>
  <c r="H474" i="33"/>
  <c r="I474" i="33"/>
  <c r="H473" i="33"/>
  <c r="I473" i="33"/>
  <c r="H472" i="33"/>
  <c r="I472" i="33"/>
  <c r="H471" i="33"/>
  <c r="I471" i="33"/>
  <c r="H470" i="33"/>
  <c r="I470" i="33"/>
  <c r="H469" i="33"/>
  <c r="I469" i="33"/>
  <c r="H468" i="33"/>
  <c r="G468" i="33"/>
  <c r="F467" i="33"/>
  <c r="H467" i="33"/>
  <c r="H466" i="33"/>
  <c r="G466" i="33"/>
  <c r="I466" i="33"/>
  <c r="H465" i="33"/>
  <c r="I465" i="33"/>
  <c r="H464" i="33"/>
  <c r="I464" i="33"/>
  <c r="H463" i="33"/>
  <c r="I463" i="33"/>
  <c r="H462" i="33"/>
  <c r="I462" i="33"/>
  <c r="H461" i="33"/>
  <c r="I461" i="33"/>
  <c r="H460" i="33"/>
  <c r="I460" i="33"/>
  <c r="H459" i="33"/>
  <c r="I459" i="33"/>
  <c r="H458" i="33"/>
  <c r="I458" i="33"/>
  <c r="H457" i="33"/>
  <c r="I457" i="33"/>
  <c r="H456" i="33"/>
  <c r="G456" i="33"/>
  <c r="H455" i="33"/>
  <c r="I455" i="33"/>
  <c r="H454" i="33"/>
  <c r="I454" i="33"/>
  <c r="H453" i="33"/>
  <c r="I453" i="33"/>
  <c r="G452" i="33"/>
  <c r="I452" i="33"/>
  <c r="H451" i="33"/>
  <c r="I451" i="33"/>
  <c r="H450" i="33"/>
  <c r="H449" i="33"/>
  <c r="I449" i="33"/>
  <c r="G448" i="33"/>
  <c r="D444" i="33"/>
  <c r="H444" i="33"/>
  <c r="H443" i="33"/>
  <c r="I443" i="33"/>
  <c r="H442" i="33"/>
  <c r="I442" i="33"/>
  <c r="D441" i="33"/>
  <c r="H441" i="33"/>
  <c r="I441" i="33"/>
  <c r="G440" i="33"/>
  <c r="D414" i="33"/>
  <c r="H414" i="33"/>
  <c r="I414" i="33"/>
  <c r="D405" i="33"/>
  <c r="H405" i="33"/>
  <c r="I405" i="33"/>
  <c r="F402" i="33"/>
  <c r="D402" i="33"/>
  <c r="D401" i="33"/>
  <c r="H401" i="33"/>
  <c r="I401" i="33"/>
  <c r="D400" i="33"/>
  <c r="H400" i="33"/>
  <c r="I400" i="33"/>
  <c r="D399" i="33"/>
  <c r="H399" i="33"/>
  <c r="I399" i="33"/>
  <c r="F398" i="33"/>
  <c r="D398" i="33"/>
  <c r="G397" i="33"/>
  <c r="I397" i="33"/>
  <c r="F376" i="33"/>
  <c r="H354" i="33"/>
  <c r="I354" i="33"/>
  <c r="F352" i="33"/>
  <c r="H347" i="33"/>
  <c r="I347" i="33"/>
  <c r="H346" i="33"/>
  <c r="I346" i="33"/>
  <c r="D345" i="33"/>
  <c r="G345" i="33"/>
  <c r="I345" i="33"/>
  <c r="D341" i="33"/>
  <c r="G341" i="33"/>
  <c r="F339" i="33"/>
  <c r="H339" i="33"/>
  <c r="I339" i="33"/>
  <c r="G338" i="33"/>
  <c r="I338" i="33"/>
  <c r="H336" i="33"/>
  <c r="I336" i="33"/>
  <c r="H335" i="33"/>
  <c r="I335" i="33"/>
  <c r="H334" i="33"/>
  <c r="H333" i="33"/>
  <c r="I333" i="33"/>
  <c r="H332" i="33"/>
  <c r="I332" i="33"/>
  <c r="D296" i="33"/>
  <c r="H296" i="33"/>
  <c r="I296" i="33"/>
  <c r="H295" i="33"/>
  <c r="I295" i="33"/>
  <c r="H294" i="33"/>
  <c r="I294" i="33"/>
  <c r="H293" i="33"/>
  <c r="I293" i="33"/>
  <c r="G292" i="33"/>
  <c r="I292" i="33"/>
  <c r="D247" i="33"/>
  <c r="D249" i="33"/>
  <c r="H249" i="33"/>
  <c r="I249" i="33"/>
  <c r="H246" i="33"/>
  <c r="I246" i="33"/>
  <c r="H245" i="33"/>
  <c r="I245" i="33"/>
  <c r="F244" i="33"/>
  <c r="H244" i="33"/>
  <c r="I244" i="33"/>
  <c r="H243" i="33"/>
  <c r="I243" i="33"/>
  <c r="G242" i="33"/>
  <c r="I242" i="33"/>
  <c r="I241" i="33"/>
  <c r="H240" i="33"/>
  <c r="I240" i="33"/>
  <c r="H239" i="33"/>
  <c r="I239" i="33"/>
  <c r="H238" i="33"/>
  <c r="I238" i="33"/>
  <c r="H237" i="33"/>
  <c r="I237" i="33"/>
  <c r="H236" i="33"/>
  <c r="I236" i="33"/>
  <c r="H235" i="33"/>
  <c r="I235" i="33"/>
  <c r="H234" i="33"/>
  <c r="I234" i="33"/>
  <c r="H233" i="33"/>
  <c r="I233" i="33"/>
  <c r="H232" i="33"/>
  <c r="I232" i="33"/>
  <c r="H231" i="33"/>
  <c r="I231" i="33"/>
  <c r="H230" i="33"/>
  <c r="I230" i="33"/>
  <c r="H229" i="33"/>
  <c r="I229" i="33"/>
  <c r="H228" i="33"/>
  <c r="I228" i="33"/>
  <c r="H227" i="33"/>
  <c r="I227" i="33"/>
  <c r="G227" i="33"/>
  <c r="D223" i="33"/>
  <c r="H222" i="33"/>
  <c r="I222" i="33"/>
  <c r="H221" i="33"/>
  <c r="I221" i="33"/>
  <c r="H220" i="33"/>
  <c r="I220" i="33"/>
  <c r="H219" i="33"/>
  <c r="I219" i="33"/>
  <c r="H218" i="33"/>
  <c r="I218" i="33"/>
  <c r="H217" i="33"/>
  <c r="I217" i="33"/>
  <c r="H216" i="33"/>
  <c r="I216" i="33"/>
  <c r="H215" i="33"/>
  <c r="I215" i="33"/>
  <c r="H214" i="33"/>
  <c r="I214" i="33"/>
  <c r="H213" i="33"/>
  <c r="G213" i="33"/>
  <c r="H211" i="33"/>
  <c r="I211" i="33"/>
  <c r="H210" i="33"/>
  <c r="I210" i="33"/>
  <c r="H209" i="33"/>
  <c r="I209" i="33"/>
  <c r="H208" i="33"/>
  <c r="G208" i="33"/>
  <c r="H207" i="33"/>
  <c r="I207" i="33"/>
  <c r="H206" i="33"/>
  <c r="I206" i="33"/>
  <c r="H205" i="33"/>
  <c r="I205" i="33"/>
  <c r="F204" i="33"/>
  <c r="D204" i="33"/>
  <c r="G203" i="33"/>
  <c r="I203" i="33"/>
  <c r="H202" i="33"/>
  <c r="I202" i="33"/>
  <c r="G202" i="33"/>
  <c r="H170" i="33"/>
  <c r="I170" i="33"/>
  <c r="H169" i="33"/>
  <c r="I169" i="33"/>
  <c r="H168" i="33"/>
  <c r="I168" i="33"/>
  <c r="H167" i="33"/>
  <c r="I167" i="33"/>
  <c r="H166" i="33"/>
  <c r="I166" i="33"/>
  <c r="H165" i="33"/>
  <c r="I165" i="33"/>
  <c r="H164" i="33"/>
  <c r="I164" i="33"/>
  <c r="H157" i="33"/>
  <c r="I157" i="33"/>
  <c r="H156" i="33"/>
  <c r="I156" i="33"/>
  <c r="H155" i="33"/>
  <c r="I155" i="33"/>
  <c r="G154" i="33"/>
  <c r="I154" i="33"/>
  <c r="D152" i="33"/>
  <c r="H152" i="33"/>
  <c r="D150" i="33"/>
  <c r="H150" i="33"/>
  <c r="I150" i="33"/>
  <c r="D142" i="33"/>
  <c r="H142" i="33"/>
  <c r="I142" i="33"/>
  <c r="H133" i="33"/>
  <c r="I133" i="33"/>
  <c r="D118" i="33"/>
  <c r="H118" i="33"/>
  <c r="I118" i="33"/>
  <c r="D117" i="33"/>
  <c r="H117" i="33"/>
  <c r="I117" i="33"/>
  <c r="G116" i="33"/>
  <c r="I116" i="33"/>
  <c r="D115" i="33"/>
  <c r="H115" i="33"/>
  <c r="I115" i="33"/>
  <c r="D114" i="33"/>
  <c r="H114" i="33"/>
  <c r="I114" i="33"/>
  <c r="G113" i="33"/>
  <c r="I113" i="33"/>
  <c r="D101" i="33"/>
  <c r="H101" i="33"/>
  <c r="I101" i="33"/>
  <c r="D100" i="33"/>
  <c r="H100" i="33"/>
  <c r="I100" i="33"/>
  <c r="G99" i="33"/>
  <c r="I99" i="33"/>
  <c r="D98" i="33"/>
  <c r="H98" i="33"/>
  <c r="G97" i="33"/>
  <c r="D95" i="33"/>
  <c r="H95" i="33"/>
  <c r="I95" i="33"/>
  <c r="G92" i="33"/>
  <c r="I92" i="33"/>
  <c r="F91" i="33"/>
  <c r="H86" i="33"/>
  <c r="I86" i="33"/>
  <c r="H85" i="33"/>
  <c r="I85" i="33"/>
  <c r="H84" i="33"/>
  <c r="I84" i="33"/>
  <c r="D80" i="33"/>
  <c r="H80" i="33"/>
  <c r="I80" i="33"/>
  <c r="D79" i="33"/>
  <c r="H79" i="33"/>
  <c r="I79" i="33"/>
  <c r="G78" i="33"/>
  <c r="I78" i="33"/>
  <c r="H57" i="33"/>
  <c r="G57" i="33"/>
  <c r="I57" i="33"/>
  <c r="D56" i="33"/>
  <c r="H56" i="33"/>
  <c r="I56" i="33"/>
  <c r="H55" i="33"/>
  <c r="I55" i="33"/>
  <c r="G54" i="33"/>
  <c r="I54" i="33"/>
  <c r="K38" i="33"/>
  <c r="K36" i="33"/>
  <c r="K33" i="33"/>
  <c r="K31" i="33"/>
  <c r="K30" i="33"/>
  <c r="K29" i="33"/>
  <c r="K28" i="33"/>
  <c r="D342" i="31"/>
  <c r="D388" i="38"/>
  <c r="D386" i="37"/>
  <c r="H386" i="37"/>
  <c r="H764" i="31"/>
  <c r="G763" i="31"/>
  <c r="I763" i="31"/>
  <c r="D758" i="31"/>
  <c r="H758" i="31"/>
  <c r="I758" i="31"/>
  <c r="D757" i="31"/>
  <c r="H757" i="31"/>
  <c r="I757" i="31"/>
  <c r="H755" i="31"/>
  <c r="I755" i="31"/>
  <c r="H754" i="31"/>
  <c r="I754" i="31"/>
  <c r="H753" i="31"/>
  <c r="I753" i="31"/>
  <c r="H752" i="31"/>
  <c r="I752" i="31"/>
  <c r="H751" i="31"/>
  <c r="I751" i="31"/>
  <c r="H750" i="31"/>
  <c r="I750" i="31"/>
  <c r="H749" i="31"/>
  <c r="I749" i="31"/>
  <c r="H748" i="31"/>
  <c r="I748" i="31"/>
  <c r="H747" i="31"/>
  <c r="I747" i="31"/>
  <c r="H746" i="31"/>
  <c r="I746" i="31"/>
  <c r="H745" i="31"/>
  <c r="I745" i="31"/>
  <c r="H744" i="31"/>
  <c r="I744" i="31"/>
  <c r="I743" i="31"/>
  <c r="D743" i="31"/>
  <c r="H742" i="31"/>
  <c r="I742" i="31"/>
  <c r="H741" i="31"/>
  <c r="I741" i="31"/>
  <c r="H740" i="31"/>
  <c r="I740" i="31"/>
  <c r="H739" i="31"/>
  <c r="I739" i="31"/>
  <c r="F738" i="31"/>
  <c r="H738" i="31"/>
  <c r="I738" i="31"/>
  <c r="F737" i="31"/>
  <c r="H737" i="31"/>
  <c r="H736" i="31"/>
  <c r="I736" i="31"/>
  <c r="H735" i="31"/>
  <c r="I735" i="31"/>
  <c r="D734" i="31"/>
  <c r="D759" i="31"/>
  <c r="F733" i="31"/>
  <c r="D733" i="31"/>
  <c r="I732" i="31"/>
  <c r="H731" i="31"/>
  <c r="I731" i="31"/>
  <c r="H730" i="31"/>
  <c r="I730" i="31"/>
  <c r="I729" i="31"/>
  <c r="H728" i="31"/>
  <c r="I728" i="31"/>
  <c r="I727" i="31"/>
  <c r="H722" i="31"/>
  <c r="I722" i="31"/>
  <c r="H721" i="31"/>
  <c r="I721" i="31"/>
  <c r="H720" i="31"/>
  <c r="I720" i="31"/>
  <c r="F719" i="31"/>
  <c r="H719" i="31"/>
  <c r="I719" i="31"/>
  <c r="H718" i="31"/>
  <c r="I718" i="31"/>
  <c r="H717" i="31"/>
  <c r="I717" i="31"/>
  <c r="D716" i="31"/>
  <c r="G716" i="31"/>
  <c r="I716" i="31"/>
  <c r="I715" i="31"/>
  <c r="H714" i="31"/>
  <c r="I714" i="31"/>
  <c r="H713" i="31"/>
  <c r="I713" i="31"/>
  <c r="F712" i="31"/>
  <c r="H712" i="31"/>
  <c r="I712" i="31"/>
  <c r="H711" i="31"/>
  <c r="I711" i="31"/>
  <c r="H710" i="31"/>
  <c r="I710" i="31"/>
  <c r="H709" i="31"/>
  <c r="I709" i="31"/>
  <c r="H708" i="31"/>
  <c r="I708" i="31"/>
  <c r="D707" i="31"/>
  <c r="G707" i="31"/>
  <c r="I707" i="31"/>
  <c r="I706" i="31"/>
  <c r="H705" i="31"/>
  <c r="I705" i="31"/>
  <c r="H704" i="31"/>
  <c r="I704" i="31"/>
  <c r="H703" i="31"/>
  <c r="I703" i="31"/>
  <c r="H702" i="31"/>
  <c r="I702" i="31"/>
  <c r="D701" i="31"/>
  <c r="H701" i="31"/>
  <c r="I700" i="31"/>
  <c r="D697" i="31"/>
  <c r="H696" i="31"/>
  <c r="I696" i="31"/>
  <c r="D695" i="31"/>
  <c r="G695" i="31"/>
  <c r="I695" i="31"/>
  <c r="H694" i="31"/>
  <c r="I694" i="31"/>
  <c r="D693" i="31"/>
  <c r="G693" i="31"/>
  <c r="I693" i="31"/>
  <c r="H692" i="31"/>
  <c r="I692" i="31"/>
  <c r="H691" i="31"/>
  <c r="I691" i="31"/>
  <c r="H690" i="31"/>
  <c r="I690" i="31"/>
  <c r="H689" i="31"/>
  <c r="I689" i="31"/>
  <c r="H688" i="31"/>
  <c r="I688" i="31"/>
  <c r="H687" i="31"/>
  <c r="I687" i="31"/>
  <c r="H686" i="31"/>
  <c r="I686" i="31"/>
  <c r="H685" i="31"/>
  <c r="I685" i="31"/>
  <c r="D684" i="31"/>
  <c r="G684" i="31"/>
  <c r="I684" i="31"/>
  <c r="H683" i="31"/>
  <c r="I683" i="31"/>
  <c r="G682" i="31"/>
  <c r="I682" i="31"/>
  <c r="I681" i="31"/>
  <c r="H680" i="31"/>
  <c r="I680" i="31"/>
  <c r="H679" i="31"/>
  <c r="I679" i="31"/>
  <c r="I678" i="31"/>
  <c r="F677" i="31"/>
  <c r="H677" i="31"/>
  <c r="I677" i="31"/>
  <c r="D676" i="31"/>
  <c r="G676" i="31"/>
  <c r="I676" i="31"/>
  <c r="F675" i="31"/>
  <c r="H675" i="31"/>
  <c r="I675" i="31"/>
  <c r="D674" i="31"/>
  <c r="G674" i="31"/>
  <c r="I674" i="31"/>
  <c r="F673" i="31"/>
  <c r="I671" i="31"/>
  <c r="D670" i="31"/>
  <c r="H667" i="31"/>
  <c r="I667" i="31"/>
  <c r="H666" i="31"/>
  <c r="I666" i="31"/>
  <c r="H665" i="31"/>
  <c r="I665" i="31"/>
  <c r="H663" i="31"/>
  <c r="I663" i="31"/>
  <c r="H662" i="31"/>
  <c r="I662" i="31"/>
  <c r="H661" i="31"/>
  <c r="I661" i="31"/>
  <c r="H660" i="31"/>
  <c r="I660" i="31"/>
  <c r="H659" i="31"/>
  <c r="I659" i="31"/>
  <c r="H658" i="31"/>
  <c r="I658" i="31"/>
  <c r="H657" i="31"/>
  <c r="I657" i="31"/>
  <c r="D656" i="31"/>
  <c r="D664" i="31"/>
  <c r="H664" i="31"/>
  <c r="I664" i="31"/>
  <c r="I655" i="31"/>
  <c r="H654" i="31"/>
  <c r="I654" i="31"/>
  <c r="H653" i="31"/>
  <c r="I653" i="31"/>
  <c r="D652" i="31"/>
  <c r="G652" i="31"/>
  <c r="I652" i="31"/>
  <c r="H651" i="31"/>
  <c r="I651" i="31"/>
  <c r="H650" i="31"/>
  <c r="I650" i="31"/>
  <c r="I649" i="31"/>
  <c r="H648" i="31"/>
  <c r="I648" i="31"/>
  <c r="H646" i="31"/>
  <c r="I646" i="31"/>
  <c r="F645" i="31"/>
  <c r="H645" i="31"/>
  <c r="I645" i="31"/>
  <c r="D644" i="31"/>
  <c r="G644" i="31"/>
  <c r="I644" i="31"/>
  <c r="H643" i="31"/>
  <c r="I643" i="31"/>
  <c r="H642" i="31"/>
  <c r="I642" i="31"/>
  <c r="H641" i="31"/>
  <c r="I641" i="31"/>
  <c r="F640" i="31"/>
  <c r="H640" i="31"/>
  <c r="I640" i="31"/>
  <c r="D639" i="31"/>
  <c r="D647" i="31"/>
  <c r="G647" i="31"/>
  <c r="I647" i="31"/>
  <c r="I638" i="31"/>
  <c r="F637" i="31"/>
  <c r="H637" i="31"/>
  <c r="I637" i="31"/>
  <c r="H636" i="31"/>
  <c r="I636" i="31"/>
  <c r="H635" i="31"/>
  <c r="I635" i="31"/>
  <c r="H634" i="31"/>
  <c r="I634" i="31"/>
  <c r="H633" i="31"/>
  <c r="I633" i="31"/>
  <c r="H632" i="31"/>
  <c r="I632" i="31"/>
  <c r="H631" i="31"/>
  <c r="I631" i="31"/>
  <c r="H630" i="31"/>
  <c r="I630" i="31"/>
  <c r="H629" i="31"/>
  <c r="I629" i="31"/>
  <c r="H628" i="31"/>
  <c r="I628" i="31"/>
  <c r="H627" i="31"/>
  <c r="I627" i="31"/>
  <c r="G626" i="31"/>
  <c r="I626" i="31"/>
  <c r="I625" i="31"/>
  <c r="F624" i="31"/>
  <c r="H624" i="31"/>
  <c r="I624" i="31"/>
  <c r="H623" i="31"/>
  <c r="I623" i="31"/>
  <c r="G622" i="31"/>
  <c r="I622" i="31"/>
  <c r="H621" i="31"/>
  <c r="I621" i="31"/>
  <c r="H619" i="31"/>
  <c r="I619" i="31"/>
  <c r="H618" i="31"/>
  <c r="I618" i="31"/>
  <c r="H616" i="31"/>
  <c r="I616" i="31"/>
  <c r="H615" i="31"/>
  <c r="I615" i="31"/>
  <c r="H614" i="31"/>
  <c r="I614" i="31"/>
  <c r="H613" i="31"/>
  <c r="I613" i="31"/>
  <c r="H612" i="31"/>
  <c r="I612" i="31"/>
  <c r="H611" i="31"/>
  <c r="I611" i="31"/>
  <c r="H610" i="31"/>
  <c r="I610" i="31"/>
  <c r="H609" i="31"/>
  <c r="I609" i="31"/>
  <c r="H608" i="31"/>
  <c r="I608" i="31"/>
  <c r="D607" i="31"/>
  <c r="D620" i="31"/>
  <c r="G620" i="31"/>
  <c r="I620" i="31"/>
  <c r="H602" i="31"/>
  <c r="I602" i="31"/>
  <c r="H601" i="31"/>
  <c r="I601" i="31"/>
  <c r="D600" i="31"/>
  <c r="G600" i="31"/>
  <c r="I600" i="31"/>
  <c r="H599" i="31"/>
  <c r="I599" i="31"/>
  <c r="H598" i="31"/>
  <c r="I598" i="31"/>
  <c r="H597" i="31"/>
  <c r="I597" i="31"/>
  <c r="H596" i="31"/>
  <c r="I596" i="31"/>
  <c r="H595" i="31"/>
  <c r="I595" i="31"/>
  <c r="H594" i="31"/>
  <c r="I594" i="31"/>
  <c r="H593" i="31"/>
  <c r="I593" i="31"/>
  <c r="H592" i="31"/>
  <c r="I592" i="31"/>
  <c r="H591" i="31"/>
  <c r="I591" i="31"/>
  <c r="G590" i="31"/>
  <c r="I590" i="31"/>
  <c r="H589" i="31"/>
  <c r="I589" i="31"/>
  <c r="H588" i="31"/>
  <c r="I588" i="31"/>
  <c r="H587" i="31"/>
  <c r="I587" i="31"/>
  <c r="H586" i="31"/>
  <c r="I586" i="31"/>
  <c r="H585" i="31"/>
  <c r="I585" i="31"/>
  <c r="H584" i="31"/>
  <c r="I584" i="31"/>
  <c r="H583" i="31"/>
  <c r="I583" i="31"/>
  <c r="H582" i="31"/>
  <c r="I582" i="31"/>
  <c r="D581" i="31"/>
  <c r="G581" i="31"/>
  <c r="I581" i="31"/>
  <c r="F580" i="31"/>
  <c r="H580" i="31"/>
  <c r="I580" i="31"/>
  <c r="F579" i="31"/>
  <c r="H579" i="31"/>
  <c r="I579" i="31"/>
  <c r="F578" i="31"/>
  <c r="H578" i="31"/>
  <c r="I578" i="31"/>
  <c r="D577" i="31"/>
  <c r="G577" i="31"/>
  <c r="F573" i="31"/>
  <c r="H573" i="31"/>
  <c r="I573" i="31"/>
  <c r="D572" i="31"/>
  <c r="G572" i="31"/>
  <c r="I572" i="31"/>
  <c r="H571" i="31"/>
  <c r="I571" i="31"/>
  <c r="H570" i="31"/>
  <c r="I570" i="31"/>
  <c r="H569" i="31"/>
  <c r="I569" i="31"/>
  <c r="H568" i="31"/>
  <c r="I568" i="31"/>
  <c r="H567" i="31"/>
  <c r="I567" i="31"/>
  <c r="H566" i="31"/>
  <c r="I566" i="31"/>
  <c r="H565" i="31"/>
  <c r="I565" i="31"/>
  <c r="H564" i="31"/>
  <c r="I564" i="31"/>
  <c r="H563" i="31"/>
  <c r="I563" i="31"/>
  <c r="G562" i="31"/>
  <c r="I562" i="31"/>
  <c r="H561" i="31"/>
  <c r="I561" i="31"/>
  <c r="G560" i="31"/>
  <c r="I560" i="31"/>
  <c r="H559" i="31"/>
  <c r="I559" i="31"/>
  <c r="G558" i="31"/>
  <c r="I558" i="31"/>
  <c r="H557" i="31"/>
  <c r="G556" i="31"/>
  <c r="H552" i="31"/>
  <c r="G552" i="31"/>
  <c r="H550" i="31"/>
  <c r="I550" i="31"/>
  <c r="H549" i="31"/>
  <c r="I549" i="31"/>
  <c r="H548" i="31"/>
  <c r="I548" i="31"/>
  <c r="H547" i="31"/>
  <c r="I547" i="31"/>
  <c r="H546" i="31"/>
  <c r="I546" i="31"/>
  <c r="H545" i="31"/>
  <c r="I545" i="31"/>
  <c r="H544" i="31"/>
  <c r="I544" i="31"/>
  <c r="H543" i="31"/>
  <c r="I543" i="31"/>
  <c r="H542" i="31"/>
  <c r="I542" i="31"/>
  <c r="H541" i="31"/>
  <c r="I541" i="31"/>
  <c r="H540" i="31"/>
  <c r="I540" i="31"/>
  <c r="H539" i="31"/>
  <c r="I539" i="31"/>
  <c r="H538" i="31"/>
  <c r="I538" i="31"/>
  <c r="H537" i="31"/>
  <c r="I537" i="31"/>
  <c r="H536" i="31"/>
  <c r="I536" i="31"/>
  <c r="F535" i="31"/>
  <c r="H535" i="31"/>
  <c r="I535" i="31"/>
  <c r="F534" i="31"/>
  <c r="H534" i="31"/>
  <c r="I534" i="31"/>
  <c r="F533" i="31"/>
  <c r="H533" i="31"/>
  <c r="I533" i="31"/>
  <c r="F532" i="31"/>
  <c r="H532" i="31"/>
  <c r="I532" i="31"/>
  <c r="F531" i="31"/>
  <c r="H531" i="31"/>
  <c r="I531" i="31"/>
  <c r="F530" i="31"/>
  <c r="H530" i="31"/>
  <c r="I530" i="31"/>
  <c r="F529" i="31"/>
  <c r="H529" i="31"/>
  <c r="I529" i="31"/>
  <c r="G528" i="31"/>
  <c r="I528" i="31"/>
  <c r="F527" i="31"/>
  <c r="H527" i="31"/>
  <c r="I527" i="31"/>
  <c r="H526" i="31"/>
  <c r="I526" i="31"/>
  <c r="H525" i="31"/>
  <c r="I525" i="31"/>
  <c r="H524" i="31"/>
  <c r="I524" i="31"/>
  <c r="H523" i="31"/>
  <c r="I523" i="31"/>
  <c r="G522" i="31"/>
  <c r="I522" i="31"/>
  <c r="H521" i="31"/>
  <c r="I521" i="31"/>
  <c r="H520" i="31"/>
  <c r="I520" i="31"/>
  <c r="H519" i="31"/>
  <c r="I519" i="31"/>
  <c r="H518" i="31"/>
  <c r="I518" i="31"/>
  <c r="H517" i="31"/>
  <c r="I517" i="31"/>
  <c r="H516" i="31"/>
  <c r="I516" i="31"/>
  <c r="H515" i="31"/>
  <c r="I515" i="31"/>
  <c r="H514" i="31"/>
  <c r="I514" i="31"/>
  <c r="H513" i="31"/>
  <c r="I513" i="31"/>
  <c r="H512" i="31"/>
  <c r="I512" i="31"/>
  <c r="H511" i="31"/>
  <c r="I511" i="31"/>
  <c r="F510" i="31"/>
  <c r="H510" i="31"/>
  <c r="I510" i="31"/>
  <c r="F509" i="31"/>
  <c r="H509" i="31"/>
  <c r="I509" i="31"/>
  <c r="H508" i="31"/>
  <c r="I508" i="31"/>
  <c r="F507" i="31"/>
  <c r="H507" i="31"/>
  <c r="I507" i="31"/>
  <c r="F506" i="31"/>
  <c r="H506" i="31"/>
  <c r="I506" i="31"/>
  <c r="F505" i="31"/>
  <c r="H505" i="31"/>
  <c r="F504" i="31"/>
  <c r="H504" i="31"/>
  <c r="I504" i="31"/>
  <c r="F503" i="31"/>
  <c r="H503" i="31"/>
  <c r="I503" i="31"/>
  <c r="H502" i="31"/>
  <c r="I502" i="31"/>
  <c r="H501" i="31"/>
  <c r="G501" i="31"/>
  <c r="H500" i="31"/>
  <c r="I500" i="31"/>
  <c r="H499" i="31"/>
  <c r="I499" i="31"/>
  <c r="H498" i="31"/>
  <c r="I498" i="31"/>
  <c r="H497" i="31"/>
  <c r="I497" i="31"/>
  <c r="H496" i="31"/>
  <c r="I496" i="31"/>
  <c r="H495" i="31"/>
  <c r="I495" i="31"/>
  <c r="H494" i="31"/>
  <c r="I494" i="31"/>
  <c r="H493" i="31"/>
  <c r="I493" i="31"/>
  <c r="H492" i="31"/>
  <c r="I492" i="31"/>
  <c r="H491" i="31"/>
  <c r="I491" i="31"/>
  <c r="F490" i="31"/>
  <c r="H490" i="31"/>
  <c r="I490" i="31"/>
  <c r="H489" i="31"/>
  <c r="I489" i="31"/>
  <c r="H488" i="31"/>
  <c r="I488" i="31"/>
  <c r="H487" i="31"/>
  <c r="I487" i="31"/>
  <c r="H486" i="31"/>
  <c r="I486" i="31"/>
  <c r="H485" i="31"/>
  <c r="G485" i="31"/>
  <c r="H483" i="31"/>
  <c r="I483" i="31"/>
  <c r="H482" i="31"/>
  <c r="I482" i="31"/>
  <c r="H481" i="31"/>
  <c r="I481" i="31"/>
  <c r="H480" i="31"/>
  <c r="I480" i="31"/>
  <c r="H479" i="31"/>
  <c r="I479" i="31"/>
  <c r="H478" i="31"/>
  <c r="I478" i="31"/>
  <c r="H477" i="31"/>
  <c r="I477" i="31"/>
  <c r="H476" i="31"/>
  <c r="I476" i="31"/>
  <c r="H475" i="31"/>
  <c r="G475" i="31"/>
  <c r="F474" i="31"/>
  <c r="H474" i="31"/>
  <c r="I474" i="31"/>
  <c r="H473" i="31"/>
  <c r="G473" i="31"/>
  <c r="H472" i="31"/>
  <c r="I472" i="31"/>
  <c r="H471" i="31"/>
  <c r="I471" i="31"/>
  <c r="H470" i="31"/>
  <c r="I470" i="31"/>
  <c r="H469" i="31"/>
  <c r="I469" i="31"/>
  <c r="H468" i="31"/>
  <c r="I468" i="31"/>
  <c r="H467" i="31"/>
  <c r="I467" i="31"/>
  <c r="H466" i="31"/>
  <c r="I466" i="31"/>
  <c r="I553" i="31"/>
  <c r="I554" i="31"/>
  <c r="H465" i="31"/>
  <c r="I465" i="31"/>
  <c r="H464" i="31"/>
  <c r="I464" i="31"/>
  <c r="H463" i="31"/>
  <c r="G463" i="31"/>
  <c r="I463" i="31"/>
  <c r="H462" i="31"/>
  <c r="I462" i="31"/>
  <c r="H461" i="31"/>
  <c r="I461" i="31"/>
  <c r="H460" i="31"/>
  <c r="I460" i="31"/>
  <c r="G459" i="31"/>
  <c r="I459" i="31"/>
  <c r="H458" i="31"/>
  <c r="I458" i="31"/>
  <c r="H457" i="31"/>
  <c r="I457" i="31"/>
  <c r="H456" i="31"/>
  <c r="I456" i="31"/>
  <c r="G455" i="31"/>
  <c r="D451" i="31"/>
  <c r="H451" i="31"/>
  <c r="I451" i="31"/>
  <c r="H450" i="31"/>
  <c r="I450" i="31"/>
  <c r="H449" i="31"/>
  <c r="I449" i="31"/>
  <c r="D448" i="31"/>
  <c r="H448" i="31"/>
  <c r="I448" i="31"/>
  <c r="G447" i="31"/>
  <c r="I447" i="31"/>
  <c r="D446" i="31"/>
  <c r="H446" i="31"/>
  <c r="I446" i="31"/>
  <c r="D420" i="31"/>
  <c r="H420" i="31"/>
  <c r="I420" i="31"/>
  <c r="G413" i="31"/>
  <c r="I413" i="31"/>
  <c r="F391" i="31"/>
  <c r="D390" i="31"/>
  <c r="D391" i="31"/>
  <c r="H369" i="31"/>
  <c r="I369" i="31"/>
  <c r="F367" i="31"/>
  <c r="H362" i="31"/>
  <c r="I362" i="31"/>
  <c r="H361" i="31"/>
  <c r="I361" i="31"/>
  <c r="D360" i="31"/>
  <c r="G360" i="31"/>
  <c r="F354" i="31"/>
  <c r="H354" i="31"/>
  <c r="I354" i="31"/>
  <c r="G353" i="31"/>
  <c r="I353" i="31"/>
  <c r="H351" i="31"/>
  <c r="I351" i="31"/>
  <c r="H350" i="31"/>
  <c r="I350" i="31"/>
  <c r="H349" i="31"/>
  <c r="I349" i="31"/>
  <c r="H348" i="31"/>
  <c r="I348" i="31"/>
  <c r="D309" i="31"/>
  <c r="H309" i="31"/>
  <c r="I309" i="31"/>
  <c r="H308" i="31"/>
  <c r="I308" i="31"/>
  <c r="H307" i="31"/>
  <c r="I307" i="31"/>
  <c r="H306" i="31"/>
  <c r="I306" i="31"/>
  <c r="G305" i="31"/>
  <c r="I305" i="31"/>
  <c r="G303" i="31"/>
  <c r="I303" i="31"/>
  <c r="H301" i="31"/>
  <c r="I301" i="31"/>
  <c r="G300" i="31"/>
  <c r="I300" i="31"/>
  <c r="D258" i="31"/>
  <c r="D259" i="31"/>
  <c r="H259" i="31"/>
  <c r="I259" i="31"/>
  <c r="H257" i="31"/>
  <c r="I257" i="31"/>
  <c r="H256" i="31"/>
  <c r="I256" i="31"/>
  <c r="F255" i="31"/>
  <c r="H255" i="31"/>
  <c r="I255" i="31"/>
  <c r="H254" i="31"/>
  <c r="I254" i="31"/>
  <c r="G253" i="31"/>
  <c r="I253" i="31"/>
  <c r="I252" i="31"/>
  <c r="H251" i="31"/>
  <c r="I251" i="31"/>
  <c r="H250" i="31"/>
  <c r="I250" i="31"/>
  <c r="H249" i="31"/>
  <c r="I249" i="31"/>
  <c r="H248" i="31"/>
  <c r="I248" i="31"/>
  <c r="H247" i="31"/>
  <c r="I247" i="31"/>
  <c r="H246" i="31"/>
  <c r="I246" i="31"/>
  <c r="H245" i="31"/>
  <c r="I245" i="31"/>
  <c r="H244" i="31"/>
  <c r="I244" i="31"/>
  <c r="H243" i="31"/>
  <c r="I243" i="31"/>
  <c r="H242" i="31"/>
  <c r="I242" i="31"/>
  <c r="H241" i="31"/>
  <c r="I241" i="31"/>
  <c r="H240" i="31"/>
  <c r="I240" i="31"/>
  <c r="H239" i="31"/>
  <c r="I239" i="31"/>
  <c r="H238" i="31"/>
  <c r="G238" i="31"/>
  <c r="I238" i="31"/>
  <c r="D234" i="31"/>
  <c r="H233" i="31"/>
  <c r="I233" i="31"/>
  <c r="H232" i="31"/>
  <c r="I232" i="31"/>
  <c r="H231" i="31"/>
  <c r="I231" i="31"/>
  <c r="H230" i="31"/>
  <c r="I230" i="31"/>
  <c r="H229" i="31"/>
  <c r="I229" i="31"/>
  <c r="H228" i="31"/>
  <c r="I228" i="31"/>
  <c r="H227" i="31"/>
  <c r="I227" i="31"/>
  <c r="H226" i="31"/>
  <c r="I226" i="31"/>
  <c r="H225" i="31"/>
  <c r="I225" i="31"/>
  <c r="H224" i="31"/>
  <c r="G224" i="31"/>
  <c r="H222" i="31"/>
  <c r="I222" i="31"/>
  <c r="H221" i="31"/>
  <c r="I221" i="31"/>
  <c r="H220" i="31"/>
  <c r="I220" i="31"/>
  <c r="H219" i="31"/>
  <c r="G219" i="31"/>
  <c r="H218" i="31"/>
  <c r="I218" i="31"/>
  <c r="H217" i="31"/>
  <c r="I217" i="31"/>
  <c r="H216" i="31"/>
  <c r="I216" i="31"/>
  <c r="F215" i="31"/>
  <c r="D215" i="31"/>
  <c r="G214" i="31"/>
  <c r="I214" i="31"/>
  <c r="H213" i="31"/>
  <c r="G213" i="31"/>
  <c r="H203" i="31"/>
  <c r="I203" i="31"/>
  <c r="H202" i="31"/>
  <c r="I202" i="31"/>
  <c r="G201" i="31"/>
  <c r="I201" i="31"/>
  <c r="G198" i="31"/>
  <c r="I198" i="31"/>
  <c r="H182" i="31"/>
  <c r="I182" i="31"/>
  <c r="H181" i="31"/>
  <c r="I181" i="31"/>
  <c r="H180" i="31"/>
  <c r="I180" i="31"/>
  <c r="H179" i="31"/>
  <c r="I179" i="31"/>
  <c r="H178" i="31"/>
  <c r="I178" i="31"/>
  <c r="H177" i="31"/>
  <c r="I177" i="31"/>
  <c r="H176" i="31"/>
  <c r="I176" i="31"/>
  <c r="H175" i="31"/>
  <c r="I175" i="31"/>
  <c r="H174" i="31"/>
  <c r="I174" i="31"/>
  <c r="G173" i="31"/>
  <c r="I173" i="31"/>
  <c r="H169" i="31"/>
  <c r="I169" i="31"/>
  <c r="H168" i="31"/>
  <c r="I168" i="31"/>
  <c r="H167" i="31"/>
  <c r="I167" i="31"/>
  <c r="G166" i="31"/>
  <c r="I166" i="31"/>
  <c r="G163" i="31"/>
  <c r="I163" i="31"/>
  <c r="G158" i="31"/>
  <c r="I158" i="31"/>
  <c r="D155" i="31"/>
  <c r="H155" i="31"/>
  <c r="I155" i="31"/>
  <c r="D151" i="31"/>
  <c r="H151" i="31"/>
  <c r="I151" i="31"/>
  <c r="H149" i="31"/>
  <c r="I149" i="31"/>
  <c r="H147" i="31"/>
  <c r="I147" i="31"/>
  <c r="H146" i="31"/>
  <c r="I146" i="31"/>
  <c r="H145" i="31"/>
  <c r="I145" i="31"/>
  <c r="H144" i="31"/>
  <c r="I144" i="31"/>
  <c r="H141" i="31"/>
  <c r="I141" i="31"/>
  <c r="H140" i="31"/>
  <c r="I140" i="31"/>
  <c r="H139" i="31"/>
  <c r="I139" i="31"/>
  <c r="H138" i="31"/>
  <c r="I138" i="31"/>
  <c r="H137" i="31"/>
  <c r="I137" i="31"/>
  <c r="H136" i="31"/>
  <c r="I136" i="31"/>
  <c r="H134" i="31"/>
  <c r="I134" i="31"/>
  <c r="H133" i="31"/>
  <c r="I133" i="31"/>
  <c r="H131" i="31"/>
  <c r="I131" i="31"/>
  <c r="D125" i="31"/>
  <c r="H125" i="31"/>
  <c r="I125" i="31"/>
  <c r="D124" i="31"/>
  <c r="H124" i="31"/>
  <c r="I124" i="31"/>
  <c r="G123" i="31"/>
  <c r="I123" i="31"/>
  <c r="D122" i="31"/>
  <c r="H122" i="31"/>
  <c r="I122" i="31"/>
  <c r="D121" i="31"/>
  <c r="H121" i="31"/>
  <c r="I121" i="31"/>
  <c r="G120" i="31"/>
  <c r="I120" i="31"/>
  <c r="D108" i="31"/>
  <c r="H108" i="31"/>
  <c r="I108" i="31"/>
  <c r="D107" i="31"/>
  <c r="H107" i="31"/>
  <c r="I107" i="31"/>
  <c r="G106" i="31"/>
  <c r="I106" i="31"/>
  <c r="D105" i="31"/>
  <c r="H105" i="31"/>
  <c r="I105" i="31"/>
  <c r="G104" i="31"/>
  <c r="I104" i="31"/>
  <c r="D102" i="31"/>
  <c r="H102" i="31"/>
  <c r="I102" i="31"/>
  <c r="H101" i="31"/>
  <c r="I101" i="31"/>
  <c r="F98" i="31"/>
  <c r="H84" i="31"/>
  <c r="I84" i="31"/>
  <c r="D83" i="31"/>
  <c r="H83" i="31"/>
  <c r="I83" i="31"/>
  <c r="G82" i="31"/>
  <c r="I82" i="31"/>
  <c r="D80" i="31"/>
  <c r="H80" i="31"/>
  <c r="I80" i="31"/>
  <c r="G79" i="31"/>
  <c r="I79" i="31"/>
  <c r="H61" i="31"/>
  <c r="I61" i="31"/>
  <c r="G61" i="31"/>
  <c r="H59" i="31"/>
  <c r="I59" i="31"/>
  <c r="G58" i="31"/>
  <c r="I58" i="31"/>
  <c r="G55" i="31"/>
  <c r="H303" i="32"/>
  <c r="G303" i="32"/>
  <c r="H321" i="30"/>
  <c r="C10" i="14"/>
  <c r="K10" i="14"/>
  <c r="E10" i="14"/>
  <c r="G15" i="14"/>
  <c r="D16" i="14"/>
  <c r="G16" i="14"/>
  <c r="I16" i="14"/>
  <c r="D17" i="14"/>
  <c r="G17" i="14"/>
  <c r="D18" i="14"/>
  <c r="G18" i="14"/>
  <c r="I18" i="14"/>
  <c r="D19" i="14"/>
  <c r="G19" i="14"/>
  <c r="I19" i="14"/>
  <c r="D23" i="14"/>
  <c r="G23" i="14"/>
  <c r="H24" i="14"/>
  <c r="D28" i="14"/>
  <c r="G28" i="14"/>
  <c r="I28" i="14"/>
  <c r="D29" i="14"/>
  <c r="G31" i="14"/>
  <c r="I31" i="14"/>
  <c r="D32" i="14"/>
  <c r="H32" i="14"/>
  <c r="I32" i="14"/>
  <c r="F32" i="14"/>
  <c r="G33" i="14"/>
  <c r="I33" i="14"/>
  <c r="D34" i="14"/>
  <c r="F34" i="14"/>
  <c r="D35" i="14"/>
  <c r="H35" i="14"/>
  <c r="I35" i="14"/>
  <c r="F35" i="14"/>
  <c r="D36" i="14"/>
  <c r="H36" i="14"/>
  <c r="I36" i="14"/>
  <c r="D37" i="14"/>
  <c r="F38" i="14"/>
  <c r="F39" i="14"/>
  <c r="D40" i="14"/>
  <c r="G40" i="14"/>
  <c r="I40" i="14"/>
  <c r="H41" i="14"/>
  <c r="I41" i="14"/>
  <c r="H42" i="14"/>
  <c r="I42" i="14"/>
  <c r="D43" i="14"/>
  <c r="F43" i="14"/>
  <c r="G47" i="14"/>
  <c r="I47" i="14"/>
  <c r="D48" i="14"/>
  <c r="H48" i="14"/>
  <c r="F48" i="14"/>
  <c r="D49" i="14"/>
  <c r="H49" i="14"/>
  <c r="I49" i="14"/>
  <c r="F49" i="14"/>
  <c r="D50" i="14"/>
  <c r="G50" i="14"/>
  <c r="I50" i="14"/>
  <c r="H51" i="14"/>
  <c r="I51" i="14"/>
  <c r="D52" i="14"/>
  <c r="D53" i="14"/>
  <c r="H53" i="14"/>
  <c r="I53" i="14"/>
  <c r="F54" i="14"/>
  <c r="H54" i="14"/>
  <c r="I54" i="14"/>
  <c r="G55" i="14"/>
  <c r="I55" i="14"/>
  <c r="D56" i="14"/>
  <c r="H56" i="14"/>
  <c r="I56" i="14"/>
  <c r="F56" i="14"/>
  <c r="D57" i="14"/>
  <c r="H57" i="14"/>
  <c r="I57" i="14"/>
  <c r="F57" i="14"/>
  <c r="D58" i="14"/>
  <c r="F59" i="14"/>
  <c r="D60" i="14"/>
  <c r="F61" i="14"/>
  <c r="D63" i="14"/>
  <c r="D64" i="14"/>
  <c r="H64" i="14"/>
  <c r="I64" i="14"/>
  <c r="D65" i="14"/>
  <c r="D66" i="14"/>
  <c r="H66" i="14"/>
  <c r="I66" i="14"/>
  <c r="F66" i="14"/>
  <c r="F67" i="14"/>
  <c r="H71" i="14"/>
  <c r="D72" i="14"/>
  <c r="G72" i="14"/>
  <c r="K72" i="14"/>
  <c r="G73" i="14"/>
  <c r="I73" i="14"/>
  <c r="F74" i="14"/>
  <c r="H74" i="14"/>
  <c r="I74" i="14"/>
  <c r="D75" i="14"/>
  <c r="F75" i="14"/>
  <c r="D76" i="14"/>
  <c r="F76" i="14"/>
  <c r="D77" i="14"/>
  <c r="F77" i="14"/>
  <c r="D78" i="14"/>
  <c r="H78" i="14"/>
  <c r="I78" i="14"/>
  <c r="D79" i="14"/>
  <c r="H80" i="14"/>
  <c r="I80" i="14"/>
  <c r="H81" i="14"/>
  <c r="I81" i="14"/>
  <c r="F82" i="14"/>
  <c r="F84" i="14"/>
  <c r="H84" i="14"/>
  <c r="I84" i="14"/>
  <c r="F85" i="14"/>
  <c r="H85" i="14"/>
  <c r="I85" i="14"/>
  <c r="D86" i="14"/>
  <c r="F86" i="14"/>
  <c r="D88" i="14"/>
  <c r="D89" i="14"/>
  <c r="D90" i="14"/>
  <c r="H90" i="14"/>
  <c r="I90" i="14"/>
  <c r="D92" i="14"/>
  <c r="G93" i="14"/>
  <c r="H93" i="14"/>
  <c r="D95" i="14"/>
  <c r="H95" i="14"/>
  <c r="I95" i="14"/>
  <c r="D96" i="14"/>
  <c r="H96" i="14"/>
  <c r="I96" i="14"/>
  <c r="D97" i="14"/>
  <c r="H97" i="14"/>
  <c r="I97" i="14"/>
  <c r="G97" i="14"/>
  <c r="D98" i="14"/>
  <c r="D99" i="14"/>
  <c r="D100" i="14"/>
  <c r="H100" i="14"/>
  <c r="I100" i="14"/>
  <c r="F99" i="14"/>
  <c r="F100" i="14"/>
  <c r="D101" i="14"/>
  <c r="H101" i="14"/>
  <c r="I101" i="14"/>
  <c r="D102" i="14"/>
  <c r="F103" i="14"/>
  <c r="F104" i="14"/>
  <c r="H105" i="14"/>
  <c r="I105" i="14"/>
  <c r="G106" i="14"/>
  <c r="I106" i="14"/>
  <c r="D107" i="14"/>
  <c r="H107" i="14"/>
  <c r="I107" i="14"/>
  <c r="F107" i="14"/>
  <c r="D108" i="14"/>
  <c r="H108" i="14"/>
  <c r="I108" i="14"/>
  <c r="F108" i="14"/>
  <c r="D109" i="14"/>
  <c r="H109" i="14"/>
  <c r="I109" i="14"/>
  <c r="D110" i="14"/>
  <c r="H110" i="14"/>
  <c r="I110" i="14"/>
  <c r="D112" i="14"/>
  <c r="D113" i="14"/>
  <c r="D114" i="14"/>
  <c r="H114" i="14"/>
  <c r="I114" i="14"/>
  <c r="D118" i="14"/>
  <c r="F119" i="14"/>
  <c r="F120" i="14"/>
  <c r="F121" i="14"/>
  <c r="F122" i="14"/>
  <c r="F123" i="14"/>
  <c r="F124" i="14"/>
  <c r="F125" i="14"/>
  <c r="F126" i="14"/>
  <c r="D128" i="14"/>
  <c r="D129" i="14"/>
  <c r="H129" i="14"/>
  <c r="I129" i="14"/>
  <c r="D131" i="14"/>
  <c r="D132" i="14"/>
  <c r="H132" i="14"/>
  <c r="I132" i="14"/>
  <c r="D133" i="14"/>
  <c r="D134" i="14"/>
  <c r="F137" i="14"/>
  <c r="F138" i="14"/>
  <c r="D139" i="14"/>
  <c r="G139" i="14"/>
  <c r="I139" i="14"/>
  <c r="F140" i="14"/>
  <c r="H140" i="14"/>
  <c r="I140" i="14"/>
  <c r="D141" i="14"/>
  <c r="F141" i="14"/>
  <c r="H142" i="14"/>
  <c r="I142" i="14"/>
  <c r="H143" i="14"/>
  <c r="I143" i="14"/>
  <c r="D144" i="14"/>
  <c r="F146" i="14"/>
  <c r="F148" i="14"/>
  <c r="F149" i="14"/>
  <c r="G153" i="14"/>
  <c r="G155" i="14"/>
  <c r="H153" i="14"/>
  <c r="K153" i="14"/>
  <c r="D159" i="14"/>
  <c r="F160" i="14"/>
  <c r="H160" i="14"/>
  <c r="I160" i="14"/>
  <c r="F161" i="14"/>
  <c r="H161" i="14"/>
  <c r="I161" i="14"/>
  <c r="D162" i="14"/>
  <c r="H162" i="14"/>
  <c r="I162" i="14"/>
  <c r="F162" i="14"/>
  <c r="D163" i="14"/>
  <c r="G163" i="14"/>
  <c r="I163" i="14"/>
  <c r="F164" i="14"/>
  <c r="H164" i="14"/>
  <c r="I164" i="14"/>
  <c r="F165" i="14"/>
  <c r="H165" i="14"/>
  <c r="I165" i="14"/>
  <c r="F166" i="14"/>
  <c r="H166" i="14"/>
  <c r="I166" i="14"/>
  <c r="H167" i="14"/>
  <c r="I167" i="14"/>
  <c r="F169" i="14"/>
  <c r="H169" i="14"/>
  <c r="I169" i="14"/>
  <c r="G169" i="14"/>
  <c r="D173" i="14"/>
  <c r="D175" i="14"/>
  <c r="H175" i="14"/>
  <c r="I175" i="14"/>
  <c r="F174" i="14"/>
  <c r="F177" i="14"/>
  <c r="F178" i="14"/>
  <c r="F179" i="14"/>
  <c r="F180" i="14"/>
  <c r="F181" i="14"/>
  <c r="F183" i="14"/>
  <c r="D184" i="14"/>
  <c r="H184" i="14"/>
  <c r="I184" i="14"/>
  <c r="F184" i="14"/>
  <c r="F185" i="14"/>
  <c r="D186" i="14"/>
  <c r="F187" i="14"/>
  <c r="F188" i="14"/>
  <c r="F189" i="14"/>
  <c r="F190" i="14"/>
  <c r="F191" i="14"/>
  <c r="F192" i="14"/>
  <c r="D193" i="14"/>
  <c r="F194" i="14"/>
  <c r="F195" i="14"/>
  <c r="D200" i="14"/>
  <c r="G200" i="14"/>
  <c r="I200" i="14"/>
  <c r="F201" i="14"/>
  <c r="I202" i="14"/>
  <c r="D203" i="14"/>
  <c r="G203" i="14"/>
  <c r="I203" i="14"/>
  <c r="F204" i="14"/>
  <c r="F206" i="14"/>
  <c r="F208" i="14"/>
  <c r="F209" i="14"/>
  <c r="D210" i="14"/>
  <c r="F211" i="14"/>
  <c r="G212" i="14"/>
  <c r="I212" i="14"/>
  <c r="H213" i="14"/>
  <c r="I213" i="14"/>
  <c r="H214" i="14"/>
  <c r="I214" i="14"/>
  <c r="D215" i="14"/>
  <c r="H215" i="14"/>
  <c r="I215" i="14"/>
  <c r="G219" i="14"/>
  <c r="D220" i="14"/>
  <c r="F220" i="14"/>
  <c r="D221" i="14"/>
  <c r="F221" i="14"/>
  <c r="D222" i="14"/>
  <c r="F223" i="14"/>
  <c r="D224" i="14"/>
  <c r="D225" i="14"/>
  <c r="G224" i="14"/>
  <c r="I224" i="14"/>
  <c r="F225" i="14"/>
  <c r="D226" i="14"/>
  <c r="F227" i="14"/>
  <c r="F229" i="14"/>
  <c r="F231" i="14"/>
  <c r="F232" i="14"/>
  <c r="D233" i="14"/>
  <c r="G233" i="14"/>
  <c r="I233" i="14"/>
  <c r="F234" i="14"/>
  <c r="D235" i="14"/>
  <c r="F236" i="14"/>
  <c r="F237" i="14"/>
  <c r="F238" i="14"/>
  <c r="D239" i="14"/>
  <c r="D241" i="14"/>
  <c r="F242" i="14"/>
  <c r="F245" i="14"/>
  <c r="F243" i="14"/>
  <c r="D244" i="14"/>
  <c r="D247" i="14"/>
  <c r="F248" i="14"/>
  <c r="D250" i="14"/>
  <c r="F251" i="14"/>
  <c r="F252" i="14"/>
  <c r="D254" i="14"/>
  <c r="F255" i="14"/>
  <c r="F256" i="14"/>
  <c r="D258" i="14"/>
  <c r="F259" i="14"/>
  <c r="G260" i="14"/>
  <c r="I260" i="14"/>
  <c r="H261" i="14"/>
  <c r="I261" i="14"/>
  <c r="D265" i="14"/>
  <c r="F266" i="14"/>
  <c r="F267" i="14"/>
  <c r="D268" i="14"/>
  <c r="G268" i="14"/>
  <c r="I268" i="14"/>
  <c r="F269" i="14"/>
  <c r="D270" i="14"/>
  <c r="H270" i="14"/>
  <c r="I270" i="14"/>
  <c r="D271" i="14"/>
  <c r="F271" i="14"/>
  <c r="F272" i="14"/>
  <c r="G276" i="14"/>
  <c r="H277" i="14"/>
  <c r="I277" i="14"/>
  <c r="H278" i="14"/>
  <c r="H279" i="14"/>
  <c r="I279" i="14"/>
  <c r="H281" i="14"/>
  <c r="I281" i="14"/>
  <c r="H282" i="14"/>
  <c r="I282" i="14"/>
  <c r="D283" i="14"/>
  <c r="H285" i="14"/>
  <c r="I285" i="14"/>
  <c r="H286" i="14"/>
  <c r="I286" i="14"/>
  <c r="D287" i="14"/>
  <c r="D284" i="14"/>
  <c r="H288" i="14"/>
  <c r="I288" i="14"/>
  <c r="H289" i="14"/>
  <c r="I289" i="14"/>
  <c r="H290" i="14"/>
  <c r="I290" i="14"/>
  <c r="H291" i="14"/>
  <c r="I291" i="14"/>
  <c r="H292" i="14"/>
  <c r="I292" i="14"/>
  <c r="G293" i="14"/>
  <c r="I293" i="14"/>
  <c r="H293" i="14"/>
  <c r="F294" i="14"/>
  <c r="G296" i="14"/>
  <c r="H296" i="14"/>
  <c r="F297" i="14"/>
  <c r="H297" i="14"/>
  <c r="I297" i="14"/>
  <c r="D299" i="14"/>
  <c r="D298" i="14"/>
  <c r="H300" i="14"/>
  <c r="I300" i="14"/>
  <c r="H301" i="14"/>
  <c r="I301" i="14"/>
  <c r="H302" i="14"/>
  <c r="I302" i="14"/>
  <c r="H303" i="14"/>
  <c r="I303" i="14"/>
  <c r="H305" i="14"/>
  <c r="I305" i="14"/>
  <c r="H306" i="14"/>
  <c r="I306" i="14"/>
  <c r="H307" i="14"/>
  <c r="I307" i="14"/>
  <c r="H308" i="14"/>
  <c r="I308" i="14"/>
  <c r="D309" i="14"/>
  <c r="H309" i="14"/>
  <c r="I309" i="14"/>
  <c r="F309" i="14"/>
  <c r="H310" i="14"/>
  <c r="I310" i="14"/>
  <c r="H311" i="14"/>
  <c r="I311" i="14"/>
  <c r="H312" i="14"/>
  <c r="I312" i="14"/>
  <c r="D313" i="14"/>
  <c r="H313" i="14"/>
  <c r="I313" i="14"/>
  <c r="H314" i="14"/>
  <c r="I314" i="14"/>
  <c r="H315" i="14"/>
  <c r="I315" i="14"/>
  <c r="H316" i="14"/>
  <c r="I316" i="14"/>
  <c r="H317" i="14"/>
  <c r="I317" i="14"/>
  <c r="D319" i="14"/>
  <c r="F320" i="14"/>
  <c r="H320" i="14"/>
  <c r="I320" i="14"/>
  <c r="F321" i="14"/>
  <c r="H321" i="14"/>
  <c r="I321" i="14"/>
  <c r="F322" i="14"/>
  <c r="H322" i="14"/>
  <c r="I322" i="14"/>
  <c r="F323" i="14"/>
  <c r="H323" i="14"/>
  <c r="I323" i="14"/>
  <c r="F324" i="14"/>
  <c r="H324" i="14"/>
  <c r="I324" i="14"/>
  <c r="H325" i="14"/>
  <c r="I325" i="14"/>
  <c r="D326" i="14"/>
  <c r="H326" i="14"/>
  <c r="I326" i="14"/>
  <c r="F326" i="14"/>
  <c r="F327" i="14"/>
  <c r="H327" i="14"/>
  <c r="I327" i="14"/>
  <c r="D328" i="14"/>
  <c r="H328" i="14"/>
  <c r="I328" i="14"/>
  <c r="D329" i="14"/>
  <c r="H329" i="14"/>
  <c r="I329" i="14"/>
  <c r="H330" i="14"/>
  <c r="I330" i="14"/>
  <c r="H331" i="14"/>
  <c r="I331" i="14"/>
  <c r="H332" i="14"/>
  <c r="I332" i="14"/>
  <c r="H333" i="14"/>
  <c r="I333" i="14"/>
  <c r="D334" i="14"/>
  <c r="H334" i="14"/>
  <c r="I334" i="14"/>
  <c r="H335" i="14"/>
  <c r="I335" i="14"/>
  <c r="H336" i="14"/>
  <c r="I336" i="14"/>
  <c r="H337" i="14"/>
  <c r="I337" i="14"/>
  <c r="G338" i="14"/>
  <c r="I338" i="14"/>
  <c r="H339" i="14"/>
  <c r="I339" i="14"/>
  <c r="H340" i="14"/>
  <c r="I340" i="14"/>
  <c r="H341" i="14"/>
  <c r="I341" i="14"/>
  <c r="H342" i="14"/>
  <c r="I342" i="14"/>
  <c r="F343" i="14"/>
  <c r="H343" i="14"/>
  <c r="I343" i="14"/>
  <c r="G344" i="14"/>
  <c r="I344" i="14"/>
  <c r="F345" i="14"/>
  <c r="H345" i="14"/>
  <c r="I345" i="14"/>
  <c r="F346" i="14"/>
  <c r="H346" i="14"/>
  <c r="I346" i="14"/>
  <c r="F347" i="14"/>
  <c r="H347" i="14"/>
  <c r="I347" i="14"/>
  <c r="F348" i="14"/>
  <c r="H348" i="14"/>
  <c r="I348" i="14"/>
  <c r="F349" i="14"/>
  <c r="H349" i="14"/>
  <c r="I349" i="14"/>
  <c r="F350" i="14"/>
  <c r="H350" i="14"/>
  <c r="I350" i="14"/>
  <c r="F351" i="14"/>
  <c r="H351" i="14"/>
  <c r="I351" i="14"/>
  <c r="H352" i="14"/>
  <c r="I352" i="14"/>
  <c r="H353" i="14"/>
  <c r="I353" i="14"/>
  <c r="H354" i="14"/>
  <c r="I354" i="14"/>
  <c r="H355" i="14"/>
  <c r="I355" i="14"/>
  <c r="H356" i="14"/>
  <c r="I356" i="14"/>
  <c r="H357" i="14"/>
  <c r="I357" i="14"/>
  <c r="H358" i="14"/>
  <c r="I358" i="14"/>
  <c r="H359" i="14"/>
  <c r="I359" i="14"/>
  <c r="H360" i="14"/>
  <c r="I360" i="14"/>
  <c r="D361" i="14"/>
  <c r="H361" i="14"/>
  <c r="I361" i="14"/>
  <c r="H362" i="14"/>
  <c r="I362" i="14"/>
  <c r="H363" i="14"/>
  <c r="I363" i="14"/>
  <c r="H364" i="14"/>
  <c r="I364" i="14"/>
  <c r="G366" i="14"/>
  <c r="H366" i="14"/>
  <c r="D371" i="14"/>
  <c r="D372" i="14"/>
  <c r="G372" i="14"/>
  <c r="I372" i="14"/>
  <c r="H373" i="14"/>
  <c r="I373" i="14"/>
  <c r="D375" i="14"/>
  <c r="H375" i="14"/>
  <c r="I375" i="14"/>
  <c r="D376" i="14"/>
  <c r="G376" i="14"/>
  <c r="I376" i="14"/>
  <c r="H377" i="14"/>
  <c r="I377" i="14"/>
  <c r="H378" i="14"/>
  <c r="I378" i="14"/>
  <c r="H379" i="14"/>
  <c r="I379" i="14"/>
  <c r="H380" i="14"/>
  <c r="I380" i="14"/>
  <c r="D381" i="14"/>
  <c r="H381" i="14"/>
  <c r="I381" i="14"/>
  <c r="D382" i="14"/>
  <c r="H382" i="14"/>
  <c r="I382" i="14"/>
  <c r="D383" i="14"/>
  <c r="H383" i="14"/>
  <c r="I383" i="14"/>
  <c r="D384" i="14"/>
  <c r="H384" i="14"/>
  <c r="I384" i="14"/>
  <c r="D385" i="14"/>
  <c r="H385" i="14"/>
  <c r="I385" i="14"/>
  <c r="D386" i="14"/>
  <c r="G386" i="14"/>
  <c r="I386" i="14"/>
  <c r="H387" i="14"/>
  <c r="I387" i="14"/>
  <c r="H388" i="14"/>
  <c r="I388" i="14"/>
  <c r="D390" i="14"/>
  <c r="D389" i="14"/>
  <c r="G389" i="14"/>
  <c r="I389" i="14"/>
  <c r="F390" i="14"/>
  <c r="D394" i="14"/>
  <c r="G394" i="14"/>
  <c r="I394" i="14"/>
  <c r="F395" i="14"/>
  <c r="H395" i="14"/>
  <c r="I395" i="14"/>
  <c r="F396" i="14"/>
  <c r="H396" i="14"/>
  <c r="I396" i="14"/>
  <c r="D397" i="14"/>
  <c r="G397" i="14"/>
  <c r="I397" i="14"/>
  <c r="H398" i="14"/>
  <c r="I398" i="14"/>
  <c r="H399" i="14"/>
  <c r="I399" i="14"/>
  <c r="H400" i="14"/>
  <c r="I400" i="14"/>
  <c r="H401" i="14"/>
  <c r="I401" i="14"/>
  <c r="H402" i="14"/>
  <c r="I402" i="14"/>
  <c r="H403" i="14"/>
  <c r="I403" i="14"/>
  <c r="H404" i="14"/>
  <c r="I404" i="14"/>
  <c r="H405" i="14"/>
  <c r="I405" i="14"/>
  <c r="H406" i="14"/>
  <c r="I406" i="14"/>
  <c r="F407" i="14"/>
  <c r="H407" i="14"/>
  <c r="I407" i="14"/>
  <c r="F408" i="14"/>
  <c r="H408" i="14"/>
  <c r="I408" i="14"/>
  <c r="F409" i="14"/>
  <c r="H409" i="14"/>
  <c r="I409" i="14"/>
  <c r="D410" i="14"/>
  <c r="G410" i="14"/>
  <c r="I410" i="14"/>
  <c r="H411" i="14"/>
  <c r="I411" i="14"/>
  <c r="D416" i="14"/>
  <c r="H417" i="14"/>
  <c r="I417" i="14"/>
  <c r="H418" i="14"/>
  <c r="I418" i="14"/>
  <c r="H419" i="14"/>
  <c r="I419" i="14"/>
  <c r="H420" i="14"/>
  <c r="I420" i="14"/>
  <c r="H421" i="14"/>
  <c r="I421" i="14"/>
  <c r="H422" i="14"/>
  <c r="I422" i="14"/>
  <c r="H423" i="14"/>
  <c r="I423" i="14"/>
  <c r="H424" i="14"/>
  <c r="I424" i="14"/>
  <c r="D425" i="14"/>
  <c r="H425" i="14"/>
  <c r="I425" i="14"/>
  <c r="H427" i="14"/>
  <c r="I427" i="14"/>
  <c r="H428" i="14"/>
  <c r="I428" i="14"/>
  <c r="G431" i="14"/>
  <c r="I431" i="14"/>
  <c r="H432" i="14"/>
  <c r="I432" i="14"/>
  <c r="F433" i="14"/>
  <c r="H433" i="14"/>
  <c r="I433" i="14"/>
  <c r="I434" i="14"/>
  <c r="G435" i="14"/>
  <c r="I435" i="14"/>
  <c r="H436" i="14"/>
  <c r="I436" i="14"/>
  <c r="H437" i="14"/>
  <c r="I437" i="14"/>
  <c r="H438" i="14"/>
  <c r="I438" i="14"/>
  <c r="H439" i="14"/>
  <c r="I439" i="14"/>
  <c r="H440" i="14"/>
  <c r="I440" i="14"/>
  <c r="H441" i="14"/>
  <c r="I441" i="14"/>
  <c r="H442" i="14"/>
  <c r="I442" i="14"/>
  <c r="H443" i="14"/>
  <c r="I443" i="14"/>
  <c r="H444" i="14"/>
  <c r="I444" i="14"/>
  <c r="F445" i="14"/>
  <c r="H445" i="14"/>
  <c r="I445" i="14"/>
  <c r="H446" i="14"/>
  <c r="I446" i="14"/>
  <c r="H447" i="14"/>
  <c r="I447" i="14"/>
  <c r="I448" i="14"/>
  <c r="D449" i="14"/>
  <c r="F450" i="14"/>
  <c r="H450" i="14"/>
  <c r="I450" i="14"/>
  <c r="H451" i="14"/>
  <c r="I451" i="14"/>
  <c r="H452" i="14"/>
  <c r="I452" i="14"/>
  <c r="H453" i="14"/>
  <c r="I453" i="14"/>
  <c r="D454" i="14"/>
  <c r="G454" i="14"/>
  <c r="I454" i="14"/>
  <c r="F455" i="14"/>
  <c r="H455" i="14"/>
  <c r="I455" i="14"/>
  <c r="H456" i="14"/>
  <c r="I456" i="14"/>
  <c r="H458" i="14"/>
  <c r="I458" i="14"/>
  <c r="I459" i="14"/>
  <c r="H460" i="14"/>
  <c r="I460" i="14"/>
  <c r="G461" i="14"/>
  <c r="I461" i="14"/>
  <c r="H462" i="14"/>
  <c r="I462" i="14"/>
  <c r="I463" i="14"/>
  <c r="D464" i="14"/>
  <c r="I464" i="14"/>
  <c r="I473" i="14"/>
  <c r="G474" i="14"/>
  <c r="I474" i="14"/>
  <c r="H475" i="14"/>
  <c r="I475" i="14"/>
  <c r="D476" i="14"/>
  <c r="H476" i="14"/>
  <c r="I476" i="14"/>
  <c r="I477" i="14"/>
  <c r="F479" i="14"/>
  <c r="D480" i="14"/>
  <c r="G480" i="14"/>
  <c r="I480" i="14"/>
  <c r="F481" i="14"/>
  <c r="H481" i="14"/>
  <c r="I481" i="14"/>
  <c r="H482" i="14"/>
  <c r="I482" i="14"/>
  <c r="D483" i="14"/>
  <c r="G483" i="14"/>
  <c r="I483" i="14"/>
  <c r="F484" i="14"/>
  <c r="H484" i="14"/>
  <c r="I484" i="14"/>
  <c r="I485" i="14"/>
  <c r="H486" i="14"/>
  <c r="I486" i="14"/>
  <c r="H487" i="14"/>
  <c r="I487" i="14"/>
  <c r="I488" i="14"/>
  <c r="G489" i="14"/>
  <c r="I489" i="14"/>
  <c r="D490" i="14"/>
  <c r="H490" i="14"/>
  <c r="I490" i="14"/>
  <c r="H492" i="14"/>
  <c r="I492" i="14"/>
  <c r="H493" i="14"/>
  <c r="I493" i="14"/>
  <c r="H494" i="14"/>
  <c r="I494" i="14"/>
  <c r="D495" i="14"/>
  <c r="D496" i="14"/>
  <c r="H496" i="14"/>
  <c r="I496" i="14"/>
  <c r="H497" i="14"/>
  <c r="I497" i="14"/>
  <c r="D498" i="14"/>
  <c r="H498" i="14"/>
  <c r="I498" i="14"/>
  <c r="H499" i="14"/>
  <c r="I499" i="14"/>
  <c r="D501" i="14"/>
  <c r="D503" i="14"/>
  <c r="D502" i="14"/>
  <c r="G502" i="14"/>
  <c r="I502" i="14"/>
  <c r="D504" i="14"/>
  <c r="D505" i="14"/>
  <c r="I507" i="14"/>
  <c r="D509" i="14"/>
  <c r="D508" i="14"/>
  <c r="H508" i="14"/>
  <c r="D510" i="14"/>
  <c r="H510" i="14"/>
  <c r="I510" i="14"/>
  <c r="D511" i="14"/>
  <c r="H511" i="14"/>
  <c r="I511" i="14"/>
  <c r="H512" i="14"/>
  <c r="I512" i="14"/>
  <c r="I513" i="14"/>
  <c r="D514" i="14"/>
  <c r="G514" i="14"/>
  <c r="I514" i="14"/>
  <c r="H515" i="14"/>
  <c r="I515" i="14"/>
  <c r="H516" i="14"/>
  <c r="I516" i="14"/>
  <c r="H517" i="14"/>
  <c r="I517" i="14"/>
  <c r="D518" i="14"/>
  <c r="H518" i="14"/>
  <c r="I518" i="14"/>
  <c r="F519" i="14"/>
  <c r="H519" i="14"/>
  <c r="I519" i="14"/>
  <c r="D520" i="14"/>
  <c r="H520" i="14"/>
  <c r="I520" i="14"/>
  <c r="H521" i="14"/>
  <c r="I521" i="14"/>
  <c r="I522" i="14"/>
  <c r="I523" i="14"/>
  <c r="D524" i="14"/>
  <c r="D525" i="14"/>
  <c r="D523" i="14"/>
  <c r="D526" i="14"/>
  <c r="F526" i="14"/>
  <c r="I533" i="14"/>
  <c r="D534" i="14"/>
  <c r="H534" i="14"/>
  <c r="I534" i="14"/>
  <c r="I535" i="14"/>
  <c r="D536" i="14"/>
  <c r="D537" i="14"/>
  <c r="H537" i="14"/>
  <c r="I537" i="14"/>
  <c r="I538" i="14"/>
  <c r="D539" i="14"/>
  <c r="F539" i="14"/>
  <c r="H541" i="14"/>
  <c r="I541" i="14"/>
  <c r="H542" i="14"/>
  <c r="I542" i="14"/>
  <c r="D543" i="14"/>
  <c r="H543" i="14"/>
  <c r="I543" i="14"/>
  <c r="D540" i="14"/>
  <c r="F543" i="14"/>
  <c r="F544" i="14"/>
  <c r="H544" i="14"/>
  <c r="I544" i="14"/>
  <c r="H545" i="14"/>
  <c r="I545" i="14"/>
  <c r="D546" i="14"/>
  <c r="H546" i="14"/>
  <c r="I546" i="14"/>
  <c r="D547" i="14"/>
  <c r="H547" i="14"/>
  <c r="I547" i="14"/>
  <c r="D548" i="14"/>
  <c r="H548" i="14"/>
  <c r="I548" i="14"/>
  <c r="D549" i="14"/>
  <c r="I549" i="14"/>
  <c r="H550" i="14"/>
  <c r="I550" i="14"/>
  <c r="H551" i="14"/>
  <c r="I551" i="14"/>
  <c r="H552" i="14"/>
  <c r="I552" i="14"/>
  <c r="H553" i="14"/>
  <c r="I553" i="14"/>
  <c r="H554" i="14"/>
  <c r="I554" i="14"/>
  <c r="H555" i="14"/>
  <c r="I555" i="14"/>
  <c r="H556" i="14"/>
  <c r="I556" i="14"/>
  <c r="D557" i="14"/>
  <c r="H557" i="14"/>
  <c r="I557" i="14"/>
  <c r="H558" i="14"/>
  <c r="I558" i="14"/>
  <c r="H559" i="14"/>
  <c r="I559" i="14"/>
  <c r="H560" i="14"/>
  <c r="I560" i="14"/>
  <c r="H561" i="14"/>
  <c r="I561" i="14"/>
  <c r="D563" i="14"/>
  <c r="H563" i="14"/>
  <c r="I563" i="14"/>
  <c r="D564" i="14"/>
  <c r="H564" i="14"/>
  <c r="I564" i="14"/>
  <c r="G569" i="14"/>
  <c r="G570" i="14"/>
  <c r="I570" i="14"/>
  <c r="G571" i="14"/>
  <c r="I571" i="14"/>
  <c r="H571" i="14"/>
  <c r="H572" i="14"/>
  <c r="I2" i="22"/>
  <c r="I3" i="22"/>
  <c r="I4" i="22"/>
  <c r="I15" i="22"/>
  <c r="I16" i="22"/>
  <c r="I17" i="22"/>
  <c r="I18" i="22"/>
  <c r="I19" i="22"/>
  <c r="I20" i="22"/>
  <c r="I21" i="22"/>
  <c r="I25" i="22"/>
  <c r="I26" i="22"/>
  <c r="I30" i="22"/>
  <c r="B40" i="22"/>
  <c r="C40" i="22"/>
  <c r="D40" i="22"/>
  <c r="B41" i="22"/>
  <c r="C41" i="22"/>
  <c r="D41" i="22"/>
  <c r="D44" i="22"/>
  <c r="D45" i="22"/>
  <c r="D46" i="22"/>
  <c r="D47" i="22"/>
  <c r="D48" i="22"/>
  <c r="D49" i="22"/>
  <c r="D50" i="22"/>
  <c r="D54" i="22"/>
  <c r="D55" i="22"/>
  <c r="D56" i="22"/>
  <c r="D57" i="22"/>
  <c r="D58" i="22"/>
  <c r="D59" i="22"/>
  <c r="D60" i="22"/>
  <c r="C64" i="22"/>
  <c r="D64" i="22"/>
  <c r="D71" i="22"/>
  <c r="C65" i="22"/>
  <c r="D65" i="22"/>
  <c r="C66" i="22"/>
  <c r="D66" i="22"/>
  <c r="D67" i="22"/>
  <c r="D68" i="22"/>
  <c r="D69" i="22"/>
  <c r="D70" i="22"/>
  <c r="C79" i="22"/>
  <c r="E135" i="28"/>
  <c r="E136" i="28"/>
  <c r="H309" i="33"/>
  <c r="I309" i="33"/>
  <c r="E137" i="28"/>
  <c r="H310" i="33"/>
  <c r="I310" i="33"/>
  <c r="E138" i="28"/>
  <c r="H311" i="33"/>
  <c r="I311" i="33"/>
  <c r="E139" i="28"/>
  <c r="H312" i="33"/>
  <c r="I312" i="33"/>
  <c r="E140" i="28"/>
  <c r="H313" i="33"/>
  <c r="I313" i="33"/>
  <c r="E141" i="28"/>
  <c r="H314" i="33"/>
  <c r="I314" i="33"/>
  <c r="E142" i="28"/>
  <c r="H315" i="33"/>
  <c r="I315" i="33"/>
  <c r="E143" i="28"/>
  <c r="H316" i="33"/>
  <c r="I316" i="33"/>
  <c r="E144" i="28"/>
  <c r="H332" i="31"/>
  <c r="I332" i="31"/>
  <c r="E145" i="28"/>
  <c r="H318" i="33"/>
  <c r="I318" i="33"/>
  <c r="E146" i="28"/>
  <c r="E147" i="28"/>
  <c r="E148" i="28"/>
  <c r="E149" i="28"/>
  <c r="E151" i="28"/>
  <c r="E152" i="28"/>
  <c r="G303" i="33"/>
  <c r="I303" i="33"/>
  <c r="E154" i="28"/>
  <c r="H301" i="33"/>
  <c r="I301" i="33"/>
  <c r="E155" i="28"/>
  <c r="H302" i="33"/>
  <c r="I302" i="33"/>
  <c r="E157" i="28"/>
  <c r="H300" i="33"/>
  <c r="I300" i="33"/>
  <c r="E163" i="28"/>
  <c r="E2" i="18"/>
  <c r="F84" i="18"/>
  <c r="B76" i="18"/>
  <c r="G84" i="18"/>
  <c r="C76" i="18"/>
  <c r="H84" i="18"/>
  <c r="D76" i="18"/>
  <c r="I84" i="18"/>
  <c r="J84" i="18"/>
  <c r="K84" i="18"/>
  <c r="L84" i="18"/>
  <c r="M84" i="18"/>
  <c r="C77" i="18"/>
  <c r="N84" i="18"/>
  <c r="O84" i="18"/>
  <c r="P84" i="18"/>
  <c r="Q84" i="18"/>
  <c r="R84" i="18"/>
  <c r="B79" i="18"/>
  <c r="S84" i="18"/>
  <c r="T84" i="18"/>
  <c r="E87" i="18"/>
  <c r="F87" i="18"/>
  <c r="F86" i="18"/>
  <c r="E88" i="18"/>
  <c r="F88" i="18"/>
  <c r="E89" i="18"/>
  <c r="F89" i="18"/>
  <c r="E90" i="18"/>
  <c r="F90" i="18"/>
  <c r="E91" i="18"/>
  <c r="E92" i="18"/>
  <c r="B125" i="18"/>
  <c r="C95" i="18"/>
  <c r="D95" i="18"/>
  <c r="E2" i="21"/>
  <c r="J2" i="21"/>
  <c r="E3" i="21"/>
  <c r="J3" i="21"/>
  <c r="E4" i="21"/>
  <c r="J4" i="21"/>
  <c r="E5" i="21"/>
  <c r="J5" i="21"/>
  <c r="E6" i="21"/>
  <c r="J6" i="21"/>
  <c r="E8" i="21"/>
  <c r="E11" i="21"/>
  <c r="J11" i="21"/>
  <c r="E12" i="21"/>
  <c r="J12" i="21"/>
  <c r="E16" i="21"/>
  <c r="J16" i="21"/>
  <c r="E17" i="21"/>
  <c r="J17" i="21"/>
  <c r="E18" i="21"/>
  <c r="J18" i="21"/>
  <c r="E19" i="21"/>
  <c r="J19" i="21"/>
  <c r="E20" i="21"/>
  <c r="J20" i="21"/>
  <c r="E21" i="21"/>
  <c r="E22" i="21"/>
  <c r="E23" i="21"/>
  <c r="E24" i="21"/>
  <c r="E25" i="21"/>
  <c r="E26" i="21"/>
  <c r="E28" i="21"/>
  <c r="E29" i="21"/>
  <c r="E30" i="21"/>
  <c r="G33" i="21"/>
  <c r="E31" i="21"/>
  <c r="Q2" i="27"/>
  <c r="Q3" i="27"/>
  <c r="Q4" i="27"/>
  <c r="Q5" i="27"/>
  <c r="Q6" i="27"/>
  <c r="Q7" i="27"/>
  <c r="Q8" i="27"/>
  <c r="Q9" i="27"/>
  <c r="Q10" i="27"/>
  <c r="Q11" i="27"/>
  <c r="Q12" i="27"/>
  <c r="O13" i="27"/>
  <c r="Q13" i="27"/>
  <c r="O14" i="27"/>
  <c r="Q14" i="27"/>
  <c r="D25" i="27"/>
  <c r="O26" i="27"/>
  <c r="Q26" i="27"/>
  <c r="O27" i="27"/>
  <c r="Q27" i="27"/>
  <c r="Q28" i="27"/>
  <c r="J29" i="27"/>
  <c r="Q29" i="27"/>
  <c r="Q30" i="27"/>
  <c r="Q31" i="27"/>
  <c r="Q32" i="27"/>
  <c r="O35" i="27"/>
  <c r="Q35" i="27"/>
  <c r="O36" i="27"/>
  <c r="Q36" i="27"/>
  <c r="Q45" i="27"/>
  <c r="Q37" i="27"/>
  <c r="Q38" i="27"/>
  <c r="Q39" i="27"/>
  <c r="Q40" i="27"/>
  <c r="I41" i="27"/>
  <c r="Q41" i="27"/>
  <c r="Q42" i="27"/>
  <c r="Q43" i="27"/>
  <c r="Q44" i="27"/>
  <c r="F47" i="27"/>
  <c r="O48" i="27"/>
  <c r="Q48" i="27"/>
  <c r="Q49" i="27"/>
  <c r="Q50" i="27"/>
  <c r="Q51" i="27"/>
  <c r="Q52" i="27"/>
  <c r="Q53" i="27"/>
  <c r="O57" i="27"/>
  <c r="Q57" i="27"/>
  <c r="O58" i="27"/>
  <c r="Q58" i="27"/>
  <c r="Q59" i="27"/>
  <c r="Q63" i="27"/>
  <c r="Q60" i="27"/>
  <c r="Q61" i="27"/>
  <c r="Q62" i="27"/>
  <c r="K7" i="32"/>
  <c r="L7" i="32"/>
  <c r="C10" i="32"/>
  <c r="K36" i="32"/>
  <c r="K38" i="32"/>
  <c r="G55" i="32"/>
  <c r="H56" i="32"/>
  <c r="I56" i="32"/>
  <c r="D57" i="32"/>
  <c r="H57" i="32"/>
  <c r="I57" i="32"/>
  <c r="G58" i="32"/>
  <c r="H58" i="32"/>
  <c r="I58" i="32"/>
  <c r="G75" i="32"/>
  <c r="I75" i="32"/>
  <c r="D76" i="32"/>
  <c r="H76" i="32"/>
  <c r="I76" i="32"/>
  <c r="G78" i="32"/>
  <c r="I78" i="32"/>
  <c r="D79" i="32"/>
  <c r="H79" i="32"/>
  <c r="I79" i="32"/>
  <c r="D80" i="32"/>
  <c r="G81" i="32"/>
  <c r="I81" i="32"/>
  <c r="H82" i="32"/>
  <c r="I82" i="32"/>
  <c r="H83" i="32"/>
  <c r="I83" i="32"/>
  <c r="H84" i="32"/>
  <c r="I84" i="32"/>
  <c r="H85" i="32"/>
  <c r="I85" i="32"/>
  <c r="H86" i="32"/>
  <c r="I86" i="32"/>
  <c r="H87" i="32"/>
  <c r="I87" i="32"/>
  <c r="H88" i="32"/>
  <c r="I88" i="32"/>
  <c r="F90" i="32"/>
  <c r="G91" i="32"/>
  <c r="I91" i="32"/>
  <c r="D93" i="32"/>
  <c r="H93" i="32"/>
  <c r="I93" i="32"/>
  <c r="D94" i="32"/>
  <c r="G96" i="32"/>
  <c r="I96" i="32"/>
  <c r="D97" i="32"/>
  <c r="H97" i="32"/>
  <c r="I97" i="32"/>
  <c r="G98" i="32"/>
  <c r="I98" i="32"/>
  <c r="D99" i="32"/>
  <c r="H99" i="32"/>
  <c r="I99" i="32"/>
  <c r="D100" i="32"/>
  <c r="H100" i="32"/>
  <c r="I100" i="32"/>
  <c r="G111" i="32"/>
  <c r="I111" i="32"/>
  <c r="D112" i="32"/>
  <c r="H112" i="32"/>
  <c r="I112" i="32"/>
  <c r="D113" i="32"/>
  <c r="H113" i="32"/>
  <c r="I113" i="32"/>
  <c r="G114" i="32"/>
  <c r="I114" i="32"/>
  <c r="D115" i="32"/>
  <c r="H115" i="32"/>
  <c r="I115" i="32"/>
  <c r="D116" i="32"/>
  <c r="H116" i="32"/>
  <c r="I116" i="32"/>
  <c r="H123" i="32"/>
  <c r="I123" i="32"/>
  <c r="H128" i="32"/>
  <c r="I128" i="32"/>
  <c r="H129" i="32"/>
  <c r="I129" i="32"/>
  <c r="G134" i="32"/>
  <c r="I134" i="32"/>
  <c r="G137" i="32"/>
  <c r="I137" i="32"/>
  <c r="D143" i="32"/>
  <c r="H143" i="32"/>
  <c r="I143" i="32"/>
  <c r="G147" i="32"/>
  <c r="I147" i="32"/>
  <c r="H148" i="32"/>
  <c r="I148" i="32"/>
  <c r="H149" i="32"/>
  <c r="I149" i="32"/>
  <c r="H150" i="32"/>
  <c r="I150" i="32"/>
  <c r="G154" i="32"/>
  <c r="I154" i="32"/>
  <c r="H155" i="32"/>
  <c r="I155" i="32"/>
  <c r="H156" i="32"/>
  <c r="I156" i="32"/>
  <c r="H157" i="32"/>
  <c r="I157" i="32"/>
  <c r="H158" i="32"/>
  <c r="I158" i="32"/>
  <c r="H159" i="32"/>
  <c r="I159" i="32"/>
  <c r="H160" i="32"/>
  <c r="I160" i="32"/>
  <c r="H161" i="32"/>
  <c r="I161" i="32"/>
  <c r="H162" i="32"/>
  <c r="I162" i="32"/>
  <c r="G189" i="32"/>
  <c r="H189" i="32"/>
  <c r="G190" i="32"/>
  <c r="I190" i="32"/>
  <c r="D191" i="32"/>
  <c r="F191" i="32"/>
  <c r="H191" i="32"/>
  <c r="H192" i="32"/>
  <c r="I192" i="32"/>
  <c r="H193" i="32"/>
  <c r="I193" i="32"/>
  <c r="H194" i="32"/>
  <c r="I194" i="32"/>
  <c r="G195" i="32"/>
  <c r="H195" i="32"/>
  <c r="H196" i="32"/>
  <c r="I196" i="32"/>
  <c r="H197" i="32"/>
  <c r="I197" i="32"/>
  <c r="H198" i="32"/>
  <c r="I198" i="32"/>
  <c r="G200" i="32"/>
  <c r="H200" i="32"/>
  <c r="I200" i="32"/>
  <c r="H201" i="32"/>
  <c r="I201" i="32"/>
  <c r="H202" i="32"/>
  <c r="I202" i="32"/>
  <c r="H203" i="32"/>
  <c r="I203" i="32"/>
  <c r="H204" i="32"/>
  <c r="I204" i="32"/>
  <c r="H205" i="32"/>
  <c r="I205" i="32"/>
  <c r="H206" i="32"/>
  <c r="I206" i="32"/>
  <c r="H207" i="32"/>
  <c r="I207" i="32"/>
  <c r="H208" i="32"/>
  <c r="I208" i="32"/>
  <c r="H209" i="32"/>
  <c r="I209" i="32"/>
  <c r="D210" i="32"/>
  <c r="D211" i="32"/>
  <c r="H211" i="32"/>
  <c r="G214" i="32"/>
  <c r="H214" i="32"/>
  <c r="H215" i="32"/>
  <c r="I215" i="32"/>
  <c r="H216" i="32"/>
  <c r="I216" i="32"/>
  <c r="H217" i="32"/>
  <c r="I217" i="32"/>
  <c r="H218" i="32"/>
  <c r="I218" i="32"/>
  <c r="H219" i="32"/>
  <c r="I219" i="32"/>
  <c r="H220" i="32"/>
  <c r="I220" i="32"/>
  <c r="H221" i="32"/>
  <c r="I221" i="32"/>
  <c r="H222" i="32"/>
  <c r="I222" i="32"/>
  <c r="H223" i="32"/>
  <c r="I223" i="32"/>
  <c r="H224" i="32"/>
  <c r="I224" i="32"/>
  <c r="H225" i="32"/>
  <c r="I225" i="32"/>
  <c r="H226" i="32"/>
  <c r="I226" i="32"/>
  <c r="H227" i="32"/>
  <c r="I227" i="32"/>
  <c r="I228" i="32"/>
  <c r="G229" i="32"/>
  <c r="I229" i="32"/>
  <c r="H230" i="32"/>
  <c r="I230" i="32"/>
  <c r="F231" i="32"/>
  <c r="H231" i="32"/>
  <c r="I231" i="32"/>
  <c r="H232" i="32"/>
  <c r="I232" i="32"/>
  <c r="H233" i="32"/>
  <c r="I233" i="32"/>
  <c r="D234" i="32"/>
  <c r="G234" i="32"/>
  <c r="H277" i="32"/>
  <c r="I277" i="32"/>
  <c r="H278" i="32"/>
  <c r="I278" i="32"/>
  <c r="H279" i="32"/>
  <c r="I279" i="32"/>
  <c r="H280" i="32"/>
  <c r="I280" i="32"/>
  <c r="G281" i="32"/>
  <c r="I281" i="32"/>
  <c r="H282" i="32"/>
  <c r="I282" i="32"/>
  <c r="H285" i="32"/>
  <c r="I285" i="32"/>
  <c r="H286" i="32"/>
  <c r="I286" i="32"/>
  <c r="H287" i="32"/>
  <c r="I287" i="32"/>
  <c r="H288" i="32"/>
  <c r="I288" i="32"/>
  <c r="H289" i="32"/>
  <c r="I289" i="32"/>
  <c r="H290" i="32"/>
  <c r="I290" i="32"/>
  <c r="H291" i="32"/>
  <c r="I291" i="32"/>
  <c r="H292" i="32"/>
  <c r="I292" i="32"/>
  <c r="H293" i="32"/>
  <c r="I293" i="32"/>
  <c r="H294" i="32"/>
  <c r="I294" i="32"/>
  <c r="H309" i="32"/>
  <c r="H310" i="32"/>
  <c r="I310" i="32"/>
  <c r="H311" i="32"/>
  <c r="I311" i="32"/>
  <c r="G313" i="32"/>
  <c r="I313" i="32"/>
  <c r="F314" i="32"/>
  <c r="H314" i="32"/>
  <c r="F315" i="32"/>
  <c r="H315" i="32"/>
  <c r="I315" i="32"/>
  <c r="D317" i="32"/>
  <c r="G317" i="32"/>
  <c r="D319" i="32"/>
  <c r="G319" i="32"/>
  <c r="H320" i="32"/>
  <c r="I320" i="32"/>
  <c r="H321" i="32"/>
  <c r="I321" i="32"/>
  <c r="F326" i="32"/>
  <c r="H328" i="32"/>
  <c r="I328" i="32"/>
  <c r="F338" i="32"/>
  <c r="G339" i="32"/>
  <c r="I339" i="32"/>
  <c r="D343" i="32"/>
  <c r="H343" i="32"/>
  <c r="I343" i="32"/>
  <c r="G348" i="32"/>
  <c r="I348" i="32"/>
  <c r="F350" i="32"/>
  <c r="J358" i="32"/>
  <c r="G371" i="32"/>
  <c r="I371" i="32"/>
  <c r="D376" i="32"/>
  <c r="H376" i="32"/>
  <c r="I376" i="32"/>
  <c r="D383" i="32"/>
  <c r="H383" i="32"/>
  <c r="I383" i="32"/>
  <c r="G408" i="32"/>
  <c r="I408" i="32"/>
  <c r="D409" i="32"/>
  <c r="H409" i="32"/>
  <c r="I409" i="32"/>
  <c r="H410" i="32"/>
  <c r="I410" i="32"/>
  <c r="H411" i="32"/>
  <c r="I411" i="32"/>
  <c r="D412" i="32"/>
  <c r="H412" i="32"/>
  <c r="I412" i="32"/>
  <c r="G416" i="32"/>
  <c r="H417" i="32"/>
  <c r="I417" i="32"/>
  <c r="H418" i="32"/>
  <c r="I418" i="32"/>
  <c r="H419" i="32"/>
  <c r="I419" i="32"/>
  <c r="G420" i="32"/>
  <c r="I420" i="32"/>
  <c r="H421" i="32"/>
  <c r="I421" i="32"/>
  <c r="H422" i="32"/>
  <c r="I422" i="32"/>
  <c r="H423" i="32"/>
  <c r="G424" i="32"/>
  <c r="H424" i="32"/>
  <c r="H425" i="32"/>
  <c r="I425" i="32"/>
  <c r="H426" i="32"/>
  <c r="I426" i="32"/>
  <c r="H427" i="32"/>
  <c r="I427" i="32"/>
  <c r="H428" i="32"/>
  <c r="I428" i="32"/>
  <c r="H429" i="32"/>
  <c r="I429" i="32"/>
  <c r="H430" i="32"/>
  <c r="I430" i="32"/>
  <c r="H431" i="32"/>
  <c r="I431" i="32"/>
  <c r="H432" i="32"/>
  <c r="I432" i="32"/>
  <c r="H433" i="32"/>
  <c r="I433" i="32"/>
  <c r="G434" i="32"/>
  <c r="H434" i="32"/>
  <c r="F435" i="32"/>
  <c r="H435" i="32"/>
  <c r="G436" i="32"/>
  <c r="H436" i="32"/>
  <c r="H437" i="32"/>
  <c r="I437" i="32"/>
  <c r="H438" i="32"/>
  <c r="I438" i="32"/>
  <c r="H439" i="32"/>
  <c r="I439" i="32"/>
  <c r="H440" i="32"/>
  <c r="I440" i="32"/>
  <c r="H441" i="32"/>
  <c r="I441" i="32"/>
  <c r="H442" i="32"/>
  <c r="I442" i="32"/>
  <c r="H443" i="32"/>
  <c r="I443" i="32"/>
  <c r="H444" i="32"/>
  <c r="I444" i="32"/>
  <c r="G446" i="32"/>
  <c r="H446" i="32"/>
  <c r="H447" i="32"/>
  <c r="I447" i="32"/>
  <c r="H448" i="32"/>
  <c r="I448" i="32"/>
  <c r="H449" i="32"/>
  <c r="I449" i="32"/>
  <c r="H450" i="32"/>
  <c r="I450" i="32"/>
  <c r="F451" i="32"/>
  <c r="H451" i="32"/>
  <c r="H452" i="32"/>
  <c r="I452" i="32"/>
  <c r="H453" i="32"/>
  <c r="I453" i="32"/>
  <c r="H454" i="32"/>
  <c r="I454" i="32"/>
  <c r="H455" i="32"/>
  <c r="I455" i="32"/>
  <c r="H456" i="32"/>
  <c r="I456" i="32"/>
  <c r="H457" i="32"/>
  <c r="I457" i="32"/>
  <c r="H458" i="32"/>
  <c r="I458" i="32"/>
  <c r="H459" i="32"/>
  <c r="I459" i="32"/>
  <c r="H460" i="32"/>
  <c r="I460" i="32"/>
  <c r="H461" i="32"/>
  <c r="I461" i="32"/>
  <c r="G462" i="32"/>
  <c r="H462" i="32"/>
  <c r="H463" i="32"/>
  <c r="I463" i="32"/>
  <c r="F464" i="32"/>
  <c r="H464" i="32"/>
  <c r="I464" i="32"/>
  <c r="F465" i="32"/>
  <c r="H465" i="32"/>
  <c r="I465" i="32"/>
  <c r="F466" i="32"/>
  <c r="H466" i="32"/>
  <c r="I466" i="32"/>
  <c r="F467" i="32"/>
  <c r="H467" i="32"/>
  <c r="I467" i="32"/>
  <c r="F468" i="32"/>
  <c r="H468" i="32"/>
  <c r="I468" i="32"/>
  <c r="H469" i="32"/>
  <c r="I469" i="32"/>
  <c r="F470" i="32"/>
  <c r="H470" i="32"/>
  <c r="I470" i="32"/>
  <c r="F471" i="32"/>
  <c r="H471" i="32"/>
  <c r="I471" i="32"/>
  <c r="H472" i="32"/>
  <c r="I472" i="32"/>
  <c r="H473" i="32"/>
  <c r="I473" i="32"/>
  <c r="H474" i="32"/>
  <c r="I474" i="32"/>
  <c r="H475" i="32"/>
  <c r="I475" i="32"/>
  <c r="H476" i="32"/>
  <c r="I476" i="32"/>
  <c r="H477" i="32"/>
  <c r="I477" i="32"/>
  <c r="H478" i="32"/>
  <c r="I478" i="32"/>
  <c r="H479" i="32"/>
  <c r="I479" i="32"/>
  <c r="H480" i="32"/>
  <c r="I480" i="32"/>
  <c r="H481" i="32"/>
  <c r="I481" i="32"/>
  <c r="H482" i="32"/>
  <c r="I482" i="32"/>
  <c r="G483" i="32"/>
  <c r="I483" i="32"/>
  <c r="H484" i="32"/>
  <c r="I484" i="32"/>
  <c r="H485" i="32"/>
  <c r="I485" i="32"/>
  <c r="H486" i="32"/>
  <c r="I486" i="32"/>
  <c r="H487" i="32"/>
  <c r="I487" i="32"/>
  <c r="F488" i="32"/>
  <c r="H488" i="32"/>
  <c r="I488" i="32"/>
  <c r="G489" i="32"/>
  <c r="I489" i="32"/>
  <c r="F490" i="32"/>
  <c r="H490" i="32"/>
  <c r="I490" i="32"/>
  <c r="F491" i="32"/>
  <c r="H491" i="32"/>
  <c r="I491" i="32"/>
  <c r="F492" i="32"/>
  <c r="H492" i="32"/>
  <c r="I492" i="32"/>
  <c r="F493" i="32"/>
  <c r="H493" i="32"/>
  <c r="I493" i="32"/>
  <c r="F494" i="32"/>
  <c r="H494" i="32"/>
  <c r="I494" i="32"/>
  <c r="F495" i="32"/>
  <c r="H495" i="32"/>
  <c r="I495" i="32"/>
  <c r="F496" i="32"/>
  <c r="H496" i="32"/>
  <c r="I496" i="32"/>
  <c r="H497" i="32"/>
  <c r="I497" i="32"/>
  <c r="H498" i="32"/>
  <c r="I498" i="32"/>
  <c r="H499" i="32"/>
  <c r="I499" i="32"/>
  <c r="H500" i="32"/>
  <c r="I500" i="32"/>
  <c r="H501" i="32"/>
  <c r="I501" i="32"/>
  <c r="H502" i="32"/>
  <c r="I502" i="32"/>
  <c r="H503" i="32"/>
  <c r="I503" i="32"/>
  <c r="H504" i="32"/>
  <c r="I504" i="32"/>
  <c r="H505" i="32"/>
  <c r="I505" i="32"/>
  <c r="H506" i="32"/>
  <c r="I506" i="32"/>
  <c r="H507" i="32"/>
  <c r="I507" i="32"/>
  <c r="H508" i="32"/>
  <c r="I508" i="32"/>
  <c r="H509" i="32"/>
  <c r="I509" i="32"/>
  <c r="H510" i="32"/>
  <c r="I510" i="32"/>
  <c r="H511" i="32"/>
  <c r="I511" i="32"/>
  <c r="G513" i="32"/>
  <c r="H513" i="32"/>
  <c r="I513" i="32"/>
  <c r="G517" i="32"/>
  <c r="I517" i="32"/>
  <c r="H518" i="32"/>
  <c r="I518" i="32"/>
  <c r="G519" i="32"/>
  <c r="I519" i="32"/>
  <c r="H520" i="32"/>
  <c r="G521" i="32"/>
  <c r="H522" i="32"/>
  <c r="I522" i="32"/>
  <c r="G523" i="32"/>
  <c r="I523" i="32"/>
  <c r="H524" i="32"/>
  <c r="I524" i="32"/>
  <c r="H525" i="32"/>
  <c r="I525" i="32"/>
  <c r="H526" i="32"/>
  <c r="I526" i="32"/>
  <c r="H527" i="32"/>
  <c r="I527" i="32"/>
  <c r="H528" i="32"/>
  <c r="I528" i="32"/>
  <c r="H529" i="32"/>
  <c r="H530" i="32"/>
  <c r="I530" i="32"/>
  <c r="H531" i="32"/>
  <c r="I531" i="32"/>
  <c r="H532" i="32"/>
  <c r="I532" i="32"/>
  <c r="D533" i="32"/>
  <c r="G533" i="32"/>
  <c r="F534" i="32"/>
  <c r="H534" i="32"/>
  <c r="D538" i="32"/>
  <c r="G538" i="32"/>
  <c r="F539" i="32"/>
  <c r="H539" i="32"/>
  <c r="I539" i="32"/>
  <c r="F540" i="32"/>
  <c r="H540" i="32"/>
  <c r="F541" i="32"/>
  <c r="H541" i="32"/>
  <c r="D542" i="32"/>
  <c r="G542" i="32"/>
  <c r="H543" i="32"/>
  <c r="I543" i="32"/>
  <c r="H544" i="32"/>
  <c r="I544" i="32"/>
  <c r="H545" i="32"/>
  <c r="I545" i="32"/>
  <c r="H546" i="32"/>
  <c r="I546" i="32"/>
  <c r="H547" i="32"/>
  <c r="I547" i="32"/>
  <c r="H548" i="32"/>
  <c r="I548" i="32"/>
  <c r="H549" i="32"/>
  <c r="I549" i="32"/>
  <c r="H550" i="32"/>
  <c r="I550" i="32"/>
  <c r="G551" i="32"/>
  <c r="I551" i="32"/>
  <c r="H552" i="32"/>
  <c r="I552" i="32"/>
  <c r="H553" i="32"/>
  <c r="I553" i="32"/>
  <c r="H554" i="32"/>
  <c r="I554" i="32"/>
  <c r="H555" i="32"/>
  <c r="I555" i="32"/>
  <c r="H556" i="32"/>
  <c r="I556" i="32"/>
  <c r="H557" i="32"/>
  <c r="I557" i="32"/>
  <c r="H558" i="32"/>
  <c r="I558" i="32"/>
  <c r="H559" i="32"/>
  <c r="I559" i="32"/>
  <c r="H560" i="32"/>
  <c r="I560" i="32"/>
  <c r="D561" i="32"/>
  <c r="G561" i="32"/>
  <c r="I561" i="32"/>
  <c r="H562" i="32"/>
  <c r="I562" i="32"/>
  <c r="H563" i="32"/>
  <c r="I563" i="32"/>
  <c r="D568" i="32"/>
  <c r="D581" i="32"/>
  <c r="G581" i="32"/>
  <c r="I581" i="32"/>
  <c r="H569" i="32"/>
  <c r="I569" i="32"/>
  <c r="H570" i="32"/>
  <c r="I570" i="32"/>
  <c r="H571" i="32"/>
  <c r="H572" i="32"/>
  <c r="I572" i="32"/>
  <c r="H573" i="32"/>
  <c r="I573" i="32"/>
  <c r="H574" i="32"/>
  <c r="I574" i="32"/>
  <c r="H575" i="32"/>
  <c r="I575" i="32"/>
  <c r="H576" i="32"/>
  <c r="I576" i="32"/>
  <c r="H577" i="32"/>
  <c r="I577" i="32"/>
  <c r="H579" i="32"/>
  <c r="I579" i="32"/>
  <c r="H580" i="32"/>
  <c r="I580" i="32"/>
  <c r="H582" i="32"/>
  <c r="I582" i="32"/>
  <c r="G583" i="32"/>
  <c r="I583" i="32"/>
  <c r="H584" i="32"/>
  <c r="I584" i="32"/>
  <c r="F585" i="32"/>
  <c r="H585" i="32"/>
  <c r="I585" i="32"/>
  <c r="I586" i="32"/>
  <c r="G587" i="32"/>
  <c r="I587" i="32"/>
  <c r="H588" i="32"/>
  <c r="I588" i="32"/>
  <c r="H589" i="32"/>
  <c r="I589" i="32"/>
  <c r="H590" i="32"/>
  <c r="I590" i="32"/>
  <c r="H591" i="32"/>
  <c r="I591" i="32"/>
  <c r="H592" i="32"/>
  <c r="I592" i="32"/>
  <c r="H593" i="32"/>
  <c r="I593" i="32"/>
  <c r="H594" i="32"/>
  <c r="I594" i="32"/>
  <c r="H595" i="32"/>
  <c r="I595" i="32"/>
  <c r="H596" i="32"/>
  <c r="I596" i="32"/>
  <c r="H597" i="32"/>
  <c r="I597" i="32"/>
  <c r="F598" i="32"/>
  <c r="H598" i="32"/>
  <c r="I598" i="32"/>
  <c r="I599" i="32"/>
  <c r="D600" i="32"/>
  <c r="G600" i="32"/>
  <c r="I600" i="32"/>
  <c r="F601" i="32"/>
  <c r="H601" i="32"/>
  <c r="I601" i="32"/>
  <c r="H602" i="32"/>
  <c r="I602" i="32"/>
  <c r="H603" i="32"/>
  <c r="I603" i="32"/>
  <c r="H604" i="32"/>
  <c r="I604" i="32"/>
  <c r="D605" i="32"/>
  <c r="G605" i="32"/>
  <c r="I605" i="32"/>
  <c r="F606" i="32"/>
  <c r="H606" i="32"/>
  <c r="I606" i="32"/>
  <c r="H607" i="32"/>
  <c r="I607" i="32"/>
  <c r="H609" i="32"/>
  <c r="I609" i="32"/>
  <c r="I610" i="32"/>
  <c r="H611" i="32"/>
  <c r="I611" i="32"/>
  <c r="H612" i="32"/>
  <c r="I612" i="32"/>
  <c r="D613" i="32"/>
  <c r="G613" i="32"/>
  <c r="I613" i="32"/>
  <c r="H614" i="32"/>
  <c r="I614" i="32"/>
  <c r="H615" i="32"/>
  <c r="I615" i="32"/>
  <c r="I616" i="32"/>
  <c r="D617" i="32"/>
  <c r="G617" i="32"/>
  <c r="I617" i="32"/>
  <c r="H618" i="32"/>
  <c r="I618" i="32"/>
  <c r="H619" i="32"/>
  <c r="I619" i="32"/>
  <c r="H620" i="32"/>
  <c r="I620" i="32"/>
  <c r="H621" i="32"/>
  <c r="I621" i="32"/>
  <c r="H622" i="32"/>
  <c r="I622" i="32"/>
  <c r="H623" i="32"/>
  <c r="I623" i="32"/>
  <c r="H624" i="32"/>
  <c r="I624" i="32"/>
  <c r="H626" i="32"/>
  <c r="I626" i="32"/>
  <c r="H627" i="32"/>
  <c r="I627" i="32"/>
  <c r="H628" i="32"/>
  <c r="I628" i="32"/>
  <c r="D631" i="32"/>
  <c r="I632" i="32"/>
  <c r="F634" i="32"/>
  <c r="D635" i="32"/>
  <c r="G635" i="32"/>
  <c r="I635" i="32"/>
  <c r="F636" i="32"/>
  <c r="H636" i="32"/>
  <c r="I636" i="32"/>
  <c r="D637" i="32"/>
  <c r="G637" i="32"/>
  <c r="I637" i="32"/>
  <c r="F638" i="32"/>
  <c r="H638" i="32"/>
  <c r="I638" i="32"/>
  <c r="I639" i="32"/>
  <c r="H640" i="32"/>
  <c r="I640" i="32"/>
  <c r="H641" i="32"/>
  <c r="I641" i="32"/>
  <c r="I642" i="32"/>
  <c r="G643" i="32"/>
  <c r="I643" i="32"/>
  <c r="H644" i="32"/>
  <c r="I644" i="32"/>
  <c r="D645" i="32"/>
  <c r="G645" i="32"/>
  <c r="I645" i="32"/>
  <c r="H646" i="32"/>
  <c r="I646" i="32"/>
  <c r="H647" i="32"/>
  <c r="I647" i="32"/>
  <c r="H648" i="32"/>
  <c r="I648" i="32"/>
  <c r="H649" i="32"/>
  <c r="I649" i="32"/>
  <c r="H650" i="32"/>
  <c r="I650" i="32"/>
  <c r="H651" i="32"/>
  <c r="I651" i="32"/>
  <c r="H652" i="32"/>
  <c r="I652" i="32"/>
  <c r="H653" i="32"/>
  <c r="I653" i="32"/>
  <c r="D654" i="32"/>
  <c r="G654" i="32"/>
  <c r="I654" i="32"/>
  <c r="H655" i="32"/>
  <c r="I655" i="32"/>
  <c r="D656" i="32"/>
  <c r="G656" i="32"/>
  <c r="I656" i="32"/>
  <c r="H657" i="32"/>
  <c r="I657" i="32"/>
  <c r="D658" i="32"/>
  <c r="H658" i="32"/>
  <c r="I658" i="32"/>
  <c r="I661" i="32"/>
  <c r="D662" i="32"/>
  <c r="H662" i="32"/>
  <c r="H663" i="32"/>
  <c r="I663" i="32"/>
  <c r="H664" i="32"/>
  <c r="I664" i="32"/>
  <c r="H665" i="32"/>
  <c r="I665" i="32"/>
  <c r="H666" i="32"/>
  <c r="I666" i="32"/>
  <c r="I667" i="32"/>
  <c r="D668" i="32"/>
  <c r="G668" i="32"/>
  <c r="I668" i="32"/>
  <c r="H669" i="32"/>
  <c r="I669" i="32"/>
  <c r="H670" i="32"/>
  <c r="I670" i="32"/>
  <c r="H671" i="32"/>
  <c r="I671" i="32"/>
  <c r="H672" i="32"/>
  <c r="I672" i="32"/>
  <c r="F673" i="32"/>
  <c r="H673" i="32"/>
  <c r="I673" i="32"/>
  <c r="H674" i="32"/>
  <c r="I674" i="32"/>
  <c r="H675" i="32"/>
  <c r="I675" i="32"/>
  <c r="I676" i="32"/>
  <c r="D677" i="32"/>
  <c r="G677" i="32"/>
  <c r="I677" i="32"/>
  <c r="H678" i="32"/>
  <c r="I678" i="32"/>
  <c r="H679" i="32"/>
  <c r="I679" i="32"/>
  <c r="F680" i="32"/>
  <c r="H680" i="32"/>
  <c r="I680" i="32"/>
  <c r="H681" i="32"/>
  <c r="I681" i="32"/>
  <c r="H682" i="32"/>
  <c r="I682" i="32"/>
  <c r="H683" i="32"/>
  <c r="I683" i="32"/>
  <c r="I688" i="32"/>
  <c r="H689" i="32"/>
  <c r="I689" i="32"/>
  <c r="I690" i="32"/>
  <c r="H691" i="32"/>
  <c r="H692" i="32"/>
  <c r="I692" i="32"/>
  <c r="I693" i="32"/>
  <c r="D694" i="32"/>
  <c r="F694" i="32"/>
  <c r="D695" i="32"/>
  <c r="H695" i="32"/>
  <c r="I695" i="32"/>
  <c r="H696" i="32"/>
  <c r="I696" i="32"/>
  <c r="H697" i="32"/>
  <c r="I697" i="32"/>
  <c r="F698" i="32"/>
  <c r="H698" i="32"/>
  <c r="I698" i="32"/>
  <c r="F699" i="32"/>
  <c r="H699" i="32"/>
  <c r="I699" i="32"/>
  <c r="H700" i="32"/>
  <c r="I700" i="32"/>
  <c r="H701" i="32"/>
  <c r="I701" i="32"/>
  <c r="H702" i="32"/>
  <c r="I702" i="32"/>
  <c r="H703" i="32"/>
  <c r="I703" i="32"/>
  <c r="D704" i="32"/>
  <c r="I704" i="32"/>
  <c r="H705" i="32"/>
  <c r="I705" i="32"/>
  <c r="H706" i="32"/>
  <c r="I706" i="32"/>
  <c r="H707" i="32"/>
  <c r="I707" i="32"/>
  <c r="H708" i="32"/>
  <c r="I708" i="32"/>
  <c r="H709" i="32"/>
  <c r="I709" i="32"/>
  <c r="H710" i="32"/>
  <c r="I710" i="32"/>
  <c r="H711" i="32"/>
  <c r="I711" i="32"/>
  <c r="H712" i="32"/>
  <c r="I712" i="32"/>
  <c r="H713" i="32"/>
  <c r="I713" i="32"/>
  <c r="H714" i="32"/>
  <c r="I714" i="32"/>
  <c r="H715" i="32"/>
  <c r="I715" i="32"/>
  <c r="H716" i="32"/>
  <c r="I716" i="32"/>
  <c r="D718" i="32"/>
  <c r="H718" i="32"/>
  <c r="I718" i="32"/>
  <c r="D719" i="32"/>
  <c r="H719" i="32"/>
  <c r="I719" i="32"/>
  <c r="G724" i="32"/>
  <c r="H725" i="32"/>
  <c r="K16" i="30"/>
  <c r="K18" i="30"/>
  <c r="K20" i="30"/>
  <c r="K28" i="30"/>
  <c r="K29" i="30"/>
  <c r="K30" i="30"/>
  <c r="K31" i="30"/>
  <c r="K32" i="30"/>
  <c r="K34" i="30"/>
  <c r="K37" i="30"/>
  <c r="K39" i="30"/>
  <c r="G57" i="30"/>
  <c r="I57" i="30"/>
  <c r="H58" i="30"/>
  <c r="I58" i="30"/>
  <c r="G60" i="30"/>
  <c r="H60" i="30"/>
  <c r="I60" i="30"/>
  <c r="H61" i="30"/>
  <c r="I61" i="30"/>
  <c r="H62" i="30"/>
  <c r="I62" i="30"/>
  <c r="H63" i="30"/>
  <c r="I63" i="30"/>
  <c r="H68" i="30"/>
  <c r="I68" i="30"/>
  <c r="H69" i="30"/>
  <c r="I69" i="30"/>
  <c r="H70" i="30"/>
  <c r="I70" i="30"/>
  <c r="H71" i="30"/>
  <c r="I71" i="30"/>
  <c r="H72" i="30"/>
  <c r="I72" i="30"/>
  <c r="H73" i="30"/>
  <c r="I73" i="30"/>
  <c r="G77" i="30"/>
  <c r="I77" i="30"/>
  <c r="D78" i="30"/>
  <c r="H78" i="30"/>
  <c r="I78" i="30"/>
  <c r="G80" i="30"/>
  <c r="I80" i="30"/>
  <c r="D81" i="30"/>
  <c r="H81" i="30"/>
  <c r="I81" i="30"/>
  <c r="D82" i="30"/>
  <c r="D89" i="38"/>
  <c r="D108" i="38" s="1"/>
  <c r="D88" i="37"/>
  <c r="H84" i="30"/>
  <c r="I84" i="30"/>
  <c r="H85" i="30"/>
  <c r="I85" i="30"/>
  <c r="H86" i="30"/>
  <c r="I86" i="30"/>
  <c r="H87" i="30"/>
  <c r="I87" i="30"/>
  <c r="H88" i="30"/>
  <c r="I88" i="30"/>
  <c r="H89" i="30"/>
  <c r="I89" i="30"/>
  <c r="H90" i="30"/>
  <c r="I90" i="30"/>
  <c r="D91" i="30"/>
  <c r="D105" i="38"/>
  <c r="H105" i="38" s="1"/>
  <c r="D104" i="37"/>
  <c r="H104" i="37"/>
  <c r="I104" i="37" s="1"/>
  <c r="D104" i="36"/>
  <c r="D92" i="30"/>
  <c r="D106" i="38"/>
  <c r="G106" i="38" s="1"/>
  <c r="D105" i="37"/>
  <c r="H105" i="37"/>
  <c r="I105" i="37" s="1"/>
  <c r="D105" i="36"/>
  <c r="F94" i="30"/>
  <c r="G95" i="30"/>
  <c r="I95" i="30"/>
  <c r="D97" i="30"/>
  <c r="H97" i="30"/>
  <c r="I97" i="30"/>
  <c r="D98" i="30"/>
  <c r="D112" i="38"/>
  <c r="H112" i="38" s="1"/>
  <c r="D111" i="37"/>
  <c r="H111" i="37"/>
  <c r="I111" i="37" s="1"/>
  <c r="H98" i="30"/>
  <c r="I98" i="30"/>
  <c r="G100" i="30"/>
  <c r="I100" i="30"/>
  <c r="D101" i="30"/>
  <c r="H101" i="30"/>
  <c r="I101" i="30"/>
  <c r="G102" i="30"/>
  <c r="I102" i="30"/>
  <c r="D103" i="30"/>
  <c r="H103" i="30"/>
  <c r="I103" i="30"/>
  <c r="D104" i="30"/>
  <c r="H104" i="30"/>
  <c r="I104" i="30"/>
  <c r="G116" i="30"/>
  <c r="I116" i="30"/>
  <c r="D117" i="30"/>
  <c r="H117" i="30"/>
  <c r="I117" i="30"/>
  <c r="D118" i="30"/>
  <c r="H118" i="30"/>
  <c r="I118" i="30"/>
  <c r="G119" i="30"/>
  <c r="I119" i="30"/>
  <c r="D120" i="30"/>
  <c r="H120" i="30"/>
  <c r="I120" i="30"/>
  <c r="D121" i="30"/>
  <c r="H121" i="30"/>
  <c r="I121" i="30"/>
  <c r="H128" i="30"/>
  <c r="I128" i="30"/>
  <c r="H139" i="30"/>
  <c r="I139" i="30"/>
  <c r="D142" i="30"/>
  <c r="H142" i="30"/>
  <c r="I142" i="30"/>
  <c r="D145" i="30"/>
  <c r="H145" i="30"/>
  <c r="I145" i="30"/>
  <c r="D149" i="30"/>
  <c r="H149" i="30"/>
  <c r="I149" i="30"/>
  <c r="G153" i="30"/>
  <c r="I153" i="30"/>
  <c r="H154" i="30"/>
  <c r="I154" i="30"/>
  <c r="H155" i="30"/>
  <c r="I155" i="30"/>
  <c r="H156" i="30"/>
  <c r="I156" i="30"/>
  <c r="H161" i="30"/>
  <c r="I161" i="30"/>
  <c r="H163" i="30"/>
  <c r="I163" i="30"/>
  <c r="H164" i="30"/>
  <c r="I164" i="30"/>
  <c r="H166" i="30"/>
  <c r="I166" i="30"/>
  <c r="H169" i="30"/>
  <c r="I169" i="30"/>
  <c r="H170" i="30"/>
  <c r="I170" i="30"/>
  <c r="I190" i="30"/>
  <c r="H191" i="30"/>
  <c r="I191" i="30"/>
  <c r="G198" i="30"/>
  <c r="H198" i="30"/>
  <c r="I198" i="30"/>
  <c r="G199" i="30"/>
  <c r="D200" i="30"/>
  <c r="F200" i="30"/>
  <c r="H201" i="30"/>
  <c r="I201" i="30"/>
  <c r="H202" i="30"/>
  <c r="I202" i="30"/>
  <c r="H203" i="30"/>
  <c r="I203" i="30"/>
  <c r="G204" i="30"/>
  <c r="H204" i="30"/>
  <c r="I204" i="30"/>
  <c r="H205" i="30"/>
  <c r="I205" i="30"/>
  <c r="H206" i="30"/>
  <c r="I206" i="30"/>
  <c r="H207" i="30"/>
  <c r="I207" i="30"/>
  <c r="G209" i="30"/>
  <c r="I209" i="30"/>
  <c r="H209" i="30"/>
  <c r="H210" i="30"/>
  <c r="I210" i="30"/>
  <c r="H211" i="30"/>
  <c r="I211" i="30"/>
  <c r="H212" i="30"/>
  <c r="I212" i="30"/>
  <c r="H213" i="30"/>
  <c r="H214" i="30"/>
  <c r="I214" i="30"/>
  <c r="H215" i="30"/>
  <c r="I215" i="30"/>
  <c r="H216" i="30"/>
  <c r="I216" i="30"/>
  <c r="H217" i="30"/>
  <c r="I217" i="30"/>
  <c r="H218" i="30"/>
  <c r="I218" i="30"/>
  <c r="D219" i="30"/>
  <c r="D220" i="30"/>
  <c r="H220" i="30"/>
  <c r="I220" i="30"/>
  <c r="G223" i="30"/>
  <c r="H223" i="30"/>
  <c r="H224" i="30"/>
  <c r="I224" i="30"/>
  <c r="H225" i="30"/>
  <c r="I225" i="30"/>
  <c r="H226" i="30"/>
  <c r="I226" i="30"/>
  <c r="H227" i="30"/>
  <c r="I227" i="30"/>
  <c r="H228" i="30"/>
  <c r="I228" i="30"/>
  <c r="H229" i="30"/>
  <c r="I229" i="30"/>
  <c r="H230" i="30"/>
  <c r="I230" i="30"/>
  <c r="H231" i="30"/>
  <c r="I231" i="30"/>
  <c r="H232" i="30"/>
  <c r="I232" i="30"/>
  <c r="H233" i="30"/>
  <c r="I233" i="30"/>
  <c r="H234" i="30"/>
  <c r="I234" i="30"/>
  <c r="H235" i="30"/>
  <c r="I235" i="30"/>
  <c r="H236" i="30"/>
  <c r="I236" i="30"/>
  <c r="I237" i="30"/>
  <c r="G238" i="30"/>
  <c r="I238" i="30"/>
  <c r="H239" i="30"/>
  <c r="I239" i="30"/>
  <c r="F240" i="30"/>
  <c r="H240" i="30"/>
  <c r="I240" i="30"/>
  <c r="H241" i="30"/>
  <c r="I241" i="30"/>
  <c r="H242" i="30"/>
  <c r="I242" i="30"/>
  <c r="D243" i="30"/>
  <c r="D244" i="30"/>
  <c r="H244" i="30"/>
  <c r="I244" i="30"/>
  <c r="F265" i="30"/>
  <c r="H265" i="30"/>
  <c r="I265" i="30"/>
  <c r="H279" i="30"/>
  <c r="I279" i="30"/>
  <c r="G284" i="30"/>
  <c r="I284" i="30"/>
  <c r="I289" i="30"/>
  <c r="G292" i="30"/>
  <c r="I292" i="30"/>
  <c r="H307" i="30"/>
  <c r="I307" i="30"/>
  <c r="H309" i="30"/>
  <c r="I309" i="30"/>
  <c r="H311" i="30"/>
  <c r="I311" i="30"/>
  <c r="H312" i="30"/>
  <c r="I312" i="30"/>
  <c r="H313" i="30"/>
  <c r="I313" i="30"/>
  <c r="H327" i="30"/>
  <c r="I327" i="30"/>
  <c r="H329" i="30"/>
  <c r="I329" i="30"/>
  <c r="F332" i="30"/>
  <c r="H332" i="30"/>
  <c r="I332" i="30"/>
  <c r="D334" i="30"/>
  <c r="D336" i="30"/>
  <c r="G336" i="30"/>
  <c r="H337" i="30"/>
  <c r="I337" i="30"/>
  <c r="H338" i="30"/>
  <c r="I338" i="30"/>
  <c r="F343" i="30"/>
  <c r="H345" i="30"/>
  <c r="I345" i="30"/>
  <c r="F348" i="30"/>
  <c r="F371" i="30"/>
  <c r="D376" i="30"/>
  <c r="H376" i="30"/>
  <c r="I376" i="30"/>
  <c r="G377" i="30"/>
  <c r="I377" i="30"/>
  <c r="D394" i="30"/>
  <c r="H394" i="30"/>
  <c r="I394" i="30"/>
  <c r="G411" i="30"/>
  <c r="D412" i="30"/>
  <c r="H412" i="30"/>
  <c r="I412" i="30"/>
  <c r="H413" i="30"/>
  <c r="H414" i="30"/>
  <c r="I414" i="30"/>
  <c r="D415" i="30"/>
  <c r="H415" i="30"/>
  <c r="I415" i="30"/>
  <c r="G419" i="30"/>
  <c r="G517" i="30"/>
  <c r="H420" i="30"/>
  <c r="H421" i="30"/>
  <c r="H422" i="30"/>
  <c r="I422" i="30"/>
  <c r="G423" i="30"/>
  <c r="I423" i="30"/>
  <c r="H424" i="30"/>
  <c r="I424" i="30"/>
  <c r="H425" i="30"/>
  <c r="I425" i="30"/>
  <c r="H426" i="30"/>
  <c r="I426" i="30"/>
  <c r="G427" i="30"/>
  <c r="H427" i="30"/>
  <c r="H428" i="30"/>
  <c r="I428" i="30"/>
  <c r="H429" i="30"/>
  <c r="I429" i="30"/>
  <c r="H430" i="30"/>
  <c r="I430" i="30"/>
  <c r="H431" i="30"/>
  <c r="I431" i="30"/>
  <c r="H432" i="30"/>
  <c r="I432" i="30"/>
  <c r="H433" i="30"/>
  <c r="I433" i="30"/>
  <c r="H434" i="30"/>
  <c r="I434" i="30"/>
  <c r="H435" i="30"/>
  <c r="I435" i="30"/>
  <c r="H436" i="30"/>
  <c r="I436" i="30"/>
  <c r="G437" i="30"/>
  <c r="H437" i="30"/>
  <c r="F438" i="30"/>
  <c r="H438" i="30"/>
  <c r="G439" i="30"/>
  <c r="H439" i="30"/>
  <c r="H440" i="30"/>
  <c r="I440" i="30"/>
  <c r="H441" i="30"/>
  <c r="I441" i="30"/>
  <c r="H442" i="30"/>
  <c r="I442" i="30"/>
  <c r="H443" i="30"/>
  <c r="H444" i="30"/>
  <c r="I444" i="30"/>
  <c r="H445" i="30"/>
  <c r="I445" i="30"/>
  <c r="H446" i="30"/>
  <c r="I446" i="30"/>
  <c r="H447" i="30"/>
  <c r="I447" i="30"/>
  <c r="G449" i="30"/>
  <c r="I449" i="30"/>
  <c r="H449" i="30"/>
  <c r="H450" i="30"/>
  <c r="I450" i="30"/>
  <c r="H451" i="30"/>
  <c r="I451" i="30"/>
  <c r="H452" i="30"/>
  <c r="I452" i="30"/>
  <c r="H453" i="30"/>
  <c r="I453" i="30"/>
  <c r="F454" i="30"/>
  <c r="H454" i="30"/>
  <c r="I454" i="30"/>
  <c r="H455" i="30"/>
  <c r="I455" i="30"/>
  <c r="H456" i="30"/>
  <c r="I456" i="30"/>
  <c r="H457" i="30"/>
  <c r="I457" i="30"/>
  <c r="H458" i="30"/>
  <c r="I458" i="30"/>
  <c r="H459" i="30"/>
  <c r="I459" i="30"/>
  <c r="H460" i="30"/>
  <c r="I460" i="30"/>
  <c r="H461" i="30"/>
  <c r="I461" i="30"/>
  <c r="H462" i="30"/>
  <c r="I462" i="30"/>
  <c r="H463" i="30"/>
  <c r="I463" i="30"/>
  <c r="H464" i="30"/>
  <c r="I464" i="30"/>
  <c r="G465" i="30"/>
  <c r="H465" i="30"/>
  <c r="H466" i="30"/>
  <c r="I466" i="30"/>
  <c r="F467" i="30"/>
  <c r="H467" i="30"/>
  <c r="I467" i="30"/>
  <c r="F468" i="30"/>
  <c r="H468" i="30"/>
  <c r="F469" i="30"/>
  <c r="H469" i="30"/>
  <c r="I469" i="30"/>
  <c r="F470" i="30"/>
  <c r="H470" i="30"/>
  <c r="F471" i="30"/>
  <c r="H471" i="30"/>
  <c r="I471" i="30"/>
  <c r="H472" i="30"/>
  <c r="I472" i="30"/>
  <c r="F473" i="30"/>
  <c r="H473" i="30"/>
  <c r="I473" i="30"/>
  <c r="F474" i="30"/>
  <c r="H474" i="30"/>
  <c r="H475" i="30"/>
  <c r="I475" i="30"/>
  <c r="H476" i="30"/>
  <c r="I476" i="30"/>
  <c r="H477" i="30"/>
  <c r="I477" i="30"/>
  <c r="H478" i="30"/>
  <c r="I478" i="30"/>
  <c r="H479" i="30"/>
  <c r="I479" i="30"/>
  <c r="H480" i="30"/>
  <c r="I480" i="30"/>
  <c r="H481" i="30"/>
  <c r="I481" i="30"/>
  <c r="H482" i="30"/>
  <c r="I482" i="30"/>
  <c r="H483" i="30"/>
  <c r="I483" i="30"/>
  <c r="H484" i="30"/>
  <c r="I484" i="30"/>
  <c r="H485" i="30"/>
  <c r="I485" i="30"/>
  <c r="G486" i="30"/>
  <c r="I486" i="30"/>
  <c r="H487" i="30"/>
  <c r="I487" i="30"/>
  <c r="H488" i="30"/>
  <c r="I488" i="30"/>
  <c r="H489" i="30"/>
  <c r="I489" i="30"/>
  <c r="H490" i="30"/>
  <c r="I490" i="30"/>
  <c r="F491" i="30"/>
  <c r="H491" i="30"/>
  <c r="I491" i="30"/>
  <c r="G492" i="30"/>
  <c r="I492" i="30"/>
  <c r="F493" i="30"/>
  <c r="H493" i="30"/>
  <c r="I493" i="30"/>
  <c r="F494" i="30"/>
  <c r="H494" i="30"/>
  <c r="I494" i="30"/>
  <c r="F495" i="30"/>
  <c r="H495" i="30"/>
  <c r="I495" i="30"/>
  <c r="F496" i="30"/>
  <c r="H496" i="30"/>
  <c r="I496" i="30"/>
  <c r="F497" i="30"/>
  <c r="H497" i="30"/>
  <c r="I497" i="30"/>
  <c r="F498" i="30"/>
  <c r="H498" i="30"/>
  <c r="I498" i="30"/>
  <c r="F499" i="30"/>
  <c r="H499" i="30"/>
  <c r="I499" i="30"/>
  <c r="H500" i="30"/>
  <c r="I500" i="30"/>
  <c r="H501" i="30"/>
  <c r="I501" i="30"/>
  <c r="H502" i="30"/>
  <c r="I502" i="30"/>
  <c r="H503" i="30"/>
  <c r="I503" i="30"/>
  <c r="H504" i="30"/>
  <c r="I504" i="30"/>
  <c r="H505" i="30"/>
  <c r="I505" i="30"/>
  <c r="H506" i="30"/>
  <c r="I506" i="30"/>
  <c r="H507" i="30"/>
  <c r="I507" i="30"/>
  <c r="H508" i="30"/>
  <c r="I508" i="30"/>
  <c r="H509" i="30"/>
  <c r="I509" i="30"/>
  <c r="H510" i="30"/>
  <c r="I510" i="30"/>
  <c r="H511" i="30"/>
  <c r="I511" i="30"/>
  <c r="H512" i="30"/>
  <c r="I512" i="30"/>
  <c r="H513" i="30"/>
  <c r="I513" i="30"/>
  <c r="H514" i="30"/>
  <c r="I514" i="30"/>
  <c r="G516" i="30"/>
  <c r="H516" i="30"/>
  <c r="G520" i="30"/>
  <c r="I520" i="30"/>
  <c r="H521" i="30"/>
  <c r="I521" i="30"/>
  <c r="G522" i="30"/>
  <c r="I522" i="30"/>
  <c r="H523" i="30"/>
  <c r="I523" i="30"/>
  <c r="G524" i="30"/>
  <c r="I524" i="30"/>
  <c r="H525" i="30"/>
  <c r="I525" i="30"/>
  <c r="G526" i="30"/>
  <c r="I526" i="30"/>
  <c r="H527" i="30"/>
  <c r="I527" i="30"/>
  <c r="H528" i="30"/>
  <c r="H529" i="30"/>
  <c r="I529" i="30"/>
  <c r="H530" i="30"/>
  <c r="I530" i="30"/>
  <c r="H531" i="30"/>
  <c r="H532" i="30"/>
  <c r="I532" i="30"/>
  <c r="H533" i="30"/>
  <c r="H534" i="30"/>
  <c r="I534" i="30"/>
  <c r="H535" i="30"/>
  <c r="I535" i="30"/>
  <c r="D536" i="30"/>
  <c r="G536" i="30"/>
  <c r="I536" i="30"/>
  <c r="F537" i="30"/>
  <c r="H537" i="30"/>
  <c r="I537" i="30"/>
  <c r="D541" i="30"/>
  <c r="G541" i="30"/>
  <c r="I541" i="30"/>
  <c r="F542" i="30"/>
  <c r="H542" i="30"/>
  <c r="F543" i="30"/>
  <c r="H543" i="30"/>
  <c r="F544" i="30"/>
  <c r="H544" i="30"/>
  <c r="I544" i="30"/>
  <c r="D545" i="30"/>
  <c r="G545" i="30"/>
  <c r="I545" i="30"/>
  <c r="H546" i="30"/>
  <c r="I546" i="30"/>
  <c r="H547" i="30"/>
  <c r="I547" i="30"/>
  <c r="H548" i="30"/>
  <c r="I548" i="30"/>
  <c r="H549" i="30"/>
  <c r="I549" i="30"/>
  <c r="H550" i="30"/>
  <c r="H551" i="30"/>
  <c r="I551" i="30"/>
  <c r="H552" i="30"/>
  <c r="I552" i="30"/>
  <c r="H553" i="30"/>
  <c r="I553" i="30"/>
  <c r="G554" i="30"/>
  <c r="I554" i="30"/>
  <c r="H555" i="30"/>
  <c r="I555" i="30"/>
  <c r="H556" i="30"/>
  <c r="I556" i="30"/>
  <c r="H557" i="30"/>
  <c r="I557" i="30"/>
  <c r="H558" i="30"/>
  <c r="I558" i="30"/>
  <c r="H559" i="30"/>
  <c r="I559" i="30"/>
  <c r="H560" i="30"/>
  <c r="I560" i="30"/>
  <c r="H561" i="30"/>
  <c r="I561" i="30"/>
  <c r="H562" i="30"/>
  <c r="I562" i="30"/>
  <c r="H563" i="30"/>
  <c r="I563" i="30"/>
  <c r="D564" i="30"/>
  <c r="G564" i="30"/>
  <c r="I564" i="30"/>
  <c r="H565" i="30"/>
  <c r="I565" i="30"/>
  <c r="H566" i="30"/>
  <c r="I566" i="30"/>
  <c r="D571" i="30"/>
  <c r="H572" i="30"/>
  <c r="I572" i="30"/>
  <c r="H573" i="30"/>
  <c r="I573" i="30"/>
  <c r="H574" i="30"/>
  <c r="I574" i="30"/>
  <c r="H575" i="30"/>
  <c r="I575" i="30"/>
  <c r="H576" i="30"/>
  <c r="I576" i="30"/>
  <c r="H577" i="30"/>
  <c r="I577" i="30"/>
  <c r="H578" i="30"/>
  <c r="I578" i="30"/>
  <c r="H579" i="30"/>
  <c r="I579" i="30"/>
  <c r="H580" i="30"/>
  <c r="I580" i="30"/>
  <c r="H582" i="30"/>
  <c r="I582" i="30"/>
  <c r="H583" i="30"/>
  <c r="I583" i="30"/>
  <c r="H585" i="30"/>
  <c r="I585" i="30"/>
  <c r="G586" i="30"/>
  <c r="I586" i="30"/>
  <c r="H587" i="30"/>
  <c r="I587" i="30"/>
  <c r="F588" i="30"/>
  <c r="H588" i="30"/>
  <c r="I589" i="30"/>
  <c r="G590" i="30"/>
  <c r="I590" i="30"/>
  <c r="H591" i="30"/>
  <c r="I591" i="30"/>
  <c r="H592" i="30"/>
  <c r="I592" i="30"/>
  <c r="H593" i="30"/>
  <c r="I593" i="30"/>
  <c r="H594" i="30"/>
  <c r="I594" i="30"/>
  <c r="H595" i="30"/>
  <c r="I595" i="30"/>
  <c r="H596" i="30"/>
  <c r="I596" i="30"/>
  <c r="H597" i="30"/>
  <c r="H598" i="30"/>
  <c r="I598" i="30"/>
  <c r="H599" i="30"/>
  <c r="I599" i="30"/>
  <c r="H600" i="30"/>
  <c r="I600" i="30"/>
  <c r="F601" i="30"/>
  <c r="H601" i="30"/>
  <c r="I601" i="30"/>
  <c r="I602" i="30"/>
  <c r="D603" i="30"/>
  <c r="D611" i="30"/>
  <c r="G611" i="30"/>
  <c r="I611" i="30"/>
  <c r="F604" i="30"/>
  <c r="H604" i="30"/>
  <c r="I604" i="30"/>
  <c r="H605" i="30"/>
  <c r="I605" i="30"/>
  <c r="H606" i="30"/>
  <c r="I606" i="30"/>
  <c r="H607" i="30"/>
  <c r="I607" i="30"/>
  <c r="D608" i="30"/>
  <c r="G608" i="30"/>
  <c r="I608" i="30"/>
  <c r="F609" i="30"/>
  <c r="H609" i="30"/>
  <c r="I609" i="30"/>
  <c r="H610" i="30"/>
  <c r="I610" i="30"/>
  <c r="H612" i="30"/>
  <c r="I612" i="30"/>
  <c r="I613" i="30"/>
  <c r="H614" i="30"/>
  <c r="I614" i="30"/>
  <c r="H615" i="30"/>
  <c r="I615" i="30"/>
  <c r="D616" i="30"/>
  <c r="G616" i="30"/>
  <c r="I616" i="30"/>
  <c r="H617" i="30"/>
  <c r="I617" i="30"/>
  <c r="H618" i="30"/>
  <c r="I618" i="30"/>
  <c r="I619" i="30"/>
  <c r="D620" i="30"/>
  <c r="G620" i="30"/>
  <c r="I620" i="30"/>
  <c r="H621" i="30"/>
  <c r="I621" i="30"/>
  <c r="H622" i="30"/>
  <c r="I622" i="30"/>
  <c r="H623" i="30"/>
  <c r="I623" i="30"/>
  <c r="H624" i="30"/>
  <c r="I624" i="30"/>
  <c r="H625" i="30"/>
  <c r="I625" i="30"/>
  <c r="H626" i="30"/>
  <c r="I626" i="30"/>
  <c r="H627" i="30"/>
  <c r="I627" i="30"/>
  <c r="H629" i="30"/>
  <c r="I629" i="30"/>
  <c r="H630" i="30"/>
  <c r="I630" i="30"/>
  <c r="H631" i="30"/>
  <c r="I631" i="30"/>
  <c r="D634" i="30"/>
  <c r="I635" i="30"/>
  <c r="F637" i="30"/>
  <c r="D638" i="30"/>
  <c r="G638" i="30"/>
  <c r="I638" i="30"/>
  <c r="F639" i="30"/>
  <c r="H639" i="30"/>
  <c r="I639" i="30"/>
  <c r="D640" i="30"/>
  <c r="G640" i="30"/>
  <c r="I640" i="30"/>
  <c r="F641" i="30"/>
  <c r="H641" i="30"/>
  <c r="I641" i="30"/>
  <c r="I642" i="30"/>
  <c r="H643" i="30"/>
  <c r="I643" i="30"/>
  <c r="H644" i="30"/>
  <c r="I644" i="30"/>
  <c r="I645" i="30"/>
  <c r="G646" i="30"/>
  <c r="I646" i="30"/>
  <c r="H647" i="30"/>
  <c r="I647" i="30"/>
  <c r="D648" i="30"/>
  <c r="G648" i="30"/>
  <c r="I648" i="30"/>
  <c r="H649" i="30"/>
  <c r="I649" i="30"/>
  <c r="H650" i="30"/>
  <c r="I650" i="30"/>
  <c r="H651" i="30"/>
  <c r="I651" i="30"/>
  <c r="H652" i="30"/>
  <c r="I652" i="30"/>
  <c r="H653" i="30"/>
  <c r="I653" i="30"/>
  <c r="H654" i="30"/>
  <c r="I654" i="30"/>
  <c r="H655" i="30"/>
  <c r="I655" i="30"/>
  <c r="H656" i="30"/>
  <c r="I656" i="30"/>
  <c r="D657" i="30"/>
  <c r="G657" i="30"/>
  <c r="I657" i="30"/>
  <c r="H658" i="30"/>
  <c r="I658" i="30"/>
  <c r="D659" i="30"/>
  <c r="G659" i="30"/>
  <c r="I659" i="30"/>
  <c r="H660" i="30"/>
  <c r="I660" i="30"/>
  <c r="D661" i="30"/>
  <c r="H661" i="30"/>
  <c r="I661" i="30"/>
  <c r="D662" i="30"/>
  <c r="D663" i="30"/>
  <c r="H663" i="30"/>
  <c r="I664" i="30"/>
  <c r="D665" i="30"/>
  <c r="H665" i="30"/>
  <c r="H666" i="30"/>
  <c r="I666" i="30"/>
  <c r="H667" i="30"/>
  <c r="I667" i="30"/>
  <c r="H668" i="30"/>
  <c r="I668" i="30"/>
  <c r="H669" i="30"/>
  <c r="I669" i="30"/>
  <c r="I670" i="30"/>
  <c r="D671" i="30"/>
  <c r="G671" i="30"/>
  <c r="I671" i="30"/>
  <c r="H672" i="30"/>
  <c r="I672" i="30"/>
  <c r="H673" i="30"/>
  <c r="I673" i="30"/>
  <c r="H674" i="30"/>
  <c r="I674" i="30"/>
  <c r="H675" i="30"/>
  <c r="I675" i="30"/>
  <c r="F676" i="30"/>
  <c r="H676" i="30"/>
  <c r="I676" i="30"/>
  <c r="H677" i="30"/>
  <c r="I677" i="30"/>
  <c r="H678" i="30"/>
  <c r="I678" i="30"/>
  <c r="I679" i="30"/>
  <c r="D680" i="30"/>
  <c r="G680" i="30"/>
  <c r="I680" i="30"/>
  <c r="H681" i="30"/>
  <c r="I681" i="30"/>
  <c r="H682" i="30"/>
  <c r="I682" i="30"/>
  <c r="F683" i="30"/>
  <c r="H683" i="30"/>
  <c r="I683" i="30"/>
  <c r="H684" i="30"/>
  <c r="I684" i="30"/>
  <c r="H685" i="30"/>
  <c r="I685" i="30"/>
  <c r="H686" i="30"/>
  <c r="I686" i="30"/>
  <c r="I691" i="30"/>
  <c r="H692" i="30"/>
  <c r="I692" i="30"/>
  <c r="I693" i="30"/>
  <c r="H694" i="30"/>
  <c r="I694" i="30"/>
  <c r="H695" i="30"/>
  <c r="I695" i="30"/>
  <c r="I696" i="30"/>
  <c r="D697" i="30"/>
  <c r="F697" i="30"/>
  <c r="D698" i="30"/>
  <c r="H698" i="30"/>
  <c r="I698" i="30"/>
  <c r="H699" i="30"/>
  <c r="I699" i="30"/>
  <c r="H700" i="30"/>
  <c r="I700" i="30"/>
  <c r="F701" i="30"/>
  <c r="H701" i="30"/>
  <c r="F702" i="30"/>
  <c r="H702" i="30"/>
  <c r="H703" i="30"/>
  <c r="I703" i="30"/>
  <c r="H704" i="30"/>
  <c r="I704" i="30"/>
  <c r="H705" i="30"/>
  <c r="I705" i="30"/>
  <c r="H706" i="30"/>
  <c r="I706" i="30"/>
  <c r="D707" i="30"/>
  <c r="I707" i="30"/>
  <c r="H708" i="30"/>
  <c r="I708" i="30"/>
  <c r="H709" i="30"/>
  <c r="I709" i="30"/>
  <c r="H710" i="30"/>
  <c r="I710" i="30"/>
  <c r="H711" i="30"/>
  <c r="I711" i="30"/>
  <c r="H712" i="30"/>
  <c r="I712" i="30"/>
  <c r="H713" i="30"/>
  <c r="I713" i="30"/>
  <c r="H714" i="30"/>
  <c r="I714" i="30"/>
  <c r="H715" i="30"/>
  <c r="I715" i="30"/>
  <c r="H716" i="30"/>
  <c r="I716" i="30"/>
  <c r="H717" i="30"/>
  <c r="I717" i="30"/>
  <c r="H718" i="30"/>
  <c r="I718" i="30"/>
  <c r="H719" i="30"/>
  <c r="I719" i="30"/>
  <c r="D721" i="30"/>
  <c r="H721" i="30"/>
  <c r="I721" i="30"/>
  <c r="D722" i="30"/>
  <c r="H722" i="30"/>
  <c r="I722" i="30"/>
  <c r="G727" i="30"/>
  <c r="I727" i="30"/>
  <c r="H728" i="30"/>
  <c r="D2" i="29"/>
  <c r="F2" i="29"/>
  <c r="K2" i="29"/>
  <c r="M2" i="29"/>
  <c r="D3" i="29"/>
  <c r="F3" i="29"/>
  <c r="K3" i="29"/>
  <c r="M3" i="29"/>
  <c r="B4" i="29"/>
  <c r="D4" i="29"/>
  <c r="F4" i="29"/>
  <c r="K4" i="29"/>
  <c r="M4" i="29"/>
  <c r="B5" i="29"/>
  <c r="C5" i="29"/>
  <c r="D5" i="29"/>
  <c r="F5" i="29"/>
  <c r="K5" i="29"/>
  <c r="M5" i="29"/>
  <c r="B6" i="29"/>
  <c r="D6" i="29"/>
  <c r="F6" i="29"/>
  <c r="J6" i="29"/>
  <c r="K6" i="29"/>
  <c r="M6" i="29"/>
  <c r="D7" i="29"/>
  <c r="F7" i="29"/>
  <c r="J7" i="29"/>
  <c r="K7" i="29"/>
  <c r="M7" i="29"/>
  <c r="D8" i="29"/>
  <c r="F8" i="29"/>
  <c r="K8" i="29"/>
  <c r="M8" i="29"/>
  <c r="B9" i="29"/>
  <c r="D9" i="29"/>
  <c r="K9" i="29"/>
  <c r="M9" i="29"/>
  <c r="B10" i="29"/>
  <c r="D10" i="29"/>
  <c r="J10" i="29"/>
  <c r="K10" i="29"/>
  <c r="B11" i="29"/>
  <c r="D11" i="29"/>
  <c r="K11" i="29"/>
  <c r="B12" i="29"/>
  <c r="D12" i="29"/>
  <c r="K12" i="29"/>
  <c r="B13" i="29"/>
  <c r="D13" i="29"/>
  <c r="K13" i="29"/>
  <c r="L13" i="29"/>
  <c r="B14" i="29"/>
  <c r="D14" i="29"/>
  <c r="K14" i="29"/>
  <c r="L14" i="29"/>
  <c r="D15" i="29"/>
  <c r="K15" i="29"/>
  <c r="L15" i="29"/>
  <c r="B16" i="29"/>
  <c r="D16" i="29"/>
  <c r="K16" i="29"/>
  <c r="B17" i="29"/>
  <c r="D17" i="29"/>
  <c r="K17" i="29"/>
  <c r="B18" i="29"/>
  <c r="D18" i="29"/>
  <c r="K18" i="29"/>
  <c r="B19" i="29"/>
  <c r="D19" i="29"/>
  <c r="K19" i="29"/>
  <c r="B20" i="29"/>
  <c r="D20" i="29"/>
  <c r="K20" i="29"/>
  <c r="D21" i="29"/>
  <c r="J21" i="29"/>
  <c r="K21" i="29"/>
  <c r="L21" i="29"/>
  <c r="D22" i="29"/>
  <c r="J22" i="29"/>
  <c r="K22" i="29"/>
  <c r="L22" i="29"/>
  <c r="D23" i="29"/>
  <c r="K23" i="29"/>
  <c r="L23" i="29"/>
  <c r="D24" i="29"/>
  <c r="K24" i="29"/>
  <c r="L24" i="29"/>
  <c r="D25" i="29"/>
  <c r="K25" i="29"/>
  <c r="L25" i="29"/>
  <c r="D26" i="29"/>
  <c r="K26" i="29"/>
  <c r="D27" i="29"/>
  <c r="K27" i="29"/>
  <c r="D28" i="29"/>
  <c r="K28" i="29"/>
  <c r="D29" i="29"/>
  <c r="K29" i="29"/>
  <c r="D30" i="29"/>
  <c r="K30" i="29"/>
  <c r="D31" i="29"/>
  <c r="K31" i="29"/>
  <c r="D32" i="29"/>
  <c r="K32" i="29"/>
  <c r="D33" i="29"/>
  <c r="J33" i="29"/>
  <c r="K33" i="29"/>
  <c r="D34" i="29"/>
  <c r="K34" i="29"/>
  <c r="D35" i="29"/>
  <c r="D36" i="29"/>
  <c r="D37" i="29"/>
  <c r="J38" i="29"/>
  <c r="J43" i="29"/>
  <c r="C47" i="29"/>
  <c r="C51" i="29"/>
  <c r="C66" i="29"/>
  <c r="C52" i="29"/>
  <c r="C55" i="29"/>
  <c r="C67" i="29"/>
  <c r="J57" i="29"/>
  <c r="C59" i="29"/>
  <c r="J60" i="29"/>
  <c r="J61" i="29"/>
  <c r="E66" i="29"/>
  <c r="E67" i="29"/>
  <c r="G66" i="29"/>
  <c r="H66" i="29"/>
  <c r="I66" i="29"/>
  <c r="C69" i="29"/>
  <c r="D69" i="29"/>
  <c r="E69" i="29"/>
  <c r="F69" i="29"/>
  <c r="J69" i="29"/>
  <c r="K69" i="29"/>
  <c r="D70" i="29"/>
  <c r="K70" i="29"/>
  <c r="B71" i="29"/>
  <c r="D71" i="29"/>
  <c r="K71" i="29"/>
  <c r="B72" i="29"/>
  <c r="D72" i="29"/>
  <c r="K72" i="29"/>
  <c r="B73" i="29"/>
  <c r="D73" i="29"/>
  <c r="K73" i="29"/>
  <c r="B74" i="29"/>
  <c r="D74" i="29"/>
  <c r="K74" i="29"/>
  <c r="D75" i="29"/>
  <c r="K75" i="29"/>
  <c r="B76" i="29"/>
  <c r="D76" i="29"/>
  <c r="K76" i="29"/>
  <c r="B77" i="29"/>
  <c r="D77" i="29"/>
  <c r="K77" i="29"/>
  <c r="B78" i="29"/>
  <c r="D78" i="29"/>
  <c r="K78" i="29"/>
  <c r="B79" i="29"/>
  <c r="D79" i="29"/>
  <c r="K79" i="29"/>
  <c r="B80" i="29"/>
  <c r="D80" i="29"/>
  <c r="K80" i="29"/>
  <c r="B81" i="29"/>
  <c r="D81" i="29"/>
  <c r="K81" i="29"/>
  <c r="C82" i="29"/>
  <c r="D82" i="29"/>
  <c r="K82" i="29"/>
  <c r="B83" i="29"/>
  <c r="D83" i="29"/>
  <c r="K83" i="29"/>
  <c r="B84" i="29"/>
  <c r="D84" i="29"/>
  <c r="K84" i="29"/>
  <c r="B85" i="29"/>
  <c r="D85" i="29"/>
  <c r="K85" i="29"/>
  <c r="B86" i="29"/>
  <c r="C86" i="29"/>
  <c r="D86" i="29"/>
  <c r="J86" i="29"/>
  <c r="K86" i="29"/>
  <c r="B87" i="29"/>
  <c r="D87" i="29"/>
  <c r="K87" i="29"/>
  <c r="D88" i="29"/>
  <c r="J88" i="29"/>
  <c r="K88" i="29"/>
  <c r="C92" i="29"/>
  <c r="C94" i="29"/>
  <c r="J95" i="29"/>
  <c r="C103" i="29"/>
  <c r="J106" i="29"/>
  <c r="E109" i="29"/>
  <c r="E111" i="29"/>
  <c r="F111" i="29"/>
  <c r="F109" i="29"/>
  <c r="L111" i="29"/>
  <c r="L112" i="29"/>
  <c r="M111" i="29"/>
  <c r="F11" i="25"/>
  <c r="G11" i="25"/>
  <c r="G38" i="25"/>
  <c r="F26" i="25"/>
  <c r="I36" i="25"/>
  <c r="F38" i="25"/>
  <c r="G26" i="25"/>
  <c r="F36" i="25"/>
  <c r="G36" i="25"/>
  <c r="H42" i="25"/>
  <c r="I42" i="25"/>
  <c r="K87" i="25"/>
  <c r="K89" i="25"/>
  <c r="L87" i="25"/>
  <c r="M87" i="25"/>
  <c r="N87" i="25"/>
  <c r="N89" i="25"/>
  <c r="O87" i="25"/>
  <c r="H227" i="25"/>
  <c r="J227" i="25"/>
  <c r="K227" i="25"/>
  <c r="F6" i="26"/>
  <c r="D344" i="30"/>
  <c r="M6" i="26"/>
  <c r="F7" i="26"/>
  <c r="M7" i="26"/>
  <c r="F11" i="26"/>
  <c r="H112" i="33"/>
  <c r="I112" i="33"/>
  <c r="M11" i="26"/>
  <c r="F12" i="26"/>
  <c r="M12" i="26"/>
  <c r="F13" i="26"/>
  <c r="M13" i="26"/>
  <c r="F3" i="24"/>
  <c r="J3" i="24"/>
  <c r="I3" i="24"/>
  <c r="F4" i="24"/>
  <c r="J4" i="24"/>
  <c r="I4" i="24"/>
  <c r="K4" i="24"/>
  <c r="M4" i="24"/>
  <c r="N4" i="24"/>
  <c r="F5" i="24"/>
  <c r="J5" i="24"/>
  <c r="I5" i="24"/>
  <c r="K5" i="24"/>
  <c r="M5" i="24"/>
  <c r="F6" i="24"/>
  <c r="I6" i="24"/>
  <c r="F7" i="24"/>
  <c r="J7" i="24"/>
  <c r="I7" i="24"/>
  <c r="K7" i="24"/>
  <c r="N7" i="24"/>
  <c r="M7" i="24"/>
  <c r="F8" i="24"/>
  <c r="I8" i="24"/>
  <c r="J8" i="24"/>
  <c r="I9" i="24"/>
  <c r="J9" i="24"/>
  <c r="E10" i="24"/>
  <c r="I10" i="24"/>
  <c r="J10" i="24"/>
  <c r="F13" i="24"/>
  <c r="I13" i="24"/>
  <c r="F14" i="24"/>
  <c r="I14" i="24"/>
  <c r="M14" i="24"/>
  <c r="N14" i="24"/>
  <c r="F15" i="24"/>
  <c r="J15" i="24"/>
  <c r="I15" i="24"/>
  <c r="F16" i="24"/>
  <c r="J16" i="24"/>
  <c r="I16" i="24"/>
  <c r="M16" i="24"/>
  <c r="N16" i="24"/>
  <c r="I17" i="24"/>
  <c r="J17" i="24"/>
  <c r="K17" i="24"/>
  <c r="M17" i="24"/>
  <c r="F18" i="24"/>
  <c r="J18" i="24"/>
  <c r="I18" i="24"/>
  <c r="M18" i="24"/>
  <c r="N18" i="24"/>
  <c r="F19" i="24"/>
  <c r="J19" i="24"/>
  <c r="I19" i="24"/>
  <c r="K19" i="24"/>
  <c r="M19" i="24"/>
  <c r="N19" i="24"/>
  <c r="F20" i="24"/>
  <c r="I20" i="24"/>
  <c r="J20" i="24"/>
  <c r="M20" i="24"/>
  <c r="N20" i="24"/>
  <c r="F21" i="24"/>
  <c r="J21" i="24"/>
  <c r="M21" i="24"/>
  <c r="N21" i="24"/>
  <c r="F22" i="24"/>
  <c r="J22" i="24"/>
  <c r="J23" i="24"/>
  <c r="J24" i="24"/>
  <c r="J25" i="24"/>
  <c r="F29" i="24"/>
  <c r="I29" i="24"/>
  <c r="I30" i="24"/>
  <c r="K30" i="24"/>
  <c r="M30" i="24"/>
  <c r="N30" i="24"/>
  <c r="I31" i="24"/>
  <c r="K31" i="24"/>
  <c r="M31" i="24"/>
  <c r="N31" i="24"/>
  <c r="I32" i="24"/>
  <c r="J32" i="24"/>
  <c r="K32" i="24"/>
  <c r="N32" i="24"/>
  <c r="M32" i="24"/>
  <c r="F33" i="24"/>
  <c r="I33" i="24"/>
  <c r="J33" i="24"/>
  <c r="I34" i="24"/>
  <c r="J34" i="24"/>
  <c r="I35" i="24"/>
  <c r="J35" i="24"/>
  <c r="F39" i="24"/>
  <c r="I39" i="24"/>
  <c r="F40" i="24"/>
  <c r="I40" i="24"/>
  <c r="J40" i="24"/>
  <c r="M40" i="24"/>
  <c r="N40" i="24"/>
  <c r="F41" i="24"/>
  <c r="I41" i="24"/>
  <c r="F42" i="24"/>
  <c r="I42" i="24"/>
  <c r="M42" i="24"/>
  <c r="N42" i="24"/>
  <c r="F43" i="24"/>
  <c r="I43" i="24"/>
  <c r="K43" i="24"/>
  <c r="M43" i="24"/>
  <c r="F44" i="24"/>
  <c r="I44" i="24"/>
  <c r="J44" i="24"/>
  <c r="M44" i="24"/>
  <c r="N44" i="24"/>
  <c r="F45" i="24"/>
  <c r="I45" i="24"/>
  <c r="J45" i="24"/>
  <c r="M45" i="24"/>
  <c r="N45" i="24"/>
  <c r="F46" i="24"/>
  <c r="I46" i="24"/>
  <c r="M46" i="24"/>
  <c r="N46" i="24"/>
  <c r="F47" i="24"/>
  <c r="J47" i="24"/>
  <c r="I47" i="24"/>
  <c r="J48" i="24"/>
  <c r="E50" i="24"/>
  <c r="L56" i="24"/>
  <c r="O56" i="24"/>
  <c r="M56" i="24"/>
  <c r="L57" i="24"/>
  <c r="L58" i="24"/>
  <c r="M58" i="24"/>
  <c r="L59" i="24"/>
  <c r="L60" i="24"/>
  <c r="L61" i="24"/>
  <c r="E62" i="24"/>
  <c r="L62" i="24"/>
  <c r="O62" i="24"/>
  <c r="M62" i="24"/>
  <c r="L63" i="24"/>
  <c r="M63" i="24"/>
  <c r="P63" i="24"/>
  <c r="L64" i="24"/>
  <c r="O64" i="24"/>
  <c r="M64" i="24"/>
  <c r="L65" i="24"/>
  <c r="L66" i="24"/>
  <c r="L67" i="24"/>
  <c r="M67" i="24"/>
  <c r="O67" i="24"/>
  <c r="L68" i="24"/>
  <c r="P68" i="24"/>
  <c r="M68" i="24"/>
  <c r="L69" i="24"/>
  <c r="L71" i="24"/>
  <c r="O71" i="24"/>
  <c r="M71" i="24"/>
  <c r="L72" i="24"/>
  <c r="L73" i="24"/>
  <c r="P73" i="24"/>
  <c r="L74" i="24"/>
  <c r="M74" i="24"/>
  <c r="O74" i="24"/>
  <c r="L75" i="24"/>
  <c r="L76" i="24"/>
  <c r="L77" i="24"/>
  <c r="M77" i="24"/>
  <c r="O77" i="24"/>
  <c r="L78" i="24"/>
  <c r="L79" i="24"/>
  <c r="L80" i="24"/>
  <c r="O80" i="24"/>
  <c r="M80" i="24"/>
  <c r="L81" i="24"/>
  <c r="L82" i="24"/>
  <c r="L83" i="24"/>
  <c r="P83" i="24"/>
  <c r="L84" i="24"/>
  <c r="L85" i="24"/>
  <c r="M85" i="24"/>
  <c r="L86" i="24"/>
  <c r="L87" i="24"/>
  <c r="M87" i="24"/>
  <c r="P87" i="24"/>
  <c r="L88" i="24"/>
  <c r="O88" i="24"/>
  <c r="L89" i="24"/>
  <c r="M89" i="24"/>
  <c r="O89" i="24"/>
  <c r="L90" i="24"/>
  <c r="M90" i="24"/>
  <c r="L91" i="24"/>
  <c r="O91" i="24"/>
  <c r="M91" i="24"/>
  <c r="L92" i="24"/>
  <c r="P92" i="24"/>
  <c r="M92" i="24"/>
  <c r="L93" i="24"/>
  <c r="L94" i="24"/>
  <c r="L95" i="24"/>
  <c r="L96" i="24"/>
  <c r="L97" i="24"/>
  <c r="L98" i="24"/>
  <c r="M98" i="24"/>
  <c r="L99" i="24"/>
  <c r="O99" i="24"/>
  <c r="M99" i="24"/>
  <c r="L100" i="24"/>
  <c r="P100" i="24"/>
  <c r="L101" i="24"/>
  <c r="L102" i="24"/>
  <c r="M102" i="24"/>
  <c r="O102" i="24"/>
  <c r="L103" i="24"/>
  <c r="M103" i="24"/>
  <c r="L105" i="24"/>
  <c r="M105" i="24"/>
  <c r="L106" i="24"/>
  <c r="L107" i="24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I15" i="17"/>
  <c r="F16" i="17"/>
  <c r="I16" i="17"/>
  <c r="F17" i="17"/>
  <c r="I17" i="17"/>
  <c r="F18" i="17"/>
  <c r="I18" i="17"/>
  <c r="J18" i="17"/>
  <c r="C19" i="17"/>
  <c r="D19" i="17"/>
  <c r="E19" i="17"/>
  <c r="C20" i="17"/>
  <c r="F20" i="17"/>
  <c r="D20" i="17"/>
  <c r="F21" i="17"/>
  <c r="C22" i="17"/>
  <c r="D22" i="17"/>
  <c r="E22" i="17"/>
  <c r="E23" i="17"/>
  <c r="F23" i="17"/>
  <c r="C24" i="17"/>
  <c r="D24" i="17"/>
  <c r="E24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C38" i="17"/>
  <c r="D38" i="17"/>
  <c r="E38" i="17"/>
  <c r="C39" i="17"/>
  <c r="F39" i="17"/>
  <c r="D39" i="17"/>
  <c r="E39" i="17"/>
  <c r="C40" i="17"/>
  <c r="F40" i="17"/>
  <c r="D40" i="17"/>
  <c r="E40" i="17"/>
  <c r="C41" i="17"/>
  <c r="D41" i="17"/>
  <c r="E41" i="17"/>
  <c r="C42" i="17"/>
  <c r="D42" i="17"/>
  <c r="E42" i="17"/>
  <c r="C43" i="17"/>
  <c r="F43" i="17"/>
  <c r="D43" i="17"/>
  <c r="E43" i="17"/>
  <c r="C44" i="17"/>
  <c r="F44" i="17"/>
  <c r="D44" i="17"/>
  <c r="E44" i="17"/>
  <c r="C45" i="17"/>
  <c r="F45" i="17"/>
  <c r="D45" i="17"/>
  <c r="E45" i="17"/>
  <c r="E49" i="17"/>
  <c r="E50" i="17"/>
  <c r="E51" i="17"/>
  <c r="E52" i="17"/>
  <c r="E53" i="17"/>
  <c r="E48" i="17"/>
  <c r="F48" i="17"/>
  <c r="E54" i="17"/>
  <c r="E56" i="17"/>
  <c r="E57" i="17"/>
  <c r="E58" i="17"/>
  <c r="E59" i="17"/>
  <c r="E60" i="17"/>
  <c r="E61" i="17"/>
  <c r="E63" i="17"/>
  <c r="E62" i="17"/>
  <c r="F62" i="17"/>
  <c r="E64" i="17"/>
  <c r="E65" i="17"/>
  <c r="E66" i="17"/>
  <c r="E67" i="17"/>
  <c r="E68" i="17"/>
  <c r="E70" i="17"/>
  <c r="E71" i="17"/>
  <c r="E72" i="17"/>
  <c r="E69" i="17"/>
  <c r="F69" i="17"/>
  <c r="E73" i="17"/>
  <c r="M3" i="15"/>
  <c r="M4" i="15"/>
  <c r="M5" i="15"/>
  <c r="M6" i="15"/>
  <c r="M7" i="15"/>
  <c r="M8" i="15"/>
  <c r="M9" i="15"/>
  <c r="M10" i="15"/>
  <c r="B11" i="15"/>
  <c r="C11" i="15"/>
  <c r="D11" i="15"/>
  <c r="E11" i="15"/>
  <c r="F11" i="15"/>
  <c r="M11" i="15"/>
  <c r="M12" i="15"/>
  <c r="B13" i="15"/>
  <c r="C13" i="15"/>
  <c r="C23" i="15"/>
  <c r="D13" i="15"/>
  <c r="E13" i="15"/>
  <c r="F13" i="15"/>
  <c r="F23" i="15"/>
  <c r="M13" i="15"/>
  <c r="B14" i="15"/>
  <c r="C14" i="15"/>
  <c r="D14" i="15"/>
  <c r="D23" i="15"/>
  <c r="E14" i="15"/>
  <c r="M14" i="15"/>
  <c r="B15" i="15"/>
  <c r="C15" i="15"/>
  <c r="D15" i="15"/>
  <c r="E15" i="15"/>
  <c r="E23" i="15"/>
  <c r="B16" i="15"/>
  <c r="C16" i="15"/>
  <c r="B17" i="15"/>
  <c r="M17" i="15"/>
  <c r="B18" i="15"/>
  <c r="M18" i="15"/>
  <c r="B19" i="15"/>
  <c r="M19" i="15"/>
  <c r="B20" i="15"/>
  <c r="M20" i="15"/>
  <c r="B21" i="15"/>
  <c r="M21" i="15"/>
  <c r="M22" i="15"/>
  <c r="M23" i="15"/>
  <c r="M24" i="15"/>
  <c r="M25" i="15"/>
  <c r="D26" i="15"/>
  <c r="I26" i="15"/>
  <c r="M26" i="15"/>
  <c r="D27" i="15"/>
  <c r="M27" i="15"/>
  <c r="D28" i="15"/>
  <c r="M28" i="15"/>
  <c r="D29" i="15"/>
  <c r="M29" i="15"/>
  <c r="D30" i="15"/>
  <c r="M30" i="15"/>
  <c r="D31" i="15"/>
  <c r="M31" i="15"/>
  <c r="D32" i="15"/>
  <c r="M32" i="15"/>
  <c r="D33" i="15"/>
  <c r="M33" i="15"/>
  <c r="D34" i="15"/>
  <c r="M34" i="15"/>
  <c r="D35" i="15"/>
  <c r="M35" i="15"/>
  <c r="D36" i="15"/>
  <c r="M36" i="15"/>
  <c r="M37" i="15"/>
  <c r="M38" i="15"/>
  <c r="M39" i="15"/>
  <c r="M40" i="15"/>
  <c r="B41" i="15"/>
  <c r="F41" i="15"/>
  <c r="C41" i="15"/>
  <c r="D41" i="15"/>
  <c r="M41" i="15"/>
  <c r="M48" i="15"/>
  <c r="B42" i="15"/>
  <c r="F42" i="15"/>
  <c r="C42" i="15"/>
  <c r="D42" i="15"/>
  <c r="M42" i="15"/>
  <c r="B43" i="15"/>
  <c r="F43" i="15"/>
  <c r="C43" i="15"/>
  <c r="D43" i="15"/>
  <c r="M43" i="15"/>
  <c r="M44" i="15"/>
  <c r="M45" i="15"/>
  <c r="M46" i="15"/>
  <c r="H47" i="15"/>
  <c r="M50" i="15"/>
  <c r="M51" i="15"/>
  <c r="H52" i="15"/>
  <c r="M52" i="15"/>
  <c r="M53" i="15"/>
  <c r="F109" i="16"/>
  <c r="G115" i="16"/>
  <c r="I115" i="16"/>
  <c r="D116" i="16"/>
  <c r="H116" i="16"/>
  <c r="I116" i="16"/>
  <c r="G117" i="16"/>
  <c r="I117" i="16"/>
  <c r="D118" i="16"/>
  <c r="H118" i="16"/>
  <c r="I118" i="16"/>
  <c r="D119" i="16"/>
  <c r="H119" i="16"/>
  <c r="I119" i="16"/>
  <c r="G128" i="16"/>
  <c r="I128" i="16"/>
  <c r="D129" i="16"/>
  <c r="H129" i="16"/>
  <c r="I129" i="16"/>
  <c r="D130" i="16"/>
  <c r="H130" i="16"/>
  <c r="I130" i="16"/>
  <c r="H131" i="16"/>
  <c r="I131" i="16"/>
  <c r="H132" i="16"/>
  <c r="I132" i="16"/>
  <c r="H133" i="16"/>
  <c r="I133" i="16"/>
  <c r="H141" i="16"/>
  <c r="I141" i="16"/>
  <c r="G189" i="16"/>
  <c r="I189" i="16"/>
  <c r="H190" i="16"/>
  <c r="I190" i="16"/>
  <c r="H191" i="16"/>
  <c r="I191" i="16"/>
  <c r="H192" i="16"/>
  <c r="I192" i="16"/>
  <c r="G259" i="16"/>
  <c r="H259" i="16"/>
  <c r="I259" i="16"/>
  <c r="G260" i="16"/>
  <c r="I260" i="16"/>
  <c r="D261" i="16"/>
  <c r="F261" i="16"/>
  <c r="H262" i="16"/>
  <c r="I262" i="16"/>
  <c r="H263" i="16"/>
  <c r="I263" i="16"/>
  <c r="H264" i="16"/>
  <c r="I264" i="16"/>
  <c r="G265" i="16"/>
  <c r="H265" i="16"/>
  <c r="H266" i="16"/>
  <c r="I266" i="16"/>
  <c r="H267" i="16"/>
  <c r="I267" i="16"/>
  <c r="H268" i="16"/>
  <c r="I268" i="16"/>
  <c r="G270" i="16"/>
  <c r="H270" i="16"/>
  <c r="H271" i="16"/>
  <c r="I271" i="16"/>
  <c r="H272" i="16"/>
  <c r="I272" i="16"/>
  <c r="H273" i="16"/>
  <c r="I273" i="16"/>
  <c r="H274" i="16"/>
  <c r="I274" i="16"/>
  <c r="H275" i="16"/>
  <c r="I275" i="16"/>
  <c r="H276" i="16"/>
  <c r="I276" i="16"/>
  <c r="H277" i="16"/>
  <c r="I277" i="16"/>
  <c r="H278" i="16"/>
  <c r="I278" i="16"/>
  <c r="H279" i="16"/>
  <c r="I279" i="16"/>
  <c r="D280" i="16"/>
  <c r="D281" i="16"/>
  <c r="H281" i="16"/>
  <c r="G284" i="16"/>
  <c r="H284" i="16"/>
  <c r="I284" i="16"/>
  <c r="H285" i="16"/>
  <c r="I285" i="16"/>
  <c r="H286" i="16"/>
  <c r="I286" i="16"/>
  <c r="H287" i="16"/>
  <c r="I287" i="16"/>
  <c r="H288" i="16"/>
  <c r="I288" i="16"/>
  <c r="H289" i="16"/>
  <c r="I289" i="16"/>
  <c r="H290" i="16"/>
  <c r="I290" i="16"/>
  <c r="H291" i="16"/>
  <c r="I291" i="16"/>
  <c r="H292" i="16"/>
  <c r="I292" i="16"/>
  <c r="H293" i="16"/>
  <c r="I293" i="16"/>
  <c r="H294" i="16"/>
  <c r="I294" i="16"/>
  <c r="H295" i="16"/>
  <c r="I295" i="16"/>
  <c r="H296" i="16"/>
  <c r="I296" i="16"/>
  <c r="H297" i="16"/>
  <c r="I297" i="16"/>
  <c r="I298" i="16"/>
  <c r="G299" i="16"/>
  <c r="I299" i="16"/>
  <c r="H300" i="16"/>
  <c r="I300" i="16"/>
  <c r="F301" i="16"/>
  <c r="H301" i="16"/>
  <c r="I301" i="16"/>
  <c r="H302" i="16"/>
  <c r="I302" i="16"/>
  <c r="H303" i="16"/>
  <c r="I303" i="16"/>
  <c r="D304" i="16"/>
  <c r="D306" i="16"/>
  <c r="H306" i="16"/>
  <c r="I306" i="16"/>
  <c r="F435" i="16"/>
  <c r="G455" i="16"/>
  <c r="I455" i="16"/>
  <c r="D456" i="16"/>
  <c r="F456" i="16"/>
  <c r="H456" i="16"/>
  <c r="I456" i="16"/>
  <c r="F458" i="16"/>
  <c r="F462" i="16"/>
  <c r="G500" i="16"/>
  <c r="I500" i="16"/>
  <c r="D501" i="16"/>
  <c r="H501" i="16"/>
  <c r="I501" i="16"/>
  <c r="H502" i="16"/>
  <c r="I502" i="16"/>
  <c r="H503" i="16"/>
  <c r="I503" i="16"/>
  <c r="D504" i="16"/>
  <c r="H504" i="16"/>
  <c r="I504" i="16"/>
  <c r="G508" i="16"/>
  <c r="I508" i="16"/>
  <c r="H509" i="16"/>
  <c r="I509" i="16"/>
  <c r="H510" i="16"/>
  <c r="I510" i="16"/>
  <c r="H511" i="16"/>
  <c r="I511" i="16"/>
  <c r="G512" i="16"/>
  <c r="I512" i="16"/>
  <c r="H513" i="16"/>
  <c r="I513" i="16"/>
  <c r="H514" i="16"/>
  <c r="I514" i="16"/>
  <c r="H515" i="16"/>
  <c r="I515" i="16"/>
  <c r="G516" i="16"/>
  <c r="H516" i="16"/>
  <c r="H517" i="16"/>
  <c r="I517" i="16"/>
  <c r="H518" i="16"/>
  <c r="I518" i="16"/>
  <c r="H519" i="16"/>
  <c r="I519" i="16"/>
  <c r="H520" i="16"/>
  <c r="I520" i="16"/>
  <c r="H521" i="16"/>
  <c r="I521" i="16"/>
  <c r="H522" i="16"/>
  <c r="I522" i="16"/>
  <c r="H523" i="16"/>
  <c r="I523" i="16"/>
  <c r="H524" i="16"/>
  <c r="I524" i="16"/>
  <c r="H525" i="16"/>
  <c r="I525" i="16"/>
  <c r="G526" i="16"/>
  <c r="H526" i="16"/>
  <c r="F527" i="16"/>
  <c r="H527" i="16"/>
  <c r="I527" i="16"/>
  <c r="G528" i="16"/>
  <c r="H528" i="16"/>
  <c r="H529" i="16"/>
  <c r="I529" i="16"/>
  <c r="H530" i="16"/>
  <c r="I530" i="16"/>
  <c r="H531" i="16"/>
  <c r="I531" i="16"/>
  <c r="H532" i="16"/>
  <c r="I532" i="16"/>
  <c r="H533" i="16"/>
  <c r="I533" i="16"/>
  <c r="H534" i="16"/>
  <c r="I534" i="16"/>
  <c r="H535" i="16"/>
  <c r="I535" i="16"/>
  <c r="H536" i="16"/>
  <c r="I536" i="16"/>
  <c r="G538" i="16"/>
  <c r="H538" i="16"/>
  <c r="H539" i="16"/>
  <c r="I539" i="16"/>
  <c r="H540" i="16"/>
  <c r="I540" i="16"/>
  <c r="H541" i="16"/>
  <c r="I541" i="16"/>
  <c r="H542" i="16"/>
  <c r="I542" i="16"/>
  <c r="F543" i="16"/>
  <c r="H543" i="16"/>
  <c r="I543" i="16"/>
  <c r="H544" i="16"/>
  <c r="I544" i="16"/>
  <c r="H545" i="16"/>
  <c r="I545" i="16"/>
  <c r="H546" i="16"/>
  <c r="I546" i="16"/>
  <c r="H547" i="16"/>
  <c r="I547" i="16"/>
  <c r="H548" i="16"/>
  <c r="I548" i="16"/>
  <c r="H549" i="16"/>
  <c r="I549" i="16"/>
  <c r="H550" i="16"/>
  <c r="I550" i="16"/>
  <c r="H551" i="16"/>
  <c r="I551" i="16"/>
  <c r="H552" i="16"/>
  <c r="I552" i="16"/>
  <c r="H553" i="16"/>
  <c r="I553" i="16"/>
  <c r="G554" i="16"/>
  <c r="H554" i="16"/>
  <c r="H555" i="16"/>
  <c r="I555" i="16"/>
  <c r="F556" i="16"/>
  <c r="H556" i="16"/>
  <c r="I556" i="16"/>
  <c r="F557" i="16"/>
  <c r="H557" i="16"/>
  <c r="I557" i="16"/>
  <c r="F558" i="16"/>
  <c r="H558" i="16"/>
  <c r="I558" i="16"/>
  <c r="F559" i="16"/>
  <c r="H559" i="16"/>
  <c r="I559" i="16"/>
  <c r="F560" i="16"/>
  <c r="H560" i="16"/>
  <c r="I560" i="16"/>
  <c r="H561" i="16"/>
  <c r="I561" i="16"/>
  <c r="F562" i="16"/>
  <c r="H562" i="16"/>
  <c r="I562" i="16"/>
  <c r="F563" i="16"/>
  <c r="H563" i="16"/>
  <c r="I563" i="16"/>
  <c r="H564" i="16"/>
  <c r="I564" i="16"/>
  <c r="H565" i="16"/>
  <c r="I565" i="16"/>
  <c r="H566" i="16"/>
  <c r="I566" i="16"/>
  <c r="H567" i="16"/>
  <c r="I567" i="16"/>
  <c r="H568" i="16"/>
  <c r="I568" i="16"/>
  <c r="H569" i="16"/>
  <c r="I569" i="16"/>
  <c r="H570" i="16"/>
  <c r="I570" i="16"/>
  <c r="H571" i="16"/>
  <c r="I571" i="16"/>
  <c r="H572" i="16"/>
  <c r="I572" i="16"/>
  <c r="H573" i="16"/>
  <c r="I573" i="16"/>
  <c r="H574" i="16"/>
  <c r="I574" i="16"/>
  <c r="G575" i="16"/>
  <c r="I575" i="16"/>
  <c r="H576" i="16"/>
  <c r="I576" i="16"/>
  <c r="H577" i="16"/>
  <c r="I577" i="16"/>
  <c r="H578" i="16"/>
  <c r="I578" i="16"/>
  <c r="H579" i="16"/>
  <c r="I579" i="16"/>
  <c r="F580" i="16"/>
  <c r="H580" i="16"/>
  <c r="I580" i="16"/>
  <c r="G581" i="16"/>
  <c r="I581" i="16"/>
  <c r="F582" i="16"/>
  <c r="H582" i="16"/>
  <c r="I582" i="16"/>
  <c r="F583" i="16"/>
  <c r="H583" i="16"/>
  <c r="I583" i="16"/>
  <c r="F584" i="16"/>
  <c r="H584" i="16"/>
  <c r="I584" i="16"/>
  <c r="F585" i="16"/>
  <c r="H585" i="16"/>
  <c r="I585" i="16"/>
  <c r="F586" i="16"/>
  <c r="H586" i="16"/>
  <c r="I586" i="16"/>
  <c r="F587" i="16"/>
  <c r="H587" i="16"/>
  <c r="I587" i="16"/>
  <c r="F588" i="16"/>
  <c r="H588" i="16"/>
  <c r="I588" i="16"/>
  <c r="H589" i="16"/>
  <c r="I589" i="16"/>
  <c r="H590" i="16"/>
  <c r="I590" i="16"/>
  <c r="H591" i="16"/>
  <c r="I591" i="16"/>
  <c r="H592" i="16"/>
  <c r="I592" i="16"/>
  <c r="H593" i="16"/>
  <c r="I593" i="16"/>
  <c r="H594" i="16"/>
  <c r="I594" i="16"/>
  <c r="H595" i="16"/>
  <c r="I595" i="16"/>
  <c r="H596" i="16"/>
  <c r="I596" i="16"/>
  <c r="H597" i="16"/>
  <c r="I597" i="16"/>
  <c r="H598" i="16"/>
  <c r="I598" i="16"/>
  <c r="H599" i="16"/>
  <c r="I599" i="16"/>
  <c r="H600" i="16"/>
  <c r="I600" i="16"/>
  <c r="H601" i="16"/>
  <c r="I601" i="16"/>
  <c r="H602" i="16"/>
  <c r="I602" i="16"/>
  <c r="H603" i="16"/>
  <c r="I603" i="16"/>
  <c r="G605" i="16"/>
  <c r="H605" i="16"/>
  <c r="G609" i="16"/>
  <c r="I609" i="16"/>
  <c r="H610" i="16"/>
  <c r="I610" i="16"/>
  <c r="G611" i="16"/>
  <c r="I611" i="16"/>
  <c r="H612" i="16"/>
  <c r="I612" i="16"/>
  <c r="G613" i="16"/>
  <c r="I613" i="16"/>
  <c r="H614" i="16"/>
  <c r="I614" i="16"/>
  <c r="G615" i="16"/>
  <c r="I615" i="16"/>
  <c r="H616" i="16"/>
  <c r="I616" i="16"/>
  <c r="H617" i="16"/>
  <c r="I617" i="16"/>
  <c r="H618" i="16"/>
  <c r="I618" i="16"/>
  <c r="H619" i="16"/>
  <c r="I619" i="16"/>
  <c r="H620" i="16"/>
  <c r="I620" i="16"/>
  <c r="H621" i="16"/>
  <c r="I621" i="16"/>
  <c r="H622" i="16"/>
  <c r="I622" i="16"/>
  <c r="H623" i="16"/>
  <c r="I623" i="16"/>
  <c r="H624" i="16"/>
  <c r="I624" i="16"/>
  <c r="D625" i="16"/>
  <c r="G625" i="16"/>
  <c r="I625" i="16"/>
  <c r="F626" i="16"/>
  <c r="H626" i="16"/>
  <c r="I626" i="16"/>
  <c r="D630" i="16"/>
  <c r="G630" i="16"/>
  <c r="I630" i="16"/>
  <c r="F631" i="16"/>
  <c r="H631" i="16"/>
  <c r="I631" i="16"/>
  <c r="F632" i="16"/>
  <c r="H632" i="16"/>
  <c r="I632" i="16"/>
  <c r="F633" i="16"/>
  <c r="H633" i="16"/>
  <c r="I633" i="16"/>
  <c r="D634" i="16"/>
  <c r="G634" i="16"/>
  <c r="I634" i="16"/>
  <c r="H635" i="16"/>
  <c r="I635" i="16"/>
  <c r="H636" i="16"/>
  <c r="I636" i="16"/>
  <c r="H637" i="16"/>
  <c r="I637" i="16"/>
  <c r="H638" i="16"/>
  <c r="I638" i="16"/>
  <c r="H639" i="16"/>
  <c r="I639" i="16"/>
  <c r="H640" i="16"/>
  <c r="I640" i="16"/>
  <c r="H641" i="16"/>
  <c r="I641" i="16"/>
  <c r="H642" i="16"/>
  <c r="I642" i="16"/>
  <c r="G643" i="16"/>
  <c r="I643" i="16"/>
  <c r="H644" i="16"/>
  <c r="I644" i="16"/>
  <c r="H645" i="16"/>
  <c r="I645" i="16"/>
  <c r="H646" i="16"/>
  <c r="I646" i="16"/>
  <c r="H647" i="16"/>
  <c r="I647" i="16"/>
  <c r="H648" i="16"/>
  <c r="I648" i="16"/>
  <c r="H649" i="16"/>
  <c r="I649" i="16"/>
  <c r="H650" i="16"/>
  <c r="I650" i="16"/>
  <c r="H651" i="16"/>
  <c r="I651" i="16"/>
  <c r="H652" i="16"/>
  <c r="I652" i="16"/>
  <c r="D653" i="16"/>
  <c r="G653" i="16"/>
  <c r="I653" i="16"/>
  <c r="H654" i="16"/>
  <c r="I654" i="16"/>
  <c r="H655" i="16"/>
  <c r="I655" i="16"/>
  <c r="D660" i="16"/>
  <c r="G660" i="16"/>
  <c r="I660" i="16"/>
  <c r="H661" i="16"/>
  <c r="I661" i="16"/>
  <c r="H662" i="16"/>
  <c r="I662" i="16"/>
  <c r="H663" i="16"/>
  <c r="I663" i="16"/>
  <c r="H664" i="16"/>
  <c r="I664" i="16"/>
  <c r="H665" i="16"/>
  <c r="I665" i="16"/>
  <c r="H666" i="16"/>
  <c r="I666" i="16"/>
  <c r="H667" i="16"/>
  <c r="I667" i="16"/>
  <c r="H668" i="16"/>
  <c r="I668" i="16"/>
  <c r="H669" i="16"/>
  <c r="I669" i="16"/>
  <c r="H671" i="16"/>
  <c r="I671" i="16"/>
  <c r="H672" i="16"/>
  <c r="I672" i="16"/>
  <c r="H674" i="16"/>
  <c r="I674" i="16"/>
  <c r="G675" i="16"/>
  <c r="I675" i="16"/>
  <c r="H676" i="16"/>
  <c r="I676" i="16"/>
  <c r="F677" i="16"/>
  <c r="H677" i="16"/>
  <c r="I677" i="16"/>
  <c r="I678" i="16"/>
  <c r="G679" i="16"/>
  <c r="I679" i="16"/>
  <c r="H680" i="16"/>
  <c r="I680" i="16"/>
  <c r="H681" i="16"/>
  <c r="I681" i="16"/>
  <c r="H682" i="16"/>
  <c r="I682" i="16"/>
  <c r="H683" i="16"/>
  <c r="I683" i="16"/>
  <c r="H684" i="16"/>
  <c r="I684" i="16"/>
  <c r="H685" i="16"/>
  <c r="I685" i="16"/>
  <c r="H686" i="16"/>
  <c r="I686" i="16"/>
  <c r="H687" i="16"/>
  <c r="I687" i="16"/>
  <c r="H688" i="16"/>
  <c r="I688" i="16"/>
  <c r="H689" i="16"/>
  <c r="I689" i="16"/>
  <c r="F690" i="16"/>
  <c r="H690" i="16"/>
  <c r="I690" i="16"/>
  <c r="I691" i="16"/>
  <c r="D692" i="16"/>
  <c r="D700" i="16"/>
  <c r="G700" i="16"/>
  <c r="I700" i="16"/>
  <c r="F693" i="16"/>
  <c r="H693" i="16"/>
  <c r="I693" i="16"/>
  <c r="H694" i="16"/>
  <c r="I694" i="16"/>
  <c r="H695" i="16"/>
  <c r="I695" i="16"/>
  <c r="H696" i="16"/>
  <c r="I696" i="16"/>
  <c r="D697" i="16"/>
  <c r="G697" i="16"/>
  <c r="I697" i="16"/>
  <c r="F698" i="16"/>
  <c r="H698" i="16"/>
  <c r="I698" i="16"/>
  <c r="H699" i="16"/>
  <c r="I699" i="16"/>
  <c r="H701" i="16"/>
  <c r="I701" i="16"/>
  <c r="I702" i="16"/>
  <c r="H703" i="16"/>
  <c r="I703" i="16"/>
  <c r="H704" i="16"/>
  <c r="I704" i="16"/>
  <c r="D705" i="16"/>
  <c r="G705" i="16"/>
  <c r="I705" i="16"/>
  <c r="H706" i="16"/>
  <c r="I706" i="16"/>
  <c r="H707" i="16"/>
  <c r="I707" i="16"/>
  <c r="I708" i="16"/>
  <c r="D709" i="16"/>
  <c r="G709" i="16"/>
  <c r="I709" i="16"/>
  <c r="H710" i="16"/>
  <c r="I710" i="16"/>
  <c r="H711" i="16"/>
  <c r="I711" i="16"/>
  <c r="H712" i="16"/>
  <c r="I712" i="16"/>
  <c r="H713" i="16"/>
  <c r="I713" i="16"/>
  <c r="H714" i="16"/>
  <c r="I714" i="16"/>
  <c r="H715" i="16"/>
  <c r="I715" i="16"/>
  <c r="H716" i="16"/>
  <c r="I716" i="16"/>
  <c r="H718" i="16"/>
  <c r="I718" i="16"/>
  <c r="H719" i="16"/>
  <c r="I719" i="16"/>
  <c r="H720" i="16"/>
  <c r="I720" i="16"/>
  <c r="D723" i="16"/>
  <c r="I724" i="16"/>
  <c r="F726" i="16"/>
  <c r="D727" i="16"/>
  <c r="G727" i="16"/>
  <c r="I727" i="16"/>
  <c r="F728" i="16"/>
  <c r="H728" i="16"/>
  <c r="I728" i="16"/>
  <c r="D729" i="16"/>
  <c r="G729" i="16"/>
  <c r="I729" i="16"/>
  <c r="F730" i="16"/>
  <c r="H730" i="16"/>
  <c r="I730" i="16"/>
  <c r="I731" i="16"/>
  <c r="H732" i="16"/>
  <c r="I732" i="16"/>
  <c r="H733" i="16"/>
  <c r="I733" i="16"/>
  <c r="I734" i="16"/>
  <c r="G735" i="16"/>
  <c r="I735" i="16"/>
  <c r="H736" i="16"/>
  <c r="I736" i="16"/>
  <c r="D737" i="16"/>
  <c r="G737" i="16"/>
  <c r="I737" i="16"/>
  <c r="H738" i="16"/>
  <c r="I738" i="16"/>
  <c r="H739" i="16"/>
  <c r="I739" i="16"/>
  <c r="H740" i="16"/>
  <c r="I740" i="16"/>
  <c r="H741" i="16"/>
  <c r="I741" i="16"/>
  <c r="H742" i="16"/>
  <c r="I742" i="16"/>
  <c r="H743" i="16"/>
  <c r="I743" i="16"/>
  <c r="H744" i="16"/>
  <c r="I744" i="16"/>
  <c r="H745" i="16"/>
  <c r="I745" i="16"/>
  <c r="D746" i="16"/>
  <c r="G746" i="16"/>
  <c r="I746" i="16"/>
  <c r="H747" i="16"/>
  <c r="I747" i="16"/>
  <c r="D748" i="16"/>
  <c r="G748" i="16"/>
  <c r="I748" i="16"/>
  <c r="H749" i="16"/>
  <c r="I749" i="16"/>
  <c r="D750" i="16"/>
  <c r="D751" i="16"/>
  <c r="I753" i="16"/>
  <c r="D754" i="16"/>
  <c r="H755" i="16"/>
  <c r="I755" i="16"/>
  <c r="H756" i="16"/>
  <c r="I756" i="16"/>
  <c r="H757" i="16"/>
  <c r="I757" i="16"/>
  <c r="H758" i="16"/>
  <c r="I758" i="16"/>
  <c r="I759" i="16"/>
  <c r="D760" i="16"/>
  <c r="G760" i="16"/>
  <c r="I760" i="16"/>
  <c r="H761" i="16"/>
  <c r="I761" i="16"/>
  <c r="H762" i="16"/>
  <c r="I762" i="16"/>
  <c r="H763" i="16"/>
  <c r="I763" i="16"/>
  <c r="H764" i="16"/>
  <c r="I764" i="16"/>
  <c r="F765" i="16"/>
  <c r="H765" i="16"/>
  <c r="I765" i="16"/>
  <c r="H766" i="16"/>
  <c r="I766" i="16"/>
  <c r="H767" i="16"/>
  <c r="I767" i="16"/>
  <c r="I768" i="16"/>
  <c r="D769" i="16"/>
  <c r="G769" i="16"/>
  <c r="I769" i="16"/>
  <c r="H770" i="16"/>
  <c r="I770" i="16"/>
  <c r="H771" i="16"/>
  <c r="I771" i="16"/>
  <c r="F772" i="16"/>
  <c r="H772" i="16"/>
  <c r="I772" i="16"/>
  <c r="H773" i="16"/>
  <c r="I773" i="16"/>
  <c r="H774" i="16"/>
  <c r="I774" i="16"/>
  <c r="H775" i="16"/>
  <c r="I775" i="16"/>
  <c r="D381" i="32"/>
  <c r="H381" i="32"/>
  <c r="I381" i="32"/>
  <c r="D136" i="32"/>
  <c r="H136" i="32"/>
  <c r="I136" i="32"/>
  <c r="D135" i="32"/>
  <c r="H135" i="32"/>
  <c r="I135" i="32"/>
  <c r="D146" i="32"/>
  <c r="H146" i="32"/>
  <c r="I146" i="32"/>
  <c r="G276" i="32"/>
  <c r="I276" i="32"/>
  <c r="D145" i="32"/>
  <c r="H145" i="32"/>
  <c r="I145" i="32"/>
  <c r="D404" i="33"/>
  <c r="H404" i="33"/>
  <c r="D139" i="33"/>
  <c r="H139" i="33"/>
  <c r="I139" i="33"/>
  <c r="D140" i="33"/>
  <c r="H140" i="33"/>
  <c r="I140" i="33"/>
  <c r="G138" i="33"/>
  <c r="I138" i="33"/>
  <c r="I450" i="33"/>
  <c r="H694" i="33"/>
  <c r="I694" i="33"/>
  <c r="D145" i="33"/>
  <c r="H145" i="33"/>
  <c r="I145" i="33"/>
  <c r="D159" i="31"/>
  <c r="H159" i="31"/>
  <c r="I159" i="31"/>
  <c r="D421" i="31"/>
  <c r="H421" i="31"/>
  <c r="I421" i="31"/>
  <c r="H733" i="31"/>
  <c r="I733" i="31"/>
  <c r="D160" i="31"/>
  <c r="H160" i="31"/>
  <c r="I160" i="31"/>
  <c r="D419" i="31"/>
  <c r="H419" i="31"/>
  <c r="I419" i="31"/>
  <c r="D416" i="31"/>
  <c r="H416" i="31"/>
  <c r="I416" i="31"/>
  <c r="I552" i="31"/>
  <c r="I416" i="32"/>
  <c r="D373" i="32"/>
  <c r="H373" i="32"/>
  <c r="I373" i="32"/>
  <c r="G345" i="32"/>
  <c r="I345" i="32"/>
  <c r="D382" i="32"/>
  <c r="H382" i="32"/>
  <c r="I382" i="32"/>
  <c r="D139" i="32"/>
  <c r="H139" i="32"/>
  <c r="I139" i="32"/>
  <c r="D138" i="32"/>
  <c r="H138" i="32"/>
  <c r="I138" i="32"/>
  <c r="G52" i="32"/>
  <c r="I52" i="32"/>
  <c r="D54" i="32"/>
  <c r="H54" i="32"/>
  <c r="I54" i="32"/>
  <c r="G142" i="32"/>
  <c r="I142" i="32"/>
  <c r="D59" i="30"/>
  <c r="H59" i="30"/>
  <c r="I59" i="30"/>
  <c r="I56" i="31"/>
  <c r="D154" i="31"/>
  <c r="H154" i="31"/>
  <c r="I154" i="31"/>
  <c r="D165" i="31"/>
  <c r="H165" i="31"/>
  <c r="I165" i="31"/>
  <c r="H356" i="31"/>
  <c r="G356" i="31"/>
  <c r="I356" i="31"/>
  <c r="D157" i="31"/>
  <c r="H157" i="31"/>
  <c r="I157" i="31"/>
  <c r="D164" i="31"/>
  <c r="H164" i="31"/>
  <c r="I164" i="31"/>
  <c r="D199" i="31"/>
  <c r="H199" i="31"/>
  <c r="I199" i="31"/>
  <c r="D304" i="31"/>
  <c r="H304" i="31"/>
  <c r="I304" i="31"/>
  <c r="H390" i="31"/>
  <c r="I390" i="31"/>
  <c r="D414" i="31"/>
  <c r="H414" i="31"/>
  <c r="I414" i="31"/>
  <c r="I455" i="31"/>
  <c r="I501" i="31"/>
  <c r="G764" i="31"/>
  <c r="H284" i="32"/>
  <c r="I284" i="32"/>
  <c r="D144" i="32"/>
  <c r="H144" i="32"/>
  <c r="I144" i="32"/>
  <c r="G321" i="30"/>
  <c r="I321" i="30"/>
  <c r="G342" i="31"/>
  <c r="D55" i="30"/>
  <c r="H55" i="30"/>
  <c r="I55" i="30"/>
  <c r="I420" i="30"/>
  <c r="G143" i="30"/>
  <c r="I143" i="30"/>
  <c r="D144" i="33"/>
  <c r="H144" i="33"/>
  <c r="I144" i="33"/>
  <c r="G141" i="33"/>
  <c r="I141" i="33"/>
  <c r="D143" i="33"/>
  <c r="H143" i="33"/>
  <c r="I143" i="33"/>
  <c r="G437" i="33"/>
  <c r="I437" i="33"/>
  <c r="D148" i="33"/>
  <c r="H148" i="33"/>
  <c r="I148" i="33"/>
  <c r="G146" i="33"/>
  <c r="I146" i="33"/>
  <c r="D149" i="33"/>
  <c r="H149" i="33"/>
  <c r="I149" i="33"/>
  <c r="D147" i="33"/>
  <c r="H147" i="33"/>
  <c r="I147" i="33"/>
  <c r="G444" i="31"/>
  <c r="G452" i="31"/>
  <c r="I234" i="32"/>
  <c r="D236" i="32"/>
  <c r="H236" i="32"/>
  <c r="I236" i="32"/>
  <c r="D235" i="32"/>
  <c r="H235" i="32"/>
  <c r="I235" i="32"/>
  <c r="D140" i="32"/>
  <c r="H140" i="32"/>
  <c r="I140" i="32"/>
  <c r="D73" i="32"/>
  <c r="H73" i="32"/>
  <c r="D141" i="32"/>
  <c r="H141" i="32"/>
  <c r="I141" i="32"/>
  <c r="D392" i="31"/>
  <c r="H392" i="31"/>
  <c r="I392" i="31"/>
  <c r="G150" i="31"/>
  <c r="I150" i="31"/>
  <c r="D156" i="31"/>
  <c r="H156" i="31"/>
  <c r="I156" i="31"/>
  <c r="G389" i="31"/>
  <c r="I389" i="31"/>
  <c r="G153" i="31"/>
  <c r="I153" i="31"/>
  <c r="D162" i="31"/>
  <c r="H162" i="31"/>
  <c r="I162" i="31"/>
  <c r="D161" i="31"/>
  <c r="H161" i="31"/>
  <c r="I161" i="31"/>
  <c r="E7" i="21"/>
  <c r="D89" i="32"/>
  <c r="H89" i="32"/>
  <c r="J21" i="21"/>
  <c r="D96" i="30"/>
  <c r="O7" i="21"/>
  <c r="D90" i="33"/>
  <c r="H90" i="33"/>
  <c r="I90" i="33"/>
  <c r="O21" i="21"/>
  <c r="D94" i="33"/>
  <c r="O17" i="21"/>
  <c r="D93" i="33"/>
  <c r="H93" i="33"/>
  <c r="I93" i="33"/>
  <c r="J7" i="21"/>
  <c r="D93" i="30"/>
  <c r="E10" i="21"/>
  <c r="D92" i="32"/>
  <c r="H92" i="32"/>
  <c r="I92" i="32"/>
  <c r="E33" i="21"/>
  <c r="G32" i="21"/>
  <c r="D327" i="32"/>
  <c r="H327" i="32"/>
  <c r="I327" i="32"/>
  <c r="H119" i="31"/>
  <c r="I119" i="31"/>
  <c r="D368" i="31"/>
  <c r="H368" i="31"/>
  <c r="I368" i="31"/>
  <c r="H115" i="30"/>
  <c r="I115" i="30"/>
  <c r="D349" i="30"/>
  <c r="H349" i="30"/>
  <c r="I349" i="30"/>
  <c r="J31" i="24"/>
  <c r="J13" i="24"/>
  <c r="J12" i="24"/>
  <c r="J39" i="24"/>
  <c r="J6" i="24"/>
  <c r="J43" i="24"/>
  <c r="J42" i="24"/>
  <c r="J29" i="24"/>
  <c r="N17" i="24"/>
  <c r="N26" i="24"/>
  <c r="J14" i="24"/>
  <c r="J2" i="24"/>
  <c r="E52" i="24"/>
  <c r="N43" i="24"/>
  <c r="N49" i="24"/>
  <c r="D109" i="33"/>
  <c r="J41" i="24"/>
  <c r="N5" i="24"/>
  <c r="J30" i="24"/>
  <c r="D348" i="30"/>
  <c r="H348" i="30"/>
  <c r="I348" i="30"/>
  <c r="G347" i="30"/>
  <c r="I347" i="30"/>
  <c r="D350" i="30"/>
  <c r="H350" i="30"/>
  <c r="I350" i="30"/>
  <c r="D415" i="33"/>
  <c r="H415" i="33"/>
  <c r="I415" i="33"/>
  <c r="D153" i="33"/>
  <c r="H153" i="33"/>
  <c r="I153" i="33"/>
  <c r="D76" i="33"/>
  <c r="H76" i="33"/>
  <c r="I76" i="33"/>
  <c r="I456" i="33"/>
  <c r="D188" i="33"/>
  <c r="H188" i="33"/>
  <c r="I188" i="33"/>
  <c r="D375" i="32"/>
  <c r="H375" i="32"/>
  <c r="I375" i="32"/>
  <c r="G342" i="32"/>
  <c r="I342" i="32"/>
  <c r="D349" i="32"/>
  <c r="D344" i="32"/>
  <c r="H344" i="32"/>
  <c r="I344" i="32"/>
  <c r="D283" i="32"/>
  <c r="G283" i="32"/>
  <c r="I283" i="32"/>
  <c r="D212" i="32"/>
  <c r="H212" i="32"/>
  <c r="I212" i="32"/>
  <c r="D340" i="32"/>
  <c r="H340" i="32"/>
  <c r="I340" i="32"/>
  <c r="G210" i="32"/>
  <c r="I210" i="32"/>
  <c r="D659" i="32"/>
  <c r="D720" i="32"/>
  <c r="I424" i="32"/>
  <c r="E108" i="34"/>
  <c r="D165" i="32"/>
  <c r="C108" i="34"/>
  <c r="D166" i="32"/>
  <c r="H166" i="32"/>
  <c r="I166" i="32"/>
  <c r="H317" i="32"/>
  <c r="I317" i="32"/>
  <c r="G405" i="32"/>
  <c r="I405" i="32"/>
  <c r="D407" i="32"/>
  <c r="H407" i="32"/>
  <c r="D372" i="32"/>
  <c r="H372" i="32"/>
  <c r="I372" i="32"/>
  <c r="K352" i="32"/>
  <c r="G337" i="32"/>
  <c r="I468" i="33"/>
  <c r="I213" i="33"/>
  <c r="H727" i="33"/>
  <c r="I727" i="33"/>
  <c r="G311" i="31"/>
  <c r="I311" i="31"/>
  <c r="G196" i="31"/>
  <c r="I196" i="31"/>
  <c r="K393" i="31"/>
  <c r="G553" i="31"/>
  <c r="I475" i="31"/>
  <c r="D347" i="31"/>
  <c r="G347" i="31"/>
  <c r="I347" i="31"/>
  <c r="D422" i="31"/>
  <c r="H422" i="31"/>
  <c r="I422" i="31"/>
  <c r="I557" i="31"/>
  <c r="I574" i="31"/>
  <c r="I575" i="31"/>
  <c r="G607" i="31"/>
  <c r="I607" i="31"/>
  <c r="G418" i="31"/>
  <c r="I574" i="33"/>
  <c r="G596" i="33"/>
  <c r="H398" i="33"/>
  <c r="I398" i="33"/>
  <c r="C10" i="33"/>
  <c r="I467" i="33"/>
  <c r="G403" i="33"/>
  <c r="I403" i="33"/>
  <c r="G151" i="33"/>
  <c r="I151" i="33"/>
  <c r="G331" i="33"/>
  <c r="K378" i="33"/>
  <c r="D413" i="33"/>
  <c r="H413" i="33"/>
  <c r="I413" i="33"/>
  <c r="D91" i="33"/>
  <c r="H91" i="33"/>
  <c r="I91" i="33"/>
  <c r="H171" i="33"/>
  <c r="I171" i="33"/>
  <c r="G757" i="33"/>
  <c r="H690" i="33"/>
  <c r="G567" i="33"/>
  <c r="G51" i="33"/>
  <c r="I51" i="33"/>
  <c r="D52" i="33"/>
  <c r="H52" i="33"/>
  <c r="I52" i="33"/>
  <c r="H341" i="33"/>
  <c r="I341" i="33"/>
  <c r="E14" i="18"/>
  <c r="F14" i="18"/>
  <c r="F16" i="18"/>
  <c r="D276" i="33"/>
  <c r="G379" i="32"/>
  <c r="D8" i="18"/>
  <c r="D279" i="31"/>
  <c r="I758" i="33"/>
  <c r="I208" i="33"/>
  <c r="D375" i="33"/>
  <c r="H375" i="33"/>
  <c r="I375" i="33"/>
  <c r="G374" i="33"/>
  <c r="I374" i="33"/>
  <c r="H88" i="33"/>
  <c r="I88" i="33"/>
  <c r="G662" i="32"/>
  <c r="I662" i="32"/>
  <c r="I214" i="32"/>
  <c r="I462" i="32"/>
  <c r="D380" i="32"/>
  <c r="H380" i="32"/>
  <c r="I380" i="32"/>
  <c r="G568" i="32"/>
  <c r="I568" i="32"/>
  <c r="H68" i="31"/>
  <c r="I68" i="31"/>
  <c r="D152" i="31"/>
  <c r="H152" i="31"/>
  <c r="I152" i="31"/>
  <c r="I473" i="31"/>
  <c r="D415" i="31"/>
  <c r="H415" i="31"/>
  <c r="D417" i="31"/>
  <c r="H417" i="31"/>
  <c r="I417" i="31"/>
  <c r="G85" i="31"/>
  <c r="I85" i="31"/>
  <c r="I485" i="31"/>
  <c r="C10" i="31"/>
  <c r="D260" i="31"/>
  <c r="H260" i="31"/>
  <c r="I260" i="31"/>
  <c r="G258" i="31"/>
  <c r="I258" i="31"/>
  <c r="G639" i="31"/>
  <c r="I639" i="31"/>
  <c r="G701" i="31"/>
  <c r="I701" i="31"/>
  <c r="H310" i="30"/>
  <c r="I310" i="30"/>
  <c r="I437" i="30"/>
  <c r="D56" i="30"/>
  <c r="D410" i="30"/>
  <c r="H410" i="30"/>
  <c r="I410" i="30"/>
  <c r="D245" i="30"/>
  <c r="H245" i="30"/>
  <c r="I245" i="30"/>
  <c r="D150" i="30"/>
  <c r="H150" i="30"/>
  <c r="I150" i="30"/>
  <c r="D221" i="30"/>
  <c r="H221" i="30"/>
  <c r="I221" i="30"/>
  <c r="G148" i="30"/>
  <c r="I148" i="30"/>
  <c r="D285" i="30"/>
  <c r="H285" i="30"/>
  <c r="I285" i="30"/>
  <c r="I439" i="30"/>
  <c r="G219" i="30"/>
  <c r="I219" i="30"/>
  <c r="G390" i="30"/>
  <c r="I390" i="30"/>
  <c r="D378" i="30"/>
  <c r="H378" i="30"/>
  <c r="I378" i="30"/>
  <c r="D628" i="30"/>
  <c r="H628" i="30"/>
  <c r="I628" i="30"/>
  <c r="D398" i="30"/>
  <c r="H398" i="30"/>
  <c r="I398" i="30"/>
  <c r="D152" i="30"/>
  <c r="H152" i="30"/>
  <c r="I152" i="30"/>
  <c r="H330" i="30"/>
  <c r="G374" i="30"/>
  <c r="I374" i="30"/>
  <c r="H375" i="30"/>
  <c r="I375" i="30"/>
  <c r="H306" i="30"/>
  <c r="I306" i="30"/>
  <c r="D151" i="30"/>
  <c r="H151" i="30"/>
  <c r="I151" i="30"/>
  <c r="G140" i="30"/>
  <c r="I140" i="30"/>
  <c r="D94" i="30"/>
  <c r="H94" i="30"/>
  <c r="I94" i="30"/>
  <c r="H308" i="30"/>
  <c r="I308" i="30"/>
  <c r="G395" i="30"/>
  <c r="I395" i="30"/>
  <c r="G728" i="30"/>
  <c r="D147" i="30"/>
  <c r="H147" i="30"/>
  <c r="I147" i="30"/>
  <c r="D141" i="30"/>
  <c r="H141" i="30"/>
  <c r="I141" i="30"/>
  <c r="G186" i="30"/>
  <c r="I186" i="30"/>
  <c r="D144" i="30"/>
  <c r="H144" i="30"/>
  <c r="I144" i="30"/>
  <c r="D397" i="30"/>
  <c r="H397" i="30"/>
  <c r="I397" i="30"/>
  <c r="G326" i="30"/>
  <c r="I326" i="30"/>
  <c r="D409" i="30"/>
  <c r="H409" i="30"/>
  <c r="D380" i="30"/>
  <c r="H380" i="30"/>
  <c r="I380" i="30"/>
  <c r="G603" i="30"/>
  <c r="I603" i="30"/>
  <c r="G662" i="30"/>
  <c r="I662" i="30"/>
  <c r="D393" i="30"/>
  <c r="H393" i="30"/>
  <c r="I393" i="30"/>
  <c r="D391" i="30"/>
  <c r="G243" i="30"/>
  <c r="I243" i="30"/>
  <c r="D146" i="30"/>
  <c r="H146" i="30"/>
  <c r="I146" i="30"/>
  <c r="C52" i="34"/>
  <c r="D175" i="30"/>
  <c r="E52" i="34"/>
  <c r="D174" i="30"/>
  <c r="E16" i="18"/>
  <c r="D356" i="33"/>
  <c r="D376" i="33"/>
  <c r="H376" i="33"/>
  <c r="I376" i="33"/>
  <c r="H182" i="30"/>
  <c r="I182" i="30"/>
  <c r="D181" i="30"/>
  <c r="G181" i="30"/>
  <c r="I181" i="30"/>
  <c r="Q16" i="27"/>
  <c r="R16" i="27"/>
  <c r="Q3" i="24"/>
  <c r="V71" i="27"/>
  <c r="H308" i="33"/>
  <c r="I308" i="33"/>
  <c r="D320" i="33"/>
  <c r="G320" i="33"/>
  <c r="H299" i="33"/>
  <c r="I299" i="33"/>
  <c r="G298" i="33"/>
  <c r="I298" i="33"/>
  <c r="H316" i="31"/>
  <c r="I316" i="31"/>
  <c r="G318" i="31"/>
  <c r="I318" i="31"/>
  <c r="H325" i="31"/>
  <c r="I325" i="31"/>
  <c r="H327" i="31"/>
  <c r="I327" i="31"/>
  <c r="H329" i="31"/>
  <c r="I329" i="31"/>
  <c r="H331" i="31"/>
  <c r="I331" i="31"/>
  <c r="H317" i="33"/>
  <c r="I317" i="33"/>
  <c r="H315" i="31"/>
  <c r="I315" i="31"/>
  <c r="H317" i="31"/>
  <c r="I317" i="31"/>
  <c r="H324" i="31"/>
  <c r="I324" i="31"/>
  <c r="H328" i="31"/>
  <c r="I328" i="31"/>
  <c r="H333" i="31"/>
  <c r="I333" i="31"/>
  <c r="I446" i="32"/>
  <c r="I436" i="32"/>
  <c r="I434" i="32"/>
  <c r="G237" i="32"/>
  <c r="D377" i="32"/>
  <c r="H377" i="32"/>
  <c r="I377" i="32"/>
  <c r="G308" i="32"/>
  <c r="I308" i="32"/>
  <c r="I189" i="32"/>
  <c r="G72" i="32"/>
  <c r="I72" i="32"/>
  <c r="D378" i="32"/>
  <c r="H378" i="32"/>
  <c r="I378" i="32"/>
  <c r="G374" i="32"/>
  <c r="I374" i="32"/>
  <c r="D625" i="32"/>
  <c r="H625" i="32"/>
  <c r="I625" i="32"/>
  <c r="D389" i="32"/>
  <c r="H389" i="32"/>
  <c r="I389" i="32"/>
  <c r="H388" i="32"/>
  <c r="I388" i="32"/>
  <c r="I737" i="31"/>
  <c r="I334" i="33"/>
  <c r="I444" i="33"/>
  <c r="I617" i="33"/>
  <c r="I189" i="33"/>
  <c r="I505" i="31"/>
  <c r="I224" i="31"/>
  <c r="I435" i="32"/>
  <c r="H370" i="32"/>
  <c r="I370" i="32"/>
  <c r="I542" i="30"/>
  <c r="I470" i="30"/>
  <c r="I391" i="33"/>
  <c r="H393" i="33"/>
  <c r="I393" i="33"/>
  <c r="I394" i="33"/>
  <c r="H367" i="32"/>
  <c r="I367" i="32"/>
  <c r="H368" i="32"/>
  <c r="I368" i="32"/>
  <c r="G313" i="31"/>
  <c r="I313" i="31"/>
  <c r="D314" i="31"/>
  <c r="H323" i="31"/>
  <c r="I323" i="31"/>
  <c r="G307" i="33"/>
  <c r="I307" i="33"/>
  <c r="I320" i="33"/>
  <c r="G284" i="14"/>
  <c r="I284" i="14"/>
  <c r="H284" i="14"/>
  <c r="D145" i="14"/>
  <c r="D147" i="14"/>
  <c r="I72" i="14"/>
  <c r="I528" i="30"/>
  <c r="Q54" i="27"/>
  <c r="G193" i="14"/>
  <c r="I193" i="14"/>
  <c r="D194" i="14"/>
  <c r="H194" i="14"/>
  <c r="I194" i="14"/>
  <c r="D195" i="14"/>
  <c r="H195" i="14"/>
  <c r="I195" i="14"/>
  <c r="P96" i="24"/>
  <c r="O96" i="24"/>
  <c r="P88" i="24"/>
  <c r="O82" i="24"/>
  <c r="P82" i="24"/>
  <c r="P79" i="24"/>
  <c r="O79" i="24"/>
  <c r="P76" i="24"/>
  <c r="O76" i="24"/>
  <c r="O73" i="24"/>
  <c r="P59" i="24"/>
  <c r="O59" i="24"/>
  <c r="J111" i="29"/>
  <c r="J112" i="29"/>
  <c r="K66" i="29"/>
  <c r="I11" i="15"/>
  <c r="E55" i="17"/>
  <c r="F55" i="17"/>
  <c r="F22" i="17"/>
  <c r="J66" i="29"/>
  <c r="J67" i="29"/>
  <c r="K67" i="29"/>
  <c r="M66" i="29"/>
  <c r="D51" i="22"/>
  <c r="P101" i="24"/>
  <c r="O101" i="24"/>
  <c r="P95" i="24"/>
  <c r="O95" i="24"/>
  <c r="O92" i="24"/>
  <c r="O85" i="24"/>
  <c r="P81" i="24"/>
  <c r="O81" i="24"/>
  <c r="O78" i="24"/>
  <c r="P78" i="24"/>
  <c r="O66" i="24"/>
  <c r="P66" i="24"/>
  <c r="D61" i="22"/>
  <c r="H495" i="14"/>
  <c r="I495" i="14"/>
  <c r="D491" i="14"/>
  <c r="G491" i="14"/>
  <c r="I491" i="14"/>
  <c r="I276" i="14"/>
  <c r="I15" i="14"/>
  <c r="O100" i="24"/>
  <c r="O94" i="24"/>
  <c r="P94" i="24"/>
  <c r="P91" i="24"/>
  <c r="P89" i="24"/>
  <c r="O87" i="24"/>
  <c r="P84" i="24"/>
  <c r="O84" i="24"/>
  <c r="P80" i="24"/>
  <c r="P77" i="24"/>
  <c r="P74" i="24"/>
  <c r="P71" i="24"/>
  <c r="O68" i="24"/>
  <c r="O65" i="24"/>
  <c r="P65" i="24"/>
  <c r="O63" i="24"/>
  <c r="O61" i="24"/>
  <c r="P61" i="24"/>
  <c r="D353" i="33"/>
  <c r="H353" i="33"/>
  <c r="I353" i="33"/>
  <c r="H536" i="14"/>
  <c r="I536" i="14"/>
  <c r="D535" i="14"/>
  <c r="G508" i="14"/>
  <c r="I508" i="14"/>
  <c r="D500" i="14"/>
  <c r="G500" i="14"/>
  <c r="I500" i="14"/>
  <c r="H501" i="14"/>
  <c r="I501" i="14"/>
  <c r="D370" i="14"/>
  <c r="G370" i="14"/>
  <c r="H371" i="14"/>
  <c r="D304" i="14"/>
  <c r="G258" i="14"/>
  <c r="I258" i="14"/>
  <c r="D259" i="14"/>
  <c r="H259" i="14"/>
  <c r="I259" i="14"/>
  <c r="G235" i="14"/>
  <c r="I235" i="14"/>
  <c r="D236" i="14"/>
  <c r="I219" i="14"/>
  <c r="P102" i="24"/>
  <c r="P99" i="24"/>
  <c r="P97" i="24"/>
  <c r="O97" i="24"/>
  <c r="O93" i="24"/>
  <c r="P93" i="24"/>
  <c r="O83" i="24"/>
  <c r="P67" i="24"/>
  <c r="P64" i="24"/>
  <c r="P62" i="24"/>
  <c r="O60" i="24"/>
  <c r="P60" i="24"/>
  <c r="P57" i="24"/>
  <c r="O57" i="24"/>
  <c r="B78" i="18"/>
  <c r="D77" i="18"/>
  <c r="G412" i="14"/>
  <c r="G298" i="14"/>
  <c r="I298" i="14"/>
  <c r="H298" i="14"/>
  <c r="I278" i="14"/>
  <c r="G250" i="14"/>
  <c r="I250" i="14"/>
  <c r="D251" i="14"/>
  <c r="H251" i="14"/>
  <c r="I251" i="14"/>
  <c r="D252" i="14"/>
  <c r="H252" i="14"/>
  <c r="I252" i="14"/>
  <c r="D253" i="14"/>
  <c r="H253" i="14"/>
  <c r="I253" i="14"/>
  <c r="G226" i="14"/>
  <c r="I226" i="14"/>
  <c r="D230" i="14"/>
  <c r="D227" i="14"/>
  <c r="H227" i="14"/>
  <c r="I227" i="14"/>
  <c r="D228" i="14"/>
  <c r="D229" i="14"/>
  <c r="G210" i="14"/>
  <c r="I210" i="14"/>
  <c r="D211" i="14"/>
  <c r="H211" i="14"/>
  <c r="I211" i="14"/>
  <c r="E4" i="18"/>
  <c r="D351" i="30"/>
  <c r="F2" i="18"/>
  <c r="F4" i="18"/>
  <c r="D272" i="30"/>
  <c r="H503" i="14"/>
  <c r="I503" i="14"/>
  <c r="H287" i="14"/>
  <c r="D242" i="14"/>
  <c r="D176" i="14"/>
  <c r="H176" i="14"/>
  <c r="I176" i="14"/>
  <c r="H113" i="14"/>
  <c r="I113" i="14"/>
  <c r="I71" i="14"/>
  <c r="D38" i="14"/>
  <c r="H38" i="14"/>
  <c r="D39" i="14"/>
  <c r="H39" i="14"/>
  <c r="I39" i="14"/>
  <c r="G37" i="14"/>
  <c r="H34" i="14"/>
  <c r="I34" i="14"/>
  <c r="I24" i="14"/>
  <c r="H25" i="14"/>
  <c r="H319" i="14"/>
  <c r="I319" i="14"/>
  <c r="H299" i="14"/>
  <c r="I299" i="14"/>
  <c r="D182" i="14"/>
  <c r="H182" i="14"/>
  <c r="I182" i="14"/>
  <c r="D181" i="14"/>
  <c r="H181" i="14"/>
  <c r="I181" i="14"/>
  <c r="D180" i="14"/>
  <c r="H180" i="14"/>
  <c r="I180" i="14"/>
  <c r="D179" i="14"/>
  <c r="H179" i="14"/>
  <c r="I179" i="14"/>
  <c r="D178" i="14"/>
  <c r="H178" i="14"/>
  <c r="I178" i="14"/>
  <c r="D177" i="14"/>
  <c r="H177" i="14"/>
  <c r="H141" i="14"/>
  <c r="I141" i="14"/>
  <c r="D94" i="14"/>
  <c r="G94" i="14"/>
  <c r="I94" i="14"/>
  <c r="D91" i="14"/>
  <c r="G91" i="14"/>
  <c r="I91" i="14"/>
  <c r="H92" i="14"/>
  <c r="I92" i="14"/>
  <c r="D59" i="14"/>
  <c r="H59" i="14"/>
  <c r="I59" i="14"/>
  <c r="G58" i="14"/>
  <c r="I58" i="14"/>
  <c r="D10" i="18"/>
  <c r="D12" i="18"/>
  <c r="D255" i="32"/>
  <c r="E10" i="18"/>
  <c r="E12" i="18"/>
  <c r="E6" i="18"/>
  <c r="D364" i="33"/>
  <c r="H364" i="33"/>
  <c r="I364" i="33"/>
  <c r="G363" i="33"/>
  <c r="I363" i="33"/>
  <c r="V96" i="27"/>
  <c r="T10" i="21"/>
  <c r="D97" i="31"/>
  <c r="M40" i="21"/>
  <c r="D171" i="30"/>
  <c r="D29" i="20"/>
  <c r="D176" i="32"/>
  <c r="G15" i="28"/>
  <c r="I15" i="28"/>
  <c r="F15" i="28"/>
  <c r="H15" i="28"/>
  <c r="F116" i="28"/>
  <c r="G116" i="28"/>
  <c r="I116" i="28"/>
  <c r="G69" i="28"/>
  <c r="I69" i="28"/>
  <c r="F122" i="28"/>
  <c r="G122" i="28"/>
  <c r="I122" i="28"/>
  <c r="H396" i="33"/>
  <c r="I396" i="33"/>
  <c r="G405" i="31"/>
  <c r="D406" i="31"/>
  <c r="H406" i="31"/>
  <c r="I406" i="31"/>
  <c r="D431" i="16"/>
  <c r="H431" i="16"/>
  <c r="I431" i="16"/>
  <c r="G430" i="16"/>
  <c r="I430" i="16"/>
  <c r="D387" i="31"/>
  <c r="H387" i="31"/>
  <c r="G386" i="31"/>
  <c r="I386" i="31"/>
  <c r="D372" i="33"/>
  <c r="H372" i="33"/>
  <c r="I372" i="33"/>
  <c r="G371" i="33"/>
  <c r="I371" i="33"/>
  <c r="E9" i="28"/>
  <c r="D19" i="20"/>
  <c r="D184" i="33"/>
  <c r="D398" i="32"/>
  <c r="H398" i="32"/>
  <c r="I398" i="32"/>
  <c r="D397" i="32"/>
  <c r="H397" i="32"/>
  <c r="I397" i="32"/>
  <c r="P119" i="27"/>
  <c r="V136" i="27"/>
  <c r="X130" i="27"/>
  <c r="X136" i="27"/>
  <c r="N137" i="27"/>
  <c r="P134" i="27"/>
  <c r="P137" i="27"/>
  <c r="P142" i="27"/>
  <c r="P147" i="27"/>
  <c r="N147" i="27"/>
  <c r="X117" i="27"/>
  <c r="V147" i="27"/>
  <c r="X138" i="27"/>
  <c r="X147" i="27"/>
  <c r="M58" i="21"/>
  <c r="D163" i="32"/>
  <c r="H163" i="32"/>
  <c r="I163" i="32"/>
  <c r="I169" i="32"/>
  <c r="I170" i="32"/>
  <c r="C25" i="34"/>
  <c r="D175" i="33"/>
  <c r="H175" i="33"/>
  <c r="I175" i="33"/>
  <c r="D385" i="31"/>
  <c r="H385" i="31"/>
  <c r="I385" i="31"/>
  <c r="D384" i="31"/>
  <c r="H384" i="31"/>
  <c r="I384" i="31"/>
  <c r="D370" i="33"/>
  <c r="H370" i="33"/>
  <c r="I370" i="33"/>
  <c r="D369" i="33"/>
  <c r="H369" i="33"/>
  <c r="I369" i="33"/>
  <c r="D385" i="33"/>
  <c r="H385" i="33"/>
  <c r="I385" i="33"/>
  <c r="D386" i="33"/>
  <c r="H386" i="33"/>
  <c r="I386" i="33"/>
  <c r="D400" i="31"/>
  <c r="H400" i="31"/>
  <c r="I400" i="31"/>
  <c r="D401" i="31"/>
  <c r="H401" i="31"/>
  <c r="I401" i="31"/>
  <c r="E110" i="28"/>
  <c r="I110" i="28"/>
  <c r="G110" i="28"/>
  <c r="I4" i="28"/>
  <c r="D261" i="33"/>
  <c r="H261" i="33"/>
  <c r="I261" i="33"/>
  <c r="V39" i="27"/>
  <c r="E57" i="28"/>
  <c r="E87" i="28"/>
  <c r="H87" i="28"/>
  <c r="E45" i="28"/>
  <c r="F45" i="28"/>
  <c r="E21" i="28"/>
  <c r="H21" i="28"/>
  <c r="I25" i="28"/>
  <c r="F126" i="28"/>
  <c r="F3" i="28"/>
  <c r="D255" i="30"/>
  <c r="G25" i="28"/>
  <c r="H229" i="14"/>
  <c r="I229" i="14"/>
  <c r="G228" i="14"/>
  <c r="I228" i="14"/>
  <c r="H2" i="28"/>
  <c r="D244" i="32"/>
  <c r="I371" i="14"/>
  <c r="G145" i="14"/>
  <c r="I145" i="14"/>
  <c r="D146" i="14"/>
  <c r="H146" i="14"/>
  <c r="I146" i="14"/>
  <c r="G304" i="14"/>
  <c r="H304" i="14"/>
  <c r="I304" i="14"/>
  <c r="D195" i="31"/>
  <c r="H195" i="31"/>
  <c r="I195" i="31"/>
  <c r="F10" i="18"/>
  <c r="F12" i="18"/>
  <c r="D263" i="32"/>
  <c r="F61" i="22"/>
  <c r="I533" i="32"/>
  <c r="G396" i="32"/>
  <c r="I396" i="32"/>
  <c r="D360" i="32"/>
  <c r="H360" i="32"/>
  <c r="I360" i="32"/>
  <c r="D359" i="32"/>
  <c r="H359" i="32"/>
  <c r="I359" i="32"/>
  <c r="G358" i="32"/>
  <c r="I358" i="32"/>
  <c r="D354" i="32"/>
  <c r="H354" i="32"/>
  <c r="I354" i="32"/>
  <c r="D391" i="32"/>
  <c r="H391" i="32"/>
  <c r="I391" i="32"/>
  <c r="G387" i="32"/>
  <c r="I387" i="32"/>
  <c r="G27" i="32"/>
  <c r="I27" i="32"/>
  <c r="G41" i="32"/>
  <c r="I41" i="32"/>
  <c r="G353" i="32"/>
  <c r="I353" i="32"/>
  <c r="D39" i="32"/>
  <c r="H39" i="32"/>
  <c r="I39" i="32"/>
  <c r="D284" i="31"/>
  <c r="H284" i="31"/>
  <c r="I284" i="31"/>
  <c r="D430" i="31"/>
  <c r="H430" i="31"/>
  <c r="I430" i="31"/>
  <c r="D25" i="31"/>
  <c r="H25" i="31"/>
  <c r="I25" i="31"/>
  <c r="D28" i="31"/>
  <c r="H28" i="31"/>
  <c r="I28" i="31"/>
  <c r="D48" i="31"/>
  <c r="H48" i="31"/>
  <c r="I48" i="31"/>
  <c r="D21" i="31"/>
  <c r="H21" i="31"/>
  <c r="I21" i="31"/>
  <c r="D26" i="31"/>
  <c r="H26" i="31"/>
  <c r="I26" i="31"/>
  <c r="D45" i="31"/>
  <c r="H45" i="31"/>
  <c r="I45" i="31"/>
  <c r="I468" i="30"/>
  <c r="D41" i="30"/>
  <c r="H41" i="30"/>
  <c r="I41" i="30"/>
  <c r="D17" i="30"/>
  <c r="H17" i="30"/>
  <c r="I17" i="30"/>
  <c r="D25" i="30"/>
  <c r="H25" i="30"/>
  <c r="I25" i="30"/>
  <c r="G39" i="30"/>
  <c r="I39" i="30"/>
  <c r="D26" i="30"/>
  <c r="H26" i="30"/>
  <c r="I26" i="30"/>
  <c r="D368" i="30"/>
  <c r="H368" i="30"/>
  <c r="I368" i="30"/>
  <c r="G18" i="33"/>
  <c r="I18" i="33"/>
  <c r="D21" i="33"/>
  <c r="H21" i="33"/>
  <c r="I21" i="33"/>
  <c r="G22" i="33"/>
  <c r="I22" i="33"/>
  <c r="G27" i="33"/>
  <c r="I27" i="33"/>
  <c r="D24" i="33"/>
  <c r="H24" i="33"/>
  <c r="I24" i="33"/>
  <c r="G40" i="33"/>
  <c r="I16" i="32"/>
  <c r="D17" i="32"/>
  <c r="H17" i="32"/>
  <c r="G18" i="32"/>
  <c r="I18" i="32"/>
  <c r="D21" i="32"/>
  <c r="H21" i="32"/>
  <c r="I21" i="32"/>
  <c r="D25" i="32"/>
  <c r="H25" i="32"/>
  <c r="I25" i="32"/>
  <c r="D34" i="32"/>
  <c r="H34" i="32"/>
  <c r="I34" i="32"/>
  <c r="G20" i="32"/>
  <c r="G24" i="32"/>
  <c r="I24" i="32"/>
  <c r="I16" i="31"/>
  <c r="G18" i="31"/>
  <c r="I18" i="31"/>
  <c r="G38" i="31"/>
  <c r="I38" i="31"/>
  <c r="D29" i="31"/>
  <c r="G44" i="31"/>
  <c r="I44" i="31"/>
  <c r="G20" i="31"/>
  <c r="I20" i="31"/>
  <c r="D17" i="31"/>
  <c r="H17" i="31"/>
  <c r="I17" i="31"/>
  <c r="I336" i="30"/>
  <c r="D365" i="32"/>
  <c r="H365" i="32"/>
  <c r="I365" i="32"/>
  <c r="I751" i="33"/>
  <c r="D377" i="33"/>
  <c r="H377" i="33"/>
  <c r="I377" i="33"/>
  <c r="D123" i="33"/>
  <c r="G123" i="33"/>
  <c r="I123" i="33"/>
  <c r="I478" i="33"/>
  <c r="D110" i="33"/>
  <c r="H110" i="33"/>
  <c r="I110" i="33"/>
  <c r="K27" i="33"/>
  <c r="H70" i="33"/>
  <c r="I70" i="33"/>
  <c r="H402" i="33"/>
  <c r="I402" i="33"/>
  <c r="H124" i="33"/>
  <c r="I124" i="33"/>
  <c r="I195" i="32"/>
  <c r="H391" i="31"/>
  <c r="I391" i="31"/>
  <c r="D438" i="31"/>
  <c r="H438" i="31"/>
  <c r="I438" i="31"/>
  <c r="H215" i="31"/>
  <c r="I215" i="31"/>
  <c r="H134" i="30"/>
  <c r="I134" i="30"/>
  <c r="G20" i="30"/>
  <c r="I20" i="30"/>
  <c r="D723" i="30"/>
  <c r="H697" i="30"/>
  <c r="I697" i="30"/>
  <c r="D21" i="30"/>
  <c r="H21" i="30"/>
  <c r="I21" i="30"/>
  <c r="H135" i="30"/>
  <c r="I135" i="30"/>
  <c r="I764" i="31"/>
  <c r="I765" i="31"/>
  <c r="D427" i="31"/>
  <c r="D428" i="31"/>
  <c r="H428" i="31"/>
  <c r="I428" i="31"/>
  <c r="G426" i="31"/>
  <c r="D432" i="31"/>
  <c r="H432" i="31"/>
  <c r="I432" i="31"/>
  <c r="G431" i="31"/>
  <c r="I431" i="31"/>
  <c r="G99" i="31"/>
  <c r="I99" i="31"/>
  <c r="I219" i="31"/>
  <c r="G223" i="33"/>
  <c r="D225" i="33"/>
  <c r="H225" i="33"/>
  <c r="I225" i="33"/>
  <c r="D224" i="33"/>
  <c r="H224" i="33"/>
  <c r="I224" i="33"/>
  <c r="I440" i="33"/>
  <c r="H67" i="33"/>
  <c r="I67" i="33"/>
  <c r="D156" i="16"/>
  <c r="H156" i="16"/>
  <c r="I156" i="16"/>
  <c r="G16" i="33"/>
  <c r="I16" i="33"/>
  <c r="G25" i="33"/>
  <c r="I25" i="33"/>
  <c r="D78" i="16"/>
  <c r="H78" i="16"/>
  <c r="I78" i="16"/>
  <c r="H130" i="33"/>
  <c r="I130" i="33"/>
  <c r="D42" i="33"/>
  <c r="H42" i="33"/>
  <c r="I42" i="33"/>
  <c r="H132" i="33"/>
  <c r="I132" i="33"/>
  <c r="D155" i="16"/>
  <c r="H155" i="16"/>
  <c r="I155" i="16"/>
  <c r="D296" i="32"/>
  <c r="G296" i="32"/>
  <c r="I296" i="32"/>
  <c r="H694" i="32"/>
  <c r="I694" i="32"/>
  <c r="H28" i="32"/>
  <c r="I28" i="32"/>
  <c r="I303" i="32"/>
  <c r="I360" i="31"/>
  <c r="H64" i="31"/>
  <c r="I64" i="31"/>
  <c r="G279" i="31"/>
  <c r="I279" i="31"/>
  <c r="H363" i="31"/>
  <c r="H87" i="31"/>
  <c r="I87" i="31"/>
  <c r="D93" i="16"/>
  <c r="H93" i="16"/>
  <c r="I93" i="16"/>
  <c r="G656" i="31"/>
  <c r="I656" i="31"/>
  <c r="D71" i="16"/>
  <c r="H71" i="16"/>
  <c r="I71" i="16"/>
  <c r="H65" i="31"/>
  <c r="I65" i="31"/>
  <c r="H95" i="31"/>
  <c r="I95" i="31"/>
  <c r="D105" i="16"/>
  <c r="D88" i="31"/>
  <c r="G88" i="31"/>
  <c r="I88" i="31"/>
  <c r="D76" i="31"/>
  <c r="G76" i="31"/>
  <c r="D78" i="31"/>
  <c r="H78" i="31"/>
  <c r="I78" i="31"/>
  <c r="D74" i="16"/>
  <c r="H74" i="16"/>
  <c r="I74" i="16"/>
  <c r="D99" i="16"/>
  <c r="H99" i="16"/>
  <c r="I99" i="16"/>
  <c r="D100" i="16"/>
  <c r="H100" i="16"/>
  <c r="I100" i="16"/>
  <c r="D113" i="16"/>
  <c r="H113" i="16"/>
  <c r="I113" i="16"/>
  <c r="D160" i="16"/>
  <c r="H160" i="16"/>
  <c r="I160" i="16"/>
  <c r="G360" i="30"/>
  <c r="I360" i="30"/>
  <c r="D172" i="16"/>
  <c r="H172" i="16"/>
  <c r="I172" i="16"/>
  <c r="G27" i="30"/>
  <c r="I27" i="30"/>
  <c r="D171" i="16"/>
  <c r="H171" i="16"/>
  <c r="I171" i="16"/>
  <c r="I538" i="32"/>
  <c r="I451" i="32"/>
  <c r="I540" i="32"/>
  <c r="I314" i="32"/>
  <c r="H94" i="32"/>
  <c r="I94" i="32"/>
  <c r="H127" i="32"/>
  <c r="I127" i="32"/>
  <c r="H77" i="32"/>
  <c r="I77" i="32"/>
  <c r="D53" i="32"/>
  <c r="H53" i="32"/>
  <c r="I53" i="32"/>
  <c r="H133" i="32"/>
  <c r="I133" i="32"/>
  <c r="G38" i="32"/>
  <c r="D159" i="16"/>
  <c r="H125" i="32"/>
  <c r="I125" i="32"/>
  <c r="I152" i="33"/>
  <c r="G440" i="16"/>
  <c r="I440" i="16"/>
  <c r="D441" i="16"/>
  <c r="H441" i="16"/>
  <c r="I441" i="16"/>
  <c r="G280" i="16"/>
  <c r="I280" i="16"/>
  <c r="D282" i="16"/>
  <c r="H282" i="16"/>
  <c r="I97" i="33"/>
  <c r="I98" i="33"/>
  <c r="H427" i="31"/>
  <c r="I426" i="31"/>
  <c r="I76" i="31"/>
  <c r="D238" i="16"/>
  <c r="G238" i="16"/>
  <c r="I238" i="16"/>
  <c r="I328" i="30"/>
  <c r="G369" i="30"/>
  <c r="I369" i="30"/>
  <c r="G571" i="30"/>
  <c r="I571" i="30"/>
  <c r="D584" i="30"/>
  <c r="G584" i="30"/>
  <c r="I419" i="30"/>
  <c r="H168" i="30"/>
  <c r="I168" i="30"/>
  <c r="D214" i="16"/>
  <c r="H214" i="16"/>
  <c r="I214" i="16"/>
  <c r="D402" i="30"/>
  <c r="H402" i="30"/>
  <c r="I402" i="30"/>
  <c r="G399" i="30"/>
  <c r="I399" i="30"/>
  <c r="D107" i="16"/>
  <c r="H107" i="16"/>
  <c r="I107" i="16"/>
  <c r="H92" i="30"/>
  <c r="I92" i="30"/>
  <c r="D83" i="30"/>
  <c r="G83" i="30"/>
  <c r="I83" i="30"/>
  <c r="D170" i="16"/>
  <c r="H170" i="16"/>
  <c r="I170" i="16"/>
  <c r="D162" i="16"/>
  <c r="H162" i="16"/>
  <c r="I162" i="16"/>
  <c r="H132" i="30"/>
  <c r="I132" i="30"/>
  <c r="G29" i="30"/>
  <c r="I29" i="30"/>
  <c r="D35" i="30"/>
  <c r="H35" i="30"/>
  <c r="I35" i="30"/>
  <c r="D288" i="30"/>
  <c r="D358" i="38"/>
  <c r="G287" i="30"/>
  <c r="I287" i="30"/>
  <c r="D274" i="30"/>
  <c r="H274" i="30"/>
  <c r="I274" i="30"/>
  <c r="D50" i="16"/>
  <c r="H50" i="16"/>
  <c r="I50" i="16" s="1"/>
  <c r="G438" i="16"/>
  <c r="I438" i="16"/>
  <c r="H453" i="16"/>
  <c r="I453" i="16"/>
  <c r="I89" i="32"/>
  <c r="I37" i="31"/>
  <c r="I52" i="31" s="1"/>
  <c r="D282" i="31"/>
  <c r="H282" i="31"/>
  <c r="I282" i="31"/>
  <c r="D357" i="16"/>
  <c r="G357" i="16"/>
  <c r="I357" i="16"/>
  <c r="D372" i="16"/>
  <c r="H372" i="16"/>
  <c r="I372" i="16"/>
  <c r="D368" i="16"/>
  <c r="H368" i="16"/>
  <c r="I368" i="16"/>
  <c r="D363" i="16"/>
  <c r="H363" i="16"/>
  <c r="I363" i="16"/>
  <c r="D367" i="16"/>
  <c r="H367" i="16"/>
  <c r="I367" i="16"/>
  <c r="D370" i="16"/>
  <c r="D374" i="16"/>
  <c r="H374" i="16"/>
  <c r="I374" i="16"/>
  <c r="H293" i="30"/>
  <c r="I293" i="30"/>
  <c r="I465" i="30"/>
  <c r="I474" i="30"/>
  <c r="I543" i="30"/>
  <c r="H93" i="30"/>
  <c r="I93" i="30"/>
  <c r="D160" i="30"/>
  <c r="G160" i="30"/>
  <c r="H304" i="30"/>
  <c r="I304" i="30"/>
  <c r="H302" i="30"/>
  <c r="I302" i="30"/>
  <c r="H165" i="30"/>
  <c r="I165" i="30"/>
  <c r="H187" i="30"/>
  <c r="I187" i="30"/>
  <c r="G351" i="30"/>
  <c r="I351" i="30"/>
  <c r="G278" i="30"/>
  <c r="I278" i="30"/>
  <c r="H200" i="30"/>
  <c r="I200" i="30"/>
  <c r="H172" i="30"/>
  <c r="I172" i="30"/>
  <c r="D342" i="16"/>
  <c r="G342" i="16"/>
  <c r="I342" i="16"/>
  <c r="G282" i="30"/>
  <c r="I282" i="30"/>
  <c r="D360" i="16"/>
  <c r="H360" i="16"/>
  <c r="I360" i="16"/>
  <c r="H290" i="30"/>
  <c r="I290" i="30"/>
  <c r="G379" i="30"/>
  <c r="I379" i="30"/>
  <c r="D381" i="30"/>
  <c r="H381" i="30"/>
  <c r="I381" i="30"/>
  <c r="H281" i="30"/>
  <c r="I281" i="30"/>
  <c r="G358" i="30"/>
  <c r="D359" i="30"/>
  <c r="H359" i="30"/>
  <c r="I359" i="30"/>
  <c r="D361" i="30"/>
  <c r="H361" i="30"/>
  <c r="I361" i="30"/>
  <c r="H303" i="30"/>
  <c r="I303" i="30"/>
  <c r="H28" i="30"/>
  <c r="I28" i="30"/>
  <c r="I728" i="30"/>
  <c r="I729" i="30"/>
  <c r="I588" i="30"/>
  <c r="H56" i="30"/>
  <c r="H344" i="30"/>
  <c r="I344" i="30"/>
  <c r="I516" i="30"/>
  <c r="G567" i="30"/>
  <c r="G538" i="30"/>
  <c r="H167" i="30"/>
  <c r="I167" i="30"/>
  <c r="G366" i="30"/>
  <c r="D370" i="30"/>
  <c r="D372" i="30"/>
  <c r="H296" i="30"/>
  <c r="I296" i="30"/>
  <c r="H297" i="30"/>
  <c r="I297" i="30"/>
  <c r="H298" i="30"/>
  <c r="I298" i="30"/>
  <c r="D207" i="16"/>
  <c r="H207" i="16"/>
  <c r="I207" i="16"/>
  <c r="D184" i="30"/>
  <c r="G184" i="30"/>
  <c r="I184" i="30"/>
  <c r="G189" i="30"/>
  <c r="I189" i="30"/>
  <c r="H283" i="30"/>
  <c r="I283" i="30"/>
  <c r="H257" i="30"/>
  <c r="I257" i="30"/>
  <c r="H256" i="30"/>
  <c r="I256" i="30"/>
  <c r="H291" i="30"/>
  <c r="I291" i="30"/>
  <c r="H300" i="30"/>
  <c r="I300" i="30"/>
  <c r="H208" i="16"/>
  <c r="I208" i="16"/>
  <c r="I366" i="30"/>
  <c r="D422" i="33"/>
  <c r="H422" i="33"/>
  <c r="I422" i="33"/>
  <c r="D423" i="33"/>
  <c r="H423" i="33"/>
  <c r="I423" i="33"/>
  <c r="D420" i="33"/>
  <c r="G419" i="33"/>
  <c r="G406" i="33"/>
  <c r="D409" i="33"/>
  <c r="H409" i="33"/>
  <c r="I409" i="33"/>
  <c r="D407" i="33"/>
  <c r="H407" i="33"/>
  <c r="I407" i="33"/>
  <c r="D408" i="33"/>
  <c r="H408" i="33"/>
  <c r="I408" i="33"/>
  <c r="G632" i="33"/>
  <c r="I632" i="33"/>
  <c r="D640" i="33"/>
  <c r="G640" i="33"/>
  <c r="I640" i="33"/>
  <c r="G75" i="33"/>
  <c r="I75" i="33"/>
  <c r="D85" i="16"/>
  <c r="G85" i="16"/>
  <c r="I85" i="16"/>
  <c r="G445" i="33"/>
  <c r="H348" i="33"/>
  <c r="D44" i="33"/>
  <c r="H44" i="33"/>
  <c r="I44" i="33"/>
  <c r="D657" i="33"/>
  <c r="H657" i="33"/>
  <c r="I550" i="33"/>
  <c r="H567" i="33"/>
  <c r="D75" i="16"/>
  <c r="H75" i="16"/>
  <c r="I75" i="16"/>
  <c r="H65" i="33"/>
  <c r="I65" i="33"/>
  <c r="D410" i="33"/>
  <c r="H410" i="33"/>
  <c r="I410" i="33"/>
  <c r="G247" i="33"/>
  <c r="I247" i="33"/>
  <c r="D248" i="33"/>
  <c r="H248" i="33"/>
  <c r="I248" i="33"/>
  <c r="H753" i="33"/>
  <c r="E719" i="33"/>
  <c r="G719" i="33"/>
  <c r="I719" i="33"/>
  <c r="I753" i="33"/>
  <c r="G600" i="33"/>
  <c r="H64" i="33"/>
  <c r="D72" i="33"/>
  <c r="G72" i="33"/>
  <c r="I448" i="33"/>
  <c r="G546" i="33"/>
  <c r="D412" i="33"/>
  <c r="H412" i="33"/>
  <c r="I412" i="33"/>
  <c r="G411" i="33"/>
  <c r="I411" i="33"/>
  <c r="D479" i="16"/>
  <c r="G479" i="16"/>
  <c r="D76" i="16"/>
  <c r="H76" i="16"/>
  <c r="I76" i="16"/>
  <c r="H66" i="33"/>
  <c r="I66" i="33"/>
  <c r="D161" i="33"/>
  <c r="G161" i="33"/>
  <c r="I161" i="33"/>
  <c r="D154" i="16"/>
  <c r="H154" i="16"/>
  <c r="I154" i="16"/>
  <c r="D164" i="16"/>
  <c r="H164" i="16"/>
  <c r="I164" i="16"/>
  <c r="D433" i="16"/>
  <c r="D434" i="16"/>
  <c r="D435" i="16"/>
  <c r="H435" i="16"/>
  <c r="I435" i="16"/>
  <c r="D348" i="16"/>
  <c r="D242" i="16"/>
  <c r="H242" i="16"/>
  <c r="I242" i="16"/>
  <c r="D248" i="16"/>
  <c r="H248" i="16"/>
  <c r="I248" i="16"/>
  <c r="D202" i="16"/>
  <c r="H202" i="16"/>
  <c r="I202" i="16"/>
  <c r="I337" i="32"/>
  <c r="I724" i="32"/>
  <c r="I725" i="32"/>
  <c r="I726" i="32"/>
  <c r="G725" i="32"/>
  <c r="I379" i="32"/>
  <c r="G384" i="32"/>
  <c r="I691" i="32"/>
  <c r="H721" i="32"/>
  <c r="E687" i="32"/>
  <c r="G687" i="32"/>
  <c r="I211" i="32"/>
  <c r="H349" i="32"/>
  <c r="I349" i="32"/>
  <c r="D351" i="32"/>
  <c r="H351" i="32"/>
  <c r="I351" i="32"/>
  <c r="D350" i="32"/>
  <c r="H350" i="32"/>
  <c r="I350" i="32"/>
  <c r="I571" i="32"/>
  <c r="I542" i="32"/>
  <c r="G564" i="32"/>
  <c r="G514" i="32"/>
  <c r="D90" i="32"/>
  <c r="H90" i="32"/>
  <c r="I90" i="32"/>
  <c r="H80" i="32"/>
  <c r="I80" i="32"/>
  <c r="D90" i="16"/>
  <c r="D109" i="16"/>
  <c r="H109" i="16"/>
  <c r="I109" i="16"/>
  <c r="I55" i="32"/>
  <c r="D346" i="32"/>
  <c r="H346" i="32"/>
  <c r="D347" i="32"/>
  <c r="H347" i="32"/>
  <c r="I347" i="32"/>
  <c r="K342" i="32"/>
  <c r="D395" i="32"/>
  <c r="H395" i="32"/>
  <c r="I395" i="32"/>
  <c r="G392" i="32"/>
  <c r="I392" i="32"/>
  <c r="D393" i="32"/>
  <c r="H393" i="32"/>
  <c r="I393" i="32"/>
  <c r="D394" i="32"/>
  <c r="H394" i="32"/>
  <c r="I394" i="32"/>
  <c r="D608" i="32"/>
  <c r="G608" i="32"/>
  <c r="D121" i="32"/>
  <c r="G121" i="32"/>
  <c r="I121" i="32"/>
  <c r="D158" i="16"/>
  <c r="H158" i="16"/>
  <c r="I158" i="16"/>
  <c r="I534" i="32"/>
  <c r="H181" i="32"/>
  <c r="I181" i="32"/>
  <c r="D245" i="16"/>
  <c r="H245" i="16"/>
  <c r="I245" i="16"/>
  <c r="D484" i="16"/>
  <c r="D485" i="16"/>
  <c r="H485" i="16"/>
  <c r="I485" i="16"/>
  <c r="I55" i="31"/>
  <c r="I213" i="31"/>
  <c r="D285" i="31"/>
  <c r="H285" i="31"/>
  <c r="I285" i="31"/>
  <c r="D280" i="31"/>
  <c r="H280" i="31"/>
  <c r="I280" i="31"/>
  <c r="D281" i="31"/>
  <c r="I577" i="31"/>
  <c r="I603" i="31"/>
  <c r="I604" i="31"/>
  <c r="G603" i="31"/>
  <c r="I439" i="31"/>
  <c r="G441" i="31"/>
  <c r="D286" i="31"/>
  <c r="H286" i="31"/>
  <c r="I286" i="31"/>
  <c r="H314" i="31"/>
  <c r="I314" i="31"/>
  <c r="I444" i="31"/>
  <c r="I452" i="31"/>
  <c r="D15" i="35"/>
  <c r="I453" i="31"/>
  <c r="I556" i="31"/>
  <c r="G574" i="31"/>
  <c r="D283" i="31"/>
  <c r="H283" i="31"/>
  <c r="I283" i="31"/>
  <c r="H603" i="31"/>
  <c r="H452" i="31"/>
  <c r="D698" i="31"/>
  <c r="D699" i="31"/>
  <c r="H699" i="31"/>
  <c r="I699" i="31"/>
  <c r="H697" i="31"/>
  <c r="I411" i="31"/>
  <c r="D130" i="31"/>
  <c r="G130" i="31"/>
  <c r="I130" i="31"/>
  <c r="H326" i="31"/>
  <c r="I326" i="31"/>
  <c r="H734" i="31"/>
  <c r="H760" i="31"/>
  <c r="E726" i="31"/>
  <c r="G726" i="31"/>
  <c r="D57" i="31"/>
  <c r="H132" i="31"/>
  <c r="I132" i="31"/>
  <c r="D220" i="16"/>
  <c r="H220" i="16"/>
  <c r="I220" i="16"/>
  <c r="D60" i="16"/>
  <c r="G60" i="16"/>
  <c r="I60" i="16"/>
  <c r="H61" i="16"/>
  <c r="I61" i="16"/>
  <c r="H574" i="31"/>
  <c r="H553" i="31"/>
  <c r="G363" i="31"/>
  <c r="H295" i="31"/>
  <c r="I295" i="31"/>
  <c r="D497" i="16"/>
  <c r="D379" i="31"/>
  <c r="H379" i="31"/>
  <c r="G378" i="31"/>
  <c r="D246" i="16"/>
  <c r="H246" i="16"/>
  <c r="I246" i="16"/>
  <c r="I533" i="30"/>
  <c r="H280" i="30"/>
  <c r="I280" i="30"/>
  <c r="I330" i="30"/>
  <c r="H79" i="30"/>
  <c r="I79" i="30"/>
  <c r="D87" i="16"/>
  <c r="H87" i="16"/>
  <c r="I87" i="16"/>
  <c r="H305" i="30"/>
  <c r="I305" i="30"/>
  <c r="D375" i="16"/>
  <c r="H375" i="16"/>
  <c r="I375" i="16"/>
  <c r="D76" i="30"/>
  <c r="H76" i="30"/>
  <c r="I76" i="30"/>
  <c r="G74" i="30"/>
  <c r="D75" i="30"/>
  <c r="H75" i="30"/>
  <c r="I75" i="30"/>
  <c r="I411" i="30"/>
  <c r="I413" i="30"/>
  <c r="I427" i="30"/>
  <c r="I421" i="30"/>
  <c r="H334" i="30"/>
  <c r="G334" i="30"/>
  <c r="I199" i="30"/>
  <c r="G246" i="30"/>
  <c r="D235" i="16"/>
  <c r="H235" i="16"/>
  <c r="I235" i="16"/>
  <c r="H183" i="30"/>
  <c r="I183" i="30"/>
  <c r="D265" i="30"/>
  <c r="D269" i="30"/>
  <c r="H269" i="30"/>
  <c r="I269" i="30"/>
  <c r="D270" i="30"/>
  <c r="H270" i="30"/>
  <c r="I270" i="30"/>
  <c r="D266" i="30"/>
  <c r="D271" i="30"/>
  <c r="H271" i="30"/>
  <c r="I271" i="30"/>
  <c r="D268" i="30"/>
  <c r="H268" i="30"/>
  <c r="I268" i="30"/>
  <c r="G264" i="30"/>
  <c r="D267" i="30"/>
  <c r="H267" i="30"/>
  <c r="I267" i="30"/>
  <c r="G385" i="30"/>
  <c r="D386" i="30"/>
  <c r="H386" i="30"/>
  <c r="H387" i="30"/>
  <c r="D450" i="16"/>
  <c r="G450" i="16"/>
  <c r="H111" i="30"/>
  <c r="I111" i="30"/>
  <c r="H137" i="16"/>
  <c r="I137" i="16"/>
  <c r="G363" i="30"/>
  <c r="I363" i="30"/>
  <c r="D365" i="30"/>
  <c r="H365" i="30"/>
  <c r="D364" i="30"/>
  <c r="H364" i="30"/>
  <c r="I364" i="30"/>
  <c r="G665" i="30"/>
  <c r="I665" i="30"/>
  <c r="H91" i="30"/>
  <c r="I91" i="30"/>
  <c r="D106" i="16"/>
  <c r="H106" i="16"/>
  <c r="I106" i="16"/>
  <c r="D157" i="16"/>
  <c r="H157" i="16"/>
  <c r="I157" i="16"/>
  <c r="H129" i="30"/>
  <c r="I129" i="30"/>
  <c r="D19" i="30"/>
  <c r="H19" i="30"/>
  <c r="I19" i="30"/>
  <c r="D126" i="30"/>
  <c r="G126" i="30"/>
  <c r="I126" i="30"/>
  <c r="H127" i="30"/>
  <c r="I127" i="30"/>
  <c r="D153" i="16"/>
  <c r="H153" i="16"/>
  <c r="I153" i="16"/>
  <c r="D401" i="30"/>
  <c r="H401" i="30"/>
  <c r="I401" i="30"/>
  <c r="D400" i="30"/>
  <c r="H400" i="30"/>
  <c r="I400" i="30"/>
  <c r="G405" i="30"/>
  <c r="H754" i="16"/>
  <c r="G754" i="16"/>
  <c r="D465" i="16"/>
  <c r="H465" i="16"/>
  <c r="I465" i="16"/>
  <c r="I270" i="16"/>
  <c r="D464" i="16"/>
  <c r="H464" i="16"/>
  <c r="I464" i="16"/>
  <c r="I406" i="33"/>
  <c r="G416" i="33"/>
  <c r="D74" i="33"/>
  <c r="H74" i="33"/>
  <c r="I74" i="33"/>
  <c r="I600" i="33"/>
  <c r="D421" i="33"/>
  <c r="H421" i="33"/>
  <c r="I421" i="33"/>
  <c r="H420" i="33"/>
  <c r="I420" i="33"/>
  <c r="I734" i="31"/>
  <c r="I379" i="31"/>
  <c r="I697" i="31"/>
  <c r="I334" i="30"/>
  <c r="I264" i="30"/>
  <c r="P72" i="24"/>
  <c r="O72" i="24"/>
  <c r="I701" i="30"/>
  <c r="I597" i="30"/>
  <c r="I443" i="30"/>
  <c r="D392" i="30"/>
  <c r="H392" i="30"/>
  <c r="I392" i="30"/>
  <c r="H391" i="30"/>
  <c r="D358" i="33"/>
  <c r="H358" i="33"/>
  <c r="I358" i="33"/>
  <c r="N11" i="24"/>
  <c r="D36" i="31"/>
  <c r="H36" i="31"/>
  <c r="I36" i="31"/>
  <c r="G29" i="31"/>
  <c r="I29" i="31"/>
  <c r="G9" i="28"/>
  <c r="I657" i="16"/>
  <c r="I177" i="14"/>
  <c r="H236" i="14"/>
  <c r="I236" i="14"/>
  <c r="D237" i="14"/>
  <c r="H237" i="14"/>
  <c r="I237" i="14"/>
  <c r="D238" i="14"/>
  <c r="H238" i="14"/>
  <c r="I238" i="14"/>
  <c r="G413" i="32"/>
  <c r="I287" i="14"/>
  <c r="D660" i="32"/>
  <c r="H660" i="32"/>
  <c r="I660" i="32"/>
  <c r="G659" i="32"/>
  <c r="I659" i="32"/>
  <c r="D109" i="29"/>
  <c r="K111" i="29"/>
  <c r="F110" i="28"/>
  <c r="J46" i="24"/>
  <c r="M54" i="15"/>
  <c r="Q33" i="27"/>
  <c r="R24" i="27"/>
  <c r="R3" i="24"/>
  <c r="H128" i="14"/>
  <c r="I128" i="14"/>
  <c r="D127" i="14"/>
  <c r="G127" i="14"/>
  <c r="I127" i="14"/>
  <c r="D130" i="14"/>
  <c r="H130" i="14"/>
  <c r="I130" i="14"/>
  <c r="I520" i="32"/>
  <c r="E86" i="18"/>
  <c r="G572" i="14"/>
  <c r="I569" i="14"/>
  <c r="I572" i="14"/>
  <c r="D119" i="14"/>
  <c r="H119" i="14"/>
  <c r="I119" i="14"/>
  <c r="D121" i="14"/>
  <c r="H121" i="14"/>
  <c r="I121" i="14"/>
  <c r="D126" i="14"/>
  <c r="H126" i="14"/>
  <c r="I126" i="14"/>
  <c r="D122" i="14"/>
  <c r="H122" i="14"/>
  <c r="I122" i="14"/>
  <c r="D124" i="14"/>
  <c r="H124" i="14"/>
  <c r="I124" i="14"/>
  <c r="D120" i="14"/>
  <c r="H120" i="14"/>
  <c r="I120" i="14"/>
  <c r="D125" i="14"/>
  <c r="H125" i="14"/>
  <c r="I125" i="14"/>
  <c r="D136" i="14"/>
  <c r="D138" i="14"/>
  <c r="H138" i="14"/>
  <c r="I138" i="14"/>
  <c r="G118" i="14"/>
  <c r="I118" i="14"/>
  <c r="D123" i="14"/>
  <c r="H123" i="14"/>
  <c r="I123" i="14"/>
  <c r="D187" i="14"/>
  <c r="H187" i="14"/>
  <c r="I187" i="14"/>
  <c r="D189" i="14"/>
  <c r="H189" i="14"/>
  <c r="I189" i="14"/>
  <c r="D191" i="14"/>
  <c r="H191" i="14"/>
  <c r="I191" i="14"/>
  <c r="D188" i="14"/>
  <c r="H188" i="14"/>
  <c r="I188" i="14"/>
  <c r="D190" i="14"/>
  <c r="H190" i="14"/>
  <c r="I190" i="14"/>
  <c r="D192" i="14"/>
  <c r="H192" i="14"/>
  <c r="I192" i="14"/>
  <c r="G186" i="14"/>
  <c r="I186" i="14"/>
  <c r="D158" i="14"/>
  <c r="G158" i="14"/>
  <c r="D272" i="14"/>
  <c r="H272" i="14"/>
  <c r="I272" i="14"/>
  <c r="H271" i="14"/>
  <c r="I271" i="14"/>
  <c r="H509" i="14"/>
  <c r="I509" i="14"/>
  <c r="G416" i="14"/>
  <c r="I416" i="14"/>
  <c r="D429" i="14"/>
  <c r="D430" i="14"/>
  <c r="H430" i="14"/>
  <c r="D256" i="14"/>
  <c r="H256" i="14"/>
  <c r="I256" i="14"/>
  <c r="G254" i="14"/>
  <c r="I254" i="14"/>
  <c r="G222" i="14"/>
  <c r="D223" i="14"/>
  <c r="H223" i="14"/>
  <c r="I223" i="14"/>
  <c r="D533" i="14"/>
  <c r="H390" i="14"/>
  <c r="H391" i="14"/>
  <c r="D201" i="14"/>
  <c r="H201" i="14"/>
  <c r="I201" i="14"/>
  <c r="D111" i="14"/>
  <c r="G111" i="14"/>
  <c r="I111" i="14"/>
  <c r="H159" i="14"/>
  <c r="I159" i="14"/>
  <c r="G133" i="14"/>
  <c r="I133" i="14"/>
  <c r="D269" i="14"/>
  <c r="H269" i="14"/>
  <c r="I269" i="14"/>
  <c r="D234" i="14"/>
  <c r="H234" i="14"/>
  <c r="I234" i="14"/>
  <c r="G173" i="14"/>
  <c r="G196" i="14"/>
  <c r="H112" i="14"/>
  <c r="I112" i="14"/>
  <c r="D388" i="16"/>
  <c r="G388" i="16"/>
  <c r="I388" i="16"/>
  <c r="H342" i="31"/>
  <c r="I342" i="31"/>
  <c r="H88" i="14"/>
  <c r="I88" i="14"/>
  <c r="D185" i="14"/>
  <c r="H185" i="14"/>
  <c r="I185" i="14"/>
  <c r="D183" i="14"/>
  <c r="H183" i="14"/>
  <c r="I183" i="14"/>
  <c r="D326" i="33"/>
  <c r="H326" i="33"/>
  <c r="V107" i="27"/>
  <c r="T56" i="27"/>
  <c r="T57" i="27"/>
  <c r="D91" i="16"/>
  <c r="D92" i="16"/>
  <c r="H92" i="16"/>
  <c r="I92" i="16"/>
  <c r="D86" i="31"/>
  <c r="H86" i="31"/>
  <c r="I86" i="31"/>
  <c r="O17" i="26"/>
  <c r="P17" i="26"/>
  <c r="D221" i="16"/>
  <c r="H221" i="16"/>
  <c r="I221" i="16"/>
  <c r="D361" i="16"/>
  <c r="H361" i="16"/>
  <c r="I361" i="16"/>
  <c r="D431" i="33"/>
  <c r="H431" i="33"/>
  <c r="I431" i="33"/>
  <c r="E81" i="28"/>
  <c r="H81" i="28"/>
  <c r="V115" i="27"/>
  <c r="X114" i="27"/>
  <c r="X115" i="27"/>
  <c r="X48" i="27"/>
  <c r="D304" i="32"/>
  <c r="H304" i="32"/>
  <c r="H338" i="32"/>
  <c r="O2" i="26"/>
  <c r="P2" i="26"/>
  <c r="O24" i="26"/>
  <c r="P24" i="26"/>
  <c r="D351" i="33"/>
  <c r="D383" i="33"/>
  <c r="H383" i="33"/>
  <c r="I383" i="33"/>
  <c r="G382" i="33"/>
  <c r="I338" i="32"/>
  <c r="G52" i="31"/>
  <c r="G136" i="14"/>
  <c r="I136" i="14"/>
  <c r="D137" i="14"/>
  <c r="H137" i="14"/>
  <c r="I137" i="14"/>
  <c r="I391" i="30"/>
  <c r="H493" i="16"/>
  <c r="I493" i="16"/>
  <c r="D472" i="16"/>
  <c r="H472" i="16"/>
  <c r="I472" i="16"/>
  <c r="D474" i="16"/>
  <c r="H474" i="16"/>
  <c r="I474" i="16"/>
  <c r="H261" i="16"/>
  <c r="I261" i="16"/>
  <c r="I554" i="16"/>
  <c r="H234" i="16"/>
  <c r="H750" i="16"/>
  <c r="I750" i="16"/>
  <c r="G422" i="16"/>
  <c r="I422" i="16"/>
  <c r="I754" i="16"/>
  <c r="G181" i="16"/>
  <c r="I181" i="16"/>
  <c r="D185" i="16"/>
  <c r="H185" i="16"/>
  <c r="I185" i="16"/>
  <c r="D184" i="16"/>
  <c r="H184" i="16"/>
  <c r="I184" i="16"/>
  <c r="I401" i="16"/>
  <c r="D305" i="16"/>
  <c r="H305" i="16"/>
  <c r="I305" i="16"/>
  <c r="G18" i="16"/>
  <c r="G304" i="16"/>
  <c r="I304" i="16"/>
  <c r="I526" i="16"/>
  <c r="H402" i="16"/>
  <c r="I402" i="16"/>
  <c r="D429" i="16"/>
  <c r="H429" i="16"/>
  <c r="I429" i="16"/>
  <c r="G427" i="16"/>
  <c r="I427" i="16"/>
  <c r="D180" i="16"/>
  <c r="H180" i="16"/>
  <c r="I180" i="16"/>
  <c r="I528" i="16"/>
  <c r="G47" i="16"/>
  <c r="I47" i="16"/>
  <c r="H90" i="16"/>
  <c r="I90" i="16"/>
  <c r="D473" i="16"/>
  <c r="H473" i="16"/>
  <c r="I473" i="16"/>
  <c r="D673" i="16"/>
  <c r="G673" i="16"/>
  <c r="I673" i="16"/>
  <c r="G471" i="16"/>
  <c r="I471" i="16"/>
  <c r="D451" i="16"/>
  <c r="H451" i="16"/>
  <c r="D179" i="16"/>
  <c r="H179" i="16"/>
  <c r="I179" i="16"/>
  <c r="H394" i="16"/>
  <c r="I394" i="16"/>
  <c r="I233" i="16"/>
  <c r="H370" i="16"/>
  <c r="I370" i="16"/>
  <c r="H65" i="16"/>
  <c r="I65" i="16"/>
  <c r="D63" i="16"/>
  <c r="D352" i="36"/>
  <c r="D90" i="36"/>
  <c r="G90" i="36"/>
  <c r="L775" i="36"/>
  <c r="L626" i="36"/>
  <c r="L605" i="36"/>
  <c r="D42" i="36"/>
  <c r="H42" i="36"/>
  <c r="D185" i="36"/>
  <c r="D399" i="36"/>
  <c r="I58" i="36"/>
  <c r="I131" i="36"/>
  <c r="D304" i="36"/>
  <c r="H304" i="36"/>
  <c r="I304" i="36"/>
  <c r="I305" i="36"/>
  <c r="I306" i="36"/>
  <c r="D303" i="36"/>
  <c r="H303" i="36"/>
  <c r="I303" i="36"/>
  <c r="G302" i="36"/>
  <c r="I302" i="36"/>
  <c r="D27" i="36"/>
  <c r="D34" i="36" s="1"/>
  <c r="H34" i="36" s="1"/>
  <c r="D407" i="36"/>
  <c r="G407" i="36"/>
  <c r="I257" i="36"/>
  <c r="I449" i="36"/>
  <c r="D239" i="36"/>
  <c r="G239" i="36"/>
  <c r="I239" i="36"/>
  <c r="D176" i="36"/>
  <c r="D178" i="36"/>
  <c r="H178" i="36"/>
  <c r="D175" i="36"/>
  <c r="I268" i="36"/>
  <c r="D172" i="36"/>
  <c r="D422" i="36"/>
  <c r="G422" i="36"/>
  <c r="I450" i="36"/>
  <c r="D491" i="36"/>
  <c r="I525" i="36"/>
  <c r="D461" i="36"/>
  <c r="G461" i="36"/>
  <c r="D751" i="36"/>
  <c r="H751" i="36"/>
  <c r="I751" i="36"/>
  <c r="D459" i="36"/>
  <c r="H459" i="36"/>
  <c r="D457" i="36"/>
  <c r="G457" i="36"/>
  <c r="G659" i="36"/>
  <c r="I659" i="36"/>
  <c r="D408" i="16"/>
  <c r="G408" i="16"/>
  <c r="I408" i="16"/>
  <c r="G16" i="16"/>
  <c r="I16" i="16" s="1"/>
  <c r="G484" i="16"/>
  <c r="I484" i="16"/>
  <c r="D467" i="16"/>
  <c r="H467" i="16"/>
  <c r="I467" i="16"/>
  <c r="D178" i="16"/>
  <c r="H178" i="16"/>
  <c r="I178" i="16"/>
  <c r="D486" i="16"/>
  <c r="H486" i="16"/>
  <c r="I486" i="16"/>
  <c r="D353" i="16"/>
  <c r="H353" i="16"/>
  <c r="I353" i="16"/>
  <c r="D487" i="16"/>
  <c r="H487" i="16"/>
  <c r="I487" i="16"/>
  <c r="D468" i="16"/>
  <c r="H468" i="16"/>
  <c r="I468" i="16"/>
  <c r="G176" i="16"/>
  <c r="I176" i="16"/>
  <c r="I265" i="16"/>
  <c r="D470" i="16"/>
  <c r="H470" i="16"/>
  <c r="I470" i="16"/>
  <c r="D469" i="16"/>
  <c r="H469" i="16"/>
  <c r="I469" i="16"/>
  <c r="I607" i="16"/>
  <c r="D188" i="16"/>
  <c r="H188" i="16"/>
  <c r="I188" i="16"/>
  <c r="G457" i="16"/>
  <c r="I457" i="16"/>
  <c r="G186" i="16"/>
  <c r="I186" i="16"/>
  <c r="D499" i="16"/>
  <c r="H499" i="16"/>
  <c r="I499" i="16"/>
  <c r="D21" i="16"/>
  <c r="H21" i="16"/>
  <c r="D717" i="16"/>
  <c r="H717" i="16"/>
  <c r="I717" i="16"/>
  <c r="D393" i="16"/>
  <c r="G393" i="16"/>
  <c r="I393" i="16"/>
  <c r="G692" i="16"/>
  <c r="I692" i="16"/>
  <c r="I516" i="16"/>
  <c r="H28" i="16"/>
  <c r="I28" i="16" s="1"/>
  <c r="I450" i="16"/>
  <c r="D752" i="16"/>
  <c r="H752" i="16"/>
  <c r="I752" i="16"/>
  <c r="G751" i="16"/>
  <c r="I751" i="16"/>
  <c r="I281" i="16"/>
  <c r="H217" i="16"/>
  <c r="I217" i="16"/>
  <c r="H159" i="16"/>
  <c r="I159" i="16"/>
  <c r="D86" i="16"/>
  <c r="H86" i="16"/>
  <c r="I86" i="16"/>
  <c r="I423" i="16"/>
  <c r="I777" i="16"/>
  <c r="I194" i="36"/>
  <c r="I195" i="36"/>
  <c r="I446" i="16"/>
  <c r="I445" i="16"/>
  <c r="I53" i="36"/>
  <c r="I312" i="36"/>
  <c r="I122" i="36"/>
  <c r="I121" i="36"/>
  <c r="I227" i="36"/>
  <c r="I226" i="36"/>
  <c r="D319" i="36"/>
  <c r="I318" i="36"/>
  <c r="I54" i="36"/>
  <c r="I253" i="36"/>
  <c r="I252" i="36"/>
  <c r="I381" i="36"/>
  <c r="I382" i="36"/>
  <c r="D177" i="36"/>
  <c r="G177" i="36"/>
  <c r="D481" i="36"/>
  <c r="G481" i="36"/>
  <c r="D479" i="36"/>
  <c r="G479" i="36"/>
  <c r="I392" i="36"/>
  <c r="I441" i="36"/>
  <c r="I437" i="36"/>
  <c r="I118" i="36"/>
  <c r="G753" i="33"/>
  <c r="H60" i="33"/>
  <c r="D70" i="16"/>
  <c r="H70" i="16"/>
  <c r="I70" i="16"/>
  <c r="H90" i="36"/>
  <c r="H479" i="36"/>
  <c r="I657" i="33"/>
  <c r="I48" i="14"/>
  <c r="I418" i="31"/>
  <c r="G165" i="32"/>
  <c r="D167" i="32"/>
  <c r="H167" i="32"/>
  <c r="I167" i="32"/>
  <c r="H239" i="36"/>
  <c r="D112" i="30"/>
  <c r="D114" i="30"/>
  <c r="H114" i="30"/>
  <c r="H405" i="30"/>
  <c r="I74" i="30"/>
  <c r="G147" i="14"/>
  <c r="D149" i="14"/>
  <c r="H149" i="14"/>
  <c r="I149" i="14"/>
  <c r="D148" i="14"/>
  <c r="H148" i="14"/>
  <c r="I148" i="14"/>
  <c r="D272" i="31"/>
  <c r="D248" i="32"/>
  <c r="I259" i="36"/>
  <c r="H319" i="36"/>
  <c r="I319" i="36"/>
  <c r="G319" i="36"/>
  <c r="I508" i="33"/>
  <c r="I546" i="33"/>
  <c r="I547" i="33"/>
  <c r="H546" i="33"/>
  <c r="I573" i="33"/>
  <c r="I596" i="33"/>
  <c r="I597" i="33"/>
  <c r="H596" i="33"/>
  <c r="I197" i="31"/>
  <c r="G304" i="32"/>
  <c r="H372" i="30"/>
  <c r="I372" i="30"/>
  <c r="D371" i="30"/>
  <c r="H371" i="30"/>
  <c r="I371" i="30"/>
  <c r="H97" i="31"/>
  <c r="I97" i="31"/>
  <c r="D108" i="16"/>
  <c r="H108" i="16"/>
  <c r="I108" i="16"/>
  <c r="D260" i="32"/>
  <c r="H260" i="32"/>
  <c r="I260" i="32"/>
  <c r="D262" i="32"/>
  <c r="H262" i="32"/>
  <c r="I262" i="32"/>
  <c r="D258" i="32"/>
  <c r="H258" i="32"/>
  <c r="I258" i="32"/>
  <c r="D261" i="32"/>
  <c r="H261" i="32"/>
  <c r="I261" i="32"/>
  <c r="G255" i="32"/>
  <c r="I255" i="32"/>
  <c r="D259" i="32"/>
  <c r="H259" i="32"/>
  <c r="I259" i="32"/>
  <c r="D257" i="32"/>
  <c r="D256" i="32"/>
  <c r="H256" i="32"/>
  <c r="G459" i="36"/>
  <c r="I459" i="36"/>
  <c r="G178" i="36"/>
  <c r="I178" i="36"/>
  <c r="G698" i="31"/>
  <c r="H723" i="31"/>
  <c r="I38" i="32"/>
  <c r="I73" i="32"/>
  <c r="H101" i="32"/>
  <c r="I663" i="30"/>
  <c r="H687" i="30"/>
  <c r="H172" i="36"/>
  <c r="G172" i="36"/>
  <c r="I172" i="36"/>
  <c r="H176" i="36"/>
  <c r="G176" i="36"/>
  <c r="I176" i="36"/>
  <c r="D352" i="30"/>
  <c r="D353" i="30"/>
  <c r="H353" i="30"/>
  <c r="I353" i="30"/>
  <c r="I56" i="30"/>
  <c r="I387" i="31"/>
  <c r="I384" i="32"/>
  <c r="I385" i="32"/>
  <c r="I415" i="31"/>
  <c r="H423" i="31"/>
  <c r="H96" i="30"/>
  <c r="I96" i="30"/>
  <c r="H407" i="36"/>
  <c r="G399" i="36"/>
  <c r="H399" i="36"/>
  <c r="D116" i="31"/>
  <c r="H175" i="36"/>
  <c r="G175" i="36"/>
  <c r="G42" i="36"/>
  <c r="H255" i="30"/>
  <c r="I255" i="30"/>
  <c r="I57" i="28"/>
  <c r="G57" i="28"/>
  <c r="H177" i="36"/>
  <c r="I358" i="30"/>
  <c r="G272" i="30"/>
  <c r="I272" i="30"/>
  <c r="D273" i="30"/>
  <c r="H273" i="30"/>
  <c r="I273" i="30"/>
  <c r="H175" i="30"/>
  <c r="I175" i="30"/>
  <c r="I390" i="14"/>
  <c r="I378" i="31"/>
  <c r="H184" i="33"/>
  <c r="I184" i="33"/>
  <c r="D106" i="36"/>
  <c r="G106" i="36"/>
  <c r="P58" i="24"/>
  <c r="O58" i="24"/>
  <c r="T47" i="27"/>
  <c r="H412" i="14"/>
  <c r="I412" i="14"/>
  <c r="I413" i="14"/>
  <c r="F21" i="28"/>
  <c r="F2" i="28"/>
  <c r="I21" i="28"/>
  <c r="I2" i="28"/>
  <c r="D257" i="33"/>
  <c r="D256" i="33"/>
  <c r="G256" i="33"/>
  <c r="G21" i="28"/>
  <c r="G2" i="28"/>
  <c r="D268" i="31"/>
  <c r="D267" i="31"/>
  <c r="G267" i="31"/>
  <c r="I267" i="31"/>
  <c r="B23" i="15"/>
  <c r="I23" i="15"/>
  <c r="P98" i="24"/>
  <c r="O98" i="24"/>
  <c r="H266" i="30"/>
  <c r="I266" i="30"/>
  <c r="D482" i="16"/>
  <c r="H482" i="16"/>
  <c r="I482" i="16"/>
  <c r="D480" i="16"/>
  <c r="I370" i="14"/>
  <c r="D297" i="32"/>
  <c r="H297" i="32"/>
  <c r="I297" i="32"/>
  <c r="G48" i="33"/>
  <c r="D269" i="32"/>
  <c r="D330" i="32"/>
  <c r="I37" i="14"/>
  <c r="G348" i="33"/>
  <c r="I331" i="33"/>
  <c r="I348" i="33"/>
  <c r="D88" i="36"/>
  <c r="G88" i="36"/>
  <c r="I88" i="36"/>
  <c r="H82" i="30"/>
  <c r="I82" i="30"/>
  <c r="D321" i="33"/>
  <c r="H321" i="33"/>
  <c r="I321" i="33"/>
  <c r="D322" i="33"/>
  <c r="H322" i="33"/>
  <c r="I322" i="33"/>
  <c r="I605" i="16"/>
  <c r="M112" i="29"/>
  <c r="F115" i="29"/>
  <c r="F116" i="29"/>
  <c r="G265" i="14"/>
  <c r="D266" i="14"/>
  <c r="H266" i="14"/>
  <c r="D267" i="14"/>
  <c r="H267" i="14"/>
  <c r="I267" i="14"/>
  <c r="F38" i="17"/>
  <c r="L66" i="29"/>
  <c r="L67" i="29"/>
  <c r="M67" i="29"/>
  <c r="N67" i="29"/>
  <c r="D280" i="14"/>
  <c r="G280" i="14"/>
  <c r="H283" i="14"/>
  <c r="D60" i="36"/>
  <c r="G60" i="36"/>
  <c r="F19" i="17"/>
  <c r="P85" i="24"/>
  <c r="D374" i="14"/>
  <c r="G374" i="14"/>
  <c r="I374" i="14"/>
  <c r="I23" i="14"/>
  <c r="G25" i="14"/>
  <c r="I223" i="30"/>
  <c r="G241" i="14"/>
  <c r="D243" i="14"/>
  <c r="G449" i="14"/>
  <c r="I449" i="14"/>
  <c r="D457" i="14"/>
  <c r="G457" i="14"/>
  <c r="I457" i="14"/>
  <c r="D61" i="14"/>
  <c r="H61" i="14"/>
  <c r="I61" i="14"/>
  <c r="G60" i="14"/>
  <c r="D62" i="14"/>
  <c r="H62" i="14"/>
  <c r="I62" i="14"/>
  <c r="G239" i="14"/>
  <c r="D240" i="14"/>
  <c r="H240" i="14"/>
  <c r="I240" i="14"/>
  <c r="H539" i="14"/>
  <c r="I366" i="14"/>
  <c r="I296" i="14"/>
  <c r="H75" i="14"/>
  <c r="D67" i="14"/>
  <c r="H67" i="14"/>
  <c r="I67" i="14"/>
  <c r="D75" i="36"/>
  <c r="D77" i="16"/>
  <c r="H99" i="14"/>
  <c r="I99" i="14"/>
  <c r="G105" i="36"/>
  <c r="H105" i="36"/>
  <c r="D111" i="36"/>
  <c r="H111" i="36"/>
  <c r="H104" i="36"/>
  <c r="G104" i="36"/>
  <c r="D207" i="14"/>
  <c r="D204" i="14"/>
  <c r="H204" i="14"/>
  <c r="I204" i="14"/>
  <c r="D174" i="14"/>
  <c r="H174" i="14"/>
  <c r="H76" i="14"/>
  <c r="G63" i="14"/>
  <c r="I63" i="14"/>
  <c r="N86" i="27"/>
  <c r="D438" i="33"/>
  <c r="H438" i="33"/>
  <c r="H445" i="33"/>
  <c r="D439" i="33"/>
  <c r="H439" i="33"/>
  <c r="I439" i="33"/>
  <c r="D79" i="36"/>
  <c r="H71" i="33"/>
  <c r="I71" i="33"/>
  <c r="G114" i="36"/>
  <c r="I114" i="36"/>
  <c r="H114" i="36"/>
  <c r="D68" i="36"/>
  <c r="H68" i="36"/>
  <c r="D371" i="16"/>
  <c r="H371" i="16"/>
  <c r="I371" i="16"/>
  <c r="D192" i="30"/>
  <c r="H98" i="31"/>
  <c r="I98" i="31"/>
  <c r="D80" i="16"/>
  <c r="H80" i="16"/>
  <c r="I80" i="16"/>
  <c r="D103" i="36"/>
  <c r="H92" i="31"/>
  <c r="I92" i="31"/>
  <c r="D203" i="16"/>
  <c r="H203" i="16"/>
  <c r="D156" i="36"/>
  <c r="D204" i="16"/>
  <c r="H204" i="16"/>
  <c r="F7" i="28"/>
  <c r="D251" i="30"/>
  <c r="D372" i="36"/>
  <c r="D373" i="16"/>
  <c r="H373" i="16"/>
  <c r="I373" i="16"/>
  <c r="P116" i="27"/>
  <c r="X26" i="27"/>
  <c r="D322" i="30"/>
  <c r="G201" i="36"/>
  <c r="I201" i="36"/>
  <c r="H201" i="36"/>
  <c r="D160" i="36"/>
  <c r="H160" i="36"/>
  <c r="D168" i="36"/>
  <c r="H136" i="30"/>
  <c r="I136" i="30"/>
  <c r="G202" i="36"/>
  <c r="H202" i="36"/>
  <c r="D69" i="36"/>
  <c r="H69" i="36"/>
  <c r="H162" i="33"/>
  <c r="D151" i="36"/>
  <c r="D366" i="33"/>
  <c r="H366" i="33"/>
  <c r="G365" i="33"/>
  <c r="E63" i="28"/>
  <c r="D165" i="36"/>
  <c r="D167" i="16"/>
  <c r="H167" i="16"/>
  <c r="I167" i="16"/>
  <c r="D163" i="36"/>
  <c r="D165" i="16"/>
  <c r="D322" i="31"/>
  <c r="G76" i="36"/>
  <c r="I76" i="36"/>
  <c r="H76" i="36"/>
  <c r="D496" i="36"/>
  <c r="D166" i="36"/>
  <c r="D168" i="16"/>
  <c r="H168" i="16"/>
  <c r="I168" i="16"/>
  <c r="G152" i="36"/>
  <c r="H152" i="36"/>
  <c r="D85" i="36"/>
  <c r="G85" i="36"/>
  <c r="H74" i="36"/>
  <c r="G74" i="36"/>
  <c r="I74" i="36"/>
  <c r="H163" i="33"/>
  <c r="I163" i="33"/>
  <c r="D166" i="16"/>
  <c r="H166" i="16"/>
  <c r="I166" i="16"/>
  <c r="E25" i="34"/>
  <c r="D174" i="33"/>
  <c r="G174" i="33"/>
  <c r="G178" i="33"/>
  <c r="D162" i="36"/>
  <c r="D209" i="36"/>
  <c r="D211" i="16"/>
  <c r="H211" i="16"/>
  <c r="I211" i="16"/>
  <c r="E80" i="34"/>
  <c r="D185" i="31"/>
  <c r="D222" i="16"/>
  <c r="D187" i="31"/>
  <c r="H187" i="31"/>
  <c r="I187" i="31"/>
  <c r="H89" i="36"/>
  <c r="G89" i="36"/>
  <c r="I7" i="28"/>
  <c r="D255" i="33"/>
  <c r="H255" i="33"/>
  <c r="I255" i="33"/>
  <c r="D365" i="36"/>
  <c r="D366" i="16"/>
  <c r="D39" i="36"/>
  <c r="G39" i="36"/>
  <c r="I39" i="36" s="1"/>
  <c r="D169" i="36"/>
  <c r="D343" i="16"/>
  <c r="H343" i="16"/>
  <c r="I343" i="16"/>
  <c r="H126" i="32"/>
  <c r="I126" i="32"/>
  <c r="G44" i="36"/>
  <c r="I44" i="36" s="1"/>
  <c r="D358" i="36"/>
  <c r="G358" i="36"/>
  <c r="D153" i="36"/>
  <c r="H204" i="36"/>
  <c r="G204" i="36"/>
  <c r="H212" i="36"/>
  <c r="G212" i="36"/>
  <c r="D154" i="36"/>
  <c r="H154" i="36"/>
  <c r="G159" i="36"/>
  <c r="I159" i="36"/>
  <c r="H159" i="36"/>
  <c r="D163" i="16"/>
  <c r="H163" i="16"/>
  <c r="I163" i="16"/>
  <c r="D244" i="16"/>
  <c r="G478" i="36"/>
  <c r="I478" i="36"/>
  <c r="D482" i="36"/>
  <c r="D488" i="16"/>
  <c r="D490" i="16"/>
  <c r="H490" i="16"/>
  <c r="I490" i="16"/>
  <c r="D369" i="16"/>
  <c r="H369" i="16"/>
  <c r="I369" i="16"/>
  <c r="G17" i="36"/>
  <c r="I17" i="36" s="1"/>
  <c r="H87" i="36"/>
  <c r="G87" i="36"/>
  <c r="H245" i="36"/>
  <c r="G245" i="36"/>
  <c r="I245" i="36"/>
  <c r="H428" i="36"/>
  <c r="G428" i="36"/>
  <c r="D246" i="36"/>
  <c r="H101" i="36"/>
  <c r="G101" i="36"/>
  <c r="I101" i="36"/>
  <c r="H238" i="36"/>
  <c r="G238" i="36"/>
  <c r="I238" i="36"/>
  <c r="D359" i="36"/>
  <c r="D362" i="36"/>
  <c r="H67" i="36"/>
  <c r="G67" i="36"/>
  <c r="I67" i="36"/>
  <c r="D170" i="36"/>
  <c r="D218" i="36"/>
  <c r="H218" i="36"/>
  <c r="D243" i="16"/>
  <c r="G243" i="16"/>
  <c r="D240" i="36"/>
  <c r="D360" i="36"/>
  <c r="H360" i="36"/>
  <c r="H409" i="36"/>
  <c r="G409" i="36"/>
  <c r="I409" i="36"/>
  <c r="D243" i="36"/>
  <c r="D483" i="36"/>
  <c r="H356" i="36"/>
  <c r="G356" i="36"/>
  <c r="I356" i="36"/>
  <c r="G20" i="36"/>
  <c r="H20" i="36"/>
  <c r="I20" i="36"/>
  <c r="H36" i="36"/>
  <c r="G36" i="36"/>
  <c r="I36" i="36" s="1"/>
  <c r="G50" i="36"/>
  <c r="I50" i="36" s="1"/>
  <c r="H50" i="36"/>
  <c r="H65" i="36"/>
  <c r="G65" i="36"/>
  <c r="I65" i="36"/>
  <c r="H100" i="36"/>
  <c r="G100" i="36"/>
  <c r="I100" i="36"/>
  <c r="H171" i="36"/>
  <c r="G171" i="36"/>
  <c r="I171" i="36"/>
  <c r="G184" i="36"/>
  <c r="H184" i="36"/>
  <c r="I184" i="36"/>
  <c r="G278" i="36"/>
  <c r="G314" i="36"/>
  <c r="H314" i="36"/>
  <c r="I314" i="36"/>
  <c r="G340" i="36"/>
  <c r="H340" i="36"/>
  <c r="H350" i="36"/>
  <c r="G350" i="36"/>
  <c r="H30" i="36"/>
  <c r="G30" i="36"/>
  <c r="G33" i="36"/>
  <c r="I33" i="36" s="1"/>
  <c r="G45" i="36"/>
  <c r="H45" i="36"/>
  <c r="I45" i="36" s="1"/>
  <c r="H66" i="36"/>
  <c r="G66" i="36"/>
  <c r="I66" i="36"/>
  <c r="H86" i="36"/>
  <c r="G86" i="36"/>
  <c r="I86" i="36"/>
  <c r="G96" i="36"/>
  <c r="H96" i="36"/>
  <c r="I96" i="36"/>
  <c r="H142" i="36"/>
  <c r="G142" i="36"/>
  <c r="H174" i="36"/>
  <c r="G174" i="36"/>
  <c r="I174" i="36"/>
  <c r="G203" i="36"/>
  <c r="H203" i="36"/>
  <c r="I203" i="36"/>
  <c r="G208" i="36"/>
  <c r="I208" i="36"/>
  <c r="H208" i="36"/>
  <c r="G213" i="36"/>
  <c r="I213" i="36"/>
  <c r="H213" i="36"/>
  <c r="G232" i="36"/>
  <c r="H232" i="36"/>
  <c r="G336" i="36"/>
  <c r="I336" i="36"/>
  <c r="H336" i="36"/>
  <c r="H345" i="36"/>
  <c r="G345" i="36"/>
  <c r="I345" i="36"/>
  <c r="H408" i="36"/>
  <c r="G408" i="36"/>
  <c r="I408" i="36"/>
  <c r="G426" i="36"/>
  <c r="D427" i="36"/>
  <c r="H426" i="36"/>
  <c r="I426" i="36"/>
  <c r="H457" i="36"/>
  <c r="H22" i="36"/>
  <c r="G22" i="36"/>
  <c r="H28" i="36"/>
  <c r="G28" i="36"/>
  <c r="I28" i="36" s="1"/>
  <c r="G31" i="36"/>
  <c r="I31" i="36" s="1"/>
  <c r="G144" i="36"/>
  <c r="H144" i="36"/>
  <c r="G214" i="36"/>
  <c r="I214" i="36"/>
  <c r="H214" i="36"/>
  <c r="H346" i="36"/>
  <c r="I346" i="36"/>
  <c r="G346" i="36"/>
  <c r="G396" i="36"/>
  <c r="H396" i="36"/>
  <c r="I396" i="36"/>
  <c r="D182" i="16"/>
  <c r="H182" i="16"/>
  <c r="I182" i="16"/>
  <c r="H16" i="36"/>
  <c r="G16" i="36"/>
  <c r="G47" i="36"/>
  <c r="I47" i="36" s="1"/>
  <c r="H47" i="36"/>
  <c r="H102" i="36"/>
  <c r="I102" i="36"/>
  <c r="G102" i="36"/>
  <c r="H116" i="36"/>
  <c r="G116" i="36"/>
  <c r="I116" i="36"/>
  <c r="G145" i="36"/>
  <c r="H145" i="36"/>
  <c r="G215" i="36"/>
  <c r="H215" i="36"/>
  <c r="H338" i="36"/>
  <c r="G338" i="36"/>
  <c r="H354" i="36"/>
  <c r="G354" i="36"/>
  <c r="I354" i="36"/>
  <c r="G397" i="36"/>
  <c r="H397" i="36"/>
  <c r="I397" i="36"/>
  <c r="G452" i="36"/>
  <c r="H452" i="36"/>
  <c r="I452" i="36"/>
  <c r="D453" i="36"/>
  <c r="H24" i="36"/>
  <c r="H41" i="36"/>
  <c r="G41" i="36"/>
  <c r="I41" i="36"/>
  <c r="G62" i="36"/>
  <c r="I62" i="36"/>
  <c r="H62" i="36"/>
  <c r="H93" i="36"/>
  <c r="G93" i="36"/>
  <c r="H117" i="36"/>
  <c r="G117" i="36"/>
  <c r="I117" i="36"/>
  <c r="G210" i="36"/>
  <c r="H210" i="36"/>
  <c r="G216" i="36"/>
  <c r="I216" i="36"/>
  <c r="H216" i="36"/>
  <c r="H236" i="36"/>
  <c r="G236" i="36"/>
  <c r="I236" i="36"/>
  <c r="H348" i="36"/>
  <c r="G348" i="36"/>
  <c r="I348" i="36"/>
  <c r="G361" i="36"/>
  <c r="I361" i="36"/>
  <c r="H361" i="36"/>
  <c r="H422" i="36"/>
  <c r="G18" i="36"/>
  <c r="H18" i="36"/>
  <c r="G29" i="36"/>
  <c r="I29" i="36" s="1"/>
  <c r="H32" i="36"/>
  <c r="G32" i="36"/>
  <c r="I32" i="36" s="1"/>
  <c r="H43" i="36"/>
  <c r="G43" i="36"/>
  <c r="I43" i="36" s="1"/>
  <c r="G49" i="36"/>
  <c r="I49" i="36" s="1"/>
  <c r="H49" i="36"/>
  <c r="G63" i="36"/>
  <c r="I63" i="36"/>
  <c r="H63" i="36"/>
  <c r="G70" i="36"/>
  <c r="I70" i="36"/>
  <c r="H70" i="36"/>
  <c r="H94" i="36"/>
  <c r="G94" i="36"/>
  <c r="I94" i="36"/>
  <c r="H99" i="36"/>
  <c r="G99" i="36"/>
  <c r="H206" i="36"/>
  <c r="G206" i="36"/>
  <c r="I206" i="36"/>
  <c r="H211" i="36"/>
  <c r="G211" i="36"/>
  <c r="I211" i="36"/>
  <c r="G343" i="36"/>
  <c r="I343" i="36"/>
  <c r="H343" i="36"/>
  <c r="H349" i="36"/>
  <c r="G349" i="36"/>
  <c r="I349" i="36"/>
  <c r="H423" i="36"/>
  <c r="G423" i="36"/>
  <c r="D424" i="36"/>
  <c r="H465" i="36"/>
  <c r="I465" i="36"/>
  <c r="G465" i="36"/>
  <c r="D469" i="36"/>
  <c r="D468" i="36"/>
  <c r="D466" i="36"/>
  <c r="G466" i="36"/>
  <c r="D467" i="36"/>
  <c r="G25" i="36"/>
  <c r="I25" i="36" s="1"/>
  <c r="H25" i="36"/>
  <c r="H71" i="36"/>
  <c r="I71" i="36"/>
  <c r="G71" i="36"/>
  <c r="H77" i="36"/>
  <c r="G77" i="36"/>
  <c r="H95" i="36"/>
  <c r="I95" i="36"/>
  <c r="G95" i="36"/>
  <c r="G141" i="36"/>
  <c r="H141" i="36"/>
  <c r="I141" i="36"/>
  <c r="H173" i="36"/>
  <c r="G173" i="36"/>
  <c r="I173" i="36"/>
  <c r="H186" i="36"/>
  <c r="I186" i="36"/>
  <c r="G186" i="36"/>
  <c r="G207" i="36"/>
  <c r="H207" i="36"/>
  <c r="G335" i="36"/>
  <c r="I335" i="36"/>
  <c r="H335" i="36"/>
  <c r="H339" i="36"/>
  <c r="G339" i="36"/>
  <c r="I339" i="36"/>
  <c r="G344" i="36"/>
  <c r="H344" i="36"/>
  <c r="G405" i="36"/>
  <c r="H405" i="36"/>
  <c r="D716" i="36"/>
  <c r="H716" i="36"/>
  <c r="I716" i="36"/>
  <c r="G753" i="36"/>
  <c r="I753" i="36"/>
  <c r="D811" i="36"/>
  <c r="H191" i="36"/>
  <c r="G191" i="36"/>
  <c r="H438" i="36"/>
  <c r="G438" i="36"/>
  <c r="H456" i="36"/>
  <c r="G456" i="36"/>
  <c r="I140" i="36"/>
  <c r="G395" i="36"/>
  <c r="I395" i="36"/>
  <c r="G425" i="36"/>
  <c r="H470" i="36"/>
  <c r="G394" i="36"/>
  <c r="I394" i="36"/>
  <c r="D471" i="36"/>
  <c r="G375" i="36"/>
  <c r="I375" i="36"/>
  <c r="H461" i="36"/>
  <c r="I461" i="36"/>
  <c r="H492" i="36"/>
  <c r="G492" i="36"/>
  <c r="D473" i="36"/>
  <c r="G473" i="36"/>
  <c r="H406" i="36"/>
  <c r="H351" i="36"/>
  <c r="G351" i="36"/>
  <c r="H393" i="36"/>
  <c r="G393" i="36"/>
  <c r="H402" i="36"/>
  <c r="I402" i="36"/>
  <c r="G398" i="36"/>
  <c r="I398" i="36"/>
  <c r="H398" i="36"/>
  <c r="G404" i="36"/>
  <c r="H404" i="36"/>
  <c r="H429" i="36"/>
  <c r="I429" i="36"/>
  <c r="G429" i="36"/>
  <c r="H455" i="36"/>
  <c r="I455" i="36"/>
  <c r="D463" i="36"/>
  <c r="G463" i="36"/>
  <c r="D403" i="36"/>
  <c r="H472" i="36"/>
  <c r="I472" i="36"/>
  <c r="G472" i="36"/>
  <c r="G320" i="36"/>
  <c r="H320" i="36"/>
  <c r="I320" i="36"/>
  <c r="D489" i="16"/>
  <c r="H489" i="16"/>
  <c r="I489" i="16"/>
  <c r="I165" i="32"/>
  <c r="G169" i="32"/>
  <c r="I456" i="36"/>
  <c r="I77" i="36"/>
  <c r="H467" i="36"/>
  <c r="G467" i="36"/>
  <c r="I467" i="36"/>
  <c r="I144" i="36"/>
  <c r="I30" i="36"/>
  <c r="I87" i="36"/>
  <c r="G482" i="36"/>
  <c r="H482" i="36"/>
  <c r="I482" i="36"/>
  <c r="I89" i="36"/>
  <c r="H162" i="36"/>
  <c r="G162" i="36"/>
  <c r="G160" i="36"/>
  <c r="I160" i="36"/>
  <c r="H103" i="36"/>
  <c r="I103" i="36"/>
  <c r="G103" i="36"/>
  <c r="G192" i="30"/>
  <c r="I192" i="30"/>
  <c r="G111" i="36"/>
  <c r="I111" i="36"/>
  <c r="I60" i="14"/>
  <c r="I25" i="14"/>
  <c r="I26" i="14"/>
  <c r="I280" i="14"/>
  <c r="I265" i="14"/>
  <c r="G273" i="14"/>
  <c r="D332" i="32"/>
  <c r="H332" i="32"/>
  <c r="I332" i="32"/>
  <c r="I333" i="32"/>
  <c r="D331" i="32"/>
  <c r="H331" i="32"/>
  <c r="I331" i="32"/>
  <c r="G330" i="32"/>
  <c r="I330" i="32"/>
  <c r="H480" i="16"/>
  <c r="D481" i="16"/>
  <c r="H481" i="16"/>
  <c r="I481" i="16"/>
  <c r="I175" i="36"/>
  <c r="I698" i="31"/>
  <c r="I723" i="31"/>
  <c r="I724" i="31"/>
  <c r="G723" i="31"/>
  <c r="G69" i="36"/>
  <c r="I278" i="36"/>
  <c r="G305" i="36"/>
  <c r="I212" i="36"/>
  <c r="G153" i="36"/>
  <c r="I153" i="36"/>
  <c r="H153" i="36"/>
  <c r="H163" i="36"/>
  <c r="G163" i="36"/>
  <c r="I163" i="36"/>
  <c r="I75" i="14"/>
  <c r="H88" i="36"/>
  <c r="D107" i="36"/>
  <c r="H107" i="36"/>
  <c r="I256" i="32"/>
  <c r="I60" i="33"/>
  <c r="H473" i="36"/>
  <c r="H427" i="36"/>
  <c r="G427" i="36"/>
  <c r="H240" i="36"/>
  <c r="I240" i="36"/>
  <c r="G240" i="36"/>
  <c r="H244" i="16"/>
  <c r="I244" i="16"/>
  <c r="H366" i="16"/>
  <c r="I366" i="16"/>
  <c r="G63" i="28"/>
  <c r="G6" i="28"/>
  <c r="D265" i="31"/>
  <c r="I63" i="28"/>
  <c r="I349" i="33"/>
  <c r="F12" i="35"/>
  <c r="H257" i="33"/>
  <c r="I257" i="33"/>
  <c r="I256" i="33"/>
  <c r="H106" i="36"/>
  <c r="H257" i="32"/>
  <c r="I257" i="32"/>
  <c r="D318" i="16"/>
  <c r="H318" i="16"/>
  <c r="I318" i="16"/>
  <c r="H272" i="31"/>
  <c r="I272" i="31"/>
  <c r="I479" i="36"/>
  <c r="I754" i="33"/>
  <c r="D335" i="31"/>
  <c r="G335" i="31"/>
  <c r="I335" i="31"/>
  <c r="G322" i="31"/>
  <c r="I322" i="31"/>
  <c r="H463" i="36"/>
  <c r="I463" i="36"/>
  <c r="G469" i="36"/>
  <c r="H469" i="36"/>
  <c r="I18" i="36"/>
  <c r="I145" i="36"/>
  <c r="I232" i="36"/>
  <c r="G483" i="36"/>
  <c r="I483" i="36"/>
  <c r="D485" i="36"/>
  <c r="G485" i="36"/>
  <c r="D484" i="36"/>
  <c r="D486" i="36"/>
  <c r="G486" i="36"/>
  <c r="H365" i="36"/>
  <c r="I365" i="36"/>
  <c r="G365" i="36"/>
  <c r="D176" i="33"/>
  <c r="H176" i="33"/>
  <c r="I176" i="33"/>
  <c r="H166" i="36"/>
  <c r="G166" i="36"/>
  <c r="I365" i="33"/>
  <c r="H156" i="36"/>
  <c r="G156" i="36"/>
  <c r="H79" i="36"/>
  <c r="G79" i="36"/>
  <c r="I105" i="36"/>
  <c r="I304" i="32"/>
  <c r="G209" i="36"/>
  <c r="H209" i="36"/>
  <c r="H168" i="36"/>
  <c r="G168" i="36"/>
  <c r="I438" i="33"/>
  <c r="I445" i="33"/>
  <c r="I283" i="14"/>
  <c r="D302" i="32"/>
  <c r="H302" i="32"/>
  <c r="H305" i="32"/>
  <c r="T48" i="27"/>
  <c r="D325" i="32"/>
  <c r="D326" i="32"/>
  <c r="H326" i="32"/>
  <c r="I326" i="32"/>
  <c r="H468" i="36"/>
  <c r="I468" i="36"/>
  <c r="G468" i="36"/>
  <c r="I492" i="36"/>
  <c r="I438" i="36"/>
  <c r="G243" i="36"/>
  <c r="H243" i="36"/>
  <c r="I243" i="36"/>
  <c r="G362" i="36"/>
  <c r="H362" i="36"/>
  <c r="I362" i="36"/>
  <c r="I428" i="36"/>
  <c r="G169" i="36"/>
  <c r="H169" i="36"/>
  <c r="I169" i="36"/>
  <c r="I366" i="33"/>
  <c r="H372" i="36"/>
  <c r="G372" i="36"/>
  <c r="I372" i="36"/>
  <c r="G68" i="36"/>
  <c r="I539" i="14"/>
  <c r="I399" i="36"/>
  <c r="H352" i="30"/>
  <c r="I352" i="30"/>
  <c r="G170" i="36"/>
  <c r="H170" i="36"/>
  <c r="I191" i="36"/>
  <c r="H453" i="36"/>
  <c r="G453" i="36"/>
  <c r="I453" i="36"/>
  <c r="H359" i="36"/>
  <c r="I359" i="36"/>
  <c r="G359" i="36"/>
  <c r="I204" i="36"/>
  <c r="H39" i="36"/>
  <c r="G185" i="31"/>
  <c r="I185" i="31"/>
  <c r="G189" i="31"/>
  <c r="H165" i="36"/>
  <c r="G165" i="36"/>
  <c r="I165" i="36"/>
  <c r="G151" i="36"/>
  <c r="I151" i="36"/>
  <c r="H151" i="36"/>
  <c r="I202" i="36"/>
  <c r="D209" i="14"/>
  <c r="H209" i="14"/>
  <c r="I209" i="14"/>
  <c r="D208" i="14"/>
  <c r="H208" i="14"/>
  <c r="I208" i="14"/>
  <c r="G207" i="14"/>
  <c r="I207" i="14"/>
  <c r="H77" i="16"/>
  <c r="D117" i="31"/>
  <c r="H117" i="31"/>
  <c r="I117" i="31"/>
  <c r="G116" i="31"/>
  <c r="I116" i="31"/>
  <c r="D118" i="31"/>
  <c r="H118" i="31"/>
  <c r="I118" i="31"/>
  <c r="H105" i="30"/>
  <c r="I90" i="36"/>
  <c r="H471" i="36"/>
  <c r="I471" i="36"/>
  <c r="G471" i="36"/>
  <c r="I22" i="36"/>
  <c r="G246" i="36"/>
  <c r="H246" i="36"/>
  <c r="I162" i="33"/>
  <c r="I104" i="36"/>
  <c r="H75" i="36"/>
  <c r="G75" i="36"/>
  <c r="I239" i="14"/>
  <c r="H60" i="36"/>
  <c r="G391" i="14"/>
  <c r="I42" i="36"/>
  <c r="I147" i="14"/>
  <c r="G112" i="30"/>
  <c r="I112" i="30"/>
  <c r="D113" i="30"/>
  <c r="H113" i="30"/>
  <c r="I113" i="30"/>
  <c r="I114" i="30"/>
  <c r="I170" i="36"/>
  <c r="G325" i="32"/>
  <c r="I325" i="32"/>
  <c r="D329" i="32"/>
  <c r="H329" i="32"/>
  <c r="I329" i="32"/>
  <c r="I174" i="33"/>
  <c r="I178" i="33"/>
  <c r="I179" i="33"/>
  <c r="G195" i="30"/>
  <c r="D336" i="31"/>
  <c r="H336" i="31"/>
  <c r="I336" i="31"/>
  <c r="I162" i="36"/>
  <c r="G484" i="36"/>
  <c r="H484" i="36"/>
  <c r="I246" i="36"/>
  <c r="I77" i="16"/>
  <c r="I79" i="36"/>
  <c r="H485" i="36"/>
  <c r="I485" i="36"/>
  <c r="I69" i="36"/>
  <c r="I480" i="16"/>
  <c r="I469" i="36"/>
  <c r="G107" i="36"/>
  <c r="L655" i="36"/>
  <c r="I656" i="36"/>
  <c r="H28" i="37"/>
  <c r="I28" i="37" s="1"/>
  <c r="D42" i="37"/>
  <c r="H42" i="37" s="1"/>
  <c r="I42" i="37" s="1"/>
  <c r="G18" i="37"/>
  <c r="I18" i="37" s="1"/>
  <c r="G45" i="37"/>
  <c r="I45" i="37" s="1"/>
  <c r="D61" i="37"/>
  <c r="D64" i="37" s="1"/>
  <c r="H64" i="37" s="1"/>
  <c r="I64" i="37" s="1"/>
  <c r="G86" i="37"/>
  <c r="I86" i="37" s="1"/>
  <c r="D87" i="37"/>
  <c r="H87" i="37" s="1"/>
  <c r="I87" i="37" s="1"/>
  <c r="G38" i="37"/>
  <c r="I38" i="37" s="1"/>
  <c r="G16" i="37"/>
  <c r="I16" i="37" s="1"/>
  <c r="D176" i="37"/>
  <c r="H176" i="37" s="1"/>
  <c r="I176" i="37" s="1"/>
  <c r="D178" i="37"/>
  <c r="H178" i="37" s="1"/>
  <c r="I178" i="37" s="1"/>
  <c r="D175" i="37"/>
  <c r="H175" i="37" s="1"/>
  <c r="I175" i="37" s="1"/>
  <c r="D177" i="37"/>
  <c r="H177" i="37" s="1"/>
  <c r="I177" i="37" s="1"/>
  <c r="G174" i="37"/>
  <c r="I174" i="37" s="1"/>
  <c r="H205" i="37"/>
  <c r="I205" i="37" s="1"/>
  <c r="D185" i="37"/>
  <c r="H185" i="37" s="1"/>
  <c r="I185" i="37" s="1"/>
  <c r="D421" i="37"/>
  <c r="H421" i="37" s="1"/>
  <c r="I421" i="37" s="1"/>
  <c r="G420" i="37"/>
  <c r="I420" i="37" s="1"/>
  <c r="D186" i="37"/>
  <c r="H186" i="37" s="1"/>
  <c r="I186" i="37" s="1"/>
  <c r="D402" i="37"/>
  <c r="G402" i="37" s="1"/>
  <c r="D398" i="37"/>
  <c r="G398" i="37" s="1"/>
  <c r="H399" i="37"/>
  <c r="I399" i="37" s="1"/>
  <c r="D426" i="37"/>
  <c r="H426" i="37" s="1"/>
  <c r="I426" i="37" s="1"/>
  <c r="D460" i="37"/>
  <c r="H460" i="37" s="1"/>
  <c r="I460" i="37" s="1"/>
  <c r="D465" i="37"/>
  <c r="H465" i="37" s="1"/>
  <c r="I465" i="37" s="1"/>
  <c r="D429" i="37"/>
  <c r="H429" i="37" s="1"/>
  <c r="I429" i="37" s="1"/>
  <c r="D468" i="37"/>
  <c r="H468" i="37" s="1"/>
  <c r="I468" i="37" s="1"/>
  <c r="D458" i="37"/>
  <c r="H458" i="37" s="1"/>
  <c r="I458" i="37" s="1"/>
  <c r="G386" i="37"/>
  <c r="H18" i="35"/>
  <c r="I628" i="16"/>
  <c r="L627" i="16"/>
  <c r="H403" i="16"/>
  <c r="I403" i="16"/>
  <c r="G424" i="16"/>
  <c r="I424" i="16"/>
  <c r="G476" i="16"/>
  <c r="D436" i="16"/>
  <c r="H436" i="16"/>
  <c r="I436" i="16"/>
  <c r="G307" i="16"/>
  <c r="G67" i="16"/>
  <c r="I67" i="16"/>
  <c r="D41" i="16"/>
  <c r="H41" i="16"/>
  <c r="I41" i="16" s="1"/>
  <c r="H388" i="16"/>
  <c r="D201" i="16"/>
  <c r="G201" i="16"/>
  <c r="D461" i="16"/>
  <c r="H461" i="16"/>
  <c r="I461" i="16"/>
  <c r="D459" i="16"/>
  <c r="H459" i="16"/>
  <c r="D460" i="16"/>
  <c r="H460" i="16"/>
  <c r="I460" i="16"/>
  <c r="I538" i="16"/>
  <c r="G88" i="16"/>
  <c r="I88" i="16"/>
  <c r="D174" i="16"/>
  <c r="H174" i="16"/>
  <c r="I174" i="16"/>
  <c r="D458" i="16"/>
  <c r="H458" i="16"/>
  <c r="I458" i="16"/>
  <c r="G173" i="16"/>
  <c r="I173" i="16"/>
  <c r="G91" i="16"/>
  <c r="I91" i="16"/>
  <c r="G433" i="16"/>
  <c r="I243" i="16"/>
  <c r="I204" i="16"/>
  <c r="I451" i="16"/>
  <c r="D491" i="16"/>
  <c r="H491" i="16"/>
  <c r="I491" i="16"/>
  <c r="L606" i="16"/>
  <c r="H402" i="37"/>
  <c r="G61" i="37"/>
  <c r="I61" i="37" s="1"/>
  <c r="G48" i="36"/>
  <c r="I48" i="36" s="1"/>
  <c r="H46" i="36"/>
  <c r="G61" i="36"/>
  <c r="I61" i="36"/>
  <c r="D64" i="36"/>
  <c r="H61" i="36"/>
  <c r="I454" i="36"/>
  <c r="I209" i="36"/>
  <c r="I473" i="36"/>
  <c r="I351" i="36"/>
  <c r="I99" i="36"/>
  <c r="I142" i="36"/>
  <c r="I350" i="36"/>
  <c r="D279" i="36"/>
  <c r="H279" i="36"/>
  <c r="I279" i="36"/>
  <c r="D474" i="36"/>
  <c r="G474" i="36"/>
  <c r="H749" i="36"/>
  <c r="I749" i="36"/>
  <c r="I439" i="36"/>
  <c r="I168" i="36"/>
  <c r="I166" i="36"/>
  <c r="I340" i="36"/>
  <c r="H481" i="36"/>
  <c r="H400" i="36"/>
  <c r="I400" i="36"/>
  <c r="H785" i="36"/>
  <c r="I785" i="36"/>
  <c r="I68" i="36"/>
  <c r="I93" i="36"/>
  <c r="I282" i="36"/>
  <c r="G470" i="36"/>
  <c r="I470" i="36"/>
  <c r="I537" i="36"/>
  <c r="I187" i="36"/>
  <c r="H333" i="32"/>
  <c r="I433" i="16"/>
  <c r="G443" i="16"/>
  <c r="G447" i="16"/>
  <c r="I459" i="16"/>
  <c r="H491" i="36"/>
  <c r="G491" i="36"/>
  <c r="G333" i="32"/>
  <c r="H358" i="36"/>
  <c r="I358" i="36"/>
  <c r="G218" i="36"/>
  <c r="I218" i="36"/>
  <c r="I174" i="14"/>
  <c r="I344" i="36"/>
  <c r="I210" i="36"/>
  <c r="G269" i="32"/>
  <c r="I269" i="32"/>
  <c r="I391" i="14"/>
  <c r="I392" i="14"/>
  <c r="I393" i="36"/>
  <c r="G360" i="36"/>
  <c r="I360" i="36"/>
  <c r="I207" i="36"/>
  <c r="I338" i="36"/>
  <c r="I152" i="36"/>
  <c r="I481" i="36"/>
  <c r="G185" i="36"/>
  <c r="H185" i="36"/>
  <c r="G63" i="16"/>
  <c r="D66" i="16"/>
  <c r="H66" i="16"/>
  <c r="I66" i="16"/>
  <c r="D480" i="36"/>
  <c r="G480" i="36"/>
  <c r="G170" i="14"/>
  <c r="I158" i="14"/>
  <c r="I170" i="14"/>
  <c r="I171" i="14"/>
  <c r="G51" i="30"/>
  <c r="I386" i="30"/>
  <c r="H384" i="32"/>
  <c r="G263" i="32"/>
  <c r="I263" i="32"/>
  <c r="D265" i="32"/>
  <c r="H265" i="32"/>
  <c r="I265" i="32"/>
  <c r="D264" i="32"/>
  <c r="H264" i="32"/>
  <c r="I264" i="32"/>
  <c r="F9" i="28"/>
  <c r="F6" i="28"/>
  <c r="H9" i="28"/>
  <c r="H6" i="28"/>
  <c r="D241" i="32"/>
  <c r="H241" i="32"/>
  <c r="I9" i="28"/>
  <c r="I6" i="28"/>
  <c r="D254" i="33"/>
  <c r="H254" i="33"/>
  <c r="H171" i="30"/>
  <c r="I171" i="30"/>
  <c r="D231" i="14"/>
  <c r="H231" i="14"/>
  <c r="I231" i="14"/>
  <c r="G230" i="14"/>
  <c r="I230" i="14"/>
  <c r="D232" i="14"/>
  <c r="H232" i="14"/>
  <c r="I232" i="14"/>
  <c r="G356" i="33"/>
  <c r="I356" i="33"/>
  <c r="D357" i="33"/>
  <c r="H413" i="32"/>
  <c r="I407" i="32"/>
  <c r="I413" i="32"/>
  <c r="I414" i="32"/>
  <c r="D356" i="37"/>
  <c r="H356" i="37"/>
  <c r="I356" i="37" s="1"/>
  <c r="D357" i="36"/>
  <c r="D358" i="16"/>
  <c r="H358" i="16"/>
  <c r="I358" i="16"/>
  <c r="H288" i="30"/>
  <c r="G687" i="30"/>
  <c r="I584" i="30"/>
  <c r="I687" i="30"/>
  <c r="I688" i="30"/>
  <c r="D220" i="37"/>
  <c r="D222" i="37"/>
  <c r="H222" i="37" s="1"/>
  <c r="I222" i="37" s="1"/>
  <c r="I608" i="32"/>
  <c r="G684" i="32"/>
  <c r="I687" i="32"/>
  <c r="G721" i="32"/>
  <c r="H244" i="32"/>
  <c r="I244" i="32"/>
  <c r="D243" i="32"/>
  <c r="G243" i="32"/>
  <c r="I243" i="32"/>
  <c r="I38" i="14"/>
  <c r="K112" i="29"/>
  <c r="D111" i="33"/>
  <c r="H111" i="33"/>
  <c r="I111" i="33"/>
  <c r="G109" i="33"/>
  <c r="I109" i="33"/>
  <c r="D106" i="37"/>
  <c r="H106" i="37"/>
  <c r="I106" i="37" s="1"/>
  <c r="M15" i="15"/>
  <c r="C109" i="29"/>
  <c r="C111" i="29"/>
  <c r="D111" i="29"/>
  <c r="D115" i="29"/>
  <c r="D116" i="29"/>
  <c r="H684" i="32"/>
  <c r="N36" i="24"/>
  <c r="F66" i="29"/>
  <c r="F67" i="29"/>
  <c r="G116" i="29"/>
  <c r="G101" i="32"/>
  <c r="D281" i="33"/>
  <c r="F74" i="17"/>
  <c r="I227" i="25"/>
  <c r="I228" i="25"/>
  <c r="K27" i="30"/>
  <c r="D78" i="18"/>
  <c r="D79" i="18"/>
  <c r="D110" i="37"/>
  <c r="H110" i="37"/>
  <c r="I110" i="37" s="1"/>
  <c r="H221" i="14"/>
  <c r="I221" i="14"/>
  <c r="H88" i="37"/>
  <c r="I88" i="37" s="1"/>
  <c r="D107" i="37"/>
  <c r="H107" i="37" s="1"/>
  <c r="I107" i="37" s="1"/>
  <c r="D465" i="14"/>
  <c r="D471" i="14"/>
  <c r="D472" i="14"/>
  <c r="D245" i="14"/>
  <c r="D248" i="14"/>
  <c r="D249" i="14"/>
  <c r="G244" i="14"/>
  <c r="D246" i="14"/>
  <c r="B77" i="18"/>
  <c r="H220" i="14"/>
  <c r="I220" i="14"/>
  <c r="D205" i="14"/>
  <c r="I153" i="14"/>
  <c r="I155" i="14"/>
  <c r="I156" i="14"/>
  <c r="I93" i="14"/>
  <c r="G52" i="14"/>
  <c r="C79" i="18"/>
  <c r="H504" i="14"/>
  <c r="I504" i="14"/>
  <c r="H155" i="14"/>
  <c r="G131" i="14"/>
  <c r="G98" i="14"/>
  <c r="I98" i="14"/>
  <c r="H200" i="31"/>
  <c r="H204" i="33"/>
  <c r="I567" i="33"/>
  <c r="D341" i="37"/>
  <c r="H341" i="37"/>
  <c r="I341" i="37" s="1"/>
  <c r="D342" i="36"/>
  <c r="D486" i="37"/>
  <c r="D488" i="37"/>
  <c r="H488" i="37" s="1"/>
  <c r="I488" i="37" s="1"/>
  <c r="D487" i="36"/>
  <c r="G487" i="36"/>
  <c r="D98" i="37"/>
  <c r="H98" i="37"/>
  <c r="I98" i="37" s="1"/>
  <c r="D98" i="36"/>
  <c r="D235" i="37"/>
  <c r="D234" i="37"/>
  <c r="G234" i="37" s="1"/>
  <c r="I234" i="37" s="1"/>
  <c r="G397" i="31"/>
  <c r="D398" i="31"/>
  <c r="H398" i="31"/>
  <c r="D431" i="36"/>
  <c r="H431" i="36"/>
  <c r="D430" i="36"/>
  <c r="H430" i="36"/>
  <c r="I430" i="36"/>
  <c r="I776" i="36"/>
  <c r="D316" i="37"/>
  <c r="H316" i="37"/>
  <c r="I316" i="37" s="1"/>
  <c r="D366" i="37"/>
  <c r="H366" i="37"/>
  <c r="I366" i="37" s="1"/>
  <c r="D367" i="36"/>
  <c r="H367" i="36"/>
  <c r="D370" i="37"/>
  <c r="H370" i="37"/>
  <c r="I370" i="37" s="1"/>
  <c r="D371" i="36"/>
  <c r="H371" i="36"/>
  <c r="I371" i="36"/>
  <c r="D387" i="36"/>
  <c r="G54" i="30"/>
  <c r="I54" i="30"/>
  <c r="D73" i="37"/>
  <c r="H73" i="37"/>
  <c r="I73" i="37" s="1"/>
  <c r="D73" i="36"/>
  <c r="H73" i="36"/>
  <c r="D108" i="37"/>
  <c r="G108" i="37"/>
  <c r="I108" i="37" s="1"/>
  <c r="D108" i="36"/>
  <c r="G108" i="36"/>
  <c r="I108" i="36"/>
  <c r="D110" i="16"/>
  <c r="G110" i="16"/>
  <c r="I110" i="16"/>
  <c r="G296" i="31"/>
  <c r="I296" i="31"/>
  <c r="D341" i="36"/>
  <c r="H341" i="36"/>
  <c r="M49" i="21"/>
  <c r="D183" i="31"/>
  <c r="D217" i="37"/>
  <c r="H217" i="37"/>
  <c r="I217" i="37" s="1"/>
  <c r="D373" i="37"/>
  <c r="H373" i="37"/>
  <c r="I373" i="37" s="1"/>
  <c r="D374" i="36"/>
  <c r="D43" i="20"/>
  <c r="D179" i="32"/>
  <c r="D400" i="16"/>
  <c r="G400" i="16"/>
  <c r="D103" i="37"/>
  <c r="H103" i="37"/>
  <c r="I103" i="37" s="1"/>
  <c r="D219" i="37"/>
  <c r="H219" i="37"/>
  <c r="I219" i="37" s="1"/>
  <c r="D219" i="36"/>
  <c r="H173" i="30"/>
  <c r="I173" i="30"/>
  <c r="C80" i="34"/>
  <c r="D186" i="31"/>
  <c r="H204" i="31"/>
  <c r="I204" i="31"/>
  <c r="D244" i="36"/>
  <c r="G244" i="36"/>
  <c r="D431" i="37"/>
  <c r="D432" i="36"/>
  <c r="H462" i="16"/>
  <c r="I462" i="16"/>
  <c r="G126" i="28"/>
  <c r="G3" i="28"/>
  <c r="D270" i="31"/>
  <c r="I126" i="28"/>
  <c r="D367" i="37"/>
  <c r="H367" i="37"/>
  <c r="I367" i="37" s="1"/>
  <c r="D368" i="36"/>
  <c r="G368" i="36"/>
  <c r="I368" i="36"/>
  <c r="D72" i="36"/>
  <c r="H72" i="36"/>
  <c r="D72" i="37"/>
  <c r="N72" i="27"/>
  <c r="T25" i="27"/>
  <c r="D320" i="30"/>
  <c r="N107" i="27"/>
  <c r="T34" i="27"/>
  <c r="D366" i="31"/>
  <c r="D367" i="31"/>
  <c r="H367" i="31"/>
  <c r="D200" i="37"/>
  <c r="H200" i="37"/>
  <c r="D200" i="36"/>
  <c r="H200" i="36"/>
  <c r="D158" i="37"/>
  <c r="H158" i="37"/>
  <c r="I158" i="37" s="1"/>
  <c r="D158" i="36"/>
  <c r="H158" i="36"/>
  <c r="H131" i="30"/>
  <c r="I131" i="30"/>
  <c r="D233" i="37"/>
  <c r="H233" i="37"/>
  <c r="I233" i="37" s="1"/>
  <c r="D233" i="36"/>
  <c r="H135" i="31"/>
  <c r="I135" i="31"/>
  <c r="D155" i="36"/>
  <c r="D357" i="32"/>
  <c r="H357" i="32"/>
  <c r="G356" i="32"/>
  <c r="G7" i="28"/>
  <c r="D266" i="31"/>
  <c r="H266" i="31"/>
  <c r="I266" i="31"/>
  <c r="D372" i="37"/>
  <c r="H372" i="37"/>
  <c r="I372" i="37" s="1"/>
  <c r="D373" i="36"/>
  <c r="H373" i="36"/>
  <c r="I373" i="36"/>
  <c r="D162" i="37"/>
  <c r="H162" i="37"/>
  <c r="I162" i="37" s="1"/>
  <c r="D154" i="37"/>
  <c r="H154" i="37"/>
  <c r="I154" i="37" s="1"/>
  <c r="D243" i="37"/>
  <c r="H243" i="37"/>
  <c r="I243" i="37" s="1"/>
  <c r="D246" i="37"/>
  <c r="H246" i="37"/>
  <c r="I246" i="37" s="1"/>
  <c r="D23" i="36"/>
  <c r="D460" i="36"/>
  <c r="H460" i="36"/>
  <c r="D458" i="36"/>
  <c r="H458" i="36"/>
  <c r="D85" i="37"/>
  <c r="H85" i="37"/>
  <c r="I85" i="37" s="1"/>
  <c r="D69" i="37"/>
  <c r="H69" i="37"/>
  <c r="I69" i="37" s="1"/>
  <c r="D155" i="37"/>
  <c r="H155" i="37"/>
  <c r="I155" i="37" s="1"/>
  <c r="D448" i="37"/>
  <c r="G448" i="37"/>
  <c r="I448" i="37" s="1"/>
  <c r="D477" i="37"/>
  <c r="D478" i="37"/>
  <c r="D482" i="37"/>
  <c r="G482" i="37"/>
  <c r="I482" i="37" s="1"/>
  <c r="D358" i="37"/>
  <c r="H358" i="37"/>
  <c r="I358" i="37" s="1"/>
  <c r="H440" i="36"/>
  <c r="I440" i="36"/>
  <c r="G440" i="36"/>
  <c r="G65" i="37"/>
  <c r="H65" i="37"/>
  <c r="G89" i="37"/>
  <c r="I89" i="37" s="1"/>
  <c r="D90" i="37"/>
  <c r="H90" i="37" s="1"/>
  <c r="I90" i="37" s="1"/>
  <c r="D156" i="37"/>
  <c r="H156" i="37"/>
  <c r="I156" i="37" s="1"/>
  <c r="D151" i="37"/>
  <c r="H151" i="37"/>
  <c r="I151" i="37" s="1"/>
  <c r="D169" i="37"/>
  <c r="H169" i="37"/>
  <c r="I169" i="37" s="1"/>
  <c r="D340" i="37"/>
  <c r="G340" i="37"/>
  <c r="I340" i="37" s="1"/>
  <c r="G238" i="37"/>
  <c r="I238" i="37" s="1"/>
  <c r="D239" i="37"/>
  <c r="H239" i="37" s="1"/>
  <c r="D244" i="37"/>
  <c r="H244" i="37"/>
  <c r="I244" i="37" s="1"/>
  <c r="D346" i="37"/>
  <c r="D361" i="37"/>
  <c r="H361" i="37"/>
  <c r="I361" i="37" s="1"/>
  <c r="H59" i="36"/>
  <c r="D181" i="37"/>
  <c r="H181" i="37" s="1"/>
  <c r="I181" i="37" s="1"/>
  <c r="G179" i="37"/>
  <c r="I179" i="37" s="1"/>
  <c r="D180" i="37"/>
  <c r="H180" i="37" s="1"/>
  <c r="I180" i="37" s="1"/>
  <c r="D391" i="37"/>
  <c r="G391" i="37" s="1"/>
  <c r="I391" i="37" s="1"/>
  <c r="H392" i="37"/>
  <c r="I392" i="37" s="1"/>
  <c r="D467" i="37"/>
  <c r="H467" i="37" s="1"/>
  <c r="I467" i="37" s="1"/>
  <c r="D466" i="37"/>
  <c r="H466" i="37" s="1"/>
  <c r="I466" i="37" s="1"/>
  <c r="G464" i="37"/>
  <c r="I464" i="37" s="1"/>
  <c r="D173" i="37"/>
  <c r="H173" i="37" s="1"/>
  <c r="I173" i="37" s="1"/>
  <c r="G171" i="37"/>
  <c r="I171" i="37" s="1"/>
  <c r="D423" i="37"/>
  <c r="H423" i="37" s="1"/>
  <c r="G422" i="37"/>
  <c r="I422" i="37" s="1"/>
  <c r="D462" i="37"/>
  <c r="H462" i="37" s="1"/>
  <c r="I462" i="37" s="1"/>
  <c r="G461" i="37"/>
  <c r="I461" i="37" s="1"/>
  <c r="D463" i="37"/>
  <c r="H463" i="37" s="1"/>
  <c r="I463" i="37" s="1"/>
  <c r="D472" i="37"/>
  <c r="H472" i="37" s="1"/>
  <c r="I472" i="37" s="1"/>
  <c r="D470" i="37"/>
  <c r="H470" i="37" s="1"/>
  <c r="I470" i="37" s="1"/>
  <c r="G455" i="37"/>
  <c r="I455" i="37" s="1"/>
  <c r="G469" i="37"/>
  <c r="I469" i="37" s="1"/>
  <c r="D749" i="37"/>
  <c r="H748" i="37"/>
  <c r="I748" i="37" s="1"/>
  <c r="D490" i="37"/>
  <c r="G490" i="37" s="1"/>
  <c r="H64" i="36"/>
  <c r="G64" i="36"/>
  <c r="H474" i="36"/>
  <c r="E15" i="35"/>
  <c r="H233" i="36"/>
  <c r="G233" i="36"/>
  <c r="D433" i="36"/>
  <c r="D435" i="36"/>
  <c r="G435" i="36"/>
  <c r="G432" i="36"/>
  <c r="H432" i="36"/>
  <c r="I432" i="36"/>
  <c r="G371" i="36"/>
  <c r="D487" i="37"/>
  <c r="H487" i="37" s="1"/>
  <c r="I487" i="37" s="1"/>
  <c r="D250" i="30"/>
  <c r="D309" i="36"/>
  <c r="I357" i="32"/>
  <c r="G200" i="36"/>
  <c r="I200" i="36"/>
  <c r="H72" i="37"/>
  <c r="I72" i="37" s="1"/>
  <c r="D432" i="37"/>
  <c r="D433" i="37" s="1"/>
  <c r="H433" i="37" s="1"/>
  <c r="I433" i="37" s="1"/>
  <c r="G431" i="37"/>
  <c r="I431" i="37" s="1"/>
  <c r="I400" i="16"/>
  <c r="G431" i="36"/>
  <c r="I431" i="36"/>
  <c r="G98" i="36"/>
  <c r="H98" i="36"/>
  <c r="G342" i="36"/>
  <c r="H342" i="36"/>
  <c r="I342" i="36"/>
  <c r="H387" i="33"/>
  <c r="H357" i="33"/>
  <c r="I357" i="33"/>
  <c r="I185" i="36"/>
  <c r="I356" i="32"/>
  <c r="G361" i="32"/>
  <c r="G430" i="36"/>
  <c r="I204" i="33"/>
  <c r="H250" i="33"/>
  <c r="G281" i="33"/>
  <c r="I59" i="36"/>
  <c r="D483" i="37"/>
  <c r="H483" i="37" s="1"/>
  <c r="I483" i="37" s="1"/>
  <c r="H244" i="36"/>
  <c r="I244" i="36"/>
  <c r="H219" i="36"/>
  <c r="G219" i="36"/>
  <c r="I219" i="36"/>
  <c r="H183" i="31"/>
  <c r="D217" i="36"/>
  <c r="G217" i="36"/>
  <c r="H108" i="36"/>
  <c r="I105" i="30"/>
  <c r="C8" i="35"/>
  <c r="G105" i="30"/>
  <c r="I398" i="31"/>
  <c r="G205" i="14"/>
  <c r="G216" i="14"/>
  <c r="D206" i="14"/>
  <c r="H206" i="14"/>
  <c r="D108" i="32"/>
  <c r="N52" i="24"/>
  <c r="N51" i="24"/>
  <c r="D137" i="38"/>
  <c r="D139" i="38" s="1"/>
  <c r="H139" i="38" s="1"/>
  <c r="I288" i="30"/>
  <c r="D253" i="33"/>
  <c r="D262" i="33"/>
  <c r="I491" i="36"/>
  <c r="D449" i="37"/>
  <c r="H449" i="37" s="1"/>
  <c r="G73" i="36"/>
  <c r="I73" i="36"/>
  <c r="H235" i="37"/>
  <c r="I235" i="37" s="1"/>
  <c r="G357" i="36"/>
  <c r="H357" i="36"/>
  <c r="G299" i="32"/>
  <c r="G477" i="37"/>
  <c r="I477" i="37" s="1"/>
  <c r="D480" i="37"/>
  <c r="H480" i="37" s="1"/>
  <c r="I480" i="37" s="1"/>
  <c r="G460" i="36"/>
  <c r="D310" i="36"/>
  <c r="G310" i="36"/>
  <c r="G158" i="36"/>
  <c r="I158" i="36"/>
  <c r="T35" i="27"/>
  <c r="H368" i="36"/>
  <c r="H374" i="36"/>
  <c r="I374" i="36"/>
  <c r="G374" i="36"/>
  <c r="H387" i="36"/>
  <c r="G387" i="36"/>
  <c r="I387" i="36"/>
  <c r="I397" i="31"/>
  <c r="I487" i="36"/>
  <c r="I568" i="33"/>
  <c r="I131" i="14"/>
  <c r="G150" i="14"/>
  <c r="I52" i="14"/>
  <c r="G220" i="37"/>
  <c r="I220" i="37" s="1"/>
  <c r="D240" i="32"/>
  <c r="H480" i="36"/>
  <c r="I63" i="16"/>
  <c r="I443" i="16"/>
  <c r="I474" i="36"/>
  <c r="G108" i="32"/>
  <c r="I108" i="32"/>
  <c r="D370" i="31"/>
  <c r="H370" i="31"/>
  <c r="I370" i="31"/>
  <c r="I357" i="36"/>
  <c r="G433" i="36"/>
  <c r="I480" i="36"/>
  <c r="I241" i="32"/>
  <c r="G253" i="33"/>
  <c r="I253" i="33"/>
  <c r="H250" i="30"/>
  <c r="I460" i="36"/>
  <c r="I281" i="33"/>
  <c r="I205" i="14"/>
  <c r="I183" i="31"/>
  <c r="I233" i="36"/>
  <c r="D249" i="32"/>
  <c r="D250" i="32"/>
  <c r="H250" i="32"/>
  <c r="I250" i="32"/>
  <c r="G240" i="32"/>
  <c r="I106" i="30"/>
  <c r="I98" i="36"/>
  <c r="I240" i="32"/>
  <c r="H143" i="38"/>
  <c r="G143" i="38"/>
  <c r="I143" i="38"/>
  <c r="H115" i="38"/>
  <c r="G115" i="38"/>
  <c r="I115" i="38"/>
  <c r="H320" i="38"/>
  <c r="I320" i="38"/>
  <c r="G320" i="38"/>
  <c r="G216" i="38"/>
  <c r="H306" i="38"/>
  <c r="D38" i="38"/>
  <c r="H38" i="38" s="1"/>
  <c r="I132" i="38"/>
  <c r="G210" i="38"/>
  <c r="I210" i="38" s="1"/>
  <c r="I453" i="38"/>
  <c r="D43" i="38"/>
  <c r="G43" i="38" s="1"/>
  <c r="G63" i="38"/>
  <c r="G67" i="38"/>
  <c r="I67" i="38" s="1"/>
  <c r="G77" i="38"/>
  <c r="G97" i="38"/>
  <c r="G234" i="38"/>
  <c r="I234" i="38" s="1"/>
  <c r="H454" i="38"/>
  <c r="G454" i="38"/>
  <c r="I454" i="38"/>
  <c r="G39" i="38"/>
  <c r="G51" i="38"/>
  <c r="I51" i="38" s="1"/>
  <c r="G118" i="38"/>
  <c r="I118" i="38"/>
  <c r="G146" i="38"/>
  <c r="I146" i="38"/>
  <c r="G214" i="38"/>
  <c r="I214" i="38" s="1"/>
  <c r="G208" i="38"/>
  <c r="I208" i="38" s="1"/>
  <c r="H423" i="38"/>
  <c r="H336" i="38"/>
  <c r="G336" i="38"/>
  <c r="I336" i="38"/>
  <c r="H340" i="38"/>
  <c r="I340" i="38"/>
  <c r="G340" i="38"/>
  <c r="D181" i="38"/>
  <c r="G181" i="38" s="1"/>
  <c r="D183" i="38"/>
  <c r="H183" i="38" s="1"/>
  <c r="I422" i="38"/>
  <c r="G461" i="38"/>
  <c r="I461" i="38"/>
  <c r="H462" i="38"/>
  <c r="I462" i="38"/>
  <c r="L629" i="38"/>
  <c r="D182" i="38"/>
  <c r="G182" i="38" s="1"/>
  <c r="D184" i="38"/>
  <c r="H184" i="38" s="1"/>
  <c r="G373" i="38"/>
  <c r="H426" i="38"/>
  <c r="G432" i="38"/>
  <c r="I432" i="38"/>
  <c r="H465" i="38"/>
  <c r="I465" i="38"/>
  <c r="D353" i="38"/>
  <c r="D400" i="38"/>
  <c r="G400" i="38" s="1"/>
  <c r="H441" i="38"/>
  <c r="I441" i="38"/>
  <c r="H424" i="38"/>
  <c r="H430" i="38"/>
  <c r="I430" i="38"/>
  <c r="D431" i="38"/>
  <c r="I457" i="38"/>
  <c r="H460" i="38"/>
  <c r="I460" i="38"/>
  <c r="D464" i="38"/>
  <c r="G463" i="38"/>
  <c r="I463" i="38"/>
  <c r="H466" i="38"/>
  <c r="D473" i="38"/>
  <c r="D475" i="38"/>
  <c r="G471" i="38"/>
  <c r="I471" i="38"/>
  <c r="G663" i="38"/>
  <c r="I663" i="38"/>
  <c r="G695" i="38"/>
  <c r="I695" i="38"/>
  <c r="G757" i="38"/>
  <c r="I757" i="38"/>
  <c r="D468" i="38"/>
  <c r="H468" i="38"/>
  <c r="I468" i="38"/>
  <c r="D472" i="38"/>
  <c r="G468" i="38"/>
  <c r="H431" i="38"/>
  <c r="G431" i="38"/>
  <c r="I431" i="38"/>
  <c r="I423" i="38"/>
  <c r="G475" i="38"/>
  <c r="H475" i="38"/>
  <c r="I475" i="38"/>
  <c r="G184" i="38"/>
  <c r="H472" i="38"/>
  <c r="I472" i="38"/>
  <c r="G472" i="38"/>
  <c r="G473" i="38"/>
  <c r="H473" i="38"/>
  <c r="I473" i="38"/>
  <c r="H464" i="38"/>
  <c r="G464" i="38"/>
  <c r="I464" i="38"/>
  <c r="G262" i="33"/>
  <c r="D264" i="33"/>
  <c r="H264" i="33"/>
  <c r="I264" i="33"/>
  <c r="D263" i="33"/>
  <c r="H263" i="33"/>
  <c r="I263" i="33"/>
  <c r="I367" i="31"/>
  <c r="D223" i="16"/>
  <c r="H223" i="16"/>
  <c r="I223" i="16"/>
  <c r="D221" i="36"/>
  <c r="D221" i="37"/>
  <c r="H221" i="37"/>
  <c r="I221" i="37" s="1"/>
  <c r="H186" i="31"/>
  <c r="I186" i="31"/>
  <c r="I189" i="31"/>
  <c r="I190" i="31"/>
  <c r="D239" i="16"/>
  <c r="H239" i="16"/>
  <c r="I239" i="16"/>
  <c r="H179" i="32"/>
  <c r="I179" i="32"/>
  <c r="D237" i="37"/>
  <c r="H237" i="37"/>
  <c r="I237" i="37" s="1"/>
  <c r="D237" i="36"/>
  <c r="I446" i="33"/>
  <c r="F15" i="35"/>
  <c r="D355" i="33"/>
  <c r="H355" i="33"/>
  <c r="I355" i="33"/>
  <c r="G351" i="33"/>
  <c r="D352" i="33"/>
  <c r="H352" i="33"/>
  <c r="H216" i="14"/>
  <c r="I206" i="14"/>
  <c r="H189" i="31"/>
  <c r="I334" i="32"/>
  <c r="E14" i="35"/>
  <c r="I203" i="16"/>
  <c r="I254" i="33"/>
  <c r="I216" i="14"/>
  <c r="I217" i="14"/>
  <c r="G309" i="36"/>
  <c r="H309" i="36"/>
  <c r="I201" i="16"/>
  <c r="H265" i="31"/>
  <c r="D264" i="31"/>
  <c r="I107" i="36"/>
  <c r="D224" i="16"/>
  <c r="H224" i="16"/>
  <c r="I224" i="16"/>
  <c r="G222" i="16"/>
  <c r="I222" i="16"/>
  <c r="H165" i="16"/>
  <c r="I165" i="16"/>
  <c r="D152" i="16"/>
  <c r="G152" i="16"/>
  <c r="I152" i="16"/>
  <c r="G322" i="30"/>
  <c r="H273" i="14"/>
  <c r="I266" i="14"/>
  <c r="I273" i="14"/>
  <c r="I274" i="14"/>
  <c r="H27" i="36"/>
  <c r="G352" i="36"/>
  <c r="H352" i="36"/>
  <c r="I382" i="33"/>
  <c r="I387" i="33"/>
  <c r="G387" i="33"/>
  <c r="I222" i="14"/>
  <c r="I262" i="14"/>
  <c r="I263" i="14"/>
  <c r="G262" i="14"/>
  <c r="I430" i="14"/>
  <c r="I419" i="33"/>
  <c r="I282" i="16"/>
  <c r="I307" i="16"/>
  <c r="I308" i="16"/>
  <c r="H307" i="16"/>
  <c r="I20" i="32"/>
  <c r="G50" i="32"/>
  <c r="I17" i="32"/>
  <c r="I405" i="31"/>
  <c r="I423" i="31"/>
  <c r="I424" i="31"/>
  <c r="G423" i="31"/>
  <c r="G276" i="33"/>
  <c r="I276" i="33"/>
  <c r="D277" i="33"/>
  <c r="H277" i="33"/>
  <c r="I277" i="33"/>
  <c r="H94" i="33"/>
  <c r="I94" i="33"/>
  <c r="D112" i="16"/>
  <c r="H112" i="16"/>
  <c r="I112" i="16"/>
  <c r="D110" i="36"/>
  <c r="H260" i="33"/>
  <c r="I260" i="33"/>
  <c r="D317" i="16"/>
  <c r="H317" i="16"/>
  <c r="I317" i="16"/>
  <c r="D316" i="36"/>
  <c r="D365" i="38"/>
  <c r="G365" i="38" s="1"/>
  <c r="D363" i="37"/>
  <c r="H295" i="30"/>
  <c r="D364" i="36"/>
  <c r="D365" i="16"/>
  <c r="D294" i="30"/>
  <c r="D371" i="38"/>
  <c r="H371" i="38" s="1"/>
  <c r="D369" i="37"/>
  <c r="H369" i="37"/>
  <c r="I369" i="37" s="1"/>
  <c r="H301" i="30"/>
  <c r="I301" i="30"/>
  <c r="D370" i="36"/>
  <c r="P124" i="27"/>
  <c r="N126" i="27"/>
  <c r="X123" i="27"/>
  <c r="V125" i="27"/>
  <c r="I51" i="30"/>
  <c r="I730" i="30" s="1"/>
  <c r="I10" i="30" s="1"/>
  <c r="I9" i="30" s="1"/>
  <c r="I17" i="33"/>
  <c r="H404" i="16"/>
  <c r="H411" i="16"/>
  <c r="G404" i="16"/>
  <c r="I331" i="30"/>
  <c r="I339" i="30"/>
  <c r="G339" i="30"/>
  <c r="I400" i="32"/>
  <c r="G402" i="32"/>
  <c r="D181" i="36"/>
  <c r="D182" i="36"/>
  <c r="G179" i="36"/>
  <c r="I179" i="36"/>
  <c r="D183" i="36"/>
  <c r="D180" i="36"/>
  <c r="H179" i="36"/>
  <c r="H462" i="36"/>
  <c r="D464" i="36"/>
  <c r="G462" i="36"/>
  <c r="D136" i="36"/>
  <c r="G366" i="31"/>
  <c r="D490" i="36"/>
  <c r="D92" i="37"/>
  <c r="G92" i="37" s="1"/>
  <c r="G72" i="36"/>
  <c r="I72" i="36"/>
  <c r="G155" i="36"/>
  <c r="I155" i="36"/>
  <c r="G373" i="36"/>
  <c r="I64" i="36"/>
  <c r="G320" i="30"/>
  <c r="G323" i="30"/>
  <c r="I684" i="32"/>
  <c r="I685" i="32"/>
  <c r="I173" i="14"/>
  <c r="I196" i="14"/>
  <c r="I197" i="14"/>
  <c r="G326" i="33"/>
  <c r="I326" i="33"/>
  <c r="H178" i="33"/>
  <c r="I21" i="16"/>
  <c r="H466" i="36"/>
  <c r="I466" i="36"/>
  <c r="H424" i="36"/>
  <c r="G424" i="36"/>
  <c r="D311" i="38"/>
  <c r="G311" i="38" s="1"/>
  <c r="D312" i="16"/>
  <c r="H312" i="16"/>
  <c r="I312" i="16"/>
  <c r="D310" i="37"/>
  <c r="H310" i="37"/>
  <c r="I310" i="37" s="1"/>
  <c r="I60" i="36"/>
  <c r="D278" i="33"/>
  <c r="H278" i="33"/>
  <c r="I278" i="33"/>
  <c r="H248" i="32"/>
  <c r="I248" i="32"/>
  <c r="D317" i="36"/>
  <c r="D498" i="16"/>
  <c r="H498" i="16"/>
  <c r="G497" i="16"/>
  <c r="H57" i="31"/>
  <c r="D62" i="16"/>
  <c r="H62" i="16"/>
  <c r="D60" i="37"/>
  <c r="H60" i="37"/>
  <c r="I60" i="37" s="1"/>
  <c r="I72" i="33"/>
  <c r="I102" i="33"/>
  <c r="G102" i="33"/>
  <c r="I427" i="31"/>
  <c r="D310" i="38"/>
  <c r="H310" i="38" s="1"/>
  <c r="I310" i="38" s="1"/>
  <c r="D249" i="30"/>
  <c r="I250" i="30"/>
  <c r="H435" i="36"/>
  <c r="I435" i="36"/>
  <c r="D386" i="36"/>
  <c r="H217" i="36"/>
  <c r="I217" i="36"/>
  <c r="H310" i="36"/>
  <c r="I310" i="36"/>
  <c r="D138" i="16"/>
  <c r="D309" i="37"/>
  <c r="H309" i="37"/>
  <c r="I309" i="37" s="1"/>
  <c r="H433" i="36"/>
  <c r="I433" i="36"/>
  <c r="D489" i="36"/>
  <c r="D341" i="31"/>
  <c r="D387" i="38"/>
  <c r="G387" i="38" s="1"/>
  <c r="D342" i="30"/>
  <c r="D110" i="32"/>
  <c r="H110" i="32"/>
  <c r="I110" i="32"/>
  <c r="D109" i="32"/>
  <c r="H109" i="32"/>
  <c r="I109" i="32"/>
  <c r="G367" i="36"/>
  <c r="I367" i="36"/>
  <c r="H155" i="36"/>
  <c r="D485" i="37"/>
  <c r="H485" i="37" s="1"/>
  <c r="I485" i="37" s="1"/>
  <c r="D484" i="37"/>
  <c r="H484" i="37" s="1"/>
  <c r="I484" i="37" s="1"/>
  <c r="G486" i="37"/>
  <c r="I486" i="37" s="1"/>
  <c r="D489" i="37"/>
  <c r="H489" i="37" s="1"/>
  <c r="I489" i="37" s="1"/>
  <c r="H270" i="31"/>
  <c r="I270" i="31"/>
  <c r="D219" i="16"/>
  <c r="H219" i="16"/>
  <c r="I219" i="16"/>
  <c r="I721" i="32"/>
  <c r="H402" i="32"/>
  <c r="H322" i="30"/>
  <c r="I322" i="30"/>
  <c r="I302" i="32"/>
  <c r="I305" i="32"/>
  <c r="H305" i="36"/>
  <c r="H486" i="36"/>
  <c r="I486" i="36"/>
  <c r="H169" i="32"/>
  <c r="H85" i="36"/>
  <c r="I85" i="36"/>
  <c r="I156" i="36"/>
  <c r="I427" i="36"/>
  <c r="H268" i="31"/>
  <c r="I268" i="31"/>
  <c r="I76" i="14"/>
  <c r="H68" i="14"/>
  <c r="I177" i="36"/>
  <c r="H476" i="16"/>
  <c r="I18" i="16"/>
  <c r="I234" i="16"/>
  <c r="I573" i="14"/>
  <c r="I365" i="30"/>
  <c r="I382" i="30"/>
  <c r="I385" i="30"/>
  <c r="I387" i="30"/>
  <c r="I388" i="30"/>
  <c r="G387" i="30"/>
  <c r="H339" i="30"/>
  <c r="I64" i="33"/>
  <c r="D251" i="32"/>
  <c r="H251" i="32"/>
  <c r="I251" i="32"/>
  <c r="G249" i="32"/>
  <c r="H320" i="30"/>
  <c r="D136" i="37"/>
  <c r="D137" i="37"/>
  <c r="H137" i="37" s="1"/>
  <c r="I137" i="37" s="1"/>
  <c r="D311" i="16"/>
  <c r="H311" i="16"/>
  <c r="D434" i="36"/>
  <c r="D488" i="36"/>
  <c r="G341" i="36"/>
  <c r="I341" i="36"/>
  <c r="D481" i="37"/>
  <c r="H481" i="37" s="1"/>
  <c r="I481" i="37" s="1"/>
  <c r="G458" i="36"/>
  <c r="I200" i="31"/>
  <c r="D253" i="30"/>
  <c r="T26" i="27"/>
  <c r="K367" i="33"/>
  <c r="I484" i="36"/>
  <c r="G302" i="32"/>
  <c r="G305" i="32"/>
  <c r="I75" i="36"/>
  <c r="H251" i="30"/>
  <c r="I251" i="30"/>
  <c r="H403" i="36"/>
  <c r="G403" i="36"/>
  <c r="G496" i="36"/>
  <c r="D498" i="36"/>
  <c r="H498" i="36"/>
  <c r="I498" i="36"/>
  <c r="D497" i="36"/>
  <c r="H497" i="36"/>
  <c r="D82" i="16"/>
  <c r="I106" i="36"/>
  <c r="H52" i="31"/>
  <c r="G109" i="31"/>
  <c r="I476" i="16"/>
  <c r="I477" i="16"/>
  <c r="I407" i="36"/>
  <c r="I346" i="32"/>
  <c r="I361" i="32"/>
  <c r="H361" i="32"/>
  <c r="H299" i="30"/>
  <c r="I299" i="30"/>
  <c r="I40" i="33"/>
  <c r="I215" i="36"/>
  <c r="H196" i="14"/>
  <c r="G760" i="31"/>
  <c r="I726" i="31"/>
  <c r="I760" i="31"/>
  <c r="H281" i="31"/>
  <c r="I479" i="16"/>
  <c r="G382" i="30"/>
  <c r="I160" i="30"/>
  <c r="H105" i="16"/>
  <c r="I105" i="16"/>
  <c r="D94" i="16"/>
  <c r="G94" i="16"/>
  <c r="I94" i="16"/>
  <c r="I223" i="33"/>
  <c r="I250" i="33"/>
  <c r="I251" i="33"/>
  <c r="G250" i="33"/>
  <c r="I402" i="32"/>
  <c r="X125" i="27"/>
  <c r="X57" i="27"/>
  <c r="D327" i="33"/>
  <c r="I404" i="33"/>
  <c r="I416" i="33"/>
  <c r="I417" i="33"/>
  <c r="H416" i="33"/>
  <c r="J49" i="24"/>
  <c r="D105" i="33"/>
  <c r="J36" i="24"/>
  <c r="D104" i="32"/>
  <c r="J11" i="24"/>
  <c r="I702" i="30"/>
  <c r="H724" i="30"/>
  <c r="E690" i="30"/>
  <c r="G690" i="30"/>
  <c r="I550" i="30"/>
  <c r="I567" i="30"/>
  <c r="I568" i="30"/>
  <c r="H567" i="30"/>
  <c r="I531" i="30"/>
  <c r="I538" i="30"/>
  <c r="I539" i="30"/>
  <c r="H538" i="30"/>
  <c r="I438" i="30"/>
  <c r="I517" i="30"/>
  <c r="I518" i="30"/>
  <c r="H517" i="30"/>
  <c r="I213" i="30"/>
  <c r="I246" i="30"/>
  <c r="I247" i="30"/>
  <c r="H246" i="30"/>
  <c r="I541" i="32"/>
  <c r="I564" i="32"/>
  <c r="I565" i="32"/>
  <c r="H564" i="32"/>
  <c r="I529" i="32"/>
  <c r="H535" i="32"/>
  <c r="I521" i="32"/>
  <c r="I535" i="32"/>
  <c r="I536" i="32"/>
  <c r="G535" i="32"/>
  <c r="I423" i="32"/>
  <c r="I514" i="32"/>
  <c r="I515" i="32"/>
  <c r="H514" i="32"/>
  <c r="I319" i="32"/>
  <c r="G322" i="32"/>
  <c r="I309" i="32"/>
  <c r="I322" i="32"/>
  <c r="H322" i="32"/>
  <c r="I191" i="32"/>
  <c r="H237" i="32"/>
  <c r="C78" i="18"/>
  <c r="H540" i="14"/>
  <c r="D565" i="14"/>
  <c r="D506" i="14"/>
  <c r="H506" i="14"/>
  <c r="I506" i="14"/>
  <c r="G505" i="14"/>
  <c r="I505" i="14"/>
  <c r="D135" i="14"/>
  <c r="H135" i="14"/>
  <c r="I135" i="14"/>
  <c r="H134" i="14"/>
  <c r="I134" i="14"/>
  <c r="I150" i="14"/>
  <c r="I151" i="14"/>
  <c r="D104" i="14"/>
  <c r="H104" i="14"/>
  <c r="I104" i="14"/>
  <c r="G102" i="14"/>
  <c r="I102" i="14"/>
  <c r="D103" i="14"/>
  <c r="H103" i="14"/>
  <c r="I103" i="14"/>
  <c r="H89" i="14"/>
  <c r="I89" i="14"/>
  <c r="D87" i="14"/>
  <c r="G79" i="14"/>
  <c r="D82" i="14"/>
  <c r="H82" i="14"/>
  <c r="I82" i="14"/>
  <c r="G154" i="36"/>
  <c r="I154" i="36"/>
  <c r="D337" i="31"/>
  <c r="H337" i="31"/>
  <c r="I337" i="31"/>
  <c r="D220" i="36"/>
  <c r="G488" i="16"/>
  <c r="I488" i="16"/>
  <c r="I423" i="36"/>
  <c r="I422" i="36"/>
  <c r="I457" i="36"/>
  <c r="D194" i="30"/>
  <c r="H194" i="30"/>
  <c r="I194" i="30"/>
  <c r="D193" i="30"/>
  <c r="H193" i="30"/>
  <c r="I193" i="30"/>
  <c r="H370" i="30"/>
  <c r="I370" i="30"/>
  <c r="H434" i="16"/>
  <c r="P70" i="24"/>
  <c r="I101" i="32"/>
  <c r="P126" i="27"/>
  <c r="X35" i="27"/>
  <c r="D343" i="31"/>
  <c r="I405" i="30"/>
  <c r="I406" i="30"/>
  <c r="I690" i="33"/>
  <c r="J26" i="24"/>
  <c r="D112" i="31"/>
  <c r="D183" i="33"/>
  <c r="G183" i="33"/>
  <c r="D196" i="33"/>
  <c r="D175" i="32"/>
  <c r="H176" i="32"/>
  <c r="D235" i="36"/>
  <c r="E8" i="18"/>
  <c r="F6" i="18"/>
  <c r="F8" i="18"/>
  <c r="D287" i="31"/>
  <c r="I237" i="32"/>
  <c r="I238" i="32"/>
  <c r="D221" i="38"/>
  <c r="G221" i="38" s="1"/>
  <c r="G174" i="30"/>
  <c r="I174" i="30"/>
  <c r="D176" i="30"/>
  <c r="H176" i="30"/>
  <c r="I409" i="30"/>
  <c r="H416" i="30"/>
  <c r="H170" i="14"/>
  <c r="G429" i="14"/>
  <c r="H51" i="30"/>
  <c r="D483" i="16"/>
  <c r="H483" i="16"/>
  <c r="D194" i="31"/>
  <c r="G194" i="31"/>
  <c r="D77" i="31"/>
  <c r="H77" i="31"/>
  <c r="I77" i="31"/>
  <c r="D298" i="32"/>
  <c r="H298" i="32"/>
  <c r="I298" i="32"/>
  <c r="I299" i="32"/>
  <c r="D207" i="31"/>
  <c r="D333" i="38"/>
  <c r="H333" i="38" s="1"/>
  <c r="D222" i="38"/>
  <c r="G222" i="38" s="1"/>
  <c r="D107" i="38"/>
  <c r="H107" i="38" s="1"/>
  <c r="G358" i="38"/>
  <c r="H358" i="38"/>
  <c r="D218" i="38"/>
  <c r="H218" i="38" s="1"/>
  <c r="P103" i="24"/>
  <c r="O103" i="24"/>
  <c r="P75" i="24"/>
  <c r="O75" i="24"/>
  <c r="O69" i="24"/>
  <c r="O55" i="24"/>
  <c r="P69" i="24"/>
  <c r="D255" i="14"/>
  <c r="H255" i="14"/>
  <c r="I255" i="14"/>
  <c r="D257" i="14"/>
  <c r="H257" i="14"/>
  <c r="I257" i="14"/>
  <c r="G29" i="14"/>
  <c r="D30" i="14"/>
  <c r="H30" i="14"/>
  <c r="I17" i="14"/>
  <c r="I20" i="14"/>
  <c r="I21" i="14"/>
  <c r="G20" i="14"/>
  <c r="G234" i="31"/>
  <c r="D236" i="31"/>
  <c r="H236" i="31"/>
  <c r="I236" i="31"/>
  <c r="D235" i="31"/>
  <c r="H235" i="31"/>
  <c r="G691" i="33"/>
  <c r="D692" i="33"/>
  <c r="H692" i="33"/>
  <c r="I692" i="33"/>
  <c r="D73" i="33"/>
  <c r="H73" i="33"/>
  <c r="I73" i="33"/>
  <c r="D237" i="16"/>
  <c r="I363" i="31"/>
  <c r="E26" i="15"/>
  <c r="D38" i="15"/>
  <c r="P90" i="24"/>
  <c r="O90" i="24"/>
  <c r="P86" i="24"/>
  <c r="O86" i="24"/>
  <c r="D318" i="14"/>
  <c r="F41" i="17"/>
  <c r="G43" i="17"/>
  <c r="F24" i="17"/>
  <c r="G65" i="14"/>
  <c r="D79" i="38"/>
  <c r="H79" i="38" s="1"/>
  <c r="D78" i="37"/>
  <c r="H78" i="37"/>
  <c r="I78" i="37" s="1"/>
  <c r="D78" i="36"/>
  <c r="D161" i="38"/>
  <c r="G161" i="38" s="1"/>
  <c r="D160" i="37"/>
  <c r="H160" i="37"/>
  <c r="I160" i="37" s="1"/>
  <c r="F42" i="17"/>
  <c r="D426" i="33"/>
  <c r="H426" i="33"/>
  <c r="I426" i="33"/>
  <c r="G424" i="33"/>
  <c r="I424" i="33"/>
  <c r="D427" i="33"/>
  <c r="H427" i="33"/>
  <c r="I427" i="33"/>
  <c r="D425" i="33"/>
  <c r="H425" i="33"/>
  <c r="D61" i="38"/>
  <c r="H61" i="38" s="1"/>
  <c r="P56" i="24"/>
  <c r="P55" i="24"/>
  <c r="D66" i="29"/>
  <c r="D67" i="29"/>
  <c r="E116" i="29"/>
  <c r="I116" i="29"/>
  <c r="H225" i="14"/>
  <c r="I225" i="14"/>
  <c r="D83" i="14"/>
  <c r="G83" i="14"/>
  <c r="I83" i="14"/>
  <c r="H86" i="14"/>
  <c r="I86" i="14"/>
  <c r="H77" i="14"/>
  <c r="I77" i="14"/>
  <c r="H43" i="14"/>
  <c r="I43" i="14"/>
  <c r="D84" i="38"/>
  <c r="G84" i="38" s="1"/>
  <c r="D83" i="37"/>
  <c r="D83" i="36"/>
  <c r="D219" i="38"/>
  <c r="H219" i="38" s="1"/>
  <c r="D218" i="37"/>
  <c r="H218" i="37"/>
  <c r="I218" i="37" s="1"/>
  <c r="D236" i="38"/>
  <c r="G236" i="38" s="1"/>
  <c r="H185" i="30"/>
  <c r="D325" i="38"/>
  <c r="D330" i="38" s="1"/>
  <c r="H74" i="38"/>
  <c r="G74" i="38"/>
  <c r="G70" i="38"/>
  <c r="H70" i="38"/>
  <c r="H159" i="38"/>
  <c r="D16" i="18"/>
  <c r="D268" i="33"/>
  <c r="D381" i="31"/>
  <c r="H381" i="31"/>
  <c r="G380" i="31"/>
  <c r="D111" i="38"/>
  <c r="D58" i="37"/>
  <c r="G58" i="37"/>
  <c r="I58" i="37" s="1"/>
  <c r="D168" i="38"/>
  <c r="G168" i="38" s="1"/>
  <c r="D167" i="37"/>
  <c r="H167" i="37"/>
  <c r="I167" i="37" s="1"/>
  <c r="D167" i="36"/>
  <c r="D152" i="37"/>
  <c r="H152" i="37"/>
  <c r="I152" i="37" s="1"/>
  <c r="D153" i="38"/>
  <c r="D243" i="38"/>
  <c r="D242" i="37"/>
  <c r="H242" i="37"/>
  <c r="I242" i="37" s="1"/>
  <c r="D242" i="36"/>
  <c r="D318" i="38"/>
  <c r="G318" i="38" s="1"/>
  <c r="D317" i="38"/>
  <c r="H317" i="38" s="1"/>
  <c r="I317" i="38" s="1"/>
  <c r="D315" i="37"/>
  <c r="H315" i="37"/>
  <c r="I315" i="37" s="1"/>
  <c r="H360" i="38"/>
  <c r="H86" i="38"/>
  <c r="G86" i="38"/>
  <c r="D92" i="38"/>
  <c r="D91" i="37"/>
  <c r="H91" i="37"/>
  <c r="I91" i="37" s="1"/>
  <c r="D91" i="36"/>
  <c r="H104" i="38"/>
  <c r="G104" i="38"/>
  <c r="T19" i="21"/>
  <c r="D100" i="31"/>
  <c r="D497" i="38"/>
  <c r="G408" i="30"/>
  <c r="D495" i="37"/>
  <c r="G495" i="37"/>
  <c r="H408" i="37"/>
  <c r="I408" i="37" s="1"/>
  <c r="D406" i="37"/>
  <c r="G406" i="37" s="1"/>
  <c r="I406" i="37" s="1"/>
  <c r="H752" i="37"/>
  <c r="H98" i="38"/>
  <c r="G98" i="38"/>
  <c r="D166" i="38"/>
  <c r="G166" i="38" s="1"/>
  <c r="D165" i="37"/>
  <c r="H165" i="37"/>
  <c r="I165" i="37" s="1"/>
  <c r="D157" i="38"/>
  <c r="G157" i="38" s="1"/>
  <c r="D167" i="38"/>
  <c r="G167" i="38" s="1"/>
  <c r="D166" i="37"/>
  <c r="H166" i="37"/>
  <c r="I166" i="37" s="1"/>
  <c r="D170" i="38"/>
  <c r="H170" i="38" s="1"/>
  <c r="H220" i="38"/>
  <c r="G220" i="38"/>
  <c r="H160" i="38"/>
  <c r="I160" i="38" s="1"/>
  <c r="D164" i="38"/>
  <c r="G164" i="38" s="1"/>
  <c r="D163" i="37"/>
  <c r="H163" i="37"/>
  <c r="I163" i="37" s="1"/>
  <c r="D158" i="38"/>
  <c r="D157" i="37"/>
  <c r="H157" i="37"/>
  <c r="I157" i="37" s="1"/>
  <c r="G180" i="32"/>
  <c r="I180" i="32"/>
  <c r="D241" i="36"/>
  <c r="D348" i="38"/>
  <c r="H348" i="38" s="1"/>
  <c r="D433" i="38"/>
  <c r="G433" i="38" s="1"/>
  <c r="H3" i="28"/>
  <c r="D246" i="32"/>
  <c r="D316" i="38"/>
  <c r="G316" i="38" s="1"/>
  <c r="D370" i="38"/>
  <c r="G370" i="38" s="1"/>
  <c r="D369" i="36"/>
  <c r="G356" i="38"/>
  <c r="G117" i="38"/>
  <c r="I117" i="38"/>
  <c r="H117" i="38"/>
  <c r="D242" i="38"/>
  <c r="D75" i="37"/>
  <c r="H75" i="37"/>
  <c r="I75" i="37" s="1"/>
  <c r="D79" i="37"/>
  <c r="H79" i="37"/>
  <c r="I79" i="37" s="1"/>
  <c r="D97" i="36"/>
  <c r="D202" i="38"/>
  <c r="H202" i="38" s="1"/>
  <c r="D201" i="37"/>
  <c r="H201" i="37"/>
  <c r="I201" i="37" s="1"/>
  <c r="D164" i="36"/>
  <c r="D152" i="38"/>
  <c r="H152" i="38" s="1"/>
  <c r="D203" i="38"/>
  <c r="H203" i="38" s="1"/>
  <c r="D202" i="37"/>
  <c r="H202" i="37"/>
  <c r="I202" i="37" s="1"/>
  <c r="D206" i="38"/>
  <c r="H206" i="38" s="1"/>
  <c r="D205" i="36"/>
  <c r="D154" i="38"/>
  <c r="G154" i="38" s="1"/>
  <c r="D153" i="37"/>
  <c r="H153" i="37"/>
  <c r="I153" i="37" s="1"/>
  <c r="D161" i="36"/>
  <c r="D247" i="38"/>
  <c r="H206" i="31"/>
  <c r="I206" i="31"/>
  <c r="D157" i="36"/>
  <c r="G394" i="31"/>
  <c r="I394" i="31"/>
  <c r="D484" i="38"/>
  <c r="D485" i="38" s="1"/>
  <c r="H485" i="38" s="1"/>
  <c r="D437" i="31"/>
  <c r="H437" i="31"/>
  <c r="I437" i="31"/>
  <c r="D436" i="31"/>
  <c r="H436" i="31"/>
  <c r="I436" i="31"/>
  <c r="D395" i="31"/>
  <c r="H395" i="31"/>
  <c r="I395" i="31"/>
  <c r="I73" i="28"/>
  <c r="I3" i="28"/>
  <c r="D259" i="33"/>
  <c r="H259" i="33"/>
  <c r="I259" i="33"/>
  <c r="D363" i="38"/>
  <c r="H363" i="38" s="1"/>
  <c r="D366" i="36"/>
  <c r="D372" i="38"/>
  <c r="G372" i="38" s="1"/>
  <c r="D371" i="37"/>
  <c r="H371" i="37"/>
  <c r="I371" i="37" s="1"/>
  <c r="D355" i="36"/>
  <c r="D238" i="38"/>
  <c r="G238" i="38" s="1"/>
  <c r="H401" i="36"/>
  <c r="I515" i="36"/>
  <c r="H232" i="37"/>
  <c r="I232" i="37" s="1"/>
  <c r="D231" i="37"/>
  <c r="G231" i="37" s="1"/>
  <c r="I231" i="37" s="1"/>
  <c r="D91" i="38"/>
  <c r="H91" i="38" s="1"/>
  <c r="G90" i="38"/>
  <c r="H90" i="38"/>
  <c r="D74" i="37"/>
  <c r="D75" i="38"/>
  <c r="H75" i="38" s="1"/>
  <c r="H76" i="38"/>
  <c r="G76" i="38"/>
  <c r="D69" i="38"/>
  <c r="H69" i="38" s="1"/>
  <c r="D171" i="38"/>
  <c r="G171" i="38" s="1"/>
  <c r="D241" i="37"/>
  <c r="G241" i="37"/>
  <c r="I241" i="37" s="1"/>
  <c r="D239" i="38"/>
  <c r="D240" i="16"/>
  <c r="D347" i="36"/>
  <c r="D479" i="38"/>
  <c r="D483" i="38" s="1"/>
  <c r="D359" i="37"/>
  <c r="H359" i="37"/>
  <c r="I359" i="37" s="1"/>
  <c r="D457" i="37"/>
  <c r="H457" i="37" s="1"/>
  <c r="I457" i="37" s="1"/>
  <c r="D459" i="37"/>
  <c r="H459" i="37" s="1"/>
  <c r="I459" i="37" s="1"/>
  <c r="D456" i="37"/>
  <c r="H456" i="37" s="1"/>
  <c r="I456" i="37" s="1"/>
  <c r="D163" i="38"/>
  <c r="G163" i="38" s="1"/>
  <c r="D342" i="38"/>
  <c r="D343" i="38"/>
  <c r="G343" i="38" s="1"/>
  <c r="D244" i="38"/>
  <c r="H244" i="38" s="1"/>
  <c r="I244" i="38" s="1"/>
  <c r="D450" i="38"/>
  <c r="G450" i="38" s="1"/>
  <c r="D488" i="38"/>
  <c r="G488" i="38" s="1"/>
  <c r="I488" i="38" s="1"/>
  <c r="D357" i="38"/>
  <c r="H357" i="38" s="1"/>
  <c r="I451" i="36"/>
  <c r="D699" i="36"/>
  <c r="G699" i="36"/>
  <c r="I699" i="36"/>
  <c r="G691" i="36"/>
  <c r="I691" i="36"/>
  <c r="G22" i="37"/>
  <c r="I22" i="37" s="1"/>
  <c r="D427" i="37"/>
  <c r="H427" i="37" s="1"/>
  <c r="I427" i="37" s="1"/>
  <c r="G425" i="37"/>
  <c r="G145" i="38"/>
  <c r="H145" i="38"/>
  <c r="H175" i="38"/>
  <c r="I456" i="38"/>
  <c r="G436" i="37"/>
  <c r="I436" i="37" s="1"/>
  <c r="D62" i="38"/>
  <c r="H62" i="38" s="1"/>
  <c r="I114" i="38"/>
  <c r="H337" i="38"/>
  <c r="G337" i="38"/>
  <c r="G205" i="38"/>
  <c r="G474" i="38"/>
  <c r="H474" i="38"/>
  <c r="I474" i="38"/>
  <c r="G303" i="38"/>
  <c r="H403" i="38"/>
  <c r="D469" i="38"/>
  <c r="D467" i="38"/>
  <c r="D470" i="38"/>
  <c r="H362" i="38"/>
  <c r="G407" i="38"/>
  <c r="G424" i="38"/>
  <c r="D425" i="38"/>
  <c r="G466" i="38"/>
  <c r="I466" i="38"/>
  <c r="D429" i="38"/>
  <c r="D428" i="38"/>
  <c r="G427" i="38"/>
  <c r="I427" i="38"/>
  <c r="I660" i="38"/>
  <c r="L659" i="38"/>
  <c r="D458" i="38"/>
  <c r="D459" i="38"/>
  <c r="I526" i="38"/>
  <c r="I300" i="32"/>
  <c r="E10" i="35"/>
  <c r="I383" i="30"/>
  <c r="C13" i="35"/>
  <c r="H387" i="38"/>
  <c r="I103" i="33"/>
  <c r="F8" i="35"/>
  <c r="H429" i="38"/>
  <c r="I429" i="38"/>
  <c r="G429" i="38"/>
  <c r="G467" i="38"/>
  <c r="H467" i="38"/>
  <c r="D491" i="38"/>
  <c r="H491" i="38" s="1"/>
  <c r="D480" i="38"/>
  <c r="H480" i="38" s="1"/>
  <c r="G366" i="36"/>
  <c r="H366" i="36"/>
  <c r="I366" i="36"/>
  <c r="H157" i="36"/>
  <c r="G157" i="36"/>
  <c r="I157" i="36"/>
  <c r="H241" i="36"/>
  <c r="G241" i="36"/>
  <c r="I241" i="36"/>
  <c r="G170" i="38"/>
  <c r="H100" i="31"/>
  <c r="I100" i="31"/>
  <c r="D111" i="16"/>
  <c r="H111" i="16"/>
  <c r="I111" i="16"/>
  <c r="D109" i="37"/>
  <c r="H109" i="37"/>
  <c r="I109" i="37" s="1"/>
  <c r="D109" i="36"/>
  <c r="G317" i="38"/>
  <c r="D329" i="38"/>
  <c r="H329" i="38" s="1"/>
  <c r="I425" i="33"/>
  <c r="H434" i="33"/>
  <c r="D110" i="38"/>
  <c r="G110" i="38" s="1"/>
  <c r="I30" i="14"/>
  <c r="H44" i="14"/>
  <c r="H222" i="38"/>
  <c r="I176" i="32"/>
  <c r="D114" i="31"/>
  <c r="H114" i="31"/>
  <c r="I114" i="31"/>
  <c r="G112" i="31"/>
  <c r="J112" i="31"/>
  <c r="D113" i="31"/>
  <c r="H113" i="31"/>
  <c r="H343" i="31"/>
  <c r="I343" i="31"/>
  <c r="G343" i="31"/>
  <c r="D389" i="16"/>
  <c r="H87" i="14"/>
  <c r="G87" i="14"/>
  <c r="I87" i="14"/>
  <c r="D107" i="33"/>
  <c r="H107" i="33"/>
  <c r="I107" i="33"/>
  <c r="D106" i="33"/>
  <c r="H106" i="33"/>
  <c r="G105" i="33"/>
  <c r="I403" i="32"/>
  <c r="I281" i="31"/>
  <c r="G504" i="36"/>
  <c r="I496" i="36"/>
  <c r="D314" i="38"/>
  <c r="D312" i="37"/>
  <c r="H253" i="30"/>
  <c r="I253" i="30"/>
  <c r="D313" i="36"/>
  <c r="D252" i="30"/>
  <c r="G252" i="30"/>
  <c r="I252" i="30"/>
  <c r="D314" i="16"/>
  <c r="I458" i="36"/>
  <c r="H262" i="14"/>
  <c r="D138" i="37"/>
  <c r="H138" i="37" s="1"/>
  <c r="I138" i="37" s="1"/>
  <c r="G136" i="37"/>
  <c r="I136" i="37" s="1"/>
  <c r="H102" i="33"/>
  <c r="H150" i="14"/>
  <c r="E11" i="35"/>
  <c r="I306" i="32"/>
  <c r="I722" i="32"/>
  <c r="H489" i="36"/>
  <c r="I489" i="36"/>
  <c r="G489" i="36"/>
  <c r="G138" i="16"/>
  <c r="I138" i="16"/>
  <c r="D140" i="16"/>
  <c r="H140" i="16"/>
  <c r="I140" i="16"/>
  <c r="D139" i="16"/>
  <c r="H139" i="16"/>
  <c r="I139" i="16"/>
  <c r="H386" i="36"/>
  <c r="G386" i="36"/>
  <c r="I441" i="31"/>
  <c r="I62" i="16"/>
  <c r="G317" i="36"/>
  <c r="H317" i="36"/>
  <c r="I317" i="36"/>
  <c r="I424" i="36"/>
  <c r="I462" i="36"/>
  <c r="C7" i="35"/>
  <c r="I295" i="30"/>
  <c r="H529" i="14"/>
  <c r="G226" i="16"/>
  <c r="I309" i="36"/>
  <c r="G221" i="36"/>
  <c r="H221" i="36"/>
  <c r="H425" i="38"/>
  <c r="G425" i="38"/>
  <c r="G469" i="38"/>
  <c r="H469" i="38"/>
  <c r="I469" i="38"/>
  <c r="I145" i="38"/>
  <c r="G347" i="36"/>
  <c r="H347" i="36"/>
  <c r="H355" i="36"/>
  <c r="I355" i="36"/>
  <c r="G355" i="36"/>
  <c r="G363" i="38"/>
  <c r="H161" i="36"/>
  <c r="G161" i="36"/>
  <c r="I161" i="36"/>
  <c r="H205" i="36"/>
  <c r="G205" i="36"/>
  <c r="D199" i="36"/>
  <c r="G199" i="36"/>
  <c r="H97" i="36"/>
  <c r="D92" i="36"/>
  <c r="G97" i="36"/>
  <c r="I97" i="36"/>
  <c r="H369" i="36"/>
  <c r="G369" i="36"/>
  <c r="H246" i="32"/>
  <c r="D316" i="16"/>
  <c r="H316" i="16"/>
  <c r="I316" i="16"/>
  <c r="H92" i="38"/>
  <c r="G92" i="38"/>
  <c r="I380" i="31"/>
  <c r="G402" i="31"/>
  <c r="D273" i="33"/>
  <c r="H273" i="33"/>
  <c r="I273" i="33"/>
  <c r="D270" i="33"/>
  <c r="D275" i="33"/>
  <c r="H275" i="33"/>
  <c r="I275" i="33"/>
  <c r="D324" i="36"/>
  <c r="D269" i="33"/>
  <c r="H269" i="33"/>
  <c r="D272" i="33"/>
  <c r="H272" i="33"/>
  <c r="I272" i="33"/>
  <c r="D274" i="33"/>
  <c r="H274" i="33"/>
  <c r="I274" i="33"/>
  <c r="D325" i="16"/>
  <c r="D323" i="37"/>
  <c r="G268" i="33"/>
  <c r="D271" i="33"/>
  <c r="H271" i="33"/>
  <c r="I271" i="33"/>
  <c r="I185" i="30"/>
  <c r="I195" i="30"/>
  <c r="I196" i="30"/>
  <c r="H195" i="30"/>
  <c r="G83" i="36"/>
  <c r="H83" i="36"/>
  <c r="D84" i="36"/>
  <c r="H318" i="14"/>
  <c r="H367" i="14"/>
  <c r="G318" i="14"/>
  <c r="I364" i="31"/>
  <c r="D12" i="35"/>
  <c r="I234" i="31"/>
  <c r="G261" i="31"/>
  <c r="I29" i="14"/>
  <c r="I44" i="14"/>
  <c r="I45" i="14"/>
  <c r="G44" i="14"/>
  <c r="D117" i="32"/>
  <c r="D122" i="30"/>
  <c r="I429" i="14"/>
  <c r="I529" i="14"/>
  <c r="I530" i="14"/>
  <c r="G529" i="14"/>
  <c r="I176" i="30"/>
  <c r="H178" i="30"/>
  <c r="D289" i="31"/>
  <c r="H289" i="31"/>
  <c r="I289" i="31"/>
  <c r="D333" i="16"/>
  <c r="D331" i="37"/>
  <c r="G331" i="37"/>
  <c r="I331" i="37" s="1"/>
  <c r="G287" i="31"/>
  <c r="D288" i="31"/>
  <c r="H288" i="31"/>
  <c r="I288" i="31"/>
  <c r="D332" i="36"/>
  <c r="G175" i="32"/>
  <c r="D183" i="32"/>
  <c r="H716" i="33"/>
  <c r="E8" i="35"/>
  <c r="I102" i="32"/>
  <c r="G494" i="16"/>
  <c r="I761" i="31"/>
  <c r="D83" i="16"/>
  <c r="H83" i="16"/>
  <c r="I83" i="16"/>
  <c r="G82" i="16"/>
  <c r="D84" i="16"/>
  <c r="H84" i="16"/>
  <c r="I84" i="16"/>
  <c r="H382" i="30"/>
  <c r="D414" i="38"/>
  <c r="H414" i="38" s="1"/>
  <c r="D414" i="16"/>
  <c r="D346" i="30"/>
  <c r="H346" i="30"/>
  <c r="I346" i="30"/>
  <c r="D413" i="36"/>
  <c r="D343" i="30"/>
  <c r="H343" i="30"/>
  <c r="D412" i="37"/>
  <c r="G342" i="30"/>
  <c r="D258" i="30"/>
  <c r="D308" i="37"/>
  <c r="G249" i="30"/>
  <c r="D310" i="16"/>
  <c r="I57" i="31"/>
  <c r="I109" i="31"/>
  <c r="H109" i="31"/>
  <c r="G490" i="36"/>
  <c r="H490" i="36"/>
  <c r="I490" i="36"/>
  <c r="D150" i="36"/>
  <c r="H182" i="36"/>
  <c r="G182" i="36"/>
  <c r="H370" i="36"/>
  <c r="G370" i="36"/>
  <c r="G294" i="30"/>
  <c r="D314" i="30"/>
  <c r="H363" i="37"/>
  <c r="I363" i="37" s="1"/>
  <c r="I434" i="33"/>
  <c r="I388" i="33"/>
  <c r="F13" i="35"/>
  <c r="G34" i="36"/>
  <c r="D389" i="38"/>
  <c r="H389" i="38" s="1"/>
  <c r="G264" i="31"/>
  <c r="D273" i="31"/>
  <c r="H459" i="38"/>
  <c r="G459" i="38"/>
  <c r="I424" i="38"/>
  <c r="I303" i="38"/>
  <c r="I306" i="38"/>
  <c r="I307" i="38"/>
  <c r="G306" i="38"/>
  <c r="D241" i="16"/>
  <c r="H241" i="16"/>
  <c r="I241" i="16"/>
  <c r="G240" i="16"/>
  <c r="I240" i="16"/>
  <c r="H74" i="37"/>
  <c r="I74" i="37" s="1"/>
  <c r="H247" i="38"/>
  <c r="I247" i="38" s="1"/>
  <c r="G247" i="38"/>
  <c r="G164" i="36"/>
  <c r="H164" i="36"/>
  <c r="I408" i="30"/>
  <c r="I416" i="30"/>
  <c r="G416" i="30"/>
  <c r="G242" i="36"/>
  <c r="H242" i="36"/>
  <c r="I242" i="36"/>
  <c r="I381" i="31"/>
  <c r="H402" i="31"/>
  <c r="D84" i="37"/>
  <c r="H84" i="37" s="1"/>
  <c r="I84" i="37" s="1"/>
  <c r="G83" i="37"/>
  <c r="I83" i="37" s="1"/>
  <c r="D120" i="32"/>
  <c r="H120" i="32"/>
  <c r="I120" i="32"/>
  <c r="D125" i="30"/>
  <c r="I65" i="14"/>
  <c r="I68" i="14"/>
  <c r="I69" i="14"/>
  <c r="G68" i="14"/>
  <c r="D236" i="16"/>
  <c r="G236" i="16"/>
  <c r="H237" i="16"/>
  <c r="D249" i="16"/>
  <c r="I691" i="33"/>
  <c r="I716" i="33"/>
  <c r="G716" i="33"/>
  <c r="O70" i="24"/>
  <c r="I194" i="31"/>
  <c r="D371" i="31"/>
  <c r="D292" i="31"/>
  <c r="D197" i="33"/>
  <c r="H197" i="33"/>
  <c r="G196" i="33"/>
  <c r="I196" i="33"/>
  <c r="D198" i="33"/>
  <c r="H198" i="33"/>
  <c r="I198" i="33"/>
  <c r="D129" i="31"/>
  <c r="H129" i="31"/>
  <c r="I129" i="31"/>
  <c r="D122" i="33"/>
  <c r="H122" i="33"/>
  <c r="I122" i="33"/>
  <c r="I540" i="14"/>
  <c r="H566" i="14"/>
  <c r="E532" i="14"/>
  <c r="G532" i="14"/>
  <c r="J51" i="24"/>
  <c r="J52" i="24"/>
  <c r="D108" i="30"/>
  <c r="G178" i="30"/>
  <c r="E13" i="35"/>
  <c r="I362" i="32"/>
  <c r="H504" i="36"/>
  <c r="I497" i="36"/>
  <c r="I403" i="36"/>
  <c r="G410" i="36"/>
  <c r="G434" i="36"/>
  <c r="G442" i="36"/>
  <c r="H434" i="36"/>
  <c r="I434" i="36"/>
  <c r="I320" i="30"/>
  <c r="I323" i="30"/>
  <c r="H323" i="30"/>
  <c r="H115" i="14"/>
  <c r="I497" i="16"/>
  <c r="G505" i="16"/>
  <c r="D314" i="37"/>
  <c r="H314" i="37"/>
  <c r="I314" i="37" s="1"/>
  <c r="I366" i="31"/>
  <c r="H180" i="36"/>
  <c r="G180" i="36"/>
  <c r="I180" i="36"/>
  <c r="H181" i="36"/>
  <c r="G181" i="36"/>
  <c r="I181" i="36"/>
  <c r="I340" i="30"/>
  <c r="C12" i="35"/>
  <c r="H365" i="16"/>
  <c r="I365" i="16"/>
  <c r="D364" i="16"/>
  <c r="G110" i="36"/>
  <c r="I110" i="36"/>
  <c r="H110" i="36"/>
  <c r="G434" i="33"/>
  <c r="H299" i="32"/>
  <c r="D387" i="37"/>
  <c r="I265" i="31"/>
  <c r="H227" i="16"/>
  <c r="I352" i="33"/>
  <c r="H359" i="33"/>
  <c r="G237" i="36"/>
  <c r="H237" i="36"/>
  <c r="I237" i="36"/>
  <c r="I262" i="33"/>
  <c r="I265" i="33"/>
  <c r="I266" i="33"/>
  <c r="G265" i="33"/>
  <c r="G458" i="38"/>
  <c r="H458" i="38"/>
  <c r="H428" i="38"/>
  <c r="G428" i="38"/>
  <c r="G470" i="38"/>
  <c r="H470" i="38"/>
  <c r="I337" i="38"/>
  <c r="H171" i="38"/>
  <c r="I401" i="36"/>
  <c r="I410" i="36"/>
  <c r="I411" i="36"/>
  <c r="H410" i="36"/>
  <c r="H154" i="38"/>
  <c r="D199" i="37"/>
  <c r="G199" i="37" s="1"/>
  <c r="G158" i="38"/>
  <c r="H158" i="38"/>
  <c r="H157" i="38"/>
  <c r="D499" i="38"/>
  <c r="H499" i="38" s="1"/>
  <c r="I499" i="38" s="1"/>
  <c r="D498" i="38"/>
  <c r="H498" i="38" s="1"/>
  <c r="G497" i="38"/>
  <c r="G505" i="38" s="1"/>
  <c r="G91" i="36"/>
  <c r="H91" i="36"/>
  <c r="H167" i="36"/>
  <c r="G167" i="36"/>
  <c r="H111" i="38"/>
  <c r="G111" i="38"/>
  <c r="H78" i="36"/>
  <c r="G78" i="36"/>
  <c r="I78" i="36"/>
  <c r="D80" i="36"/>
  <c r="I235" i="31"/>
  <c r="H261" i="31"/>
  <c r="G218" i="38"/>
  <c r="G207" i="31"/>
  <c r="I207" i="31"/>
  <c r="D209" i="31"/>
  <c r="H209" i="31"/>
  <c r="I209" i="31"/>
  <c r="D208" i="31"/>
  <c r="H208" i="31"/>
  <c r="I208" i="31"/>
  <c r="I483" i="16"/>
  <c r="I494" i="16"/>
  <c r="I495" i="16"/>
  <c r="H494" i="16"/>
  <c r="H221" i="38"/>
  <c r="D234" i="36"/>
  <c r="D247" i="36"/>
  <c r="G235" i="36"/>
  <c r="H235" i="36"/>
  <c r="I183" i="33"/>
  <c r="G199" i="33"/>
  <c r="I434" i="16"/>
  <c r="H444" i="16"/>
  <c r="D222" i="36"/>
  <c r="G220" i="36"/>
  <c r="I220" i="36"/>
  <c r="H220" i="36"/>
  <c r="I79" i="14"/>
  <c r="G115" i="14"/>
  <c r="I323" i="32"/>
  <c r="E12" i="35"/>
  <c r="G724" i="30"/>
  <c r="I690" i="30"/>
  <c r="I724" i="30"/>
  <c r="G104" i="32"/>
  <c r="D105" i="32"/>
  <c r="H105" i="32"/>
  <c r="D106" i="32"/>
  <c r="H106" i="32"/>
  <c r="I106" i="32"/>
  <c r="J104" i="32"/>
  <c r="G327" i="33"/>
  <c r="G328" i="33"/>
  <c r="H327" i="33"/>
  <c r="I178" i="30"/>
  <c r="I179" i="30"/>
  <c r="G488" i="36"/>
  <c r="G493" i="36"/>
  <c r="H488" i="36"/>
  <c r="I488" i="36"/>
  <c r="I493" i="36"/>
  <c r="I494" i="36"/>
  <c r="I311" i="16"/>
  <c r="I249" i="32"/>
  <c r="G252" i="32"/>
  <c r="I115" i="14"/>
  <c r="I116" i="14"/>
  <c r="H341" i="31"/>
  <c r="D385" i="37"/>
  <c r="G385" i="37"/>
  <c r="G341" i="31"/>
  <c r="G344" i="31"/>
  <c r="D387" i="16"/>
  <c r="H441" i="31"/>
  <c r="I498" i="16"/>
  <c r="H505" i="16"/>
  <c r="D315" i="36"/>
  <c r="D138" i="36"/>
  <c r="H136" i="36"/>
  <c r="D137" i="36"/>
  <c r="G136" i="36"/>
  <c r="I136" i="36"/>
  <c r="G464" i="36"/>
  <c r="G475" i="36"/>
  <c r="H464" i="36"/>
  <c r="G183" i="36"/>
  <c r="H183" i="36"/>
  <c r="I404" i="16"/>
  <c r="I411" i="16"/>
  <c r="H364" i="36"/>
  <c r="G364" i="36"/>
  <c r="D363" i="36"/>
  <c r="G316" i="36"/>
  <c r="H316" i="36"/>
  <c r="I316" i="36"/>
  <c r="I352" i="36"/>
  <c r="D388" i="36"/>
  <c r="G411" i="16"/>
  <c r="H265" i="33"/>
  <c r="G359" i="33"/>
  <c r="I351" i="33"/>
  <c r="I359" i="33"/>
  <c r="G446" i="36"/>
  <c r="I442" i="36"/>
  <c r="I717" i="33"/>
  <c r="I364" i="36"/>
  <c r="I183" i="36"/>
  <c r="G137" i="36"/>
  <c r="H137" i="36"/>
  <c r="I341" i="31"/>
  <c r="I344" i="31"/>
  <c r="H344" i="31"/>
  <c r="H447" i="16"/>
  <c r="I444" i="16"/>
  <c r="I447" i="16"/>
  <c r="I91" i="36"/>
  <c r="H230" i="16"/>
  <c r="I227" i="16"/>
  <c r="D133" i="38"/>
  <c r="D110" i="30"/>
  <c r="H110" i="30"/>
  <c r="I110" i="30"/>
  <c r="D132" i="36"/>
  <c r="D134" i="16"/>
  <c r="D109" i="30"/>
  <c r="H109" i="30"/>
  <c r="J108" i="30"/>
  <c r="D132" i="37"/>
  <c r="G108" i="30"/>
  <c r="I197" i="33"/>
  <c r="H199" i="33"/>
  <c r="I210" i="31"/>
  <c r="I211" i="31"/>
  <c r="D150" i="38"/>
  <c r="H150" i="38" s="1"/>
  <c r="D149" i="37"/>
  <c r="H149" i="37"/>
  <c r="I149" i="37" s="1"/>
  <c r="H125" i="30"/>
  <c r="I125" i="30"/>
  <c r="D151" i="16"/>
  <c r="H151" i="16"/>
  <c r="I151" i="16"/>
  <c r="D149" i="36"/>
  <c r="I164" i="36"/>
  <c r="I459" i="38"/>
  <c r="I370" i="36"/>
  <c r="G310" i="16"/>
  <c r="G354" i="30"/>
  <c r="I342" i="30"/>
  <c r="I82" i="16"/>
  <c r="G121" i="16"/>
  <c r="G183" i="32"/>
  <c r="I183" i="32"/>
  <c r="D185" i="32"/>
  <c r="H185" i="32"/>
  <c r="I185" i="32"/>
  <c r="D184" i="32"/>
  <c r="H184" i="32"/>
  <c r="I287" i="31"/>
  <c r="D123" i="30"/>
  <c r="H123" i="30"/>
  <c r="I123" i="30"/>
  <c r="D124" i="30"/>
  <c r="H124" i="30"/>
  <c r="I124" i="30"/>
  <c r="G122" i="30"/>
  <c r="I122" i="30"/>
  <c r="I318" i="14"/>
  <c r="I367" i="14"/>
  <c r="I368" i="14"/>
  <c r="G367" i="14"/>
  <c r="G574" i="14"/>
  <c r="G576" i="14"/>
  <c r="H84" i="36"/>
  <c r="G84" i="36"/>
  <c r="I84" i="36"/>
  <c r="D328" i="37"/>
  <c r="H328" i="37" s="1"/>
  <c r="I328" i="37" s="1"/>
  <c r="D326" i="37"/>
  <c r="H326" i="37" s="1"/>
  <c r="I326" i="37" s="1"/>
  <c r="D327" i="37"/>
  <c r="H327" i="37" s="1"/>
  <c r="I327" i="37" s="1"/>
  <c r="D329" i="37"/>
  <c r="H329" i="37" s="1"/>
  <c r="I329" i="37" s="1"/>
  <c r="D324" i="37"/>
  <c r="H324" i="37" s="1"/>
  <c r="I324" i="37" s="1"/>
  <c r="G323" i="37"/>
  <c r="I323" i="37" s="1"/>
  <c r="D330" i="37"/>
  <c r="H330" i="37" s="1"/>
  <c r="I330" i="37" s="1"/>
  <c r="I269" i="33"/>
  <c r="I246" i="32"/>
  <c r="I252" i="32"/>
  <c r="H252" i="32"/>
  <c r="G92" i="36"/>
  <c r="H92" i="36"/>
  <c r="I425" i="38"/>
  <c r="H210" i="31"/>
  <c r="I442" i="31"/>
  <c r="D313" i="16"/>
  <c r="G313" i="16"/>
  <c r="I313" i="16"/>
  <c r="H314" i="16"/>
  <c r="H312" i="37"/>
  <c r="I312" i="37" s="1"/>
  <c r="D311" i="37"/>
  <c r="G311" i="37" s="1"/>
  <c r="H338" i="31"/>
  <c r="I105" i="33"/>
  <c r="I113" i="31"/>
  <c r="H574" i="14"/>
  <c r="H576" i="14"/>
  <c r="I464" i="36"/>
  <c r="I475" i="36"/>
  <c r="I476" i="36"/>
  <c r="G387" i="16"/>
  <c r="H387" i="16"/>
  <c r="I327" i="33"/>
  <c r="I328" i="33"/>
  <c r="H328" i="33"/>
  <c r="I105" i="32"/>
  <c r="I235" i="36"/>
  <c r="I167" i="36"/>
  <c r="I497" i="38"/>
  <c r="I470" i="38"/>
  <c r="I428" i="38"/>
  <c r="G12" i="35"/>
  <c r="G292" i="31"/>
  <c r="I292" i="31"/>
  <c r="D337" i="36"/>
  <c r="D338" i="16"/>
  <c r="G338" i="16"/>
  <c r="I338" i="16"/>
  <c r="D336" i="37"/>
  <c r="G336" i="37"/>
  <c r="I336" i="37" s="1"/>
  <c r="D338" i="38"/>
  <c r="H338" i="38" s="1"/>
  <c r="D119" i="33"/>
  <c r="D126" i="31"/>
  <c r="D148" i="16"/>
  <c r="G249" i="16"/>
  <c r="I249" i="16"/>
  <c r="D250" i="16"/>
  <c r="H250" i="16"/>
  <c r="I250" i="16"/>
  <c r="D251" i="16"/>
  <c r="H251" i="16"/>
  <c r="I251" i="16"/>
  <c r="G273" i="31"/>
  <c r="I273" i="31"/>
  <c r="D274" i="31"/>
  <c r="H274" i="31"/>
  <c r="D275" i="31"/>
  <c r="H275" i="31"/>
  <c r="I275" i="31"/>
  <c r="G314" i="30"/>
  <c r="I314" i="30"/>
  <c r="D315" i="30"/>
  <c r="H315" i="30"/>
  <c r="D316" i="30"/>
  <c r="H316" i="30"/>
  <c r="I316" i="30"/>
  <c r="I182" i="36"/>
  <c r="I249" i="30"/>
  <c r="H412" i="37"/>
  <c r="G412" i="37"/>
  <c r="G414" i="16"/>
  <c r="H414" i="16"/>
  <c r="H493" i="36"/>
  <c r="I175" i="32"/>
  <c r="G186" i="32"/>
  <c r="G117" i="32"/>
  <c r="I117" i="32"/>
  <c r="D118" i="32"/>
  <c r="H118" i="32"/>
  <c r="I118" i="32"/>
  <c r="D119" i="32"/>
  <c r="H119" i="32"/>
  <c r="I119" i="32"/>
  <c r="I261" i="31"/>
  <c r="I262" i="31"/>
  <c r="D330" i="16"/>
  <c r="H330" i="16"/>
  <c r="I330" i="16"/>
  <c r="G325" i="16"/>
  <c r="D331" i="16"/>
  <c r="H331" i="16"/>
  <c r="I331" i="16"/>
  <c r="D328" i="16"/>
  <c r="H328" i="16"/>
  <c r="I328" i="16"/>
  <c r="D329" i="16"/>
  <c r="H329" i="16"/>
  <c r="I329" i="16"/>
  <c r="D326" i="16"/>
  <c r="H326" i="16"/>
  <c r="D332" i="16"/>
  <c r="H332" i="16"/>
  <c r="I332" i="16"/>
  <c r="D325" i="36"/>
  <c r="D327" i="36"/>
  <c r="D329" i="36"/>
  <c r="D330" i="36"/>
  <c r="D328" i="36"/>
  <c r="G324" i="36"/>
  <c r="D331" i="36"/>
  <c r="I199" i="36"/>
  <c r="I221" i="36"/>
  <c r="H314" i="38"/>
  <c r="I314" i="38" s="1"/>
  <c r="G314" i="38"/>
  <c r="I338" i="31"/>
  <c r="I106" i="33"/>
  <c r="H389" i="16"/>
  <c r="G389" i="16"/>
  <c r="F14" i="35"/>
  <c r="I360" i="33"/>
  <c r="H388" i="36"/>
  <c r="I388" i="36"/>
  <c r="G388" i="36"/>
  <c r="G389" i="36"/>
  <c r="G363" i="36"/>
  <c r="D376" i="36"/>
  <c r="H363" i="36"/>
  <c r="I412" i="16"/>
  <c r="H12" i="35"/>
  <c r="H138" i="36"/>
  <c r="G138" i="36"/>
  <c r="G151" i="32"/>
  <c r="G727" i="32"/>
  <c r="G729" i="32"/>
  <c r="I104" i="32"/>
  <c r="I151" i="32"/>
  <c r="D249" i="36"/>
  <c r="H249" i="36"/>
  <c r="I249" i="36"/>
  <c r="G247" i="36"/>
  <c r="I247" i="36"/>
  <c r="D248" i="36"/>
  <c r="H248" i="36"/>
  <c r="I248" i="36"/>
  <c r="H247" i="36"/>
  <c r="H80" i="36"/>
  <c r="D82" i="36"/>
  <c r="D81" i="36"/>
  <c r="G80" i="36"/>
  <c r="I80" i="36"/>
  <c r="I458" i="38"/>
  <c r="H476" i="38"/>
  <c r="H387" i="37"/>
  <c r="G387" i="37"/>
  <c r="G566" i="14"/>
  <c r="I532" i="14"/>
  <c r="I566" i="14"/>
  <c r="D414" i="36"/>
  <c r="D372" i="31"/>
  <c r="D373" i="31"/>
  <c r="H373" i="31"/>
  <c r="I373" i="31"/>
  <c r="G371" i="31"/>
  <c r="D413" i="37"/>
  <c r="D415" i="16"/>
  <c r="D415" i="38"/>
  <c r="H415" i="38" s="1"/>
  <c r="I237" i="16"/>
  <c r="H253" i="16"/>
  <c r="I264" i="31"/>
  <c r="G276" i="31"/>
  <c r="I435" i="33"/>
  <c r="I294" i="30"/>
  <c r="G317" i="30"/>
  <c r="G308" i="37"/>
  <c r="I343" i="30"/>
  <c r="H354" i="30"/>
  <c r="D333" i="36"/>
  <c r="G332" i="36"/>
  <c r="H332" i="36"/>
  <c r="D334" i="36"/>
  <c r="D334" i="16"/>
  <c r="H334" i="16"/>
  <c r="I334" i="16"/>
  <c r="D335" i="16"/>
  <c r="H335" i="16"/>
  <c r="I335" i="16"/>
  <c r="G333" i="16"/>
  <c r="I333" i="16"/>
  <c r="I83" i="36"/>
  <c r="I402" i="31"/>
  <c r="I369" i="36"/>
  <c r="I205" i="36"/>
  <c r="G229" i="16"/>
  <c r="I229" i="16"/>
  <c r="G228" i="16"/>
  <c r="I228" i="16"/>
  <c r="I226" i="16"/>
  <c r="H475" i="36"/>
  <c r="H443" i="36"/>
  <c r="H122" i="16"/>
  <c r="I386" i="36"/>
  <c r="I389" i="36"/>
  <c r="I390" i="36"/>
  <c r="H389" i="36"/>
  <c r="G313" i="36"/>
  <c r="H313" i="36"/>
  <c r="I504" i="36"/>
  <c r="I112" i="31"/>
  <c r="G109" i="36"/>
  <c r="I109" i="36"/>
  <c r="H109" i="36"/>
  <c r="G315" i="36"/>
  <c r="H315" i="36"/>
  <c r="I315" i="36"/>
  <c r="I725" i="30"/>
  <c r="G222" i="36"/>
  <c r="G224" i="36"/>
  <c r="H222" i="36"/>
  <c r="I199" i="33"/>
  <c r="I200" i="33"/>
  <c r="G234" i="36"/>
  <c r="H234" i="36"/>
  <c r="H251" i="36"/>
  <c r="G364" i="16"/>
  <c r="I364" i="16"/>
  <c r="D377" i="16"/>
  <c r="I505" i="16"/>
  <c r="C11" i="35"/>
  <c r="I324" i="30"/>
  <c r="G210" i="31"/>
  <c r="I236" i="16"/>
  <c r="G252" i="16"/>
  <c r="I417" i="30"/>
  <c r="C15" i="35"/>
  <c r="G15" i="35"/>
  <c r="I34" i="36"/>
  <c r="H150" i="36"/>
  <c r="G150" i="36"/>
  <c r="I150" i="36"/>
  <c r="D8" i="35"/>
  <c r="G8" i="35"/>
  <c r="I110" i="31"/>
  <c r="D259" i="30"/>
  <c r="H259" i="30"/>
  <c r="D260" i="30"/>
  <c r="H260" i="30"/>
  <c r="I260" i="30"/>
  <c r="G258" i="30"/>
  <c r="I258" i="30"/>
  <c r="G413" i="36"/>
  <c r="H413" i="36"/>
  <c r="I268" i="33"/>
  <c r="I323" i="33"/>
  <c r="G323" i="33"/>
  <c r="H270" i="33"/>
  <c r="I270" i="33"/>
  <c r="D325" i="37"/>
  <c r="H325" i="37"/>
  <c r="I325" i="37" s="1"/>
  <c r="D327" i="16"/>
  <c r="H327" i="16"/>
  <c r="I327" i="16"/>
  <c r="D326" i="36"/>
  <c r="D327" i="38"/>
  <c r="H327" i="38" s="1"/>
  <c r="H225" i="36"/>
  <c r="I467" i="38"/>
  <c r="I224" i="36"/>
  <c r="G228" i="36"/>
  <c r="G148" i="16"/>
  <c r="I148" i="16"/>
  <c r="D149" i="16"/>
  <c r="H149" i="16"/>
  <c r="I149" i="16"/>
  <c r="D150" i="16"/>
  <c r="H150" i="16"/>
  <c r="I150" i="16"/>
  <c r="H228" i="36"/>
  <c r="I225" i="36"/>
  <c r="I228" i="36"/>
  <c r="I229" i="36"/>
  <c r="H326" i="36"/>
  <c r="I326" i="36"/>
  <c r="G326" i="36"/>
  <c r="I413" i="36"/>
  <c r="G377" i="16"/>
  <c r="I377" i="16"/>
  <c r="D378" i="16"/>
  <c r="H378" i="16"/>
  <c r="I378" i="16"/>
  <c r="D379" i="16"/>
  <c r="H379" i="16"/>
  <c r="I379" i="16"/>
  <c r="G321" i="36"/>
  <c r="H446" i="36"/>
  <c r="I443" i="36"/>
  <c r="G230" i="16"/>
  <c r="D13" i="35"/>
  <c r="G13" i="35"/>
  <c r="I403" i="31"/>
  <c r="I138" i="36"/>
  <c r="G328" i="36"/>
  <c r="H328" i="36"/>
  <c r="I328" i="36"/>
  <c r="G325" i="36"/>
  <c r="H325" i="36"/>
  <c r="G337" i="36"/>
  <c r="H337" i="36"/>
  <c r="G390" i="16"/>
  <c r="H323" i="33"/>
  <c r="G338" i="31"/>
  <c r="H149" i="36"/>
  <c r="G149" i="36"/>
  <c r="I149" i="36"/>
  <c r="I324" i="33"/>
  <c r="F10" i="35"/>
  <c r="H333" i="36"/>
  <c r="G333" i="36"/>
  <c r="D417" i="16"/>
  <c r="H417" i="16"/>
  <c r="I417" i="16"/>
  <c r="G415" i="16"/>
  <c r="I415" i="16"/>
  <c r="H372" i="31"/>
  <c r="D416" i="16"/>
  <c r="H416" i="16"/>
  <c r="I416" i="16"/>
  <c r="D415" i="36"/>
  <c r="H415" i="36"/>
  <c r="I415" i="36"/>
  <c r="D414" i="37"/>
  <c r="H414" i="37"/>
  <c r="I414" i="37" s="1"/>
  <c r="D416" i="38"/>
  <c r="H416" i="38" s="1"/>
  <c r="I416" i="38" s="1"/>
  <c r="D378" i="36"/>
  <c r="G376" i="36"/>
  <c r="I376" i="36"/>
  <c r="H376" i="36"/>
  <c r="D377" i="36"/>
  <c r="D10" i="35"/>
  <c r="I339" i="31"/>
  <c r="G330" i="36"/>
  <c r="H330" i="36"/>
  <c r="I330" i="36"/>
  <c r="F11" i="35"/>
  <c r="I329" i="33"/>
  <c r="I314" i="16"/>
  <c r="I92" i="36"/>
  <c r="G124" i="16"/>
  <c r="I124" i="16"/>
  <c r="G123" i="16"/>
  <c r="I123" i="16"/>
  <c r="I121" i="16"/>
  <c r="D319" i="16"/>
  <c r="I109" i="30"/>
  <c r="H157" i="30"/>
  <c r="D134" i="38"/>
  <c r="G134" i="38" s="1"/>
  <c r="D11" i="35"/>
  <c r="G11" i="35"/>
  <c r="I345" i="31"/>
  <c r="I446" i="36"/>
  <c r="I447" i="36"/>
  <c r="H15" i="35"/>
  <c r="I506" i="16"/>
  <c r="H254" i="36"/>
  <c r="I251" i="36"/>
  <c r="I222" i="36"/>
  <c r="I505" i="36"/>
  <c r="H334" i="36"/>
  <c r="I334" i="36"/>
  <c r="G334" i="36"/>
  <c r="H256" i="16"/>
  <c r="I253" i="16"/>
  <c r="G413" i="37"/>
  <c r="I413" i="37" s="1"/>
  <c r="D415" i="37"/>
  <c r="H415" i="37" s="1"/>
  <c r="I415" i="37" s="1"/>
  <c r="G414" i="36"/>
  <c r="I414" i="36"/>
  <c r="D416" i="36"/>
  <c r="H416" i="36"/>
  <c r="I416" i="36"/>
  <c r="H414" i="36"/>
  <c r="H81" i="36"/>
  <c r="I81" i="36"/>
  <c r="G81" i="36"/>
  <c r="I152" i="32"/>
  <c r="I363" i="36"/>
  <c r="I389" i="16"/>
  <c r="G331" i="36"/>
  <c r="H331" i="36"/>
  <c r="I331" i="36"/>
  <c r="H329" i="36"/>
  <c r="I329" i="36"/>
  <c r="G329" i="36"/>
  <c r="I326" i="16"/>
  <c r="H381" i="16"/>
  <c r="I325" i="16"/>
  <c r="G380" i="16"/>
  <c r="H418" i="16"/>
  <c r="I315" i="30"/>
  <c r="I317" i="30"/>
  <c r="H317" i="30"/>
  <c r="G126" i="31"/>
  <c r="D128" i="31"/>
  <c r="H128" i="31"/>
  <c r="I128" i="31"/>
  <c r="D127" i="31"/>
  <c r="H127" i="31"/>
  <c r="D146" i="36"/>
  <c r="I184" i="32"/>
  <c r="I186" i="32"/>
  <c r="H186" i="32"/>
  <c r="I310" i="16"/>
  <c r="G157" i="30"/>
  <c r="I108" i="30"/>
  <c r="I157" i="30"/>
  <c r="D136" i="16"/>
  <c r="H136" i="16"/>
  <c r="I136" i="16"/>
  <c r="G134" i="16"/>
  <c r="D135" i="16"/>
  <c r="H135" i="16"/>
  <c r="I230" i="16"/>
  <c r="I231" i="16"/>
  <c r="H13" i="35"/>
  <c r="I448" i="16"/>
  <c r="H417" i="36"/>
  <c r="I259" i="30"/>
  <c r="I261" i="30"/>
  <c r="I262" i="30"/>
  <c r="H261" i="30"/>
  <c r="G254" i="16"/>
  <c r="I254" i="16"/>
  <c r="I252" i="16"/>
  <c r="G255" i="16"/>
  <c r="I255" i="16"/>
  <c r="I234" i="36"/>
  <c r="G250" i="36"/>
  <c r="I313" i="36"/>
  <c r="I321" i="36"/>
  <c r="I322" i="36"/>
  <c r="H321" i="36"/>
  <c r="H125" i="16"/>
  <c r="I122" i="16"/>
  <c r="I125" i="16"/>
  <c r="I332" i="36"/>
  <c r="I308" i="37"/>
  <c r="I371" i="31"/>
  <c r="G374" i="31"/>
  <c r="I567" i="14"/>
  <c r="I574" i="14"/>
  <c r="G82" i="36"/>
  <c r="H82" i="36"/>
  <c r="I82" i="36"/>
  <c r="I324" i="36"/>
  <c r="H327" i="36"/>
  <c r="G327" i="36"/>
  <c r="I414" i="16"/>
  <c r="I418" i="16"/>
  <c r="G418" i="16"/>
  <c r="G261" i="30"/>
  <c r="I274" i="31"/>
  <c r="I276" i="31"/>
  <c r="I277" i="31"/>
  <c r="H276" i="31"/>
  <c r="G119" i="33"/>
  <c r="D120" i="33"/>
  <c r="H120" i="33"/>
  <c r="D121" i="33"/>
  <c r="H121" i="33"/>
  <c r="I121" i="33"/>
  <c r="H151" i="32"/>
  <c r="H727" i="32"/>
  <c r="H729" i="32"/>
  <c r="I387" i="16"/>
  <c r="I390" i="16"/>
  <c r="H390" i="16"/>
  <c r="I253" i="32"/>
  <c r="D146" i="37"/>
  <c r="D147" i="38"/>
  <c r="D148" i="38" s="1"/>
  <c r="H148" i="38" s="1"/>
  <c r="I354" i="30"/>
  <c r="G132" i="37"/>
  <c r="I132" i="37" s="1"/>
  <c r="D134" i="37"/>
  <c r="H134" i="37" s="1"/>
  <c r="I134" i="37" s="1"/>
  <c r="D133" i="37"/>
  <c r="H133" i="37" s="1"/>
  <c r="D134" i="36"/>
  <c r="G132" i="36"/>
  <c r="D133" i="36"/>
  <c r="I137" i="36"/>
  <c r="I187" i="32"/>
  <c r="E9" i="35"/>
  <c r="I318" i="30"/>
  <c r="C10" i="35"/>
  <c r="G10" i="35"/>
  <c r="I391" i="16"/>
  <c r="H11" i="35"/>
  <c r="I134" i="16"/>
  <c r="G194" i="16"/>
  <c r="I126" i="31"/>
  <c r="G170" i="31"/>
  <c r="G766" i="31"/>
  <c r="G768" i="31"/>
  <c r="I381" i="16"/>
  <c r="H384" i="16"/>
  <c r="G119" i="36"/>
  <c r="I325" i="36"/>
  <c r="H120" i="36"/>
  <c r="H133" i="36"/>
  <c r="G133" i="36"/>
  <c r="G146" i="37"/>
  <c r="I146" i="37" s="1"/>
  <c r="D148" i="37"/>
  <c r="H148" i="37" s="1"/>
  <c r="I148" i="37" s="1"/>
  <c r="D147" i="37"/>
  <c r="H147" i="37" s="1"/>
  <c r="I147" i="37" s="1"/>
  <c r="I120" i="33"/>
  <c r="H158" i="33"/>
  <c r="H759" i="33"/>
  <c r="H761" i="33"/>
  <c r="I327" i="36"/>
  <c r="G256" i="16"/>
  <c r="H378" i="36"/>
  <c r="I378" i="36"/>
  <c r="G378" i="36"/>
  <c r="I417" i="36"/>
  <c r="I132" i="36"/>
  <c r="I119" i="33"/>
  <c r="I158" i="33"/>
  <c r="G158" i="33"/>
  <c r="G759" i="33"/>
  <c r="G761" i="33"/>
  <c r="I126" i="16"/>
  <c r="H8" i="35"/>
  <c r="G254" i="36"/>
  <c r="I250" i="36"/>
  <c r="I254" i="36"/>
  <c r="I255" i="36"/>
  <c r="I256" i="16"/>
  <c r="I257" i="16"/>
  <c r="C9" i="35"/>
  <c r="I158" i="30"/>
  <c r="G146" i="36"/>
  <c r="I146" i="36"/>
  <c r="D148" i="36"/>
  <c r="H146" i="36"/>
  <c r="D147" i="36"/>
  <c r="I127" i="31"/>
  <c r="H170" i="31"/>
  <c r="G383" i="16"/>
  <c r="I383" i="16"/>
  <c r="I380" i="16"/>
  <c r="G384" i="16"/>
  <c r="G382" i="16"/>
  <c r="I382" i="16"/>
  <c r="H730" i="30"/>
  <c r="H732" i="30"/>
  <c r="D320" i="16"/>
  <c r="H320" i="16"/>
  <c r="D321" i="16"/>
  <c r="H321" i="16"/>
  <c r="I321" i="16"/>
  <c r="G319" i="16"/>
  <c r="G377" i="36"/>
  <c r="G379" i="36"/>
  <c r="H377" i="36"/>
  <c r="I377" i="36"/>
  <c r="G417" i="36"/>
  <c r="G134" i="36"/>
  <c r="I134" i="36"/>
  <c r="H134" i="36"/>
  <c r="I355" i="30"/>
  <c r="C14" i="35"/>
  <c r="I419" i="16"/>
  <c r="H14" i="35"/>
  <c r="I576" i="14"/>
  <c r="I575" i="14"/>
  <c r="I10" i="14"/>
  <c r="H195" i="16"/>
  <c r="I135" i="16"/>
  <c r="G730" i="30"/>
  <c r="G732" i="30"/>
  <c r="G125" i="16"/>
  <c r="I372" i="31"/>
  <c r="I374" i="31"/>
  <c r="H374" i="31"/>
  <c r="I333" i="36"/>
  <c r="I337" i="36"/>
  <c r="D14" i="35"/>
  <c r="I375" i="31"/>
  <c r="G383" i="36"/>
  <c r="I379" i="36"/>
  <c r="I195" i="16"/>
  <c r="H198" i="16"/>
  <c r="I319" i="16"/>
  <c r="G322" i="16"/>
  <c r="I384" i="16"/>
  <c r="G147" i="36"/>
  <c r="I147" i="36"/>
  <c r="H147" i="36"/>
  <c r="I133" i="36"/>
  <c r="G123" i="36"/>
  <c r="I119" i="36"/>
  <c r="I170" i="31"/>
  <c r="I732" i="30"/>
  <c r="I731" i="30"/>
  <c r="C20" i="35"/>
  <c r="C22" i="35" s="1"/>
  <c r="I159" i="33"/>
  <c r="F9" i="35"/>
  <c r="I418" i="36"/>
  <c r="H380" i="36"/>
  <c r="G197" i="16"/>
  <c r="I197" i="16"/>
  <c r="G196" i="16"/>
  <c r="I196" i="16"/>
  <c r="I194" i="16"/>
  <c r="I198" i="16"/>
  <c r="G14" i="35"/>
  <c r="I320" i="16"/>
  <c r="H322" i="16"/>
  <c r="H766" i="31"/>
  <c r="H768" i="31"/>
  <c r="G148" i="36"/>
  <c r="I148" i="36"/>
  <c r="H148" i="36"/>
  <c r="H193" i="36"/>
  <c r="I120" i="36"/>
  <c r="I123" i="36"/>
  <c r="I124" i="36"/>
  <c r="H123" i="36"/>
  <c r="I9" i="14"/>
  <c r="L10" i="14"/>
  <c r="G192" i="36"/>
  <c r="H196" i="36"/>
  <c r="I193" i="36"/>
  <c r="I192" i="36"/>
  <c r="I196" i="36"/>
  <c r="I197" i="36"/>
  <c r="G196" i="36"/>
  <c r="J766" i="31"/>
  <c r="I385" i="16"/>
  <c r="H10" i="35"/>
  <c r="I199" i="16"/>
  <c r="I380" i="36"/>
  <c r="I383" i="36"/>
  <c r="H383" i="36"/>
  <c r="I171" i="31"/>
  <c r="D9" i="35"/>
  <c r="G198" i="16"/>
  <c r="I322" i="16"/>
  <c r="I323" i="16"/>
  <c r="I384" i="36"/>
  <c r="G9" i="35"/>
  <c r="H9" i="35"/>
  <c r="H385" i="37"/>
  <c r="D332" i="37"/>
  <c r="H332" i="37" s="1"/>
  <c r="I332" i="37" s="1"/>
  <c r="D497" i="37"/>
  <c r="H497" i="37" s="1"/>
  <c r="I497" i="37" s="1"/>
  <c r="I625" i="37"/>
  <c r="L625" i="37" s="1"/>
  <c r="D150" i="37"/>
  <c r="G150" i="37" s="1"/>
  <c r="D496" i="37"/>
  <c r="H496" i="37" s="1"/>
  <c r="D333" i="37"/>
  <c r="H333" i="37" s="1"/>
  <c r="I333" i="37" s="1"/>
  <c r="D80" i="37"/>
  <c r="D82" i="37" s="1"/>
  <c r="H82" i="37" s="1"/>
  <c r="D362" i="37"/>
  <c r="G362" i="37" s="1"/>
  <c r="I362" i="37" s="1"/>
  <c r="D247" i="37"/>
  <c r="D248" i="37" s="1"/>
  <c r="H248" i="37" s="1"/>
  <c r="I248" i="37" s="1"/>
  <c r="G47" i="37"/>
  <c r="I47" i="37" s="1"/>
  <c r="D48" i="37"/>
  <c r="H48" i="37" s="1"/>
  <c r="I48" i="37" s="1"/>
  <c r="D37" i="37"/>
  <c r="H37" i="37" s="1"/>
  <c r="I37" i="37" s="1"/>
  <c r="D351" i="37"/>
  <c r="H351" i="37" s="1"/>
  <c r="I351" i="37" s="1"/>
  <c r="D36" i="16" l="1"/>
  <c r="H36" i="16" s="1"/>
  <c r="I36" i="16" s="1"/>
  <c r="G29" i="16"/>
  <c r="H37" i="36"/>
  <c r="G37" i="36"/>
  <c r="I37" i="36" s="1"/>
  <c r="H23" i="36"/>
  <c r="G23" i="36"/>
  <c r="I23" i="36" s="1"/>
  <c r="G40" i="36"/>
  <c r="I40" i="36" s="1"/>
  <c r="H40" i="36"/>
  <c r="I46" i="36"/>
  <c r="I16" i="36"/>
  <c r="H50" i="32"/>
  <c r="I35" i="32"/>
  <c r="I50" i="32" s="1"/>
  <c r="H48" i="33"/>
  <c r="I33" i="33"/>
  <c r="I48" i="33" s="1"/>
  <c r="I17" i="16"/>
  <c r="G38" i="38"/>
  <c r="I53" i="31"/>
  <c r="D7" i="35"/>
  <c r="I766" i="31"/>
  <c r="I24" i="36"/>
  <c r="G27" i="36"/>
  <c r="I27" i="36" s="1"/>
  <c r="D23" i="37"/>
  <c r="H23" i="37" s="1"/>
  <c r="I23" i="37" s="1"/>
  <c r="J730" i="30"/>
  <c r="I52" i="30"/>
  <c r="G37" i="38"/>
  <c r="I37" i="38" s="1"/>
  <c r="D42" i="16"/>
  <c r="H42" i="16" s="1"/>
  <c r="I42" i="16" s="1"/>
  <c r="D39" i="37"/>
  <c r="H39" i="37" s="1"/>
  <c r="I39" i="37" s="1"/>
  <c r="G41" i="37"/>
  <c r="I41" i="37" s="1"/>
  <c r="H19" i="36"/>
  <c r="H52" i="36" s="1"/>
  <c r="I52" i="36" s="1"/>
  <c r="G35" i="36"/>
  <c r="I35" i="36" s="1"/>
  <c r="G38" i="36"/>
  <c r="D26" i="16"/>
  <c r="H26" i="16" s="1"/>
  <c r="D40" i="38"/>
  <c r="H40" i="38" s="1"/>
  <c r="H38" i="36"/>
  <c r="G43" i="16"/>
  <c r="I43" i="16" s="1"/>
  <c r="D46" i="16"/>
  <c r="H46" i="16" s="1"/>
  <c r="I46" i="16" s="1"/>
  <c r="G107" i="38"/>
  <c r="I158" i="38"/>
  <c r="H365" i="38"/>
  <c r="H168" i="38"/>
  <c r="G352" i="38"/>
  <c r="D138" i="38"/>
  <c r="G369" i="38"/>
  <c r="I63" i="38"/>
  <c r="I216" i="38"/>
  <c r="D223" i="38"/>
  <c r="H433" i="38"/>
  <c r="G206" i="38"/>
  <c r="I206" i="38" s="1"/>
  <c r="G202" i="38"/>
  <c r="D490" i="38"/>
  <c r="H490" i="38" s="1"/>
  <c r="H370" i="38"/>
  <c r="I370" i="38" s="1"/>
  <c r="D489" i="38"/>
  <c r="H489" i="38" s="1"/>
  <c r="H80" i="38"/>
  <c r="D404" i="38"/>
  <c r="G73" i="38"/>
  <c r="I73" i="38" s="1"/>
  <c r="H44" i="38"/>
  <c r="I44" i="38" s="1"/>
  <c r="I338" i="38"/>
  <c r="G338" i="38"/>
  <c r="G480" i="38"/>
  <c r="G310" i="38"/>
  <c r="D232" i="38"/>
  <c r="G232" i="38" s="1"/>
  <c r="I232" i="38" s="1"/>
  <c r="D174" i="38"/>
  <c r="H174" i="38" s="1"/>
  <c r="H237" i="38"/>
  <c r="I107" i="38"/>
  <c r="G351" i="38"/>
  <c r="G233" i="38"/>
  <c r="H366" i="38"/>
  <c r="H162" i="38"/>
  <c r="D173" i="38"/>
  <c r="G211" i="38"/>
  <c r="I211" i="38" s="1"/>
  <c r="H23" i="38"/>
  <c r="D41" i="38"/>
  <c r="G491" i="38"/>
  <c r="H343" i="38"/>
  <c r="H167" i="38"/>
  <c r="I168" i="38"/>
  <c r="G410" i="38"/>
  <c r="H405" i="38"/>
  <c r="G21" i="38"/>
  <c r="G23" i="38"/>
  <c r="I23" i="38" s="1"/>
  <c r="D25" i="38"/>
  <c r="G485" i="38"/>
  <c r="D481" i="38"/>
  <c r="G479" i="38"/>
  <c r="I479" i="38" s="1"/>
  <c r="G209" i="38"/>
  <c r="I209" i="38" s="1"/>
  <c r="I202" i="38"/>
  <c r="I167" i="38"/>
  <c r="G374" i="38"/>
  <c r="G156" i="38"/>
  <c r="I156" i="38" s="1"/>
  <c r="H89" i="38"/>
  <c r="G204" i="38"/>
  <c r="I204" i="38" s="1"/>
  <c r="I102" i="38"/>
  <c r="G150" i="38"/>
  <c r="I150" i="38" s="1"/>
  <c r="G415" i="38"/>
  <c r="D482" i="38"/>
  <c r="H316" i="38"/>
  <c r="I316" i="38" s="1"/>
  <c r="G246" i="38"/>
  <c r="I246" i="38" s="1"/>
  <c r="G359" i="38"/>
  <c r="H102" i="38"/>
  <c r="I343" i="38"/>
  <c r="D417" i="38"/>
  <c r="H417" i="38" s="1"/>
  <c r="I417" i="38" s="1"/>
  <c r="D248" i="38"/>
  <c r="H248" i="38" s="1"/>
  <c r="G89" i="38"/>
  <c r="H94" i="38"/>
  <c r="I94" i="38" s="1"/>
  <c r="H106" i="38"/>
  <c r="I106" i="38" s="1"/>
  <c r="G137" i="38"/>
  <c r="G183" i="38"/>
  <c r="I183" i="38" s="1"/>
  <c r="I162" i="38"/>
  <c r="H66" i="38"/>
  <c r="I66" i="38" s="1"/>
  <c r="H163" i="38"/>
  <c r="I163" i="38" s="1"/>
  <c r="H95" i="38"/>
  <c r="I95" i="38" s="1"/>
  <c r="G414" i="38"/>
  <c r="I414" i="38" s="1"/>
  <c r="H166" i="38"/>
  <c r="I166" i="38" s="1"/>
  <c r="G152" i="38"/>
  <c r="I152" i="38" s="1"/>
  <c r="G397" i="38"/>
  <c r="I171" i="38"/>
  <c r="I76" i="38"/>
  <c r="I363" i="38"/>
  <c r="I157" i="38"/>
  <c r="G40" i="38"/>
  <c r="I40" i="38" s="1"/>
  <c r="H137" i="38"/>
  <c r="G355" i="38"/>
  <c r="I355" i="38" s="1"/>
  <c r="H87" i="38"/>
  <c r="G17" i="38"/>
  <c r="I17" i="38" s="1"/>
  <c r="H346" i="38"/>
  <c r="G32" i="38"/>
  <c r="I32" i="38" s="1"/>
  <c r="G396" i="38"/>
  <c r="I396" i="38" s="1"/>
  <c r="I365" i="38"/>
  <c r="D149" i="38"/>
  <c r="H149" i="38" s="1"/>
  <c r="G327" i="38"/>
  <c r="H84" i="38"/>
  <c r="H161" i="38"/>
  <c r="H318" i="38"/>
  <c r="I318" i="38" s="1"/>
  <c r="G219" i="38"/>
  <c r="I219" i="38" s="1"/>
  <c r="H155" i="38"/>
  <c r="G177" i="38"/>
  <c r="I177" i="38" s="1"/>
  <c r="G87" i="38"/>
  <c r="D18" i="38"/>
  <c r="H345" i="38"/>
  <c r="I345" i="38" s="1"/>
  <c r="I403" i="38"/>
  <c r="I433" i="38"/>
  <c r="G329" i="38"/>
  <c r="I329" i="38" s="1"/>
  <c r="D85" i="38"/>
  <c r="H164" i="38"/>
  <c r="I164" i="38" s="1"/>
  <c r="D434" i="38"/>
  <c r="G62" i="38"/>
  <c r="G79" i="38"/>
  <c r="I79" i="38" s="1"/>
  <c r="D81" i="38"/>
  <c r="H81" i="38" s="1"/>
  <c r="D332" i="38"/>
  <c r="I351" i="38"/>
  <c r="I98" i="38"/>
  <c r="H368" i="38"/>
  <c r="I368" i="38" s="1"/>
  <c r="I104" i="38"/>
  <c r="G112" i="38"/>
  <c r="I112" i="38" s="1"/>
  <c r="D151" i="38"/>
  <c r="G151" i="38" s="1"/>
  <c r="I74" i="38"/>
  <c r="I358" i="38"/>
  <c r="H181" i="38"/>
  <c r="I181" i="38" s="1"/>
  <c r="I21" i="38"/>
  <c r="G105" i="38"/>
  <c r="I105" i="38" s="1"/>
  <c r="I237" i="38"/>
  <c r="I410" i="38"/>
  <c r="I170" i="38"/>
  <c r="I480" i="38"/>
  <c r="G389" i="38"/>
  <c r="I389" i="38" s="1"/>
  <c r="D364" i="38"/>
  <c r="H364" i="38" s="1"/>
  <c r="G371" i="38"/>
  <c r="I371" i="38" s="1"/>
  <c r="G325" i="38"/>
  <c r="I325" i="38" s="1"/>
  <c r="G203" i="38"/>
  <c r="I203" i="38" s="1"/>
  <c r="G175" i="38"/>
  <c r="I175" i="38" s="1"/>
  <c r="D93" i="38"/>
  <c r="H241" i="38"/>
  <c r="I241" i="38" s="1"/>
  <c r="G174" i="38"/>
  <c r="I174" i="38" s="1"/>
  <c r="G103" i="38"/>
  <c r="I103" i="38" s="1"/>
  <c r="H402" i="38"/>
  <c r="I402" i="38" s="1"/>
  <c r="G30" i="38"/>
  <c r="I373" i="38"/>
  <c r="G64" i="38"/>
  <c r="I64" i="38" s="1"/>
  <c r="H394" i="38"/>
  <c r="I394" i="38" s="1"/>
  <c r="I327" i="38"/>
  <c r="H110" i="38"/>
  <c r="I218" i="38"/>
  <c r="G139" i="38"/>
  <c r="I139" i="38" s="1"/>
  <c r="D178" i="38"/>
  <c r="I90" i="38"/>
  <c r="I86" i="38"/>
  <c r="D176" i="38"/>
  <c r="D47" i="38"/>
  <c r="G50" i="38"/>
  <c r="I50" i="38" s="1"/>
  <c r="H96" i="38"/>
  <c r="I96" i="38" s="1"/>
  <c r="H172" i="38"/>
  <c r="I172" i="38" s="1"/>
  <c r="G147" i="38"/>
  <c r="D250" i="38"/>
  <c r="H250" i="38" s="1"/>
  <c r="I250" i="38" s="1"/>
  <c r="I491" i="38"/>
  <c r="I84" i="38"/>
  <c r="G348" i="38"/>
  <c r="H372" i="38"/>
  <c r="I372" i="38" s="1"/>
  <c r="G357" i="38"/>
  <c r="I357" i="38" s="1"/>
  <c r="H311" i="38"/>
  <c r="I311" i="38" s="1"/>
  <c r="H236" i="38"/>
  <c r="I236" i="38" s="1"/>
  <c r="D65" i="38"/>
  <c r="I92" i="38"/>
  <c r="G75" i="38"/>
  <c r="I75" i="38" s="1"/>
  <c r="H238" i="38"/>
  <c r="I238" i="38" s="1"/>
  <c r="I352" i="38"/>
  <c r="G42" i="38"/>
  <c r="I220" i="38"/>
  <c r="G245" i="38"/>
  <c r="H182" i="38"/>
  <c r="I182" i="38" s="1"/>
  <c r="H400" i="38"/>
  <c r="G375" i="38"/>
  <c r="G367" i="38"/>
  <c r="I367" i="38" s="1"/>
  <c r="D187" i="38"/>
  <c r="G34" i="38"/>
  <c r="I34" i="38" s="1"/>
  <c r="G201" i="38"/>
  <c r="I201" i="38" s="1"/>
  <c r="G29" i="38"/>
  <c r="I29" i="38" s="1"/>
  <c r="G19" i="38"/>
  <c r="I19" i="38" s="1"/>
  <c r="I30" i="38"/>
  <c r="I77" i="38"/>
  <c r="D28" i="38"/>
  <c r="G48" i="38"/>
  <c r="I97" i="38"/>
  <c r="G185" i="38"/>
  <c r="G315" i="38"/>
  <c r="H347" i="38"/>
  <c r="I347" i="38" s="1"/>
  <c r="H395" i="38"/>
  <c r="I395" i="38" s="1"/>
  <c r="G399" i="38"/>
  <c r="I399" i="38" s="1"/>
  <c r="H493" i="38"/>
  <c r="I62" i="38"/>
  <c r="I415" i="38"/>
  <c r="H147" i="38"/>
  <c r="G490" i="38"/>
  <c r="I490" i="38" s="1"/>
  <c r="G61" i="38"/>
  <c r="I61" i="38" s="1"/>
  <c r="D235" i="38"/>
  <c r="G244" i="38"/>
  <c r="G153" i="38"/>
  <c r="G91" i="38"/>
  <c r="I91" i="38" s="1"/>
  <c r="G398" i="38"/>
  <c r="I398" i="38" s="1"/>
  <c r="H26" i="38"/>
  <c r="I26" i="38" s="1"/>
  <c r="H42" i="38"/>
  <c r="G31" i="38"/>
  <c r="I31" i="38" s="1"/>
  <c r="G361" i="38"/>
  <c r="I361" i="38" s="1"/>
  <c r="G344" i="38"/>
  <c r="I344" i="38" s="1"/>
  <c r="G350" i="38"/>
  <c r="I350" i="38" s="1"/>
  <c r="G207" i="38"/>
  <c r="I207" i="38" s="1"/>
  <c r="G99" i="38"/>
  <c r="I99" i="38" s="1"/>
  <c r="G212" i="38"/>
  <c r="D20" i="38"/>
  <c r="I369" i="38"/>
  <c r="H27" i="38"/>
  <c r="I27" i="38" s="1"/>
  <c r="H46" i="38"/>
  <c r="I46" i="38" s="1"/>
  <c r="H48" i="38"/>
  <c r="G78" i="38"/>
  <c r="I78" i="38" s="1"/>
  <c r="I221" i="38"/>
  <c r="I111" i="38"/>
  <c r="H153" i="38"/>
  <c r="I222" i="38"/>
  <c r="G69" i="38"/>
  <c r="I69" i="38" s="1"/>
  <c r="I366" i="38"/>
  <c r="I360" i="38"/>
  <c r="I70" i="38"/>
  <c r="H43" i="38"/>
  <c r="I43" i="38" s="1"/>
  <c r="G493" i="38"/>
  <c r="G217" i="38"/>
  <c r="I217" i="38" s="1"/>
  <c r="I39" i="38"/>
  <c r="H180" i="38"/>
  <c r="I180" i="38" s="1"/>
  <c r="D408" i="38"/>
  <c r="G133" i="38"/>
  <c r="D135" i="38"/>
  <c r="I387" i="38"/>
  <c r="H243" i="38"/>
  <c r="I243" i="38" s="1"/>
  <c r="G243" i="38"/>
  <c r="D335" i="38"/>
  <c r="D334" i="38"/>
  <c r="G333" i="38"/>
  <c r="I333" i="38" s="1"/>
  <c r="H388" i="38"/>
  <c r="G388" i="38"/>
  <c r="G390" i="38" s="1"/>
  <c r="G213" i="38"/>
  <c r="H213" i="38"/>
  <c r="D200" i="38"/>
  <c r="G200" i="38" s="1"/>
  <c r="H45" i="38"/>
  <c r="G45" i="38"/>
  <c r="G186" i="38"/>
  <c r="H186" i="38"/>
  <c r="G492" i="38"/>
  <c r="H492" i="38"/>
  <c r="D249" i="38"/>
  <c r="H249" i="38" s="1"/>
  <c r="I249" i="38" s="1"/>
  <c r="G248" i="38"/>
  <c r="I248" i="38" s="1"/>
  <c r="G330" i="38"/>
  <c r="H330" i="38"/>
  <c r="D486" i="38"/>
  <c r="G484" i="38"/>
  <c r="I484" i="38" s="1"/>
  <c r="D487" i="38"/>
  <c r="I154" i="38"/>
  <c r="G242" i="38"/>
  <c r="I242" i="38" s="1"/>
  <c r="H242" i="38"/>
  <c r="H134" i="38"/>
  <c r="H481" i="38"/>
  <c r="G481" i="38"/>
  <c r="I498" i="38"/>
  <c r="I505" i="38" s="1"/>
  <c r="H505" i="38"/>
  <c r="I485" i="38"/>
  <c r="I110" i="38"/>
  <c r="G483" i="38"/>
  <c r="H483" i="38"/>
  <c r="I233" i="38"/>
  <c r="G476" i="38"/>
  <c r="I450" i="38"/>
  <c r="I476" i="38" s="1"/>
  <c r="I477" i="38" s="1"/>
  <c r="H342" i="38"/>
  <c r="G342" i="38"/>
  <c r="D240" i="38"/>
  <c r="H239" i="38"/>
  <c r="G239" i="38"/>
  <c r="I239" i="38" s="1"/>
  <c r="G138" i="38"/>
  <c r="H138" i="38"/>
  <c r="H353" i="38"/>
  <c r="G353" i="38"/>
  <c r="G148" i="38"/>
  <c r="I148" i="38" s="1"/>
  <c r="I161" i="38"/>
  <c r="I397" i="38"/>
  <c r="I205" i="38"/>
  <c r="I155" i="38"/>
  <c r="I184" i="38"/>
  <c r="H108" i="38"/>
  <c r="G108" i="38"/>
  <c r="G88" i="38"/>
  <c r="H88" i="38"/>
  <c r="I159" i="38"/>
  <c r="I212" i="38"/>
  <c r="H169" i="38"/>
  <c r="G169" i="38"/>
  <c r="G24" i="38"/>
  <c r="H24" i="38"/>
  <c r="D328" i="38"/>
  <c r="D331" i="38"/>
  <c r="D326" i="38"/>
  <c r="I38" i="38"/>
  <c r="I400" i="38"/>
  <c r="G404" i="38"/>
  <c r="H404" i="38"/>
  <c r="I89" i="38"/>
  <c r="I80" i="38"/>
  <c r="H165" i="38"/>
  <c r="G165" i="38"/>
  <c r="I362" i="38"/>
  <c r="D179" i="38"/>
  <c r="G71" i="38"/>
  <c r="I71" i="38" s="1"/>
  <c r="H33" i="38"/>
  <c r="H36" i="38"/>
  <c r="I36" i="38" s="1"/>
  <c r="G68" i="38"/>
  <c r="I68" i="38" s="1"/>
  <c r="H72" i="38"/>
  <c r="G100" i="38"/>
  <c r="I100" i="38" s="1"/>
  <c r="H101" i="38"/>
  <c r="I101" i="38" s="1"/>
  <c r="H109" i="38"/>
  <c r="I109" i="38" s="1"/>
  <c r="H215" i="38"/>
  <c r="I215" i="38" s="1"/>
  <c r="G349" i="38"/>
  <c r="I349" i="38" s="1"/>
  <c r="H376" i="38"/>
  <c r="I376" i="38" s="1"/>
  <c r="G401" i="38"/>
  <c r="H409" i="38"/>
  <c r="I409" i="38" s="1"/>
  <c r="G49" i="38"/>
  <c r="I49" i="38" s="1"/>
  <c r="G33" i="38"/>
  <c r="H185" i="38"/>
  <c r="G406" i="38"/>
  <c r="I626" i="37"/>
  <c r="D715" i="37"/>
  <c r="H715" i="37" s="1"/>
  <c r="I715" i="37" s="1"/>
  <c r="I655" i="37"/>
  <c r="G247" i="37"/>
  <c r="I247" i="37" s="1"/>
  <c r="G80" i="37"/>
  <c r="I80" i="37" s="1"/>
  <c r="H388" i="37"/>
  <c r="H432" i="37"/>
  <c r="I432" i="37" s="1"/>
  <c r="I386" i="37"/>
  <c r="D434" i="37"/>
  <c r="H434" i="37" s="1"/>
  <c r="I434" i="37" s="1"/>
  <c r="G474" i="37"/>
  <c r="I65" i="37"/>
  <c r="I514" i="37"/>
  <c r="D249" i="37"/>
  <c r="H249" i="37" s="1"/>
  <c r="I249" i="37" s="1"/>
  <c r="H416" i="37"/>
  <c r="G690" i="37"/>
  <c r="I690" i="37" s="1"/>
  <c r="D81" i="37"/>
  <c r="H81" i="37" s="1"/>
  <c r="I81" i="37" s="1"/>
  <c r="G503" i="37"/>
  <c r="H451" i="37"/>
  <c r="I451" i="37" s="1"/>
  <c r="I257" i="37"/>
  <c r="I263" i="37"/>
  <c r="D317" i="37"/>
  <c r="D318" i="37" s="1"/>
  <c r="H318" i="37" s="1"/>
  <c r="I318" i="37" s="1"/>
  <c r="G388" i="37"/>
  <c r="I268" i="37"/>
  <c r="H225" i="37"/>
  <c r="I225" i="37" s="1"/>
  <c r="D280" i="37"/>
  <c r="H280" i="37" s="1"/>
  <c r="I280" i="37" s="1"/>
  <c r="D279" i="37"/>
  <c r="H279" i="37" s="1"/>
  <c r="I279" i="37" s="1"/>
  <c r="I526" i="37"/>
  <c r="I387" i="37"/>
  <c r="I412" i="37"/>
  <c r="I416" i="37" s="1"/>
  <c r="I417" i="37" s="1"/>
  <c r="I282" i="37"/>
  <c r="I524" i="37"/>
  <c r="I552" i="37"/>
  <c r="I752" i="37"/>
  <c r="I200" i="37"/>
  <c r="I385" i="37"/>
  <c r="I536" i="37"/>
  <c r="D671" i="37"/>
  <c r="G671" i="37" s="1"/>
  <c r="I671" i="37" s="1"/>
  <c r="G658" i="37"/>
  <c r="I658" i="37" s="1"/>
  <c r="H478" i="37"/>
  <c r="I478" i="37" s="1"/>
  <c r="D479" i="37"/>
  <c r="H479" i="37" s="1"/>
  <c r="I479" i="37" s="1"/>
  <c r="L604" i="37"/>
  <c r="I605" i="37"/>
  <c r="H409" i="37"/>
  <c r="I425" i="37"/>
  <c r="G441" i="37"/>
  <c r="G27" i="37"/>
  <c r="I27" i="37" s="1"/>
  <c r="D34" i="37"/>
  <c r="H34" i="37" s="1"/>
  <c r="I34" i="37" s="1"/>
  <c r="D375" i="37"/>
  <c r="D750" i="37"/>
  <c r="H750" i="37" s="1"/>
  <c r="I750" i="37" s="1"/>
  <c r="G749" i="37"/>
  <c r="I749" i="37" s="1"/>
  <c r="I495" i="37"/>
  <c r="I402" i="37"/>
  <c r="I603" i="37"/>
  <c r="H259" i="37"/>
  <c r="I496" i="37"/>
  <c r="H503" i="37"/>
  <c r="I239" i="37"/>
  <c r="I398" i="37"/>
  <c r="G409" i="37"/>
  <c r="I82" i="37"/>
  <c r="I133" i="37"/>
  <c r="H193" i="37"/>
  <c r="I150" i="37"/>
  <c r="G192" i="37"/>
  <c r="G224" i="37"/>
  <c r="I199" i="37"/>
  <c r="I92" i="37"/>
  <c r="I449" i="37"/>
  <c r="I311" i="37"/>
  <c r="I24" i="37"/>
  <c r="G492" i="37"/>
  <c r="I490" i="37"/>
  <c r="I423" i="37"/>
  <c r="I259" i="37"/>
  <c r="G416" i="37"/>
  <c r="G302" i="37"/>
  <c r="D304" i="37"/>
  <c r="H304" i="37" s="1"/>
  <c r="I304" i="37" s="1"/>
  <c r="L774" i="37"/>
  <c r="I38" i="36" l="1"/>
  <c r="I19" i="36"/>
  <c r="I49" i="33"/>
  <c r="J759" i="33"/>
  <c r="F7" i="35"/>
  <c r="F20" i="35" s="1"/>
  <c r="F22" i="35" s="1"/>
  <c r="I759" i="33"/>
  <c r="I814" i="36"/>
  <c r="I767" i="31"/>
  <c r="I10" i="31"/>
  <c r="I9" i="31" s="1"/>
  <c r="I768" i="31"/>
  <c r="G51" i="36"/>
  <c r="H55" i="36"/>
  <c r="H823" i="36" s="1"/>
  <c r="H825" i="36" s="1"/>
  <c r="D20" i="35"/>
  <c r="G7" i="35"/>
  <c r="J727" i="32"/>
  <c r="I727" i="32"/>
  <c r="E7" i="35"/>
  <c r="E20" i="35" s="1"/>
  <c r="E22" i="35" s="1"/>
  <c r="I29" i="16"/>
  <c r="G53" i="16"/>
  <c r="I26" i="16"/>
  <c r="H57" i="16"/>
  <c r="H778" i="16" s="1"/>
  <c r="H780" i="16" s="1"/>
  <c r="H54" i="16"/>
  <c r="I54" i="16" s="1"/>
  <c r="I42" i="38"/>
  <c r="G489" i="38"/>
  <c r="I489" i="38" s="1"/>
  <c r="G223" i="38"/>
  <c r="I223" i="38" s="1"/>
  <c r="H223" i="38"/>
  <c r="H41" i="38"/>
  <c r="G41" i="38"/>
  <c r="I185" i="38"/>
  <c r="G149" i="38"/>
  <c r="I149" i="38" s="1"/>
  <c r="H322" i="38"/>
  <c r="G322" i="38"/>
  <c r="H25" i="38"/>
  <c r="G25" i="38"/>
  <c r="H173" i="38"/>
  <c r="G173" i="38"/>
  <c r="I173" i="38" s="1"/>
  <c r="I33" i="38"/>
  <c r="D377" i="38"/>
  <c r="D379" i="38" s="1"/>
  <c r="H418" i="38"/>
  <c r="G482" i="38"/>
  <c r="H482" i="38"/>
  <c r="I45" i="38"/>
  <c r="I418" i="38"/>
  <c r="I419" i="38" s="1"/>
  <c r="G418" i="38"/>
  <c r="I87" i="38"/>
  <c r="I137" i="38"/>
  <c r="D82" i="38"/>
  <c r="I483" i="38"/>
  <c r="H151" i="38"/>
  <c r="I151" i="38" s="1"/>
  <c r="H18" i="38"/>
  <c r="G18" i="38"/>
  <c r="G364" i="38"/>
  <c r="I364" i="38" s="1"/>
  <c r="G332" i="38"/>
  <c r="H332" i="38"/>
  <c r="D435" i="38"/>
  <c r="H434" i="38"/>
  <c r="G434" i="38"/>
  <c r="D436" i="38"/>
  <c r="G81" i="38"/>
  <c r="I81" i="38" s="1"/>
  <c r="D83" i="38"/>
  <c r="H47" i="38"/>
  <c r="G47" i="38"/>
  <c r="G178" i="38"/>
  <c r="H178" i="38"/>
  <c r="G85" i="38"/>
  <c r="H85" i="38"/>
  <c r="I153" i="38"/>
  <c r="G176" i="38"/>
  <c r="H176" i="38"/>
  <c r="H93" i="38"/>
  <c r="G93" i="38"/>
  <c r="G408" i="38"/>
  <c r="H408" i="38"/>
  <c r="H20" i="38"/>
  <c r="G20" i="38"/>
  <c r="I147" i="38"/>
  <c r="G82" i="38"/>
  <c r="H82" i="38"/>
  <c r="I82" i="38" s="1"/>
  <c r="G65" i="38"/>
  <c r="H65" i="38"/>
  <c r="H28" i="38"/>
  <c r="D35" i="38"/>
  <c r="G28" i="38"/>
  <c r="I213" i="38"/>
  <c r="G187" i="38"/>
  <c r="H187" i="38"/>
  <c r="I315" i="38"/>
  <c r="I322" i="38" s="1"/>
  <c r="I323" i="38" s="1"/>
  <c r="I165" i="38"/>
  <c r="H411" i="38"/>
  <c r="I88" i="38"/>
  <c r="G235" i="38"/>
  <c r="H235" i="38"/>
  <c r="I493" i="38"/>
  <c r="I48" i="38"/>
  <c r="I401" i="38"/>
  <c r="G411" i="38"/>
  <c r="G179" i="38"/>
  <c r="H179" i="38"/>
  <c r="H328" i="38"/>
  <c r="G328" i="38"/>
  <c r="I24" i="38"/>
  <c r="I138" i="38"/>
  <c r="I506" i="38"/>
  <c r="I134" i="38"/>
  <c r="I330" i="38"/>
  <c r="I72" i="38"/>
  <c r="G334" i="38"/>
  <c r="H334" i="38"/>
  <c r="I404" i="38"/>
  <c r="I169" i="38"/>
  <c r="I353" i="38"/>
  <c r="I342" i="38"/>
  <c r="G487" i="38"/>
  <c r="H487" i="38"/>
  <c r="H335" i="38"/>
  <c r="G335" i="38"/>
  <c r="G135" i="38"/>
  <c r="H135" i="38"/>
  <c r="H326" i="38"/>
  <c r="G326" i="38"/>
  <c r="H377" i="38"/>
  <c r="I186" i="38"/>
  <c r="I200" i="38"/>
  <c r="H390" i="38"/>
  <c r="I388" i="38"/>
  <c r="I390" i="38" s="1"/>
  <c r="I391" i="38" s="1"/>
  <c r="I133" i="38"/>
  <c r="G331" i="38"/>
  <c r="H331" i="38"/>
  <c r="I108" i="38"/>
  <c r="H240" i="38"/>
  <c r="G240" i="38"/>
  <c r="I481" i="38"/>
  <c r="G486" i="38"/>
  <c r="H486" i="38"/>
  <c r="I492" i="38"/>
  <c r="H226" i="38"/>
  <c r="G250" i="37"/>
  <c r="I503" i="37"/>
  <c r="H442" i="37"/>
  <c r="I442" i="37" s="1"/>
  <c r="G119" i="37"/>
  <c r="G121" i="37" s="1"/>
  <c r="I121" i="37" s="1"/>
  <c r="H474" i="37"/>
  <c r="I474" i="37"/>
  <c r="I475" i="37" s="1"/>
  <c r="D319" i="37"/>
  <c r="H319" i="37" s="1"/>
  <c r="I319" i="37" s="1"/>
  <c r="I388" i="37"/>
  <c r="I389" i="37" s="1"/>
  <c r="H228" i="37"/>
  <c r="H120" i="37"/>
  <c r="I120" i="37" s="1"/>
  <c r="I409" i="37"/>
  <c r="I410" i="37" s="1"/>
  <c r="H251" i="37"/>
  <c r="H254" i="37" s="1"/>
  <c r="G317" i="37"/>
  <c r="I317" i="37" s="1"/>
  <c r="H492" i="37"/>
  <c r="G51" i="37"/>
  <c r="G53" i="37" s="1"/>
  <c r="I53" i="37" s="1"/>
  <c r="G320" i="37"/>
  <c r="H55" i="37"/>
  <c r="I492" i="37"/>
  <c r="I493" i="37" s="1"/>
  <c r="G253" i="37"/>
  <c r="I253" i="37" s="1"/>
  <c r="G252" i="37"/>
  <c r="I252" i="37" s="1"/>
  <c r="I250" i="37"/>
  <c r="I441" i="37"/>
  <c r="G445" i="37"/>
  <c r="H52" i="37"/>
  <c r="I52" i="37" s="1"/>
  <c r="D376" i="37"/>
  <c r="H376" i="37" s="1"/>
  <c r="G375" i="37"/>
  <c r="D377" i="37"/>
  <c r="H377" i="37" s="1"/>
  <c r="I377" i="37" s="1"/>
  <c r="H305" i="37"/>
  <c r="G194" i="37"/>
  <c r="I194" i="37" s="1"/>
  <c r="I192" i="37"/>
  <c r="G195" i="37"/>
  <c r="I195" i="37" s="1"/>
  <c r="G305" i="37"/>
  <c r="I302" i="37"/>
  <c r="I305" i="37" s="1"/>
  <c r="I306" i="37" s="1"/>
  <c r="H123" i="37"/>
  <c r="I504" i="37"/>
  <c r="G226" i="37"/>
  <c r="I226" i="37" s="1"/>
  <c r="G227" i="37"/>
  <c r="I227" i="37" s="1"/>
  <c r="I224" i="37"/>
  <c r="H196" i="37"/>
  <c r="I193" i="37"/>
  <c r="I41" i="38" l="1"/>
  <c r="I728" i="32"/>
  <c r="I729" i="32"/>
  <c r="I10" i="32"/>
  <c r="I9" i="32" s="1"/>
  <c r="G55" i="36"/>
  <c r="G823" i="36" s="1"/>
  <c r="G825" i="36" s="1"/>
  <c r="I51" i="36"/>
  <c r="I55" i="36" s="1"/>
  <c r="G54" i="37"/>
  <c r="I54" i="37" s="1"/>
  <c r="G55" i="16"/>
  <c r="I55" i="16" s="1"/>
  <c r="G56" i="16"/>
  <c r="I56" i="16" s="1"/>
  <c r="I53" i="16"/>
  <c r="I761" i="33"/>
  <c r="I10" i="33"/>
  <c r="I9" i="33" s="1"/>
  <c r="I760" i="33"/>
  <c r="I51" i="37"/>
  <c r="D22" i="35"/>
  <c r="G20" i="35"/>
  <c r="G22" i="35" s="1"/>
  <c r="G225" i="38"/>
  <c r="I28" i="38"/>
  <c r="I187" i="38"/>
  <c r="I47" i="38"/>
  <c r="I25" i="38"/>
  <c r="D378" i="38"/>
  <c r="G377" i="38"/>
  <c r="I377" i="38" s="1"/>
  <c r="G193" i="38"/>
  <c r="I193" i="38" s="1"/>
  <c r="I20" i="38"/>
  <c r="I93" i="38"/>
  <c r="I18" i="38"/>
  <c r="I332" i="38"/>
  <c r="G494" i="38"/>
  <c r="I482" i="38"/>
  <c r="I178" i="38"/>
  <c r="I176" i="38"/>
  <c r="H83" i="38"/>
  <c r="I83" i="38" s="1"/>
  <c r="G83" i="38"/>
  <c r="G120" i="38" s="1"/>
  <c r="G124" i="38" s="1"/>
  <c r="I434" i="38"/>
  <c r="I240" i="38"/>
  <c r="I334" i="38"/>
  <c r="G435" i="38"/>
  <c r="H435" i="38"/>
  <c r="H436" i="38"/>
  <c r="G436" i="38"/>
  <c r="I335" i="38"/>
  <c r="I235" i="38"/>
  <c r="I821" i="38" s="1"/>
  <c r="G821" i="38" s="1"/>
  <c r="I85" i="38"/>
  <c r="I331" i="38"/>
  <c r="I179" i="38"/>
  <c r="H35" i="38"/>
  <c r="G35" i="38"/>
  <c r="H194" i="38"/>
  <c r="I194" i="38" s="1"/>
  <c r="I486" i="38"/>
  <c r="H252" i="38"/>
  <c r="H255" i="38" s="1"/>
  <c r="I487" i="38"/>
  <c r="I65" i="38"/>
  <c r="I408" i="38"/>
  <c r="I411" i="38" s="1"/>
  <c r="I412" i="38" s="1"/>
  <c r="I252" i="38"/>
  <c r="H229" i="38"/>
  <c r="I226" i="38"/>
  <c r="H494" i="38"/>
  <c r="G251" i="38"/>
  <c r="G229" i="38"/>
  <c r="I225" i="38"/>
  <c r="G379" i="38"/>
  <c r="H379" i="38"/>
  <c r="I379" i="38" s="1"/>
  <c r="I135" i="38"/>
  <c r="I328" i="38"/>
  <c r="H378" i="38"/>
  <c r="I378" i="38" s="1"/>
  <c r="G378" i="38"/>
  <c r="I326" i="38"/>
  <c r="I251" i="37"/>
  <c r="G122" i="37"/>
  <c r="I122" i="37" s="1"/>
  <c r="I320" i="37"/>
  <c r="I321" i="37" s="1"/>
  <c r="I119" i="37"/>
  <c r="I123" i="37" s="1"/>
  <c r="I124" i="37" s="1"/>
  <c r="H320" i="37"/>
  <c r="H445" i="37"/>
  <c r="I228" i="37"/>
  <c r="I229" i="37" s="1"/>
  <c r="I254" i="37"/>
  <c r="I255" i="37" s="1"/>
  <c r="I375" i="37"/>
  <c r="G378" i="37"/>
  <c r="I376" i="37"/>
  <c r="H379" i="37"/>
  <c r="I445" i="37"/>
  <c r="I446" i="37" s="1"/>
  <c r="G254" i="37"/>
  <c r="I196" i="37"/>
  <c r="I197" i="37" s="1"/>
  <c r="I55" i="37"/>
  <c r="I56" i="37" s="1"/>
  <c r="G228" i="37"/>
  <c r="G196" i="37"/>
  <c r="G123" i="37"/>
  <c r="G55" i="37"/>
  <c r="G57" i="16" l="1"/>
  <c r="G778" i="16" s="1"/>
  <c r="G780" i="16" s="1"/>
  <c r="I57" i="16"/>
  <c r="I56" i="36"/>
  <c r="I823" i="36"/>
  <c r="G197" i="38"/>
  <c r="I436" i="38"/>
  <c r="G443" i="38"/>
  <c r="I443" i="38" s="1"/>
  <c r="H197" i="38"/>
  <c r="I120" i="38"/>
  <c r="I435" i="38"/>
  <c r="G447" i="38"/>
  <c r="H381" i="38"/>
  <c r="I381" i="38" s="1"/>
  <c r="H444" i="38"/>
  <c r="G380" i="38"/>
  <c r="I380" i="38" s="1"/>
  <c r="I197" i="38"/>
  <c r="I198" i="38" s="1"/>
  <c r="I494" i="38"/>
  <c r="I495" i="38" s="1"/>
  <c r="H121" i="38"/>
  <c r="I35" i="38"/>
  <c r="G52" i="38"/>
  <c r="H56" i="38"/>
  <c r="H53" i="38"/>
  <c r="I53" i="38" s="1"/>
  <c r="G384" i="38"/>
  <c r="I251" i="38"/>
  <c r="I255" i="38" s="1"/>
  <c r="I256" i="38" s="1"/>
  <c r="G255" i="38"/>
  <c r="I229" i="38"/>
  <c r="I230" i="38" s="1"/>
  <c r="G380" i="37"/>
  <c r="I380" i="37" s="1"/>
  <c r="I378" i="37"/>
  <c r="G381" i="37"/>
  <c r="I381" i="37" s="1"/>
  <c r="H382" i="37"/>
  <c r="H776" i="37" s="1"/>
  <c r="H778" i="37" s="1"/>
  <c r="I379" i="37"/>
  <c r="I825" i="36" l="1"/>
  <c r="I10" i="36"/>
  <c r="I9" i="36" s="1"/>
  <c r="I824" i="36"/>
  <c r="H7" i="35"/>
  <c r="I778" i="16"/>
  <c r="I58" i="16"/>
  <c r="H384" i="38"/>
  <c r="H124" i="38"/>
  <c r="I121" i="38"/>
  <c r="I124" i="38" s="1"/>
  <c r="I125" i="38" s="1"/>
  <c r="H447" i="38"/>
  <c r="I444" i="38"/>
  <c r="I447" i="38" s="1"/>
  <c r="I448" i="38" s="1"/>
  <c r="I52" i="38"/>
  <c r="I56" i="38" s="1"/>
  <c r="I57" i="38" s="1"/>
  <c r="G56" i="38"/>
  <c r="G830" i="38" s="1"/>
  <c r="G832" i="38" s="1"/>
  <c r="I384" i="38"/>
  <c r="G382" i="37"/>
  <c r="G776" i="37" s="1"/>
  <c r="G778" i="37" s="1"/>
  <c r="I382" i="37"/>
  <c r="H20" i="35" l="1"/>
  <c r="H22" i="35" s="1"/>
  <c r="I780" i="16"/>
  <c r="I10" i="16"/>
  <c r="I9" i="16" s="1"/>
  <c r="I779" i="16"/>
  <c r="K778" i="16"/>
  <c r="H830" i="38"/>
  <c r="H832" i="38" s="1"/>
  <c r="I385" i="38"/>
  <c r="I830" i="38"/>
  <c r="I776" i="37"/>
  <c r="I383" i="37"/>
  <c r="I10" i="38" l="1"/>
  <c r="I831" i="38"/>
  <c r="I832" i="38"/>
  <c r="I10" i="37"/>
  <c r="I777" i="37"/>
  <c r="J777" i="37"/>
  <c r="K776" i="37"/>
  <c r="I778" i="37"/>
  <c r="I9" i="38" l="1"/>
  <c r="J9" i="38"/>
  <c r="I9" i="37"/>
  <c r="J10" i="37"/>
</calcChain>
</file>

<file path=xl/sharedStrings.xml><?xml version="1.0" encoding="utf-8"?>
<sst xmlns="http://schemas.openxmlformats.org/spreadsheetml/2006/main" count="15526" uniqueCount="1581">
  <si>
    <t>№ п/п</t>
  </si>
  <si>
    <t>Наименование работ</t>
  </si>
  <si>
    <t>ед. изм.</t>
  </si>
  <si>
    <t>кол-во</t>
  </si>
  <si>
    <t>стоимость ед. (руб.)</t>
  </si>
  <si>
    <t>Итого (руб.)</t>
  </si>
  <si>
    <t>Всего (руб.)</t>
  </si>
  <si>
    <t>работа</t>
  </si>
  <si>
    <t>м3</t>
  </si>
  <si>
    <t>т</t>
  </si>
  <si>
    <t>2.1.</t>
  </si>
  <si>
    <t>Пиломатериал</t>
  </si>
  <si>
    <t>шт</t>
  </si>
  <si>
    <t>Раствор М100</t>
  </si>
  <si>
    <t>м2</t>
  </si>
  <si>
    <t>кг</t>
  </si>
  <si>
    <t>Монтаж перемычек</t>
  </si>
  <si>
    <t>Сметная стоимость</t>
  </si>
  <si>
    <t>Разработка котлована:</t>
  </si>
  <si>
    <t>механизированная разработка грунта с погрузкой в автотранспорт экскаваторами</t>
  </si>
  <si>
    <t>Доработка грунта вручную</t>
  </si>
  <si>
    <t>Обратная засыпка местным грунтом:</t>
  </si>
  <si>
    <t>Гидроизоляция боковая обмазочная в 2слоя</t>
  </si>
  <si>
    <t>1.1.</t>
  </si>
  <si>
    <t>ВСЕГО ПО СМЕТЕ</t>
  </si>
  <si>
    <t>Кирпич керамический одинарный размером 250х120х65 мм, марка 100</t>
  </si>
  <si>
    <t>в т.ч. НДС18%</t>
  </si>
  <si>
    <t>Утепление наружных стен подвала</t>
  </si>
  <si>
    <t>Экструзионный пенополистирол Технониколь XPS т.100 мм</t>
  </si>
  <si>
    <t>м</t>
  </si>
  <si>
    <t>л</t>
  </si>
  <si>
    <t>Плёнка полиэтиленовая</t>
  </si>
  <si>
    <t>Керамзитовый гравий Y=600кг/м3</t>
  </si>
  <si>
    <t>мп</t>
  </si>
  <si>
    <t>Костыли КС</t>
  </si>
  <si>
    <t>Сливы парапетные</t>
  </si>
  <si>
    <t>Костыли КС1</t>
  </si>
  <si>
    <t>Установка дверей:</t>
  </si>
  <si>
    <t>Установка дверей противопожарных:</t>
  </si>
  <si>
    <t>Устройство люков:</t>
  </si>
  <si>
    <t>Квартиры</t>
  </si>
  <si>
    <t>Грунтовка</t>
  </si>
  <si>
    <t>Сухая штукатурная смесь</t>
  </si>
  <si>
    <t>Гидроизоляция полов санузлов</t>
  </si>
  <si>
    <t>Биполь</t>
  </si>
  <si>
    <t>Стяжка полов</t>
  </si>
  <si>
    <t>Укладка полиэтиленовой пленки по утеплителю</t>
  </si>
  <si>
    <t>Раствор цементно-песчаный М150</t>
  </si>
  <si>
    <t>Керамогранит Estima ST</t>
  </si>
  <si>
    <t xml:space="preserve">Клей для плитки </t>
  </si>
  <si>
    <t>Затирка</t>
  </si>
  <si>
    <t>Утеплитель Изол ФШ 150</t>
  </si>
  <si>
    <t>Сетка штукатурная</t>
  </si>
  <si>
    <t>Шпатлёвка стен (смесь сухая)</t>
  </si>
  <si>
    <t>Утеплитель изол ФШ 150</t>
  </si>
  <si>
    <t>ИТОГО по разделу "Устройство кровли":</t>
  </si>
  <si>
    <t>ИТОГО по разделу "Внутренние отделочные работы":</t>
  </si>
  <si>
    <t>ИТОГО по разделу "Отделка фасада":</t>
  </si>
  <si>
    <t>ИТОГО по разделу "Двери и люки":</t>
  </si>
  <si>
    <t>ИТОГО по разделу "Окна и витражи":</t>
  </si>
  <si>
    <t>ИТОГО по разделу "Устройство отмостки":</t>
  </si>
  <si>
    <t>ИТОГО по разделу "Электрооборудование и электроосвещение":</t>
  </si>
  <si>
    <t>ИТОГО по разделу "Внутренние В и К":</t>
  </si>
  <si>
    <t>ИТОГО по разделу "Газоснабжение":</t>
  </si>
  <si>
    <t>Доработка грунта механизированная способом</t>
  </si>
  <si>
    <t>Мастика битумная (2,5кг/м2)</t>
  </si>
  <si>
    <t>4.4</t>
  </si>
  <si>
    <t>Бетон В20F75W4 с доставкой</t>
  </si>
  <si>
    <t>Праймер битумный (0,35кг/м2)</t>
  </si>
  <si>
    <t>Устройство бетонной отмостки по засыпанному местному грунту</t>
  </si>
  <si>
    <t>Бетон В 7,5 т. 100 мм</t>
  </si>
  <si>
    <t>ИТОГО по разделу "Внутренняя отделка МОП":</t>
  </si>
  <si>
    <t>Раствор М100 с доставкой</t>
  </si>
  <si>
    <t>Бетон В7,5 W4F150 с доставкой</t>
  </si>
  <si>
    <t>Установка ящиков почтовых</t>
  </si>
  <si>
    <t xml:space="preserve">ящики почтовые </t>
  </si>
  <si>
    <t>16.1</t>
  </si>
  <si>
    <t>Установка газовых котлов с пусконаладкой</t>
  </si>
  <si>
    <t>16.2</t>
  </si>
  <si>
    <t>Установка радиаторов</t>
  </si>
  <si>
    <t>секц</t>
  </si>
  <si>
    <t>Радиаторы биметаллические FERT-500</t>
  </si>
  <si>
    <t>16.3</t>
  </si>
  <si>
    <t>Установка полотенцесушителей</t>
  </si>
  <si>
    <t>16.4</t>
  </si>
  <si>
    <t>Монтаж трубопроводов отопления из полипропиленовых труб</t>
  </si>
  <si>
    <t>Шаровый кран ф15</t>
  </si>
  <si>
    <t>воздухоотводчик автоматический</t>
  </si>
  <si>
    <t>неподвижные опоры</t>
  </si>
  <si>
    <t>Установка решеток жалюзийных</t>
  </si>
  <si>
    <t>труба ПВХ ф25</t>
  </si>
  <si>
    <t>металлоконструкции</t>
  </si>
  <si>
    <t>СИСТЕМА В1 ВЫШЕ ОТМ. 0.000</t>
  </si>
  <si>
    <t>Прокладка трубопроводов из оцинкованных труб</t>
  </si>
  <si>
    <t>труба  ВГП оцинкованная ф15</t>
  </si>
  <si>
    <t>Прокладка трубопроводов из полипропиленовых труб</t>
  </si>
  <si>
    <t>труба полипропиленовая ф20х1,9</t>
  </si>
  <si>
    <t>труба полипропиленовая ф25х2,3</t>
  </si>
  <si>
    <t>труба полипропиленовая ф32х2,9</t>
  </si>
  <si>
    <t>кран шаровый полипропиленовый ф25</t>
  </si>
  <si>
    <t>кран шаровый полипропиленовый ф20</t>
  </si>
  <si>
    <t>Изоляция трубопроводов</t>
  </si>
  <si>
    <t>Установка счетчиков с фильтрами</t>
  </si>
  <si>
    <t>счетчик СХВ-15</t>
  </si>
  <si>
    <t>фильтр ФММ-15</t>
  </si>
  <si>
    <t>Установка кранов пожарных</t>
  </si>
  <si>
    <t>устройство внутриквартирного пожаротушения "Роса"</t>
  </si>
  <si>
    <t>фасонные части (углы, тройники, отводы, муфты, клипсы)</t>
  </si>
  <si>
    <t>СИСТЕМА Т3 ВЫШЕ ОТМ. 0.000</t>
  </si>
  <si>
    <t>труба полипропиленовая армированная ф20х3,4</t>
  </si>
  <si>
    <t>Прокладка трубопроводов из полипропиленовых армированных труб</t>
  </si>
  <si>
    <t>СИСТЕМА К1 ВЫШЕ ОТМ. 0.000</t>
  </si>
  <si>
    <t>Прокладка трубопроводов из пластмассовых труб</t>
  </si>
  <si>
    <t>труба пластмассовая канализационная ф50</t>
  </si>
  <si>
    <t>труба пластмассовая канализационная ф100</t>
  </si>
  <si>
    <t>ревизия ф100</t>
  </si>
  <si>
    <t>муфта противопожарная ф100</t>
  </si>
  <si>
    <t>СИСТЕМА К2 ВЫШЕ ОТМ. 0.000</t>
  </si>
  <si>
    <t>воронка водосточная ф100</t>
  </si>
  <si>
    <t>труба полипропиленовая ф63х5,8</t>
  </si>
  <si>
    <t>СИСТЕМА В1 НИЖЕ ОТМ. 0.000</t>
  </si>
  <si>
    <t>кран шаровый муфтовый ф15</t>
  </si>
  <si>
    <t>трубка "ТИЛИТ" Супер</t>
  </si>
  <si>
    <t>Установка кранов поливочных</t>
  </si>
  <si>
    <t>вентиль запорный муфтовый латунный ф15</t>
  </si>
  <si>
    <t>рукав резинотканевый 20м</t>
  </si>
  <si>
    <t>ВОДОМЕРНЫЙ УЗЕЛ</t>
  </si>
  <si>
    <t>Водомерный узел</t>
  </si>
  <si>
    <t>фильтр ФМФ-50</t>
  </si>
  <si>
    <t>Задвижка чугунная фланцевая ф50мм</t>
  </si>
  <si>
    <t>кран трехходовой ф15мм</t>
  </si>
  <si>
    <t>манометр МП4-10</t>
  </si>
  <si>
    <t>фланец стальной ф50мм</t>
  </si>
  <si>
    <t>счетчик ВСХ-32</t>
  </si>
  <si>
    <t>СИСТЕМА К1 НИЖЕ ОТМ. 0.000</t>
  </si>
  <si>
    <t>прочистка ф100</t>
  </si>
  <si>
    <t>Прокладка трубопроводов из ВГП труб</t>
  </si>
  <si>
    <t>трубка "ТИЛИТ" Супер ф110</t>
  </si>
  <si>
    <t>Установка насоса</t>
  </si>
  <si>
    <t>насос ручной Н=30м</t>
  </si>
  <si>
    <t>СИСТЕМА К2 НИЖЕ ОТМ. 0.000</t>
  </si>
  <si>
    <t>Установка гидрозатвора</t>
  </si>
  <si>
    <t>гидрозатвор</t>
  </si>
  <si>
    <t>фланец стальной приварной ф100мм</t>
  </si>
  <si>
    <t>ОБОРУДОВАНИЕ НИЖЕ ОТМ. 0.000</t>
  </si>
  <si>
    <t>Прокладка электрических нагревательных кабелей</t>
  </si>
  <si>
    <t>кабель Elektra FreezeTec 12/42 42м, 504Вт</t>
  </si>
  <si>
    <t>самоклеящаяся алюминиевая лента</t>
  </si>
  <si>
    <t>ХОЗ.ПИТЬЕВОЙ ВОДОПРОВОД (НАРУЖНЫЕ СЕТИ)</t>
  </si>
  <si>
    <t>Установка затвора дискового</t>
  </si>
  <si>
    <t>дисковый поворотный затвор ф50 межфланцевый с ручкой</t>
  </si>
  <si>
    <t>Установка футляров</t>
  </si>
  <si>
    <t>Прокладка трубопроводов из полиэтиленовых труб</t>
  </si>
  <si>
    <t>Установка фасонных частей стальных</t>
  </si>
  <si>
    <t>15.1</t>
  </si>
  <si>
    <t>Монтаж шкафов</t>
  </si>
  <si>
    <t>Монтаж щитов</t>
  </si>
  <si>
    <t>15.2</t>
  </si>
  <si>
    <t>15.3</t>
  </si>
  <si>
    <t>Монтаж светильников наружного освещения</t>
  </si>
  <si>
    <t>Светильник ЖКУ05-100 с лампой ДНаТ-100</t>
  </si>
  <si>
    <t>Кронштейн для светильника КР-2</t>
  </si>
  <si>
    <t>Монтаж световых указателей</t>
  </si>
  <si>
    <t>Световой указатель номера дома</t>
  </si>
  <si>
    <t>Монтаж светильников</t>
  </si>
  <si>
    <t>Светильник ЛБА 3924А</t>
  </si>
  <si>
    <t>Монтаж внутреннего оборудования квартир</t>
  </si>
  <si>
    <t>Розетка потолочная + крюк для подвески светильника</t>
  </si>
  <si>
    <t>Звонок электрический с кнопкой</t>
  </si>
  <si>
    <t>Кабель ВВГнг-LS 3х2,5мм2</t>
  </si>
  <si>
    <t>Колодки клеммные</t>
  </si>
  <si>
    <t>Кабель ВВГнг-LS 3х6мм2</t>
  </si>
  <si>
    <t>Кабеленесущие конструкции</t>
  </si>
  <si>
    <t>компл</t>
  </si>
  <si>
    <t>трубка "ТИЛИТ" Супер ф110 2м</t>
  </si>
  <si>
    <t xml:space="preserve">трубка "ТИЛИТ" </t>
  </si>
  <si>
    <t>комплект для установки ВРУ</t>
  </si>
  <si>
    <t>ВНУТРИДОМОВОЙ ГАЗОПРОВОД</t>
  </si>
  <si>
    <t>Установка газовых счетчиков</t>
  </si>
  <si>
    <t>Установка СИКЗ</t>
  </si>
  <si>
    <t>СИКЗ-25</t>
  </si>
  <si>
    <t xml:space="preserve">Настенный газовый двухконтурный котел </t>
  </si>
  <si>
    <t>Краска акриловая</t>
  </si>
  <si>
    <t>Щит этажный на 3 квартиры ЩЭУ-3</t>
  </si>
  <si>
    <t>труба стальная эл.сварная Д=200х6мм</t>
  </si>
  <si>
    <t>Арматура кл.8 А-III</t>
  </si>
  <si>
    <t>Монолитные заделки</t>
  </si>
  <si>
    <t>Устройство ростверка</t>
  </si>
  <si>
    <t>Устройство примыканий кровли из наплавляемых материалов</t>
  </si>
  <si>
    <t>Щебень</t>
  </si>
  <si>
    <t>Битум</t>
  </si>
  <si>
    <t>Утепление стен тамбуров толщ. 80мм</t>
  </si>
  <si>
    <t>Утепление потолков тамбуров толщ. 80мм с зашивкой ГВЛ</t>
  </si>
  <si>
    <t>Рейка деревянная антисептированная 50х50</t>
  </si>
  <si>
    <t>Дюбель Д50-5/8</t>
  </si>
  <si>
    <t>Лист ГВЛ толщ 10мм</t>
  </si>
  <si>
    <t>Саморезы</t>
  </si>
  <si>
    <t>'Раздел 1. Земляные работы</t>
  </si>
  <si>
    <t>Электроды</t>
  </si>
  <si>
    <t>пиломатериал</t>
  </si>
  <si>
    <t>Заделка наружных швов</t>
  </si>
  <si>
    <t>Плиты ППЖ-200, h=50 мм</t>
  </si>
  <si>
    <t>Вилатерм д. 60</t>
  </si>
  <si>
    <t>п.м</t>
  </si>
  <si>
    <t>4.1</t>
  </si>
  <si>
    <t>4.2</t>
  </si>
  <si>
    <t>Монолитные участки</t>
  </si>
  <si>
    <t>4.3</t>
  </si>
  <si>
    <t>м.п.</t>
  </si>
  <si>
    <t>Гидроизол. боковая обмазочная в 2слоя цокольных панелей под засыпку</t>
  </si>
  <si>
    <t>3.2</t>
  </si>
  <si>
    <t>3.3</t>
  </si>
  <si>
    <t>3.4</t>
  </si>
  <si>
    <t>3.5</t>
  </si>
  <si>
    <t>Монтаж фундаментных блоков под вход</t>
  </si>
  <si>
    <t>Устройство основания под ростверк</t>
  </si>
  <si>
    <t>Кирпичная кладка (обкладка вентканалов)</t>
  </si>
  <si>
    <t>ИТОГО по разделу "Монтаж ЖБИ"</t>
  </si>
  <si>
    <t>Установка оконных блоков с подоконными досками и дверей балконных</t>
  </si>
  <si>
    <t>5.1</t>
  </si>
  <si>
    <t>5.9</t>
  </si>
  <si>
    <t>5.10</t>
  </si>
  <si>
    <t>5.11</t>
  </si>
  <si>
    <t>6.1</t>
  </si>
  <si>
    <t>6.2</t>
  </si>
  <si>
    <t>Двери входные в квартиру девянные ДУ21-10</t>
  </si>
  <si>
    <t>Двери внутренние остекленные ДО21-10(тамбур)</t>
  </si>
  <si>
    <t>Общая продаваемая площадь (м2)</t>
  </si>
  <si>
    <t xml:space="preserve">Грунтовка Weber.prim силикат грунт  (0,1 кг/м2) </t>
  </si>
  <si>
    <t>Утеплитель Изовер 150 мм</t>
  </si>
  <si>
    <t>Дюбель (12 шт/м2)</t>
  </si>
  <si>
    <t>Фасадный клей для армирования Weber therm МВ (6 кг/м2)</t>
  </si>
  <si>
    <t xml:space="preserve">Грунтовка кварцевая Weber.prim uni для армировочного слоя перед штукатуркой  (0,2 кг/м2) </t>
  </si>
  <si>
    <t>Сетка фасадная Алабуга 160 гр.  (1,1 м2/м2)</t>
  </si>
  <si>
    <t>Фасадный клей для армирования Weber therm S 100 (5 кг/м2)</t>
  </si>
  <si>
    <t>Уголок ПВХ (0,35 м/м2)</t>
  </si>
  <si>
    <t>Капельник ПВХ (0,05 м/м2)</t>
  </si>
  <si>
    <t xml:space="preserve">Weber.min 2,0 R декоративная штукатурка   (3 кг/м2) </t>
  </si>
  <si>
    <t xml:space="preserve">Краска фасадная силикатная Weber (0,45л/м2) </t>
  </si>
  <si>
    <t>10.1</t>
  </si>
  <si>
    <t>Песок</t>
  </si>
  <si>
    <t>трубы метал. Водопроводные(гильзы) ф40</t>
  </si>
  <si>
    <t>Труба защитная гофрированная (пешель) синяя д. 20 мм</t>
  </si>
  <si>
    <t>счетчик СГБ-2,5</t>
  </si>
  <si>
    <t>Клапан термозапорный КТЗ 001-25</t>
  </si>
  <si>
    <t>Газопровод  стальной</t>
  </si>
  <si>
    <t>стальная труба ф 32</t>
  </si>
  <si>
    <t>стальная труба ф 25</t>
  </si>
  <si>
    <t>стальная труба ф 20</t>
  </si>
  <si>
    <t>стальная труба ф 15</t>
  </si>
  <si>
    <t>Арматура</t>
  </si>
  <si>
    <t>кран шаровый  ф 25мм КШ 25р</t>
  </si>
  <si>
    <t>кран шаровый  ф 20мм КШ 20р</t>
  </si>
  <si>
    <t>кран шаровый  ф 15мм КШ 15р</t>
  </si>
  <si>
    <t>стальная труба ф 40 мм футляр</t>
  </si>
  <si>
    <t>отвод стальной 90гр ф 32 мм</t>
  </si>
  <si>
    <t>отвод стальной 90гр ф 25 мм</t>
  </si>
  <si>
    <t>Переход ф 25-15 мм</t>
  </si>
  <si>
    <t>Переход ф 32-25 мм</t>
  </si>
  <si>
    <t>Окраска газопровода</t>
  </si>
  <si>
    <t>Грунтовка ГФ-021</t>
  </si>
  <si>
    <t>Эмаль ПФ-115 (желтая)</t>
  </si>
  <si>
    <t>Монтаж коаксиального дымохода/воздуховода ф 60/100</t>
  </si>
  <si>
    <t>Вентиль термостатический RA-N-П ф 15 (данфосс)</t>
  </si>
  <si>
    <t>Вентиль термостатический RA-NСХ-П для полотенцесушителей ф 15 (данфосс)</t>
  </si>
  <si>
    <t>Термостатический элемент RA2940со встроенным датчиком (данфосс)</t>
  </si>
  <si>
    <t>Полотенцесушители из нержавеющей стали ф 25 мм</t>
  </si>
  <si>
    <t>Монтаж электроконвекторов на лестничной клетке и ниже 0,00</t>
  </si>
  <si>
    <t xml:space="preserve">Теплоизоляция КАN-therm с полимерной защитной пленкой </t>
  </si>
  <si>
    <t>Установка воздуховодов из оцинкованной листовой стали.</t>
  </si>
  <si>
    <t>Воздуховоды из оцинкованной листовой стали 200х150х0,5</t>
  </si>
  <si>
    <t>Воздуховоды из оцинкованной листовой стали 150х150х0,5</t>
  </si>
  <si>
    <t>решетка вентиляционная ВР-К 150х300h</t>
  </si>
  <si>
    <t>решетка вентиляционная ВР-К 100х250h</t>
  </si>
  <si>
    <t>решетка вентиляционная ВР-ГН 200х150h</t>
  </si>
  <si>
    <t>клапан приточный стеновой КПВ125</t>
  </si>
  <si>
    <t>Зонт вентиляционный прямоугольный 900х1600х125</t>
  </si>
  <si>
    <t>Зонт вентиляционный прямоугольный 900х1800х125</t>
  </si>
  <si>
    <t>Зонт вентиляционный прямоугольный 900х2880х125</t>
  </si>
  <si>
    <t>Изоляция воздуховодов</t>
  </si>
  <si>
    <t>Устройство песчанного основания под ростверк</t>
  </si>
  <si>
    <t>Песок строительный</t>
  </si>
  <si>
    <t>ВРУ1-22-53УХЛ4</t>
  </si>
  <si>
    <t>автомат 380В,50А</t>
  </si>
  <si>
    <t>Монтаж счетчиков</t>
  </si>
  <si>
    <t>счетчик 380/220В,60А, кл.1,0 (СЕ301)</t>
  </si>
  <si>
    <t>Ящик с понижающим трансформатором ЯТП-0,25 220/12-0-36 УХЛ4</t>
  </si>
  <si>
    <t>Патроны подвесные Е27Н12П-02</t>
  </si>
  <si>
    <t>Выключатель одноклавишный скрытый С16-053</t>
  </si>
  <si>
    <t>Выключатель двухклавишный скрытый С56-038</t>
  </si>
  <si>
    <t>Выключатель трехклавишный скрытый С0510-488</t>
  </si>
  <si>
    <t>Выключатель одноклавишный брызгозащищенный А14-100</t>
  </si>
  <si>
    <t>Розетка одноместная с з/к скрытая 10А/220В с защитной шторкой (РС10/16-514 УХЛ4)</t>
  </si>
  <si>
    <t>Розетка двухместная с з/к скрытая 10А/220В с защитной шторкой (2РС10/16-514 УХЛ4)</t>
  </si>
  <si>
    <t>Розетка одноместная с з/к скрытая 10А/250В с защитной шторкой (РА10-655)</t>
  </si>
  <si>
    <t>коробка ответвительная У 999 У2</t>
  </si>
  <si>
    <t>Кабель ВВГнг-LS 2х2,5мм2</t>
  </si>
  <si>
    <t>Провод ПВ1-1х2,5 мм2</t>
  </si>
  <si>
    <t>Провод ПВ1-1х6 мм2</t>
  </si>
  <si>
    <t>Провод ПВ1-1х4 мм2</t>
  </si>
  <si>
    <t>труба стальная ф. 25</t>
  </si>
  <si>
    <t>Светильник переносной 42В РВО-42У2</t>
  </si>
  <si>
    <t>полоса стальная 5х30 мм</t>
  </si>
  <si>
    <t>Средства защиты</t>
  </si>
  <si>
    <t>Боты диэлектрические</t>
  </si>
  <si>
    <t>ковер диэлектрический 75х76</t>
  </si>
  <si>
    <t>перчатки  диэлектрический латексные</t>
  </si>
  <si>
    <t>огнетушитель ОСП-1</t>
  </si>
  <si>
    <t>ИТОГО по разделу "Работа крана":</t>
  </si>
  <si>
    <t>Светильник НББ 64-60-047УХЛ4</t>
  </si>
  <si>
    <t>Комплектующие</t>
  </si>
  <si>
    <t>Кабель ВВГнг-LS 5х25мм2</t>
  </si>
  <si>
    <t>Заделка панельных швов</t>
  </si>
  <si>
    <t>8.1</t>
  </si>
  <si>
    <t>8.2</t>
  </si>
  <si>
    <t>9.1</t>
  </si>
  <si>
    <t>11.1</t>
  </si>
  <si>
    <t>12.1</t>
  </si>
  <si>
    <t>12.2</t>
  </si>
  <si>
    <t>13.1</t>
  </si>
  <si>
    <t>13.2</t>
  </si>
  <si>
    <t>13.3</t>
  </si>
  <si>
    <t>13.4</t>
  </si>
  <si>
    <t>13.5</t>
  </si>
  <si>
    <t>13.6</t>
  </si>
  <si>
    <t>14.1</t>
  </si>
  <si>
    <t>14.2</t>
  </si>
  <si>
    <t>14.3</t>
  </si>
  <si>
    <t>ИТОГО по разделу "Вентиляция":</t>
  </si>
  <si>
    <t>сифон-ревизия ф100</t>
  </si>
  <si>
    <t xml:space="preserve">кран шаровой </t>
  </si>
  <si>
    <t>16.5</t>
  </si>
  <si>
    <t>Утеплитель  "Пенополистерол ПСБ-25"</t>
  </si>
  <si>
    <t xml:space="preserve">Теплоизоляция полов 1 этажа толщ.50мм </t>
  </si>
  <si>
    <t>Сетка арматурная 4С Вр 100х100</t>
  </si>
  <si>
    <t xml:space="preserve">Устройство стяжки  толщ. 70мм </t>
  </si>
  <si>
    <t>Полиэтиленовая пленка</t>
  </si>
  <si>
    <t>Устройство стяжки армированной толщ. 70мм на 1 этаже</t>
  </si>
  <si>
    <t>17.1</t>
  </si>
  <si>
    <t>материалы</t>
  </si>
  <si>
    <t>м/ч</t>
  </si>
  <si>
    <t>Работа крана</t>
  </si>
  <si>
    <t>Стоимость 1 м2</t>
  </si>
  <si>
    <t>квартир=</t>
  </si>
  <si>
    <t>Светильник ЛПО 3018</t>
  </si>
  <si>
    <t>Светильник НББ 02-60-184</t>
  </si>
  <si>
    <t>Наружная отделка  стен дома  (мокрый фасад) без утепления</t>
  </si>
  <si>
    <t>8.3</t>
  </si>
  <si>
    <t>Шаровый кран ф 20</t>
  </si>
  <si>
    <t>4.5</t>
  </si>
  <si>
    <t>Перевозка ЖБИ</t>
  </si>
  <si>
    <t>Козырьки входа</t>
  </si>
  <si>
    <t>Наружная отделка  стен дома  (мокрый фасад) с вентканалами.</t>
  </si>
  <si>
    <t xml:space="preserve"> Коаксиальный дымоход/воздуховод</t>
  </si>
  <si>
    <t>Раздел 2. Устройство свайного поля</t>
  </si>
  <si>
    <t>Забивка свай</t>
  </si>
  <si>
    <t>сваи С90.30-9у</t>
  </si>
  <si>
    <t>Срубка свай</t>
  </si>
  <si>
    <t>Каркасы арматурные, закладные детали</t>
  </si>
  <si>
    <t>ФБС24.4.6</t>
  </si>
  <si>
    <t xml:space="preserve">ФБС9.4.6 </t>
  </si>
  <si>
    <t>1ПБ13-1</t>
  </si>
  <si>
    <t>Кирпичная кладка входа в техподполье</t>
  </si>
  <si>
    <t>Монтаж опор водомерного узла</t>
  </si>
  <si>
    <t xml:space="preserve">Опора для водомерного узла </t>
  </si>
  <si>
    <t xml:space="preserve">арматура д. 6 мм А240 </t>
  </si>
  <si>
    <t xml:space="preserve">каркас плоский </t>
  </si>
  <si>
    <t>Кирпичная кладка выхода на кровлю</t>
  </si>
  <si>
    <t>Закладные детали</t>
  </si>
  <si>
    <t>1 ПБ13-1</t>
  </si>
  <si>
    <t>Пеноплекс</t>
  </si>
  <si>
    <t>Металлическая лестница</t>
  </si>
  <si>
    <t>Монтаж ограждений лоджий</t>
  </si>
  <si>
    <t>ОЛМ-1</t>
  </si>
  <si>
    <t>ОЛМ-2</t>
  </si>
  <si>
    <t>Монтаж ограждений лестничных маршей</t>
  </si>
  <si>
    <t>Монтаж конструкций козырька входа</t>
  </si>
  <si>
    <t>угол 63*6</t>
  </si>
  <si>
    <t>угол 50*6</t>
  </si>
  <si>
    <t>Сайдинг</t>
  </si>
  <si>
    <t>Устройство монолитных ступеней и площадки</t>
  </si>
  <si>
    <t>Устройство железобетонной лестницы</t>
  </si>
  <si>
    <t>швел. 24</t>
  </si>
  <si>
    <t>швел. 16</t>
  </si>
  <si>
    <t>Монтаж лестничных ступеней</t>
  </si>
  <si>
    <t>ЛС 12-Б</t>
  </si>
  <si>
    <t>Монтаж откидного пандуса</t>
  </si>
  <si>
    <t>Кирпичная кладка перегородок водомерного узла и приямка</t>
  </si>
  <si>
    <t xml:space="preserve">Двери входные наружные ДМ21-13 </t>
  </si>
  <si>
    <t>Двери входные наружные ДН21-13щп</t>
  </si>
  <si>
    <t>Двери противопожарные межсекцион ДПМл (EI 60) 1500х1010</t>
  </si>
  <si>
    <t>Двери противопожарные  ДПМл (EI 60) 1800х910( выход на улицу)</t>
  </si>
  <si>
    <t>Двери противопожарные  ДПМ16-9г ( водомерный узел)</t>
  </si>
  <si>
    <t>Люк ЛПМ -60 (800*700)</t>
  </si>
  <si>
    <t xml:space="preserve">Слив кровельный </t>
  </si>
  <si>
    <t>Слив кровельный ( фартук)</t>
  </si>
  <si>
    <t>Устройство парапетных свесов и фартуков:</t>
  </si>
  <si>
    <t>Устройство ограждения кровли</t>
  </si>
  <si>
    <t>Металлическое ограждение кровли</t>
  </si>
  <si>
    <t>Обделки вентканалов и выхода на кровлю:</t>
  </si>
  <si>
    <t>Нижний слой "Биполь"</t>
  </si>
  <si>
    <t>Верхний слой "Биполь"</t>
  </si>
  <si>
    <t>Устройство кровли с примыканием  из наплавляемых материалов</t>
  </si>
  <si>
    <t>Окраска плит лоджий</t>
  </si>
  <si>
    <t xml:space="preserve">Устройство подстилающего слоя из щебня, пропитанного битумом толщ. 40мм в  водомерном узле </t>
  </si>
  <si>
    <t>Подготовка под полы из бетона В 7,5 толщ.100мм в  водомерном узле</t>
  </si>
  <si>
    <t>Устройство бетонных полов в водомерном узле в техподполье</t>
  </si>
  <si>
    <t>Устройство  полов из керамогранита с керамогранитным плинтусом</t>
  </si>
  <si>
    <t>Простая штукатурка стен в электрощитовой иводомерном узле в техподпольи и в техпомещении на кровле.</t>
  </si>
  <si>
    <t xml:space="preserve">Кирпичная кладка электрощитовой </t>
  </si>
  <si>
    <t>Улучшенная шпатлевка, грунтовка, окраска потолков МОП</t>
  </si>
  <si>
    <t>Улучшенная шпатлевка, грунтовка, окраска стен МОП</t>
  </si>
  <si>
    <t>Трубы полипропиленовые армированные PN25 ф20*3,4</t>
  </si>
  <si>
    <t>Трубы полипропиленовые армированные PN25 ф 25х4,2</t>
  </si>
  <si>
    <t>ф 20мм</t>
  </si>
  <si>
    <t>ф 25 мм</t>
  </si>
  <si>
    <t>Электроконвектор Aeroheat EC</t>
  </si>
  <si>
    <t>решетка вентиляционная ВР-ГН 200х300h</t>
  </si>
  <si>
    <t>решетка вентиляционная переточная Р-200*150</t>
  </si>
  <si>
    <t>решетка вентиляционная переточная Р-200*152</t>
  </si>
  <si>
    <t>решетка вентиляционная регулируемая Р-150</t>
  </si>
  <si>
    <t>решетка вентиляционная нерегулируемая 300*200</t>
  </si>
  <si>
    <t>URSA GEO M-11 толщ.50мм</t>
  </si>
  <si>
    <t>труба полипропиленовая ф40х3,7</t>
  </si>
  <si>
    <t>трубы полипропиленовые ф50х4,6</t>
  </si>
  <si>
    <t>кран шаровый муфтовый ф20</t>
  </si>
  <si>
    <t>кран шаровый муфтовый ф25</t>
  </si>
  <si>
    <t>Приварка фланцев</t>
  </si>
  <si>
    <t>Фланец ф65</t>
  </si>
  <si>
    <t>кран шаровый ф15мм</t>
  </si>
  <si>
    <t>муфта переходная из полипропилена ф63*40</t>
  </si>
  <si>
    <t>муфта комбинированная ВР из полипропилена ф40*1 1/4</t>
  </si>
  <si>
    <t>труба черная ВГП ф32</t>
  </si>
  <si>
    <t>заглушка</t>
  </si>
  <si>
    <t>Прокладка трубопроводов из пластмассовых труб ( выпуск)</t>
  </si>
  <si>
    <t>втулка под фланец удлиненная ф63</t>
  </si>
  <si>
    <t>фланец 1-50-10</t>
  </si>
  <si>
    <t>труба напорная  из полиэтилена Д=315мм</t>
  </si>
  <si>
    <t>труба напорная из полиэтилена ф63*3,8</t>
  </si>
  <si>
    <t>Труба защитная гофрированная (пешель) красная д. 20 мм</t>
  </si>
  <si>
    <t>труба пластмассовая канализационная ф40</t>
  </si>
  <si>
    <t>воронка капельная с гидрозатвором</t>
  </si>
  <si>
    <t xml:space="preserve">Розетка двухместная с з/к герметичная  16А/220В </t>
  </si>
  <si>
    <t>полоса стальная 4х25 мм</t>
  </si>
  <si>
    <t>Сталь круглая ф 8,18мм</t>
  </si>
  <si>
    <t xml:space="preserve">лоток проволочный </t>
  </si>
  <si>
    <t>Автоматический выключатель ВА 47-29 2Р 40А</t>
  </si>
  <si>
    <t>автоматические выключатели АВДТ 32 С25</t>
  </si>
  <si>
    <t>счетчик однофазный СЕ102М R5 145 кл 1,0</t>
  </si>
  <si>
    <t>счетчик 380/220В,5А, кл.0,5 (СЕ301)</t>
  </si>
  <si>
    <t>трансформатор тока 100/5А</t>
  </si>
  <si>
    <t xml:space="preserve">Выключатель одноклавишный открытый </t>
  </si>
  <si>
    <t>труба ПВХ ф50</t>
  </si>
  <si>
    <t>Щит распределительный ЩРн-3/12эю-1 36</t>
  </si>
  <si>
    <t>Выключатель диффепенциальный ВД 1-63 2Р 16А 30мА</t>
  </si>
  <si>
    <t>Автоматический выключатель АП 50Б -2МТ У2</t>
  </si>
  <si>
    <t xml:space="preserve">Трубогреи саморегулирующие </t>
  </si>
  <si>
    <t>Кабель ВВГнг-FRLS 3х1,5мм2</t>
  </si>
  <si>
    <t>Кабель ВВГнг-LS 5х10мм2</t>
  </si>
  <si>
    <t>кран шаровый  ф 32мм КШ 32р</t>
  </si>
  <si>
    <t>стальная труба ф 57</t>
  </si>
  <si>
    <t>отвод стальной 90гр ф 57 мм</t>
  </si>
  <si>
    <t>Переход ф 57-32 мм</t>
  </si>
  <si>
    <t>крепление к стене</t>
  </si>
  <si>
    <t>Пневматическое испытание газопровода</t>
  </si>
  <si>
    <t>стальная труба ф57 мм футляр</t>
  </si>
  <si>
    <t>предложение проектировщиков - дымоход на 1 стояк-3 этажа</t>
  </si>
  <si>
    <t>втулка под фланец ф63</t>
  </si>
  <si>
    <t>Утеплитель  "Пенополистирол ПСБ-25"</t>
  </si>
  <si>
    <t>11.2</t>
  </si>
  <si>
    <t>Устройство наружного пандуса</t>
  </si>
  <si>
    <t>Бетон В-15 F150</t>
  </si>
  <si>
    <t xml:space="preserve">Сетка арматурная </t>
  </si>
  <si>
    <t>Устройство кровли</t>
  </si>
  <si>
    <t>автоперевозка грунта (V=1969,56х1.6=3151,3 т) автомобилями-самосвалами (работающими вне карьеров) на расстояние  1 км</t>
  </si>
  <si>
    <t xml:space="preserve">материалы </t>
  </si>
  <si>
    <t>Утеплитель "IZOL" толщ.150мм</t>
  </si>
  <si>
    <t>Раствор М100 с доставкой( толщ.40мм)</t>
  </si>
  <si>
    <t>ЦСП ( 2 слоя)</t>
  </si>
  <si>
    <t>Праймер битумный( в 2 слоя)</t>
  </si>
  <si>
    <t>Монтажные соединительные элементы</t>
  </si>
  <si>
    <t>Раствор М150 с доставкой</t>
  </si>
  <si>
    <t>Бетон В15 с доставкой</t>
  </si>
  <si>
    <t>Бетон В 15 с доставкой</t>
  </si>
  <si>
    <t>Бетон В-15,W4 с доставкой</t>
  </si>
  <si>
    <t>Бетон В 7,5 с доставкой</t>
  </si>
  <si>
    <t>Бетон В7,5 с доставкой</t>
  </si>
  <si>
    <t>Изолирующие соединения ф 15мм СИ 15</t>
  </si>
  <si>
    <t>Изолирующие соединения ф20 мм СИ 20</t>
  </si>
  <si>
    <t xml:space="preserve">Прокладка проводов и кабелей </t>
  </si>
  <si>
    <t xml:space="preserve">Бетон В15 с доставкой </t>
  </si>
  <si>
    <t>Раздел 3. Устройство монолитного ростверка</t>
  </si>
  <si>
    <t>3.1</t>
  </si>
  <si>
    <t>3.6</t>
  </si>
  <si>
    <t>Раздел 4. Строительные работы техподполья</t>
  </si>
  <si>
    <t>4.6</t>
  </si>
  <si>
    <t>4.7</t>
  </si>
  <si>
    <t>Раздел 5. Монтаж ЖБИ</t>
  </si>
  <si>
    <t>5.2</t>
  </si>
  <si>
    <t>5.3</t>
  </si>
  <si>
    <t>5.4</t>
  </si>
  <si>
    <t>5.5</t>
  </si>
  <si>
    <t>5.6</t>
  </si>
  <si>
    <t>5.7</t>
  </si>
  <si>
    <t>5.12</t>
  </si>
  <si>
    <t>Раздел 6. Устройство кровли</t>
  </si>
  <si>
    <t>6.3</t>
  </si>
  <si>
    <t>6.4</t>
  </si>
  <si>
    <t>6.5</t>
  </si>
  <si>
    <t>Раздел 7. Окна и витражи</t>
  </si>
  <si>
    <t>7,1</t>
  </si>
  <si>
    <t>Раздел 8. Двери и люки</t>
  </si>
  <si>
    <t>Раздел 9. Отделка фасада</t>
  </si>
  <si>
    <t>9.2</t>
  </si>
  <si>
    <t>9.3</t>
  </si>
  <si>
    <t>Раздел 10. Внутренние отделочные работы</t>
  </si>
  <si>
    <t>10.1.1</t>
  </si>
  <si>
    <t>10.1.2</t>
  </si>
  <si>
    <t>10.1.3</t>
  </si>
  <si>
    <t>10.1.4</t>
  </si>
  <si>
    <t>10.1.5</t>
  </si>
  <si>
    <t>Раздел 11. Внутренняя отделка мест общего пользования</t>
  </si>
  <si>
    <t>11.3</t>
  </si>
  <si>
    <t>11.4</t>
  </si>
  <si>
    <t>11.5</t>
  </si>
  <si>
    <t>11.6</t>
  </si>
  <si>
    <t>11.8</t>
  </si>
  <si>
    <t>11.9</t>
  </si>
  <si>
    <t>11.10</t>
  </si>
  <si>
    <t>11.11</t>
  </si>
  <si>
    <t>Раздел 12. Устройство отмостки и пандуса</t>
  </si>
  <si>
    <t>Раздел 13. Электрооборудование и электроосвещение</t>
  </si>
  <si>
    <t>13.7</t>
  </si>
  <si>
    <t>13.8</t>
  </si>
  <si>
    <t>13.9</t>
  </si>
  <si>
    <t xml:space="preserve">Раздел 14. Отопление </t>
  </si>
  <si>
    <t>14.4</t>
  </si>
  <si>
    <t>14.5</t>
  </si>
  <si>
    <t>14.6</t>
  </si>
  <si>
    <t>ИТОГО по разделу  "Отопление"</t>
  </si>
  <si>
    <t>Раздел 15. Вентиляция</t>
  </si>
  <si>
    <t>Раздел 16. Внутренние В и К</t>
  </si>
  <si>
    <t>16.1.1</t>
  </si>
  <si>
    <t>16.1.2</t>
  </si>
  <si>
    <t>16.1.3</t>
  </si>
  <si>
    <t>16.1.4</t>
  </si>
  <si>
    <t>16.2.1</t>
  </si>
  <si>
    <t>16.3.1</t>
  </si>
  <si>
    <t>16.3.2</t>
  </si>
  <si>
    <t>16.3.3</t>
  </si>
  <si>
    <t>16.3.4</t>
  </si>
  <si>
    <t>16.3.5</t>
  </si>
  <si>
    <t>16.4.1</t>
  </si>
  <si>
    <t>16.5.1</t>
  </si>
  <si>
    <t>16.5.2</t>
  </si>
  <si>
    <t>16.5.3</t>
  </si>
  <si>
    <t>16.6</t>
  </si>
  <si>
    <t>16.6.1</t>
  </si>
  <si>
    <t>16.6.2</t>
  </si>
  <si>
    <t>16.6.3</t>
  </si>
  <si>
    <t>16.6.4</t>
  </si>
  <si>
    <t>16.6.5</t>
  </si>
  <si>
    <t>16.7</t>
  </si>
  <si>
    <t>16.7.1</t>
  </si>
  <si>
    <t>16.8</t>
  </si>
  <si>
    <t>16.8.1</t>
  </si>
  <si>
    <t>Раздел 17. Газоснабжение</t>
  </si>
  <si>
    <t>17.2</t>
  </si>
  <si>
    <t>17.3</t>
  </si>
  <si>
    <t>17.4</t>
  </si>
  <si>
    <t>17.5</t>
  </si>
  <si>
    <t>17.6</t>
  </si>
  <si>
    <t>17.7</t>
  </si>
  <si>
    <t xml:space="preserve">Раздел 18. Кран </t>
  </si>
  <si>
    <t>ИТОГО по разделу " Земляные работы"</t>
  </si>
  <si>
    <t>ИТОГО по разделу " Устройство свайного поля"</t>
  </si>
  <si>
    <t>Итого по разделу " Устройство монолитного ростверка"</t>
  </si>
  <si>
    <t>Итого по разделу " Строительные работы техподполья"</t>
  </si>
  <si>
    <t>Зашивка вентканалов в квартирах</t>
  </si>
  <si>
    <t>профиль Кнауф ПС 75/70 дл=2800</t>
  </si>
  <si>
    <t>ГВЛВ-ПК</t>
  </si>
  <si>
    <t>Перевозка. Монтаж, демонтаж башенного крана</t>
  </si>
  <si>
    <t>18.1</t>
  </si>
  <si>
    <t>18.2</t>
  </si>
  <si>
    <t>18.3</t>
  </si>
  <si>
    <t>Устройство подкрановых путей</t>
  </si>
  <si>
    <t>Монтаж ЖБИ</t>
  </si>
  <si>
    <t>Стоимость ЖБИ</t>
  </si>
  <si>
    <t>10.1.6</t>
  </si>
  <si>
    <t>Дверь металлическая ДМ 21-8 ( электрощит)</t>
  </si>
  <si>
    <t>Телевидение</t>
  </si>
  <si>
    <t>Антена телевизионная с1 по 5 канал</t>
  </si>
  <si>
    <t>Антена телевизионная с 6 по 12 канал</t>
  </si>
  <si>
    <t>Антена телевизионная с 21 по 61 канал</t>
  </si>
  <si>
    <t>Мачта</t>
  </si>
  <si>
    <t>Коробка антенная</t>
  </si>
  <si>
    <t>Усилитель 3 вх-1 вх</t>
  </si>
  <si>
    <t>Усилитель 1 вх-1 вх</t>
  </si>
  <si>
    <t>Ответвитель магистральный</t>
  </si>
  <si>
    <t>Фильтр режекторный</t>
  </si>
  <si>
    <t>Разъем F-RG-6</t>
  </si>
  <si>
    <t>Разъем F-RG-11</t>
  </si>
  <si>
    <t>Ответвитель абонентный</t>
  </si>
  <si>
    <t>Разветвитель 2 тВ</t>
  </si>
  <si>
    <t>резистр</t>
  </si>
  <si>
    <t>коробка -переходник</t>
  </si>
  <si>
    <t>розетка абонентная телев</t>
  </si>
  <si>
    <t>кабель  РК 75-4,8-319 нг(S-HF)</t>
  </si>
  <si>
    <t>кабель  РК 75-4-319 нг(S-HF)</t>
  </si>
  <si>
    <t>Пожарная сигнализация</t>
  </si>
  <si>
    <t>Извещатель пожарный ИП 212-112</t>
  </si>
  <si>
    <t>13.10</t>
  </si>
  <si>
    <t>13.11</t>
  </si>
  <si>
    <t>Устройство стяжки из цементно песчаного раствора М100=40-120 мм</t>
  </si>
  <si>
    <t>Устройство наружного водостока</t>
  </si>
  <si>
    <t>труба водосточная металлическая 90/125 дл 3000 мм</t>
  </si>
  <si>
    <t>анкер EXA 8/15</t>
  </si>
  <si>
    <t>6,6</t>
  </si>
  <si>
    <t>6,7</t>
  </si>
  <si>
    <t>6.7.1</t>
  </si>
  <si>
    <t>6.7.2</t>
  </si>
  <si>
    <t>4.8</t>
  </si>
  <si>
    <t>11,7</t>
  </si>
  <si>
    <t>11.12</t>
  </si>
  <si>
    <t>в т.ч. НДС 18%</t>
  </si>
  <si>
    <t>нет в чертежах</t>
  </si>
  <si>
    <t>СОГЛАСОВАНО:</t>
  </si>
  <si>
    <t>УТВЕРЖДАЮ:</t>
  </si>
  <si>
    <t>Зам.директора по строительству ООО "Запад"</t>
  </si>
  <si>
    <t>_______________Любушкин Р.В.</t>
  </si>
  <si>
    <t>по дов. № 93 от 30.10.2014</t>
  </si>
  <si>
    <t xml:space="preserve">Смета </t>
  </si>
  <si>
    <t xml:space="preserve">На строительство многоквартирного жилого дома №53 во 3-ом  квартале малоэтажной застройки жилого микрорайона «Запад-1» в Засвияжском районе г Ульяновска:
</t>
  </si>
  <si>
    <t>плюс 1 оголовок 0,18 м3</t>
  </si>
  <si>
    <t xml:space="preserve">плюс 1 свая </t>
  </si>
  <si>
    <t>кухня</t>
  </si>
  <si>
    <t>коридор</t>
  </si>
  <si>
    <t>санузел</t>
  </si>
  <si>
    <t>площадь</t>
  </si>
  <si>
    <t>ванная</t>
  </si>
  <si>
    <t>туалет</t>
  </si>
  <si>
    <t>тамбур</t>
  </si>
  <si>
    <t>подвес прямой</t>
  </si>
  <si>
    <t>пакет</t>
  </si>
  <si>
    <t>дюбель-анкер потайной пласт.6/80 мм 100 шт.</t>
  </si>
  <si>
    <t>Устройство внутренних перегородок из пазогребневых плит</t>
  </si>
  <si>
    <t>Устройство внутренних перегородок санузлов</t>
  </si>
  <si>
    <t>ПГП 667х500х80 влогостойкие пазогребневые</t>
  </si>
  <si>
    <t>лест. клетка</t>
  </si>
  <si>
    <t>межкв. коридор</t>
  </si>
  <si>
    <t>затирка гипсовыми смесями, фактурная отделка (стены)</t>
  </si>
  <si>
    <t>затирка гипсовыми смесями, отделка под "шагрень" (потолок)</t>
  </si>
  <si>
    <t>потолок</t>
  </si>
  <si>
    <t>стены</t>
  </si>
  <si>
    <t>пол</t>
  </si>
  <si>
    <t>плинтус</t>
  </si>
  <si>
    <t>секция 1Г</t>
  </si>
  <si>
    <t>секция 6Г*2</t>
  </si>
  <si>
    <t>панели стен</t>
  </si>
  <si>
    <t>керамогранит Estima 30х30 (пол)</t>
  </si>
  <si>
    <t>керамогранит Estima 30х30 (плинтус)</t>
  </si>
  <si>
    <t>окна</t>
  </si>
  <si>
    <t>балконные двери</t>
  </si>
  <si>
    <t>подокон.доски</t>
  </si>
  <si>
    <t>Устройство люков противопожарных:</t>
  </si>
  <si>
    <t>Устройство люков индивидуальных:</t>
  </si>
  <si>
    <t>Наружная отделка цоколя (утепление)</t>
  </si>
  <si>
    <r>
      <t xml:space="preserve">Сетка арматурная 4С 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6АIII-100 118*280</t>
    </r>
  </si>
  <si>
    <t>Выключатель одноклавишный проходной IP55</t>
  </si>
  <si>
    <t>труба ПВХ ф32 гофрированная</t>
  </si>
  <si>
    <t>Светильник НСП02*100</t>
  </si>
  <si>
    <t>греющий кабель SelfTec Elektra</t>
  </si>
  <si>
    <t>труба ПВХ ф50 гофрированная</t>
  </si>
  <si>
    <t>Выключатель одноклавишный открытый А 16-050</t>
  </si>
  <si>
    <t>УЭРМ-3-2700 УХЛ3</t>
  </si>
  <si>
    <t>УЭРМ-5-2700 УХЛ3</t>
  </si>
  <si>
    <t>труба ПВХ ф25 гофрированная</t>
  </si>
  <si>
    <t>коробка ответвительная У 994 У2</t>
  </si>
  <si>
    <t>ШДУП</t>
  </si>
  <si>
    <t>лампа энергосберегающая 9 Вт 4U 9W 2700K E27</t>
  </si>
  <si>
    <t>лампа энергосбер. 20 Вт 4U 20W 2700K E27</t>
  </si>
  <si>
    <t>защитный гофрированный кожух для труб 20 мм</t>
  </si>
  <si>
    <t>фильтр магнитно-механич.муфтовый латун. 15 мм</t>
  </si>
  <si>
    <t>Воздуховоды из оцинкованной листовой стали 200х200х0,5</t>
  </si>
  <si>
    <r>
      <t xml:space="preserve">Воздуховоды из оцинкованной листовой стали 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100</t>
    </r>
  </si>
  <si>
    <t>решетка вентиляционная ВР-К 150х200h</t>
  </si>
  <si>
    <t>решетка вентиляционная ВР-К 180х250h</t>
  </si>
  <si>
    <t>решетка вентиляционная ВР-ГН 300х200h</t>
  </si>
  <si>
    <t>турбина вентиляционная TD 350</t>
  </si>
  <si>
    <t>турбина вентиляционная TD 200</t>
  </si>
  <si>
    <t>покрытие огнезащитное для воздуховодов "ОГНЕМАТ Вент"</t>
  </si>
  <si>
    <t>Установка вентиляторов и зонтов</t>
  </si>
  <si>
    <r>
      <t xml:space="preserve">вентилятор бытовой 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125 N=10 Вт</t>
    </r>
  </si>
  <si>
    <r>
      <t xml:space="preserve">заглушка с сеткой 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100</t>
    </r>
  </si>
  <si>
    <r>
      <t>переход прямоугольный на круглое сечение 600*840-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200</t>
    </r>
  </si>
  <si>
    <r>
      <t xml:space="preserve">Зонт вентиляционный круглый 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100</t>
    </r>
  </si>
  <si>
    <r>
      <t>переход прямоугольный на круглое сечение 880*640-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200</t>
    </r>
  </si>
  <si>
    <r>
      <t>переход прямоугольный на круглое сечение 900*510-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200</t>
    </r>
  </si>
  <si>
    <r>
      <t>переход прямоугольный на круглое сечение 1180*640-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350</t>
    </r>
  </si>
  <si>
    <r>
      <t>переход прямоугольный на круглое сечение 760*840-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350</t>
    </r>
  </si>
  <si>
    <r>
      <t>переход прямоугольный на круглое сечение 1040*640-</t>
    </r>
    <r>
      <rPr>
        <sz val="12"/>
        <color indexed="25"/>
        <rFont val="Calibri"/>
        <family val="2"/>
        <charset val="204"/>
      </rPr>
      <t>Ø</t>
    </r>
    <r>
      <rPr>
        <sz val="10.199999999999999"/>
        <color indexed="25"/>
        <rFont val="Times New Roman"/>
        <family val="1"/>
        <charset val="204"/>
      </rPr>
      <t>350</t>
    </r>
  </si>
  <si>
    <t>труба стальная эл.сварная Д=219х6мм</t>
  </si>
  <si>
    <t>Фланец ф63</t>
  </si>
  <si>
    <t>фольга алюминиевая для технич.целей</t>
  </si>
  <si>
    <t>втулка под фланец полипропиленовая д63</t>
  </si>
  <si>
    <t>кран шаровый ф20 мм</t>
  </si>
  <si>
    <t>муфта переходная из полипропилена ф63*32</t>
  </si>
  <si>
    <t xml:space="preserve">муфта комбинированная ВР из полипропилена ф32*1 </t>
  </si>
  <si>
    <t>кран шаровый латунный 32</t>
  </si>
  <si>
    <t>насос погружной N=0,2 кВт</t>
  </si>
  <si>
    <t>сифон-ревизия чугунный ф110</t>
  </si>
  <si>
    <t>труба пластмассовая напорная ф110</t>
  </si>
  <si>
    <t>втулка под фланец полипропиленовая д110</t>
  </si>
  <si>
    <t>заглушка стальная фланцевая 100</t>
  </si>
  <si>
    <t>компенсационный патрубок</t>
  </si>
  <si>
    <t>шпаклевка</t>
  </si>
  <si>
    <t>розетка сдвоенная открытая</t>
  </si>
  <si>
    <t>коробка под усилитель</t>
  </si>
  <si>
    <t>перегородки двойные</t>
  </si>
  <si>
    <t>на этаж</t>
  </si>
  <si>
    <t>на дом</t>
  </si>
  <si>
    <t>Раздел 3. Устройство монолитного ленточного фундамента ФЛм1</t>
  </si>
  <si>
    <t>Устройство бетонной подготовки под ФЛм1</t>
  </si>
  <si>
    <t>Устройство ФЛм1</t>
  </si>
  <si>
    <t>Бетон В20F100W6 с доставкой</t>
  </si>
  <si>
    <t>ФЛм1</t>
  </si>
  <si>
    <t>16-А3</t>
  </si>
  <si>
    <t>12-А3</t>
  </si>
  <si>
    <t>14-А3</t>
  </si>
  <si>
    <t>20-А3</t>
  </si>
  <si>
    <t>10-А1</t>
  </si>
  <si>
    <t>Монтаж фундаментных блоков</t>
  </si>
  <si>
    <t xml:space="preserve">ФБС24.4.6-т </t>
  </si>
  <si>
    <t xml:space="preserve">ФБС12.4.6-т </t>
  </si>
  <si>
    <t xml:space="preserve">ФБС12.4.3-т </t>
  </si>
  <si>
    <t xml:space="preserve">ФБС9.4.6-т </t>
  </si>
  <si>
    <t>бетон В15 П3 F75 W6</t>
  </si>
  <si>
    <t>сетки 2С 12АIII, закладные детали</t>
  </si>
  <si>
    <t>Бетон В15 F100 W4 с доставкой</t>
  </si>
  <si>
    <t>Итого по разделу " Устройство монолитного ленточного фундамента ФЛм1"</t>
  </si>
  <si>
    <t>Монтаж плит перекрытия</t>
  </si>
  <si>
    <t>ПК 66.15</t>
  </si>
  <si>
    <t>ПБ 66.12</t>
  </si>
  <si>
    <t>ПБ 60.12</t>
  </si>
  <si>
    <t>ПК 60.15</t>
  </si>
  <si>
    <t>ПБ 30.15</t>
  </si>
  <si>
    <t>ПБ 30.12</t>
  </si>
  <si>
    <t>ПБ 35.9</t>
  </si>
  <si>
    <t>ПБ 28.9</t>
  </si>
  <si>
    <t>ПБ 31.9</t>
  </si>
  <si>
    <t>ПБ 33.9</t>
  </si>
  <si>
    <t>ПБ 72.12</t>
  </si>
  <si>
    <t>ПБ 72.15</t>
  </si>
  <si>
    <t>каркасы на МУ</t>
  </si>
  <si>
    <t>8ПБ13-1</t>
  </si>
  <si>
    <t>Кирпичная кладка перегородок</t>
  </si>
  <si>
    <t>Раствор М75 Пк2 с доставкой</t>
  </si>
  <si>
    <t>ЛС 11</t>
  </si>
  <si>
    <t>ЛС 15</t>
  </si>
  <si>
    <t>огнезащитная краска "Огнепласт"</t>
  </si>
  <si>
    <t>грунтовка ГФ-021</t>
  </si>
  <si>
    <t>ЦПр-р М200 10 мм</t>
  </si>
  <si>
    <t>керамогранитная плитка</t>
  </si>
  <si>
    <t>ограждение</t>
  </si>
  <si>
    <t>Кирпич керамический размером 250х120х88 1,4НФ/100/1,4/50</t>
  </si>
  <si>
    <t>Раствор М75 Пк2</t>
  </si>
  <si>
    <t>газобетонные блоки "Теплон"</t>
  </si>
  <si>
    <t>швеллер 16</t>
  </si>
  <si>
    <t>швеллер 22</t>
  </si>
  <si>
    <t>угол 63х6</t>
  </si>
  <si>
    <t>угол 70х5</t>
  </si>
  <si>
    <t>угол 160х10</t>
  </si>
  <si>
    <t>S10</t>
  </si>
  <si>
    <t>S14</t>
  </si>
  <si>
    <t>клеевая смесь Litokol K1 11 мм</t>
  </si>
  <si>
    <t>ЦПр-р М150 20 мм</t>
  </si>
  <si>
    <t>Плм1</t>
  </si>
  <si>
    <t>6-А3</t>
  </si>
  <si>
    <t>6-А3 1470 мм</t>
  </si>
  <si>
    <t>6-А3 970 мм</t>
  </si>
  <si>
    <t>6-А1 440 мм</t>
  </si>
  <si>
    <t>В15 F100 W4</t>
  </si>
  <si>
    <t>6-А1</t>
  </si>
  <si>
    <t>ЛС 12</t>
  </si>
  <si>
    <t>Устройство железобетонных лестниц</t>
  </si>
  <si>
    <t>ступень основная ЛС 11</t>
  </si>
  <si>
    <t>ступень основная ЛС 15</t>
  </si>
  <si>
    <t>Устройство монолитных площадок</t>
  </si>
  <si>
    <t>Устройство монолитных участков</t>
  </si>
  <si>
    <t>Раздел 5. Каркас здания</t>
  </si>
  <si>
    <t>Силикатные блоки СБ М125/F50/1.8</t>
  </si>
  <si>
    <t>Раствор М100 Пк2 с доставкой</t>
  </si>
  <si>
    <t>по проекту</t>
  </si>
  <si>
    <t>Кирпич керамический одинарный размером 250х120х65/1НФ/125/2.0/50</t>
  </si>
  <si>
    <t>Минераловатные плиты ИЗОЛ ФШ 150</t>
  </si>
  <si>
    <t>Кладка парапетов</t>
  </si>
  <si>
    <t>Кирпич силикатный СУР-200/50</t>
  </si>
  <si>
    <t>Раствор М100 Пк3 с доставкой</t>
  </si>
  <si>
    <t>Кладка вентканалов выше уровня кровли</t>
  </si>
  <si>
    <t>Кирпич керамический одинарный размером 250х120х65/1НФ/100/2.0/100</t>
  </si>
  <si>
    <t>Раствор М75 Пк3 с доставкой</t>
  </si>
  <si>
    <t>ИТОГО по разделу "Каркас здания"</t>
  </si>
  <si>
    <t>Раздел 6. Монтаж плит перекрытия</t>
  </si>
  <si>
    <t>ИТОГО по разделу "Монтаж плит перекрытия":</t>
  </si>
  <si>
    <t>Бетон В15</t>
  </si>
  <si>
    <t>Устройство ограждений лестниц</t>
  </si>
  <si>
    <t>Ограждение ОМВ 14-1</t>
  </si>
  <si>
    <t>Антикоррозийная защита</t>
  </si>
  <si>
    <t>Краска Пф 115</t>
  </si>
  <si>
    <t>Грунтовка Гф 021</t>
  </si>
  <si>
    <t>Раздел 7. Лестницы</t>
  </si>
  <si>
    <t>ИТОГО по разделу "Лестницы":</t>
  </si>
  <si>
    <t>Раздел 8. Балконы</t>
  </si>
  <si>
    <t>Балк. Плиты</t>
  </si>
  <si>
    <t>Устройство крепления балконных плит</t>
  </si>
  <si>
    <t>Бетон В15П2F100W4</t>
  </si>
  <si>
    <t>Арматура АIII 12мм</t>
  </si>
  <si>
    <t>Арматура АIII 10мм</t>
  </si>
  <si>
    <t>Арматура АIII 8мм</t>
  </si>
  <si>
    <t>Устройство ограждений балконов</t>
  </si>
  <si>
    <t>Труба проф. 40х4</t>
  </si>
  <si>
    <t>Труба проф. 80*40*4</t>
  </si>
  <si>
    <t>Профлист С10-1000-0,6</t>
  </si>
  <si>
    <t>Козырек балкона</t>
  </si>
  <si>
    <t>Монтаж металлоконструкций</t>
  </si>
  <si>
    <t>Труба проф. 30х4</t>
  </si>
  <si>
    <t>Труба проф. 60*4</t>
  </si>
  <si>
    <t>Уголок 50*4</t>
  </si>
  <si>
    <t>Полоса 6*70*80</t>
  </si>
  <si>
    <t>Профлист С18-1000-0,6</t>
  </si>
  <si>
    <t>Профлист НС35-1000-0,6</t>
  </si>
  <si>
    <t>Снегозадержатель трубчатый 150*3000</t>
  </si>
  <si>
    <t>Оцинкованный лист 0,6</t>
  </si>
  <si>
    <t>Входа  1 (4шт)</t>
  </si>
  <si>
    <t>Труба 100*100*6</t>
  </si>
  <si>
    <t>Лист 10</t>
  </si>
  <si>
    <t>Лист 8</t>
  </si>
  <si>
    <t>Зд2</t>
  </si>
  <si>
    <t>Швеллер 12П</t>
  </si>
  <si>
    <t>Труба 80*40</t>
  </si>
  <si>
    <t>Труба 40*4</t>
  </si>
  <si>
    <t>Труба 40*20</t>
  </si>
  <si>
    <t>Уголок 50*5</t>
  </si>
  <si>
    <t>Арматураф10</t>
  </si>
  <si>
    <t>лист 6</t>
  </si>
  <si>
    <t>профлист Н35</t>
  </si>
  <si>
    <t>профлист С10</t>
  </si>
  <si>
    <t>Водосточная система</t>
  </si>
  <si>
    <t>Устройство площадки</t>
  </si>
  <si>
    <t>Бетон В25 W4 F150</t>
  </si>
  <si>
    <t>Бетон В7,5</t>
  </si>
  <si>
    <t>Сетка  арматурная 4С 5Вр 150*150</t>
  </si>
  <si>
    <t>МН 121-4</t>
  </si>
  <si>
    <t>тн</t>
  </si>
  <si>
    <t>ИТОГО по разделу "Балконы":</t>
  </si>
  <si>
    <t>8ПП21-71</t>
  </si>
  <si>
    <t>ББ26</t>
  </si>
  <si>
    <t>8ПП16-71</t>
  </si>
  <si>
    <t>8ПП18-71</t>
  </si>
  <si>
    <t>8ПП14-71</t>
  </si>
  <si>
    <t>9ПБ18-8</t>
  </si>
  <si>
    <t>ПРГ 32-1.4-4АIII</t>
  </si>
  <si>
    <t>сетки кладочные</t>
  </si>
  <si>
    <t>4С 4 Вр1 40х40</t>
  </si>
  <si>
    <t>Жп-0</t>
  </si>
  <si>
    <t>Жп-1</t>
  </si>
  <si>
    <t>И-1</t>
  </si>
  <si>
    <t>4С 4 Вр1 40х52</t>
  </si>
  <si>
    <t>10-А-III (А240)</t>
  </si>
  <si>
    <t>сетка кладочная 4С 4 Вр1 40х40</t>
  </si>
  <si>
    <t>сетка кладочная 4С 4 Вр1 40х52</t>
  </si>
  <si>
    <t>8ПП27-71</t>
  </si>
  <si>
    <t>9ПБ16-37</t>
  </si>
  <si>
    <t>8ПБ16-1</t>
  </si>
  <si>
    <t>ББ35</t>
  </si>
  <si>
    <t>уголок 75х5</t>
  </si>
  <si>
    <t>9ПБ18-37</t>
  </si>
  <si>
    <t>2ПБ13-1</t>
  </si>
  <si>
    <t>ББ31</t>
  </si>
  <si>
    <t>ББ33</t>
  </si>
  <si>
    <t>9ПБ13-37</t>
  </si>
  <si>
    <t>уголок 63х40</t>
  </si>
  <si>
    <t>ОП 4.4-АIII</t>
  </si>
  <si>
    <t>Закладная деталь ЗДб-1</t>
  </si>
  <si>
    <t>Закладная деталь ЗДб-2</t>
  </si>
  <si>
    <t>Анкер А6</t>
  </si>
  <si>
    <t>ПК 72.12</t>
  </si>
  <si>
    <t>ПК 72.15</t>
  </si>
  <si>
    <t>ПК 60.10</t>
  </si>
  <si>
    <t>ПК 60.12</t>
  </si>
  <si>
    <t>ПК 31.12</t>
  </si>
  <si>
    <t>ПК 66.12</t>
  </si>
  <si>
    <t>ПК 66.10</t>
  </si>
  <si>
    <t>ПК 31.10</t>
  </si>
  <si>
    <t>Закладная деталь МС10</t>
  </si>
  <si>
    <t>8ПП18-6</t>
  </si>
  <si>
    <t>Консоль К1</t>
  </si>
  <si>
    <t>Анкер А1</t>
  </si>
  <si>
    <t>Анкер А2</t>
  </si>
  <si>
    <t>Анкер А5</t>
  </si>
  <si>
    <t>Закладная деталь МН1</t>
  </si>
  <si>
    <t>полоса 8х40</t>
  </si>
  <si>
    <t>Закладные детали, анкера</t>
  </si>
  <si>
    <t>Монтаж лестничных балок</t>
  </si>
  <si>
    <t>Ограждение ЛО13</t>
  </si>
  <si>
    <t>Л1, Л2</t>
  </si>
  <si>
    <t>анкер А1</t>
  </si>
  <si>
    <t>анкер А8</t>
  </si>
  <si>
    <t>Краска огнезащитная</t>
  </si>
  <si>
    <t>ФЛм2</t>
  </si>
  <si>
    <t>8-А3</t>
  </si>
  <si>
    <t>монолитные пояса Пм</t>
  </si>
  <si>
    <t>Дп</t>
  </si>
  <si>
    <t>10-А3</t>
  </si>
  <si>
    <t>КР2</t>
  </si>
  <si>
    <t>КР1</t>
  </si>
  <si>
    <t>Е2</t>
  </si>
  <si>
    <t>№ пп</t>
  </si>
  <si>
    <t>Наименование</t>
  </si>
  <si>
    <t>Ед.изм.</t>
  </si>
  <si>
    <t>Кол.</t>
  </si>
  <si>
    <t xml:space="preserve">Кладка наружных несущих стен  из блоков </t>
  </si>
  <si>
    <t xml:space="preserve">силикатных СБ М125/F50/1/8 ГОСТ 379-2015 на </t>
  </si>
  <si>
    <t>цем.-песч. растворе М100,Пк2 по ГОСТ 28013-98</t>
  </si>
  <si>
    <t>толщ.380 мм</t>
  </si>
  <si>
    <t>Кладка наружных несущих стен  из кирпича</t>
  </si>
  <si>
    <t xml:space="preserve">силикатного СУР-200/50 ГОСТ 379-95 на </t>
  </si>
  <si>
    <t>цем.-песч. растворе М75,Пк2 по ГОСТ 28013-98</t>
  </si>
  <si>
    <t xml:space="preserve">керамического КР-р по 250х120х65 /1НФ/100/2.0/ </t>
  </si>
  <si>
    <t xml:space="preserve"> 100 ГОСТ 530-2012 на цем.-песчаном растворе</t>
  </si>
  <si>
    <t>М75,Пк3 по ГОСТ 28013-98 толщ.380 мм</t>
  </si>
  <si>
    <t xml:space="preserve">Кладка внутренних несущих стен  из блоков </t>
  </si>
  <si>
    <t>Кладка внутренних несущих стен  из кирпича</t>
  </si>
  <si>
    <t>Кладка перегородок из блоков ТЕПЛОН 1эт.</t>
  </si>
  <si>
    <t>Кладка перегородок из блоков силикатных</t>
  </si>
  <si>
    <t>СБ М125/F50/1/8 ГОСТ 379-2015 на цем.-песч.1эт.</t>
  </si>
  <si>
    <t>растворе М100,Пк2 по ГОСТ 28013-98 толщ.250мм</t>
  </si>
  <si>
    <t>Устройство межквартирных перегородок из</t>
  </si>
  <si>
    <t>пазогребневых лит толщ.260 мм 1эт.</t>
  </si>
  <si>
    <t>Устройство межкомнатных перегородок из</t>
  </si>
  <si>
    <t>пазогребневых "Волма-плит" по ТУ 5742-003-</t>
  </si>
  <si>
    <t>78667919-2005 толщ.80мм 1эт.</t>
  </si>
  <si>
    <t>пазогребневых плит толщ.260 мм 2эт. и 3 эт.</t>
  </si>
  <si>
    <t>78667919-2005 толщ.80мм 2эт. и 3 эт.</t>
  </si>
  <si>
    <t>Кладка дымоходов из кирпича</t>
  </si>
  <si>
    <t xml:space="preserve">керамического КР-р по 250х120х65 /1НФ/125/2.0/ </t>
  </si>
  <si>
    <t xml:space="preserve"> 50 ГОСТ 530-2012 на цем.-песчаном растворе</t>
  </si>
  <si>
    <t>М100,Пк3 по ГОСТ 28013-98 толщ.510 мм</t>
  </si>
  <si>
    <t>Кладка дымоходов  из кирпича</t>
  </si>
  <si>
    <t>толщ.510 мм</t>
  </si>
  <si>
    <t>Кладка вентканалов из кирпича</t>
  </si>
  <si>
    <t xml:space="preserve"> 100ГОСТ 530-2012 на цем.-песчаном растворе</t>
  </si>
  <si>
    <t>Кладка парапетов  из кирпича силикатного</t>
  </si>
  <si>
    <t xml:space="preserve">СУР-200/50ГОСТ 379-95 на </t>
  </si>
  <si>
    <t>Кладка шахты для выхода на кровлю из</t>
  </si>
  <si>
    <t>блоков ТЕПЛОН</t>
  </si>
  <si>
    <t>Секция Жп-1-1</t>
  </si>
  <si>
    <t>М75,Пк3 по ГОСТ 28013-98</t>
  </si>
  <si>
    <t>пазогребневых плит толщ.260 мм 1эт.</t>
  </si>
  <si>
    <t>Кладка перегородок  из кирпича</t>
  </si>
  <si>
    <t>толщ.120 мм</t>
  </si>
  <si>
    <t>Секция Жп-0-1</t>
  </si>
  <si>
    <r>
      <rPr>
        <b/>
        <sz val="11"/>
        <color indexed="55"/>
        <rFont val="Calibri"/>
        <family val="2"/>
        <charset val="204"/>
      </rPr>
      <t>Секция И</t>
    </r>
    <r>
      <rPr>
        <b/>
        <sz val="11"/>
        <color indexed="55"/>
        <rFont val="SimSun"/>
        <family val="2"/>
        <charset val="204"/>
      </rPr>
      <t>-1-1</t>
    </r>
  </si>
  <si>
    <t>Кладка дымоходов из керамического кирпича</t>
  </si>
  <si>
    <t>Кладка дымоходов из силикатного кирпича</t>
  </si>
  <si>
    <t>Кладка перегородок из блоков ТЕПЛОН</t>
  </si>
  <si>
    <t>Блоки Теплон</t>
  </si>
  <si>
    <t>клей "Волма-Монтаж"</t>
  </si>
  <si>
    <t>ПГП 667х500х80 пустотелые пазогребневые "Волма-плит"</t>
  </si>
  <si>
    <t>сан узлы Жп-0-1</t>
  </si>
  <si>
    <t>№ помещения</t>
  </si>
  <si>
    <t>b стены</t>
  </si>
  <si>
    <t>S проема</t>
  </si>
  <si>
    <t>h помещения</t>
  </si>
  <si>
    <t xml:space="preserve"> S стен</t>
  </si>
  <si>
    <t>S пол( пот.)</t>
  </si>
  <si>
    <t xml:space="preserve">сан узлы секция И-1-1 </t>
  </si>
  <si>
    <t>сан узлы Жп-1-1</t>
  </si>
  <si>
    <t>5.8</t>
  </si>
  <si>
    <t>7.1</t>
  </si>
  <si>
    <t>7.2</t>
  </si>
  <si>
    <t>7.3</t>
  </si>
  <si>
    <t>7.4</t>
  </si>
  <si>
    <t>7.5</t>
  </si>
  <si>
    <t>С4</t>
  </si>
  <si>
    <t>С5</t>
  </si>
  <si>
    <t>С6</t>
  </si>
  <si>
    <t>С10</t>
  </si>
  <si>
    <t>С11</t>
  </si>
  <si>
    <t>П1</t>
  </si>
  <si>
    <t>М1</t>
  </si>
  <si>
    <t>Парапет δ=100мм h=0,85м</t>
  </si>
  <si>
    <t>Дымоходы δ=120мм h=2,43м</t>
  </si>
  <si>
    <t>Вентканалы δ=120мм h=1,83м</t>
  </si>
  <si>
    <t>Отделка цоколя h=0,6м</t>
  </si>
  <si>
    <r>
      <rPr>
        <b/>
        <sz val="11"/>
        <color indexed="55"/>
        <rFont val="Arial"/>
        <family val="2"/>
        <charset val="204"/>
      </rPr>
      <t>Секция И</t>
    </r>
    <r>
      <rPr>
        <sz val="11"/>
        <color indexed="55"/>
        <rFont val="Arial"/>
        <family val="2"/>
        <charset val="204"/>
      </rPr>
      <t>-1-1</t>
    </r>
  </si>
  <si>
    <r>
      <t xml:space="preserve">Наружные фасады </t>
    </r>
    <r>
      <rPr>
        <sz val="11"/>
        <color indexed="55"/>
        <rFont val="Arial"/>
        <family val="2"/>
        <charset val="204"/>
      </rPr>
      <t>δ=120мм h=9,1м</t>
    </r>
  </si>
  <si>
    <t>Бетон В25 F50</t>
  </si>
  <si>
    <t>сетки, закладные изделия</t>
  </si>
  <si>
    <t>С7</t>
  </si>
  <si>
    <t>С8</t>
  </si>
  <si>
    <t>С9</t>
  </si>
  <si>
    <t>С1</t>
  </si>
  <si>
    <t>С2</t>
  </si>
  <si>
    <t>С3</t>
  </si>
  <si>
    <t>Наружная отделка  стен (с утеплением)</t>
  </si>
  <si>
    <t>Оконные проемы</t>
  </si>
  <si>
    <t>Наружные дверные проемы</t>
  </si>
  <si>
    <t>Балконное окно</t>
  </si>
  <si>
    <t>Балконная дверь</t>
  </si>
  <si>
    <r>
      <rPr>
        <b/>
        <sz val="11"/>
        <color indexed="55"/>
        <rFont val="Arial"/>
        <family val="2"/>
        <charset val="204"/>
      </rPr>
      <t>Секция Жп</t>
    </r>
    <r>
      <rPr>
        <sz val="11"/>
        <color indexed="55"/>
        <rFont val="Arial"/>
        <family val="2"/>
        <charset val="204"/>
      </rPr>
      <t>-1-1</t>
    </r>
  </si>
  <si>
    <r>
      <rPr>
        <b/>
        <sz val="11"/>
        <color indexed="55"/>
        <rFont val="Arial"/>
        <family val="2"/>
        <charset val="204"/>
      </rPr>
      <t>Секция Жп</t>
    </r>
    <r>
      <rPr>
        <sz val="11"/>
        <color indexed="55"/>
        <rFont val="Arial"/>
        <family val="2"/>
        <charset val="204"/>
      </rPr>
      <t>-0-1</t>
    </r>
  </si>
  <si>
    <t>Пенополистирол  ППС16ф 120 мм</t>
  </si>
  <si>
    <t>Установка оконных блоков и дверей балконных</t>
  </si>
  <si>
    <t>Установка подоконных досок</t>
  </si>
  <si>
    <t>каркас КР1</t>
  </si>
  <si>
    <t>каркас КР2</t>
  </si>
  <si>
    <t>Анкер АБ1</t>
  </si>
  <si>
    <t>Петля страховочная П3а</t>
  </si>
  <si>
    <t>6-А1 395 мм</t>
  </si>
  <si>
    <t>6-А1 340 мм</t>
  </si>
  <si>
    <t>бетон В20</t>
  </si>
  <si>
    <t>Каркас КР3</t>
  </si>
  <si>
    <t>Каркас КР4</t>
  </si>
  <si>
    <t>Петля страховочная П4а</t>
  </si>
  <si>
    <t>Каркас КР5</t>
  </si>
  <si>
    <t>Каркас КР6</t>
  </si>
  <si>
    <t>Каркас КР9</t>
  </si>
  <si>
    <t>Петля страховочная П3</t>
  </si>
  <si>
    <t>Секция И-1-1</t>
  </si>
  <si>
    <t>последний вариант</t>
  </si>
  <si>
    <t>ТУ5762-002-84277528-2008</t>
  </si>
  <si>
    <t>Секции Жп-1-1; Жп-0-1</t>
  </si>
  <si>
    <t>противопожарные рассечки</t>
  </si>
  <si>
    <t>Минераловатные плиты ИЗОЛ ФШ 150 (п/п рассечки)</t>
  </si>
  <si>
    <t>Наружные фасады δ=120мм h=9,1м</t>
  </si>
  <si>
    <t>отделка стен 1 этаж секция Жп-0-1</t>
  </si>
  <si>
    <t>№ помещ</t>
  </si>
  <si>
    <t>периметр</t>
  </si>
  <si>
    <t>h помещ</t>
  </si>
  <si>
    <t>S стен</t>
  </si>
  <si>
    <t>S пол</t>
  </si>
  <si>
    <t>отделка стен 1 этаж секция И-1-1</t>
  </si>
  <si>
    <t>комната</t>
  </si>
  <si>
    <t>общ.коридор</t>
  </si>
  <si>
    <t>кв.25</t>
  </si>
  <si>
    <t>кв.32</t>
  </si>
  <si>
    <t>кв.33</t>
  </si>
  <si>
    <t>кв.34</t>
  </si>
  <si>
    <t>кв.26</t>
  </si>
  <si>
    <t>кв.27</t>
  </si>
  <si>
    <t>кв.28</t>
  </si>
  <si>
    <t>кв.29</t>
  </si>
  <si>
    <t>кв.30</t>
  </si>
  <si>
    <t>кв.31</t>
  </si>
  <si>
    <t>слой "Биполь"</t>
  </si>
  <si>
    <t>Сетка арматурная 3С Вр 200х200</t>
  </si>
  <si>
    <t>Устройство стяжки армированной  толщ. 40 мм</t>
  </si>
  <si>
    <t>Гидроизоляция полов</t>
  </si>
  <si>
    <t xml:space="preserve">Теплоизоляция полов </t>
  </si>
  <si>
    <t>Водно-дисперсионная грунтовка Ceresit</t>
  </si>
  <si>
    <t>Керамогранит c рифленой поверхностью</t>
  </si>
  <si>
    <t>бетон БСТ В7,5 F150 W4 100 мм</t>
  </si>
  <si>
    <t>гидроизоляция "Техноэласт ЭПП"</t>
  </si>
  <si>
    <t>Гидроизоляция в 2 слоя</t>
  </si>
  <si>
    <t>В15 F150</t>
  </si>
  <si>
    <t xml:space="preserve">Устройство стяжки армированной толщ. 40 мм </t>
  </si>
  <si>
    <t>пароизоляция слой "Биполь"</t>
  </si>
  <si>
    <t>сборная хризотилцементная стяжка ЛПП 3000х1500х10 в 2 слоя</t>
  </si>
  <si>
    <t>Устройство полов будки выхода на кровлю</t>
  </si>
  <si>
    <t>экструзион.пенополистирол"Технониколь XPS"</t>
  </si>
  <si>
    <t>в/э краска</t>
  </si>
  <si>
    <t>Сухая штукатурная смесь 20 мм</t>
  </si>
  <si>
    <t>Внутренняя отделка жилых помещений</t>
  </si>
  <si>
    <t>Устройство полов 1-3 этажа (в т.ч.МОП)</t>
  </si>
  <si>
    <t>Затирка гипсовыми смесями потолков</t>
  </si>
  <si>
    <t>Затирка гипсовыми смесями, окраска в/э краской потолков</t>
  </si>
  <si>
    <t>грунтовка</t>
  </si>
  <si>
    <t>ИТОГО по разделу "Внутренние отделочные работы электрощитовой, водомерного узла и выхода на кровлю":</t>
  </si>
  <si>
    <t>12.3</t>
  </si>
  <si>
    <t>отделка стен 2-го этажа секция И-1-1</t>
  </si>
  <si>
    <t>кв.35</t>
  </si>
  <si>
    <t>кв.36</t>
  </si>
  <si>
    <t>кв.37</t>
  </si>
  <si>
    <t>кв.38</t>
  </si>
  <si>
    <t>кв.39</t>
  </si>
  <si>
    <t>Пароизоляция слой "Биполь ТПП"</t>
  </si>
  <si>
    <t>экструзионный пенополистирол "ТЕХНОНИКОЛЬ XPS " 150мм</t>
  </si>
  <si>
    <t>Праймер битумный (в 2 слоя)</t>
  </si>
  <si>
    <t>кв.40</t>
  </si>
  <si>
    <t>кв.41</t>
  </si>
  <si>
    <t>кв.43</t>
  </si>
  <si>
    <t>кв.44</t>
  </si>
  <si>
    <t>кв.45</t>
  </si>
  <si>
    <t>кв.42</t>
  </si>
  <si>
    <t>отделка стен 3-го этажа секция И-1-1</t>
  </si>
  <si>
    <t>кв.52</t>
  </si>
  <si>
    <t>кв.53</t>
  </si>
  <si>
    <t>кв.54</t>
  </si>
  <si>
    <t>кв.46</t>
  </si>
  <si>
    <t>кв.47</t>
  </si>
  <si>
    <t>кв.48</t>
  </si>
  <si>
    <t>кв.49</t>
  </si>
  <si>
    <t>кв.50</t>
  </si>
  <si>
    <t>кв.51</t>
  </si>
  <si>
    <t>отделка стен 2-го этаж Жп-0-1</t>
  </si>
  <si>
    <t>отделка стен 3-го этаж Жп-0-1</t>
  </si>
  <si>
    <t>Балкон Б3</t>
  </si>
  <si>
    <t>Ограждение балкона ОБ10.9-1</t>
  </si>
  <si>
    <t>ГОСТ 30245-2003 □Гн60х40х2,5 С245</t>
  </si>
  <si>
    <t>ГОСТ 8645-68 □Гн40х20х2,5 С245</t>
  </si>
  <si>
    <t>ГОСТ 26816-86 лист ЦСП-1 t8</t>
  </si>
  <si>
    <t>Ограждение балкона ОБ35.9-1</t>
  </si>
  <si>
    <t>ГОСТ 103-2006  t6</t>
  </si>
  <si>
    <t>ГОСТ 24045-94 Профлист С10-1000-0,6</t>
  </si>
  <si>
    <t>ГОСТ 24045-94 Профлист С18-1000-0,6</t>
  </si>
  <si>
    <t>ГОСТ 24045-94 Профлист НС35-1000-0,6</t>
  </si>
  <si>
    <t>"Метал профиль" снегозадержатель СЗТh150х3000</t>
  </si>
  <si>
    <t>Оцинкованная сталь 0,6</t>
  </si>
  <si>
    <t>Эмаль ПФ-115 по грунтовке Гф-021</t>
  </si>
  <si>
    <t>Балкон Б4</t>
  </si>
  <si>
    <t>Ограждение балкона ОБ28.9-1</t>
  </si>
  <si>
    <t>Балкон Б1 с пилоном</t>
  </si>
  <si>
    <t>Ограждение балкона ОБ31.9п-1</t>
  </si>
  <si>
    <t>Спаренный балкон Б3(900)</t>
  </si>
  <si>
    <t>Стенка разделительная СР 09</t>
  </si>
  <si>
    <t>Балкон Б2</t>
  </si>
  <si>
    <t>Ограждение балкона ОБ33.9-1</t>
  </si>
  <si>
    <t>Козырек КВ 23.15</t>
  </si>
  <si>
    <t>ГОСТ 8645-68 □Гн80х40х5 С245</t>
  </si>
  <si>
    <t>ГОСТ 8639-82 □Гн40х4 С245</t>
  </si>
  <si>
    <t>ГОСТ 8645-68  □Гн40х20х4 С245</t>
  </si>
  <si>
    <t>ГОСТ 8509-93 L50х5 С245</t>
  </si>
  <si>
    <t>ГОСТ 19903-74 t6</t>
  </si>
  <si>
    <t>ГОСТ 19903-74 t10</t>
  </si>
  <si>
    <t>Н1 Alucobond</t>
  </si>
  <si>
    <t>ГОСТ 24045-94 НС35-1000-0.6</t>
  </si>
  <si>
    <t>Альфа-Профиль Угол желоба 900,воронка</t>
  </si>
  <si>
    <t>Альфа-Профиль Тр.водосточная 3,0м,слив</t>
  </si>
  <si>
    <t>Альфа-Профиль Кронштейн желоба 24шт,хомут</t>
  </si>
  <si>
    <t>Плита ПВ 22.16</t>
  </si>
  <si>
    <t>с.1.400-15 МН 121-4 m=5.1 кг</t>
  </si>
  <si>
    <t>Фундамент монолитный</t>
  </si>
  <si>
    <t>ГОСТ 5781-82* ø10 А400</t>
  </si>
  <si>
    <t>Бетон В15F150 W4</t>
  </si>
  <si>
    <t>Лестница ЛВ 22.1</t>
  </si>
  <si>
    <t>ГОСТ 5781-82* ø12 А400</t>
  </si>
  <si>
    <t>Козырек КВ 32.15</t>
  </si>
  <si>
    <t>Альфа-Профиль Кронштейн желоба 8шт,хомут</t>
  </si>
  <si>
    <t>Плита ПВ 31.16</t>
  </si>
  <si>
    <t>с.1.400-15 МН 121-4  m=5.1 кг</t>
  </si>
  <si>
    <t>Козырек КВ 30.22</t>
  </si>
  <si>
    <t>Альфа-Профиль Кронштейн желоба 16шт,хомут</t>
  </si>
  <si>
    <t>Плита ПВ 29.33</t>
  </si>
  <si>
    <r>
      <t xml:space="preserve">ГОСТ 8639-82 </t>
    </r>
    <r>
      <rPr>
        <sz val="11"/>
        <color indexed="55"/>
        <rFont val="Arial"/>
        <family val="2"/>
        <charset val="204"/>
      </rPr>
      <t>□Гн100х6 С245</t>
    </r>
  </si>
  <si>
    <r>
      <t xml:space="preserve">ГОСТ 8240-89 </t>
    </r>
    <r>
      <rPr>
        <sz val="11"/>
        <color indexed="55"/>
        <rFont val="Arial"/>
        <family val="2"/>
        <charset val="204"/>
      </rPr>
      <t>[12 С245</t>
    </r>
  </si>
  <si>
    <r>
      <t xml:space="preserve">ГОСТ 5781-82* </t>
    </r>
    <r>
      <rPr>
        <sz val="11"/>
        <color indexed="55"/>
        <rFont val="Arial"/>
        <family val="2"/>
        <charset val="204"/>
      </rPr>
      <t>ø10 А240</t>
    </r>
  </si>
  <si>
    <r>
      <t xml:space="preserve">"Альфа-Профиль" Желоб </t>
    </r>
    <r>
      <rPr>
        <sz val="11"/>
        <color indexed="55"/>
        <rFont val="Arial"/>
        <family val="2"/>
        <charset val="204"/>
      </rPr>
      <t>ø125,заглушкаø125мм</t>
    </r>
  </si>
  <si>
    <r>
      <t xml:space="preserve">ГОСТ 23279-85 4С </t>
    </r>
    <r>
      <rPr>
        <sz val="11"/>
        <color indexed="55"/>
        <rFont val="Arial"/>
        <family val="2"/>
        <charset val="204"/>
      </rPr>
      <t>ø5ВрI</t>
    </r>
  </si>
  <si>
    <r>
      <t xml:space="preserve">ГОСТ 6727-80   </t>
    </r>
    <r>
      <rPr>
        <sz val="11"/>
        <color indexed="55"/>
        <rFont val="Arial"/>
        <family val="2"/>
        <charset val="204"/>
      </rPr>
      <t>ø5 ВрI</t>
    </r>
  </si>
  <si>
    <t>Раздел 9. Устройство кровли</t>
  </si>
  <si>
    <t>лист ЦСП-1 t8</t>
  </si>
  <si>
    <t>Грунтовка Гф-021</t>
  </si>
  <si>
    <t>Ограждение балконов</t>
  </si>
  <si>
    <t>ГОСТ 8639-82 □Гн10х10х1,4 С245</t>
  </si>
  <si>
    <t>ГОСТ 30245-2003 □Гн40х40х2,5 С245</t>
  </si>
  <si>
    <t>Эмаль ПФ-115</t>
  </si>
  <si>
    <t>ГОСТ 8639-82 □Гн60х4 С245</t>
  </si>
  <si>
    <t>ГОСТ 8639-82 □Гн30х4 С245</t>
  </si>
  <si>
    <t>ГОСТ 8509-93 L50х4 С245</t>
  </si>
  <si>
    <t>Устройство монолитного фундамента</t>
  </si>
  <si>
    <t>ø10 А400</t>
  </si>
  <si>
    <t>ø5 ВрI</t>
  </si>
  <si>
    <t>Монтаж плиты ПВ 22.16</t>
  </si>
  <si>
    <t>Устройство входов</t>
  </si>
  <si>
    <t>ø12 А400</t>
  </si>
  <si>
    <t>Устройство козырьков балконов</t>
  </si>
  <si>
    <t>Устройство козырьков входов</t>
  </si>
  <si>
    <t>□Гн100х6 С245</t>
  </si>
  <si>
    <t>□Гн80х40х5 С245</t>
  </si>
  <si>
    <t>□Гн40х4 С245</t>
  </si>
  <si>
    <t>□Гн40х20х4 С245</t>
  </si>
  <si>
    <t>L50х5 С245</t>
  </si>
  <si>
    <t>ø10 А240</t>
  </si>
  <si>
    <t>сталь листовая t6</t>
  </si>
  <si>
    <t>сталь листовая t10</t>
  </si>
  <si>
    <t>Профнастил НС35-1000-0.6</t>
  </si>
  <si>
    <t>"Альфа-Профиль" заглушкаø125мм</t>
  </si>
  <si>
    <t>Альфа-Профиль хомут</t>
  </si>
  <si>
    <t>Альфа-Профиль Тр.водосточная 3,0м</t>
  </si>
  <si>
    <t>Альфа-Профиль слив</t>
  </si>
  <si>
    <t>Альфа-Профиль Угол желоба 900</t>
  </si>
  <si>
    <t>Альфа-Профиль воронка</t>
  </si>
  <si>
    <t>кронштейн</t>
  </si>
  <si>
    <t>Альфа-Профиль Кронштейн желоба</t>
  </si>
  <si>
    <t>[12 С245</t>
  </si>
  <si>
    <t>9.4</t>
  </si>
  <si>
    <t>9.5</t>
  </si>
  <si>
    <t>9.6</t>
  </si>
  <si>
    <t>9.7</t>
  </si>
  <si>
    <t>9.8</t>
  </si>
  <si>
    <t>9.9</t>
  </si>
  <si>
    <t>Раздел 10. Окна и витражи</t>
  </si>
  <si>
    <t>10.2</t>
  </si>
  <si>
    <t>Раздел 11. Двери и люки</t>
  </si>
  <si>
    <t>Раздел 12. Отделка фасада</t>
  </si>
  <si>
    <t>Раздел 13. Внутренние отделочные работы</t>
  </si>
  <si>
    <t>Раздел 15. Внутренняя отделка мест общего пользования</t>
  </si>
  <si>
    <t>15.4</t>
  </si>
  <si>
    <t>Раздел 17. Электрооборудование и электроосвещение</t>
  </si>
  <si>
    <t xml:space="preserve">Раздел 18. Отопление </t>
  </si>
  <si>
    <t>Раздел 19. Вентиляция</t>
  </si>
  <si>
    <t>Раздел 20. Внутренние В и К</t>
  </si>
  <si>
    <t>Раздел 21. Газоснабжение</t>
  </si>
  <si>
    <t xml:space="preserve">Раздел 22. Кран </t>
  </si>
  <si>
    <t>Двери противопожарные  ДПМ16-9 (электрощитовая)</t>
  </si>
  <si>
    <t>Двери противопожарные  ДПН (EI 30) 21-9 (вход в тех.подполье)</t>
  </si>
  <si>
    <t>Двери входные наружные утепленные с армированным стеклом ДАН 21-14.4</t>
  </si>
  <si>
    <t>Двери внутренние ДСВ ППН М3 16-9 (водомерный узел)</t>
  </si>
  <si>
    <t>люк ДГ 400х400</t>
  </si>
  <si>
    <t>решетка антивандальная металлическая 380-380</t>
  </si>
  <si>
    <t>площадь окон и балконных дверей</t>
  </si>
  <si>
    <t>h сред = 1,0 м</t>
  </si>
  <si>
    <t xml:space="preserve">Штукатурка Ceresit тонкослойная  (0,1 кг/м2) </t>
  </si>
  <si>
    <t>экструдированный пенополистирол "Технониколь XPS" 100 мм</t>
  </si>
  <si>
    <t>22.1</t>
  </si>
  <si>
    <t>□Гн25х25х2,5 С245</t>
  </si>
  <si>
    <t>Устройство будки выхода на кровлю</t>
  </si>
  <si>
    <t>плита покрытия лотковая П17-д3</t>
  </si>
  <si>
    <t>ЛМ21.14.10-5 (ЛМ.01)</t>
  </si>
  <si>
    <t>ЛМ27.14.14-5 (ЛМ.03)</t>
  </si>
  <si>
    <t>ЛМ30.14.15-5 (ЛМ.02)</t>
  </si>
  <si>
    <t>Устройство парапетных свесов</t>
  </si>
  <si>
    <t>Устройство парапетных фартуков и обделки вентканалов и будки выхода на кровлю</t>
  </si>
  <si>
    <t>Кровельная оцинкованная сталь 0,7</t>
  </si>
  <si>
    <t>ПЛ9</t>
  </si>
  <si>
    <t>Устройство монолитного участка для выхода на кровлю</t>
  </si>
  <si>
    <t>швеллер 24П С245</t>
  </si>
  <si>
    <t xml:space="preserve">ø3 ВрI </t>
  </si>
  <si>
    <t>9.10</t>
  </si>
  <si>
    <t>9.11</t>
  </si>
  <si>
    <t>9.12</t>
  </si>
  <si>
    <t>Раздел 16. Устройство отмостки</t>
  </si>
  <si>
    <t>Горизонтальная гидроизоляция</t>
  </si>
  <si>
    <t>ЦП раствор М200 с доставкой</t>
  </si>
  <si>
    <t>Монолитные заделки между бетонными блоками</t>
  </si>
  <si>
    <t>3.7</t>
  </si>
  <si>
    <t>3.8</t>
  </si>
  <si>
    <t>двери</t>
  </si>
  <si>
    <t>силикатные блоки</t>
  </si>
  <si>
    <t>проемы</t>
  </si>
  <si>
    <t>ПГП</t>
  </si>
  <si>
    <t>ДБ-1</t>
  </si>
  <si>
    <t>О-1</t>
  </si>
  <si>
    <t>О-2</t>
  </si>
  <si>
    <t>О-6</t>
  </si>
  <si>
    <t>ДБ-2</t>
  </si>
  <si>
    <t>О-7</t>
  </si>
  <si>
    <t>О-9</t>
  </si>
  <si>
    <t>ДБ-4</t>
  </si>
  <si>
    <t>О-3</t>
  </si>
  <si>
    <t>Д-4</t>
  </si>
  <si>
    <t>Д-5</t>
  </si>
  <si>
    <t>Д-1</t>
  </si>
  <si>
    <t>Д-2</t>
  </si>
  <si>
    <t>Д-3</t>
  </si>
  <si>
    <t>секция И2 1эт</t>
  </si>
  <si>
    <t>секция И2 2эт</t>
  </si>
  <si>
    <t>секция Ж 1эт</t>
  </si>
  <si>
    <t>ДБ-3</t>
  </si>
  <si>
    <t>Кладка несущих стен (наружных и внутренних 380 мм) из силикатных блоков</t>
  </si>
  <si>
    <t>9.13</t>
  </si>
  <si>
    <t>было</t>
  </si>
  <si>
    <t>Д2</t>
  </si>
  <si>
    <t>Ек</t>
  </si>
  <si>
    <t>Д</t>
  </si>
  <si>
    <t>Е</t>
  </si>
  <si>
    <t>кладка вентканалов</t>
  </si>
  <si>
    <t>О-4</t>
  </si>
  <si>
    <t>О-5</t>
  </si>
  <si>
    <t>О-8</t>
  </si>
  <si>
    <t>О-10</t>
  </si>
  <si>
    <t>О-11</t>
  </si>
  <si>
    <t>Д-7</t>
  </si>
  <si>
    <t>Д-8</t>
  </si>
  <si>
    <t>Кладка несущих стен и тамбуров входов из силикатного кирпича</t>
  </si>
  <si>
    <t>вентканалы выше кровли</t>
  </si>
  <si>
    <t>Р1</t>
  </si>
  <si>
    <t>Р2</t>
  </si>
  <si>
    <t>высота</t>
  </si>
  <si>
    <t>высота парапета от кровли</t>
  </si>
  <si>
    <t>Р3</t>
  </si>
  <si>
    <t>длина</t>
  </si>
  <si>
    <t>Р4</t>
  </si>
  <si>
    <t>Р5</t>
  </si>
  <si>
    <t>Р6</t>
  </si>
  <si>
    <t>Р7</t>
  </si>
  <si>
    <t>Р8</t>
  </si>
  <si>
    <t>Р9</t>
  </si>
  <si>
    <t xml:space="preserve">На строительство жилого дома № 43 в 10-м квартале Заволжского района г.Ульяновска
</t>
  </si>
  <si>
    <r>
      <t xml:space="preserve">На строительство жилого дома № 43 </t>
    </r>
    <r>
      <rPr>
        <b/>
        <sz val="11"/>
        <color indexed="45"/>
        <rFont val="Times New Roman"/>
        <family val="1"/>
        <charset val="204"/>
      </rPr>
      <t>(секция Д)</t>
    </r>
    <r>
      <rPr>
        <b/>
        <sz val="11"/>
        <rFont val="Times New Roman"/>
        <family val="1"/>
        <charset val="204"/>
      </rPr>
      <t xml:space="preserve"> в 10-м квартале Заволжского района г.Ульяновска
</t>
    </r>
  </si>
  <si>
    <r>
      <t xml:space="preserve">На строительство жилого дома № 43 </t>
    </r>
    <r>
      <rPr>
        <b/>
        <sz val="11"/>
        <color indexed="45"/>
        <rFont val="Times New Roman"/>
        <family val="1"/>
        <charset val="204"/>
      </rPr>
      <t>(секция Д2)</t>
    </r>
    <r>
      <rPr>
        <b/>
        <sz val="11"/>
        <rFont val="Times New Roman"/>
        <family val="1"/>
        <charset val="204"/>
      </rPr>
      <t xml:space="preserve"> в 10-м квартале Заволжского района г.Ульяновска
</t>
    </r>
  </si>
  <si>
    <t xml:space="preserve">ФБС9.6.6-т </t>
  </si>
  <si>
    <t>сетки арматурные</t>
  </si>
  <si>
    <t xml:space="preserve">Устройство монолитного поясов Пм3 </t>
  </si>
  <si>
    <t>Устройство приямков</t>
  </si>
  <si>
    <t>ПК 30.15</t>
  </si>
  <si>
    <t>ПБ 3.9</t>
  </si>
  <si>
    <r>
      <t xml:space="preserve">арматура </t>
    </r>
    <r>
      <rPr>
        <sz val="12"/>
        <color indexed="9"/>
        <rFont val="Calibri"/>
        <family val="2"/>
        <charset val="204"/>
      </rPr>
      <t>Ø</t>
    </r>
    <r>
      <rPr>
        <sz val="12"/>
        <color indexed="9"/>
        <rFont val="Times New Roman"/>
        <family val="1"/>
        <charset val="204"/>
      </rPr>
      <t xml:space="preserve"> 6 мм А240 </t>
    </r>
  </si>
  <si>
    <t>Бетон В 15 F50 с доставкой</t>
  </si>
  <si>
    <t>ИС перекрытий</t>
  </si>
  <si>
    <t>грунтовка битумная (2,5кг/м2)</t>
  </si>
  <si>
    <t>горячий битум БНИ-Y (0,35кг/м2)</t>
  </si>
  <si>
    <t xml:space="preserve">ФБС12.6.6-т </t>
  </si>
  <si>
    <t>ПФм1</t>
  </si>
  <si>
    <t>Устройство ПФм1</t>
  </si>
  <si>
    <t>сетки к ФБС</t>
  </si>
  <si>
    <t>Устройство монолитного пояса Пм1</t>
  </si>
  <si>
    <t>"Унифлекс ТПП" в 2 слоя</t>
  </si>
  <si>
    <t>ПБ 2.9</t>
  </si>
  <si>
    <t>ПБ 4.9</t>
  </si>
  <si>
    <r>
      <t xml:space="preserve">арматура </t>
    </r>
    <r>
      <rPr>
        <sz val="12"/>
        <color indexed="9"/>
        <rFont val="Calibri"/>
        <family val="2"/>
        <charset val="204"/>
      </rPr>
      <t>Ø</t>
    </r>
    <r>
      <rPr>
        <sz val="12"/>
        <color indexed="9"/>
        <rFont val="Times New Roman"/>
        <family val="1"/>
        <charset val="204"/>
      </rPr>
      <t xml:space="preserve"> 6 мм А240 </t>
    </r>
  </si>
  <si>
    <t>Установка витража</t>
  </si>
  <si>
    <t>пог.м</t>
  </si>
  <si>
    <r>
      <t xml:space="preserve">На строительство жилого дома № 43 </t>
    </r>
    <r>
      <rPr>
        <b/>
        <sz val="11"/>
        <color indexed="45"/>
        <rFont val="Times New Roman"/>
        <family val="1"/>
        <charset val="204"/>
      </rPr>
      <t>(секция Ек)</t>
    </r>
    <r>
      <rPr>
        <b/>
        <sz val="11"/>
        <rFont val="Times New Roman"/>
        <family val="1"/>
        <charset val="204"/>
      </rPr>
      <t xml:space="preserve"> в 10-м квартале Заволжского района г.Ульяновска
</t>
    </r>
  </si>
  <si>
    <r>
      <t xml:space="preserve">На строительство жилого дома № 43 </t>
    </r>
    <r>
      <rPr>
        <b/>
        <sz val="11"/>
        <color indexed="45"/>
        <rFont val="Times New Roman"/>
        <family val="1"/>
        <charset val="204"/>
      </rPr>
      <t>(секция Е)</t>
    </r>
    <r>
      <rPr>
        <b/>
        <sz val="11"/>
        <rFont val="Times New Roman"/>
        <family val="1"/>
        <charset val="204"/>
      </rPr>
      <t xml:space="preserve"> в 10-м квартале Заволжского района г.Ульяновска
</t>
    </r>
  </si>
  <si>
    <t>ступень верхняя ЛСВ 11</t>
  </si>
  <si>
    <t>ступень верхняя ЛСВ 15</t>
  </si>
  <si>
    <t>Раствор М50 Пк с доставкой</t>
  </si>
  <si>
    <t>Бетон БСТ В22,5 П1 F150 70 мм</t>
  </si>
  <si>
    <r>
      <t xml:space="preserve">сетки - арматура </t>
    </r>
    <r>
      <rPr>
        <sz val="12"/>
        <color indexed="9"/>
        <rFont val="Calibri"/>
        <family val="2"/>
        <charset val="204"/>
      </rPr>
      <t>Ø</t>
    </r>
    <r>
      <rPr>
        <sz val="12"/>
        <color indexed="9"/>
        <rFont val="Times New Roman"/>
        <family val="1"/>
        <charset val="204"/>
      </rPr>
      <t xml:space="preserve"> 6,10 мм А3</t>
    </r>
  </si>
  <si>
    <t>угол 125х8</t>
  </si>
  <si>
    <t>Бетон В20 F100 W6 с доставкой</t>
  </si>
  <si>
    <t>ДБ-1л</t>
  </si>
  <si>
    <t>ДБ-2л</t>
  </si>
  <si>
    <t>ЕК</t>
  </si>
  <si>
    <t>Типовой этаж</t>
  </si>
  <si>
    <t>ПК 30.10</t>
  </si>
  <si>
    <t>ПБ 1.9</t>
  </si>
  <si>
    <r>
      <t xml:space="preserve">сетки - арматура </t>
    </r>
    <r>
      <rPr>
        <sz val="12"/>
        <color indexed="9"/>
        <rFont val="Calibri"/>
        <family val="2"/>
        <charset val="204"/>
      </rPr>
      <t>Ø</t>
    </r>
    <r>
      <rPr>
        <sz val="12"/>
        <color indexed="9"/>
        <rFont val="Times New Roman"/>
        <family val="1"/>
        <charset val="204"/>
      </rPr>
      <t xml:space="preserve"> 6 мм А1, А3</t>
    </r>
  </si>
  <si>
    <t>О1</t>
  </si>
  <si>
    <t>ДБ1л</t>
  </si>
  <si>
    <t>О3</t>
  </si>
  <si>
    <t>ДБ1</t>
  </si>
  <si>
    <t>О2</t>
  </si>
  <si>
    <t>ДБ2л</t>
  </si>
  <si>
    <t>ДБ2</t>
  </si>
  <si>
    <t>О7</t>
  </si>
  <si>
    <t>О4</t>
  </si>
  <si>
    <t>1 этаж</t>
  </si>
  <si>
    <t>Устройство бетонной подготовки под ПФм1</t>
  </si>
  <si>
    <t>цоколь 1,3</t>
  </si>
  <si>
    <t>Устройство монолитных балок над продухами</t>
  </si>
  <si>
    <t>Устройство монолитного поясов Пм2</t>
  </si>
  <si>
    <r>
      <t xml:space="preserve">сетки - арматура </t>
    </r>
    <r>
      <rPr>
        <sz val="12"/>
        <color indexed="9"/>
        <rFont val="Calibri"/>
        <family val="2"/>
        <charset val="204"/>
      </rPr>
      <t>Ø</t>
    </r>
    <r>
      <rPr>
        <sz val="12"/>
        <color indexed="9"/>
        <rFont val="Times New Roman"/>
        <family val="1"/>
        <charset val="204"/>
      </rPr>
      <t xml:space="preserve"> 6 мм А1, А3</t>
    </r>
  </si>
  <si>
    <t>8ПП17-5</t>
  </si>
  <si>
    <t>плиты перекрытия</t>
  </si>
  <si>
    <t>9ПБ30-4</t>
  </si>
  <si>
    <t>МН-1</t>
  </si>
  <si>
    <t>К1</t>
  </si>
  <si>
    <t>УМ1</t>
  </si>
  <si>
    <t>бетон</t>
  </si>
  <si>
    <t>УМ2</t>
  </si>
  <si>
    <t>К2</t>
  </si>
  <si>
    <t>УМ3</t>
  </si>
  <si>
    <t>УМ4</t>
  </si>
  <si>
    <t>УМ5</t>
  </si>
  <si>
    <t>УМ6</t>
  </si>
  <si>
    <t>УМ7</t>
  </si>
  <si>
    <t>УМ8</t>
  </si>
  <si>
    <t>Анкер А3</t>
  </si>
  <si>
    <t>ПК 31.15</t>
  </si>
  <si>
    <t>К3</t>
  </si>
  <si>
    <t>К4</t>
  </si>
  <si>
    <t>К5</t>
  </si>
  <si>
    <t>Лестничные ступени ЛС 14-1</t>
  </si>
  <si>
    <t>сетки, закладные изделия,косоуры</t>
  </si>
  <si>
    <t>лестницы</t>
  </si>
  <si>
    <t>БМ1</t>
  </si>
  <si>
    <t>БМ3</t>
  </si>
  <si>
    <t>Ограждение ЛО14</t>
  </si>
  <si>
    <t>объем</t>
  </si>
  <si>
    <t>примыкания</t>
  </si>
  <si>
    <t>Костыли К-1 620 шт.</t>
  </si>
  <si>
    <t>плиты парапетные ПТ12,5-8-6</t>
  </si>
  <si>
    <t>сендвич панель ПТСМА 50</t>
  </si>
  <si>
    <t>Кровельная оцинкованная сталь 0,8</t>
  </si>
  <si>
    <t>4С Ф4Вр-1</t>
  </si>
  <si>
    <t>Устройство пожарных лестниц ПЛ-1</t>
  </si>
  <si>
    <t>Устройство пожарных лестниц ПЛ-2</t>
  </si>
  <si>
    <t>экструдированный пенополистирол "Технониколь XPS" 120 мм</t>
  </si>
  <si>
    <t>Утепление парапета 120 мм</t>
  </si>
  <si>
    <t>Анкер А3, А10</t>
  </si>
  <si>
    <t>Закладная деталь ЗДВ1</t>
  </si>
  <si>
    <t>8ПБ10-1</t>
  </si>
  <si>
    <t>5ПБ18-27</t>
  </si>
  <si>
    <t>9ПБ30-40</t>
  </si>
  <si>
    <t>К6</t>
  </si>
  <si>
    <t>Устройство стремянок СГ-28</t>
  </si>
  <si>
    <t>Монтаж балок перекрытия табура входа</t>
  </si>
  <si>
    <t>Бт1, Бт2</t>
  </si>
  <si>
    <t>Закладная деталь ЗДб-3</t>
  </si>
  <si>
    <t>Анкер А3, А6</t>
  </si>
  <si>
    <t>ПБ 3</t>
  </si>
  <si>
    <t>Анкер А10, А3, А6</t>
  </si>
  <si>
    <t>7.6</t>
  </si>
  <si>
    <t>7.7</t>
  </si>
  <si>
    <t>БМ4</t>
  </si>
  <si>
    <t>Раздел 14. Внутренние отделочные работы технического подполья, электрощитовой, водомерного узла и выхода на кровлю</t>
  </si>
  <si>
    <t>Устройство основания в техпомещении</t>
  </si>
  <si>
    <t>втрамбованный щебень 70-100 мм</t>
  </si>
  <si>
    <t xml:space="preserve">Устройство стяжки армированной толщ.40 мм </t>
  </si>
  <si>
    <t>Устройство бетонной подготовки в водомерном узле и эл/щитовой</t>
  </si>
  <si>
    <t>щебень пропитанный битумом 50 мм</t>
  </si>
  <si>
    <t>Устройство бетонной подготовки в эл/щитовой</t>
  </si>
  <si>
    <t>Раздел 14. Внутренние отделочные работы технического подполья, водомерного узла и выхода на кровлю</t>
  </si>
  <si>
    <t>Устройство бетонной подготовки в водомерном узле</t>
  </si>
  <si>
    <t>Раздел 14. Внутренние отделочные работы технического подполья</t>
  </si>
  <si>
    <t>"ПЕНОПЛЕКС 35"</t>
  </si>
  <si>
    <t>полиэтиленовая пленка</t>
  </si>
  <si>
    <t>Устройство стяжки армированной  толщ. 60-80 мм</t>
  </si>
  <si>
    <t>Улучшенная штукатурка кирпичных стен</t>
  </si>
  <si>
    <t>Улучшенная штукатурка стен</t>
  </si>
  <si>
    <t>акриловая краска</t>
  </si>
  <si>
    <t>Затирка гипсовыми смесями, окраска акриловой краской стен из панелей</t>
  </si>
  <si>
    <t xml:space="preserve">Раздел 14. Внутренние отделочные работы технического подполья, электрощитовой </t>
  </si>
  <si>
    <t>Раздел 14. Внутренние отделочные работы технического подполья и будки выхода на кровлю</t>
  </si>
  <si>
    <t>Затирка гипсовыми смесями стен из ПГП плит</t>
  </si>
  <si>
    <t>Улучшенная штукатурка кирпичных стен и стен из г/с блоков</t>
  </si>
  <si>
    <t>вход</t>
  </si>
  <si>
    <t>Двери входные наружные утепленные с армированным стеклом ДАВ 21-14.4</t>
  </si>
  <si>
    <t>Б3</t>
  </si>
  <si>
    <t>Б2</t>
  </si>
  <si>
    <t>Б4п</t>
  </si>
  <si>
    <t>торг.залы</t>
  </si>
  <si>
    <t>Б1п</t>
  </si>
  <si>
    <t>Б3сп</t>
  </si>
  <si>
    <t>Ограждение балкона ОБ71.9</t>
  </si>
  <si>
    <t>Козырек балкона КБ 35.9с</t>
  </si>
  <si>
    <t>Козырек балкона КБ28.9</t>
  </si>
  <si>
    <t>Козырек балкона КБ31.9п</t>
  </si>
  <si>
    <t>Козырек балкона КБ33.9</t>
  </si>
  <si>
    <t>Козырек балкона КБ35.9</t>
  </si>
  <si>
    <t>профиль металлический</t>
  </si>
  <si>
    <t>Устройство обшивки козырьков балконов</t>
  </si>
  <si>
    <t>козырек</t>
  </si>
  <si>
    <t>обшивка</t>
  </si>
  <si>
    <t>оцинк</t>
  </si>
  <si>
    <t>сн/зад</t>
  </si>
  <si>
    <t>мет.огр</t>
  </si>
  <si>
    <t>лист ЦСП</t>
  </si>
  <si>
    <t>Профлист</t>
  </si>
  <si>
    <t>8.4</t>
  </si>
  <si>
    <t>Монтаж плиты ПВ 29.32</t>
  </si>
  <si>
    <t>Монтаж плиты ПВ 31.16</t>
  </si>
  <si>
    <t>Монтаж плиты ПВ 37.20</t>
  </si>
  <si>
    <t>Козырек КВ 35.18</t>
  </si>
  <si>
    <t>Вход 7, 9</t>
  </si>
  <si>
    <t>Вход 2, 4</t>
  </si>
  <si>
    <t>Вход 1, 3</t>
  </si>
  <si>
    <t>Вход 5</t>
  </si>
  <si>
    <r>
      <t xml:space="preserve">4С </t>
    </r>
    <r>
      <rPr>
        <sz val="11"/>
        <color indexed="9"/>
        <rFont val="Arial"/>
        <family val="2"/>
        <charset val="204"/>
      </rPr>
      <t>ø5ВрI</t>
    </r>
  </si>
  <si>
    <t>водосточная система</t>
  </si>
  <si>
    <t>Двери наружные ДПН 21-14,4</t>
  </si>
  <si>
    <t xml:space="preserve">Двери противопожарные  ДСВ 21-9 </t>
  </si>
  <si>
    <t>Люк ДПН (EI 30) 12-10</t>
  </si>
  <si>
    <t>Люк ЛПМ (EI 30) 11-6</t>
  </si>
  <si>
    <t>Люк ЛПМ (EI 30) 6-8</t>
  </si>
  <si>
    <t>Двери входные в коридор ДО 21-13.5</t>
  </si>
  <si>
    <t>подоконники</t>
  </si>
  <si>
    <t>ИТОГО по разделу "Внутренние отделочные работы технического подполья и выхода на кровлю":</t>
  </si>
  <si>
    <t>ИТОГО по разделу "Внутренние отделочные работы технического подполья, водомерного узла и выхода на кровлю":</t>
  </si>
  <si>
    <t>ИТОГО по разделу "Внутренние отделочные работы технического подполья и электрощитовой":</t>
  </si>
  <si>
    <t>№п/п</t>
  </si>
  <si>
    <t>Наименование затрат</t>
  </si>
  <si>
    <t>Земляные работы</t>
  </si>
  <si>
    <t>Устройство фундаментов</t>
  </si>
  <si>
    <t>Устройство подвала ниже отм.0.00</t>
  </si>
  <si>
    <t>Строительство коробки, балконы, лестницы, козырьки</t>
  </si>
  <si>
    <t>Кровля</t>
  </si>
  <si>
    <t xml:space="preserve">Остекление оконных проёмов </t>
  </si>
  <si>
    <t>Двери</t>
  </si>
  <si>
    <t>Внутренняя отделка в том числе стяжка</t>
  </si>
  <si>
    <t>Отделка фасадов</t>
  </si>
  <si>
    <t>Устройство отмостки</t>
  </si>
  <si>
    <t>Газоснабжение</t>
  </si>
  <si>
    <t>Внутренние сети ВиК</t>
  </si>
  <si>
    <t>Внутренние сети отопления и вентиляции (в т.ч.газовые котлы)</t>
  </si>
  <si>
    <t>Внутренние сети эл/снабжения и освещения</t>
  </si>
  <si>
    <t>Итого стоимость СМР,руб.</t>
  </si>
  <si>
    <t>Стоимость на 1 м2</t>
  </si>
  <si>
    <t>кол-во квартир</t>
  </si>
  <si>
    <t>Устройство песчанного основания под ПФм1</t>
  </si>
  <si>
    <t>Песок строительный 1000 мм</t>
  </si>
  <si>
    <r>
      <t xml:space="preserve">сетки - арматура </t>
    </r>
    <r>
      <rPr>
        <sz val="12"/>
        <color indexed="9"/>
        <rFont val="Calibri"/>
        <family val="2"/>
        <charset val="204"/>
      </rPr>
      <t>Ø</t>
    </r>
    <r>
      <rPr>
        <sz val="12"/>
        <color indexed="9"/>
        <rFont val="Times New Roman"/>
        <family val="1"/>
        <charset val="204"/>
      </rPr>
      <t xml:space="preserve"> 8 мм А1</t>
    </r>
  </si>
  <si>
    <t>Гидроизоляция боковая обмазочная ФБС  в 2слоя</t>
  </si>
  <si>
    <t>3.9</t>
  </si>
  <si>
    <t>3.10</t>
  </si>
  <si>
    <t>Горизонтальная гидроизоляция Пм1</t>
  </si>
  <si>
    <t>3.11</t>
  </si>
  <si>
    <t>Устройство монолитных плит приямков</t>
  </si>
  <si>
    <t>Раздел 3. Устройство монолитного плитного фундамента ПФм1</t>
  </si>
  <si>
    <t>Песок строительный 550-850 мм</t>
  </si>
  <si>
    <t>Гидроизоляция боковая обмазочная Пм2 и ФБС в 2слоя</t>
  </si>
  <si>
    <t>Горизонтальная гидроизоляция Пм2</t>
  </si>
  <si>
    <t>Песок строительный 200 - 1600 мм</t>
  </si>
  <si>
    <t>Горизонтальная гидроизоляция Пм3</t>
  </si>
  <si>
    <t>"УНИФЛЕКС ТПП" в 2 слоя</t>
  </si>
  <si>
    <t>Устройство монолитного поясов Пм4</t>
  </si>
  <si>
    <t>Гидроизоляция боковая обмазочная Пм4 и ФБС в 2слоя</t>
  </si>
  <si>
    <t>Горизонтальная гидроизоляция Пм4</t>
  </si>
  <si>
    <t>Раздел 3. Устройство фундаментов</t>
  </si>
  <si>
    <t>Устройство песчанного основания</t>
  </si>
  <si>
    <t>Устройство бетонной подготовки</t>
  </si>
  <si>
    <t>Гидроизоляция боковая обмазочная фундаментов в 2слоя</t>
  </si>
  <si>
    <t>Горизонтальная гидроизоляция фундаментов</t>
  </si>
  <si>
    <t>Гидроизоляция боковая обмазочная монолитных поясов и ФБС  в 2слоя</t>
  </si>
  <si>
    <t>Горизонтальная гидроизоляция монолитных поясов</t>
  </si>
  <si>
    <t>ступень нижняя ЛСН 15</t>
  </si>
  <si>
    <t>ПБ 30.10</t>
  </si>
  <si>
    <t>Анкеры</t>
  </si>
  <si>
    <t>лестничные балки</t>
  </si>
  <si>
    <t>БМ-1</t>
  </si>
  <si>
    <t>БМ-3</t>
  </si>
  <si>
    <t>БМ1, БМ3, БМ4</t>
  </si>
  <si>
    <t>Монтаж плит ПВ</t>
  </si>
  <si>
    <t>∑ по секциям</t>
  </si>
  <si>
    <t>Фасад</t>
  </si>
  <si>
    <r>
      <t xml:space="preserve">сетки - арматура </t>
    </r>
    <r>
      <rPr>
        <sz val="12"/>
        <rFont val="Calibri"/>
        <family val="2"/>
        <charset val="204"/>
      </rPr>
      <t>Ø</t>
    </r>
    <r>
      <rPr>
        <sz val="12"/>
        <rFont val="Times New Roman"/>
        <family val="1"/>
        <charset val="204"/>
      </rPr>
      <t xml:space="preserve"> 8 мм А1</t>
    </r>
  </si>
  <si>
    <r>
      <t xml:space="preserve">сетки - арматура </t>
    </r>
    <r>
      <rPr>
        <sz val="12"/>
        <rFont val="Calibri"/>
        <family val="2"/>
        <charset val="204"/>
      </rPr>
      <t>Ø</t>
    </r>
    <r>
      <rPr>
        <sz val="12"/>
        <rFont val="Times New Roman"/>
        <family val="1"/>
        <charset val="204"/>
      </rPr>
      <t xml:space="preserve"> 6 мм А1, А3</t>
    </r>
  </si>
  <si>
    <r>
      <t xml:space="preserve">арматура </t>
    </r>
    <r>
      <rPr>
        <sz val="12"/>
        <rFont val="Calibri"/>
        <family val="2"/>
        <charset val="204"/>
      </rPr>
      <t>Ø</t>
    </r>
    <r>
      <rPr>
        <sz val="12"/>
        <rFont val="Times New Roman"/>
        <family val="1"/>
        <charset val="204"/>
      </rPr>
      <t xml:space="preserve"> 6 мм А240 </t>
    </r>
  </si>
  <si>
    <t>Итого по разделу " Устройство монолитного плитного фундамента ПФм1"</t>
  </si>
  <si>
    <t>Раздел 3. Устройство монолитного плитного фундамента ПФм2</t>
  </si>
  <si>
    <t>Устройство песчанного основания под ПФм2</t>
  </si>
  <si>
    <t>Устройство бетонной подготовки под ПФм2</t>
  </si>
  <si>
    <t>Устройство ПФм2</t>
  </si>
  <si>
    <t>Горизонтальная гидроизоляция ПФм2</t>
  </si>
  <si>
    <t>Итого по разделу "Устройство монолитного плитного фундамента ПФм2"</t>
  </si>
  <si>
    <t>Раздел 3. Устройство монолитного ленточного фундамента ФЛм2</t>
  </si>
  <si>
    <t>Устройство бетонной подготовки под ФЛм2</t>
  </si>
  <si>
    <t>Устройство ФЛм2</t>
  </si>
  <si>
    <t>Итого по разделу " Устройство монолитного ленточного фундамента ФЛм2"</t>
  </si>
  <si>
    <r>
      <t xml:space="preserve">4С </t>
    </r>
    <r>
      <rPr>
        <sz val="11"/>
        <rFont val="Arial"/>
        <family val="2"/>
        <charset val="204"/>
      </rPr>
      <t>ø5ВрI</t>
    </r>
  </si>
  <si>
    <t>Итого работа</t>
  </si>
  <si>
    <t>Накладные расходы</t>
  </si>
  <si>
    <t>Сметная прибыль</t>
  </si>
  <si>
    <t>Итого материал</t>
  </si>
  <si>
    <t>Работа Крана</t>
  </si>
  <si>
    <t>маш/час</t>
  </si>
  <si>
    <t>Штукатурка кирпичных стен</t>
  </si>
  <si>
    <t>Штукатурка стен</t>
  </si>
  <si>
    <t>Покраска ограждения</t>
  </si>
  <si>
    <t>Стяжка кровли</t>
  </si>
  <si>
    <t>З/п ИТР</t>
  </si>
  <si>
    <t>з/п Рабочие</t>
  </si>
  <si>
    <t>Доп. Работы</t>
  </si>
  <si>
    <t>Электроэнергия</t>
  </si>
  <si>
    <t>Техника аренда</t>
  </si>
  <si>
    <t>Лизинги</t>
  </si>
  <si>
    <t>Налоги</t>
  </si>
  <si>
    <t>пенополистерол</t>
  </si>
  <si>
    <t>м.п</t>
  </si>
  <si>
    <t>Доп 8% на з.п.</t>
  </si>
  <si>
    <t>реализованно</t>
  </si>
  <si>
    <t>Раздел 100. Организация работ</t>
  </si>
  <si>
    <t>100.1</t>
  </si>
  <si>
    <t>100.2</t>
  </si>
  <si>
    <t>100.3</t>
  </si>
  <si>
    <t>100.4</t>
  </si>
  <si>
    <t>100.5</t>
  </si>
  <si>
    <t>100.6</t>
  </si>
  <si>
    <t>100.7</t>
  </si>
  <si>
    <t>100.8</t>
  </si>
  <si>
    <t>100.9</t>
  </si>
  <si>
    <t>Электрооборудование и электроосвещение</t>
  </si>
  <si>
    <t xml:space="preserve">Отопление </t>
  </si>
  <si>
    <t>19.1</t>
  </si>
  <si>
    <t>Вентиляция</t>
  </si>
  <si>
    <t>Внутренние В и К</t>
  </si>
  <si>
    <t>20.1</t>
  </si>
  <si>
    <t>21.1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</si>
</sst>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1" formatCode="_-* #,##0.00\ _₽_-;\-* #,##0.00\ _₽_-;_-* &quot;-&quot;??\ _₽_-;_-@_-"/>
    <numFmt numFmtId="179" formatCode="_-* #,##0.00_р_._-;\-* #,##0.00_р_._-;_-* &quot;-&quot;??_р_._-;_-@_-"/>
    <numFmt numFmtId="180" formatCode="#,##0.00_р_."/>
    <numFmt numFmtId="181" formatCode="#,##0.00&quot;р.&quot;"/>
    <numFmt numFmtId="183" formatCode="#,##0.0_р_."/>
    <numFmt numFmtId="184" formatCode="0.0"/>
    <numFmt numFmtId="186" formatCode="#,##0.000"/>
    <numFmt numFmtId="190" formatCode="#,##0_ ;\-#,##0\ "/>
  </numFmts>
  <fonts count="123" x14ac:knownFonts="1">
    <font>
      <sz val="11"/>
      <color rgb="FF000000"/>
      <name val="SimSun"/>
      <family val="2"/>
      <charset val="204"/>
    </font>
    <font>
      <sz val="9"/>
      <name val="Arial Cyr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2"/>
      <color indexed="55"/>
      <name val="Times New Roman"/>
      <family val="1"/>
      <charset val="204"/>
    </font>
    <font>
      <b/>
      <sz val="12"/>
      <color indexed="55"/>
      <name val="Times New Roman"/>
      <family val="1"/>
      <charset val="204"/>
    </font>
    <font>
      <b/>
      <sz val="9"/>
      <color indexed="55"/>
      <name val="Times New Roman"/>
      <family val="1"/>
      <charset val="204"/>
    </font>
    <font>
      <sz val="11"/>
      <color indexed="9"/>
      <name val="Arial"/>
      <family val="2"/>
      <charset val="204"/>
    </font>
    <font>
      <sz val="11"/>
      <color indexed="45"/>
      <name val="Arial"/>
      <family val="2"/>
      <charset val="204"/>
    </font>
    <font>
      <sz val="11"/>
      <color indexed="52"/>
      <name val="Arial"/>
      <family val="2"/>
      <charset val="204"/>
    </font>
    <font>
      <sz val="11"/>
      <name val="Arial"/>
      <family val="2"/>
      <charset val="204"/>
    </font>
    <font>
      <sz val="11"/>
      <color indexed="15"/>
      <name val="Arial"/>
      <family val="2"/>
      <charset val="204"/>
    </font>
    <font>
      <sz val="12"/>
      <color indexed="25"/>
      <name val="Calibri"/>
      <family val="2"/>
      <charset val="204"/>
    </font>
    <font>
      <sz val="10.199999999999999"/>
      <color indexed="25"/>
      <name val="Times New Roman"/>
      <family val="1"/>
      <charset val="204"/>
    </font>
    <font>
      <sz val="12"/>
      <color indexed="25"/>
      <name val="Calibri"/>
      <family val="2"/>
      <charset val="204"/>
    </font>
    <font>
      <sz val="10.199999999999999"/>
      <color indexed="25"/>
      <name val="Times New Roman"/>
      <family val="1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u/>
      <sz val="11"/>
      <name val="Calibri"/>
      <family val="2"/>
      <charset val="204"/>
    </font>
    <font>
      <sz val="11"/>
      <color indexed="55"/>
      <name val="Arial"/>
      <family val="2"/>
      <charset val="204"/>
    </font>
    <font>
      <b/>
      <sz val="11"/>
      <color indexed="55"/>
      <name val="Calibri"/>
      <family val="2"/>
      <charset val="204"/>
    </font>
    <font>
      <b/>
      <sz val="11"/>
      <color indexed="55"/>
      <name val="SimSun"/>
      <family val="2"/>
      <charset val="204"/>
    </font>
    <font>
      <b/>
      <sz val="11"/>
      <color indexed="55"/>
      <name val="Arial"/>
      <family val="2"/>
      <charset val="204"/>
    </font>
    <font>
      <sz val="11"/>
      <color indexed="55"/>
      <name val="Arial"/>
      <family val="2"/>
      <charset val="204"/>
    </font>
    <font>
      <sz val="11"/>
      <color indexed="55"/>
      <name val="Arial"/>
      <family val="2"/>
      <charset val="204"/>
    </font>
    <font>
      <sz val="12"/>
      <color indexed="9"/>
      <name val="Times New Roman"/>
      <family val="1"/>
      <charset val="204"/>
    </font>
    <font>
      <b/>
      <sz val="11"/>
      <color indexed="45"/>
      <name val="Times New Roman"/>
      <family val="1"/>
      <charset val="204"/>
    </font>
    <font>
      <sz val="12"/>
      <color indexed="9"/>
      <name val="Times New Roman"/>
      <family val="1"/>
      <charset val="204"/>
    </font>
    <font>
      <sz val="12"/>
      <color indexed="9"/>
      <name val="Calibri"/>
      <family val="2"/>
      <charset val="204"/>
    </font>
    <font>
      <sz val="12"/>
      <color indexed="9"/>
      <name val="Times New Roman"/>
      <family val="1"/>
      <charset val="204"/>
    </font>
    <font>
      <sz val="12"/>
      <color indexed="9"/>
      <name val="Calibri"/>
      <family val="2"/>
      <charset val="204"/>
    </font>
    <font>
      <sz val="12"/>
      <color indexed="9"/>
      <name val="Times New Roman"/>
      <family val="1"/>
      <charset val="204"/>
    </font>
    <font>
      <sz val="12"/>
      <color indexed="9"/>
      <name val="Calibri"/>
      <family val="2"/>
      <charset val="204"/>
    </font>
    <font>
      <b/>
      <sz val="11"/>
      <name val="Arial"/>
      <family val="2"/>
      <charset val="204"/>
    </font>
    <font>
      <sz val="12"/>
      <color indexed="9"/>
      <name val="Times New Roman"/>
      <family val="1"/>
      <charset val="204"/>
    </font>
    <font>
      <sz val="12"/>
      <color indexed="9"/>
      <name val="Calibri"/>
      <family val="2"/>
      <charset val="204"/>
    </font>
    <font>
      <sz val="11"/>
      <color indexed="9"/>
      <name val="Arial"/>
      <family val="2"/>
      <charset val="204"/>
    </font>
    <font>
      <sz val="10"/>
      <name val="Times New Roman"/>
      <family val="1"/>
      <charset val="204"/>
    </font>
    <font>
      <sz val="12"/>
      <name val="Calibri"/>
      <family val="2"/>
      <charset val="204"/>
    </font>
    <font>
      <sz val="11"/>
      <color rgb="FF000000"/>
      <name val="SimSun"/>
      <family val="2"/>
      <charset val="204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3366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2"/>
      <color theme="5"/>
      <name val="Times New Roman"/>
      <family val="1"/>
      <charset val="204"/>
    </font>
    <font>
      <b/>
      <sz val="12"/>
      <color theme="5" tint="-0.249977111117893"/>
      <name val="Times New Roman"/>
      <family val="1"/>
      <charset val="204"/>
    </font>
    <font>
      <sz val="12"/>
      <color theme="5"/>
      <name val="Times New Roman"/>
      <family val="1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FFC000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0070C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CC3300"/>
      <name val="Arial"/>
      <family val="2"/>
      <charset val="204"/>
    </font>
    <font>
      <sz val="11"/>
      <color rgb="FFD60093"/>
      <name val="Arial"/>
      <family val="2"/>
      <charset val="204"/>
    </font>
    <font>
      <sz val="11"/>
      <color theme="2" tint="-0.249977111117893"/>
      <name val="Arial"/>
      <family val="2"/>
      <charset val="204"/>
    </font>
    <font>
      <sz val="11"/>
      <color rgb="FFCC99FF"/>
      <name val="Arial"/>
      <family val="2"/>
      <charset val="204"/>
    </font>
    <font>
      <b/>
      <sz val="12"/>
      <color rgb="FFD60093"/>
      <name val="Times New Roman"/>
      <family val="1"/>
      <charset val="204"/>
    </font>
    <font>
      <sz val="12"/>
      <color rgb="FFD60093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B0F0"/>
      <name val="Arial"/>
      <family val="2"/>
      <charset val="204"/>
    </font>
    <font>
      <sz val="11"/>
      <color rgb="FF00B0F0"/>
      <name val="Arial"/>
      <family val="2"/>
      <charset val="204"/>
    </font>
    <font>
      <sz val="11"/>
      <color theme="0" tint="-0.499984740745262"/>
      <name val="Arial"/>
      <family val="2"/>
      <charset val="204"/>
    </font>
    <font>
      <b/>
      <sz val="11"/>
      <color rgb="FFD60093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1"/>
      <color rgb="FF92D050"/>
      <name val="Arial"/>
      <family val="2"/>
      <charset val="204"/>
    </font>
    <font>
      <b/>
      <sz val="11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rgb="FF0070C0"/>
      <name val="Times New Roman"/>
      <family val="1"/>
      <charset val="204"/>
    </font>
    <font>
      <sz val="11"/>
      <color rgb="FFFF3300"/>
      <name val="Arial"/>
      <family val="2"/>
      <charset val="204"/>
    </font>
    <font>
      <sz val="11"/>
      <color rgb="FF7030A0"/>
      <name val="Arial"/>
      <family val="2"/>
      <charset val="204"/>
    </font>
    <font>
      <b/>
      <sz val="11"/>
      <color rgb="FFFF0000"/>
      <name val="SimSun"/>
    </font>
    <font>
      <sz val="12"/>
      <color rgb="FF000000"/>
      <name val="Arial"/>
      <family val="2"/>
      <charset val="204"/>
    </font>
    <font>
      <b/>
      <sz val="11"/>
      <color rgb="FF00B050"/>
      <name val="SimSun"/>
    </font>
    <font>
      <b/>
      <sz val="12"/>
      <color rgb="FF7030A0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b/>
      <i/>
      <sz val="12"/>
      <color rgb="FF00B050"/>
      <name val="Times New Roman"/>
      <family val="1"/>
      <charset val="204"/>
    </font>
    <font>
      <b/>
      <sz val="11"/>
      <color rgb="FFFF0000"/>
      <name val="Arial"/>
      <family val="2"/>
      <charset val="204"/>
    </font>
    <font>
      <sz val="11"/>
      <color rgb="FF00B05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rgb="FFFFC000"/>
      <name val="Times New Roman"/>
      <family val="1"/>
      <charset val="204"/>
    </font>
    <font>
      <sz val="11"/>
      <color rgb="FF7030A0"/>
      <name val="Calibri"/>
      <family val="2"/>
      <scheme val="minor"/>
    </font>
    <font>
      <sz val="11"/>
      <color rgb="FF7030A0"/>
      <name val="SimSun"/>
      <family val="2"/>
      <charset val="204"/>
    </font>
    <font>
      <b/>
      <sz val="11"/>
      <color rgb="FF7030A0"/>
      <name val="Arial"/>
      <family val="2"/>
      <charset val="204"/>
    </font>
    <font>
      <sz val="10"/>
      <color rgb="FF7030A0"/>
      <name val="Times New Roman"/>
      <family val="1"/>
      <charset val="204"/>
    </font>
    <font>
      <b/>
      <sz val="11"/>
      <color rgb="FF7030A0"/>
      <name val="Times New Roman"/>
      <family val="1"/>
      <charset val="204"/>
    </font>
    <font>
      <b/>
      <sz val="11"/>
      <color rgb="FFFFC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8"/>
      <name val="Calibri"/>
      <family val="2"/>
      <charset val="204"/>
      <scheme val="minor"/>
    </font>
    <font>
      <b/>
      <sz val="8"/>
      <color rgb="FF00000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7E4BD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46" fillId="0" borderId="0"/>
    <xf numFmtId="0" fontId="47" fillId="0" borderId="0"/>
    <xf numFmtId="0" fontId="46" fillId="0" borderId="0"/>
    <xf numFmtId="179" fontId="46" fillId="0" borderId="0" applyFont="0" applyFill="0" applyBorder="0" applyAlignment="0" applyProtection="0"/>
  </cellStyleXfs>
  <cellXfs count="795">
    <xf numFmtId="0" fontId="0" fillId="0" borderId="0" xfId="0" applyFont="1"/>
    <xf numFmtId="180" fontId="2" fillId="0" borderId="1" xfId="0" applyNumberFormat="1" applyFont="1" applyBorder="1" applyAlignment="1">
      <alignment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0" fontId="2" fillId="0" borderId="0" xfId="0" applyNumberFormat="1" applyFont="1" applyFill="1" applyAlignment="1">
      <alignment horizontal="center" vertical="center" wrapText="1"/>
    </xf>
    <xf numFmtId="180" fontId="48" fillId="0" borderId="0" xfId="0" applyNumberFormat="1" applyFont="1" applyFill="1" applyAlignment="1">
      <alignment vertical="center" wrapText="1"/>
    </xf>
    <xf numFmtId="180" fontId="49" fillId="0" borderId="0" xfId="0" applyNumberFormat="1" applyFont="1" applyAlignment="1">
      <alignment vertical="center" wrapText="1"/>
    </xf>
    <xf numFmtId="180" fontId="50" fillId="0" borderId="0" xfId="0" applyNumberFormat="1" applyFont="1" applyAlignment="1">
      <alignment vertical="center" wrapText="1"/>
    </xf>
    <xf numFmtId="181" fontId="50" fillId="0" borderId="0" xfId="0" applyNumberFormat="1" applyFont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vertical="center" wrapText="1"/>
    </xf>
    <xf numFmtId="180" fontId="49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right" vertical="center" wrapText="1"/>
    </xf>
    <xf numFmtId="180" fontId="49" fillId="2" borderId="1" xfId="0" applyNumberFormat="1" applyFont="1" applyFill="1" applyBorder="1" applyAlignment="1">
      <alignment horizontal="center" vertical="center" wrapText="1"/>
    </xf>
    <xf numFmtId="180" fontId="3" fillId="2" borderId="1" xfId="0" applyNumberFormat="1" applyFont="1" applyFill="1" applyBorder="1" applyAlignment="1">
      <alignment horizontal="center" vertical="center" wrapText="1"/>
    </xf>
    <xf numFmtId="180" fontId="51" fillId="0" borderId="1" xfId="0" applyNumberFormat="1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vertical="center" wrapText="1"/>
    </xf>
    <xf numFmtId="180" fontId="7" fillId="0" borderId="1" xfId="0" applyNumberFormat="1" applyFont="1" applyFill="1" applyBorder="1" applyAlignment="1">
      <alignment horizontal="center" vertical="center" wrapText="1"/>
    </xf>
    <xf numFmtId="180" fontId="3" fillId="0" borderId="0" xfId="0" applyNumberFormat="1" applyFont="1" applyFill="1" applyAlignment="1">
      <alignment vertical="center" wrapText="1"/>
    </xf>
    <xf numFmtId="180" fontId="48" fillId="0" borderId="1" xfId="0" applyNumberFormat="1" applyFont="1" applyFill="1" applyBorder="1" applyAlignment="1">
      <alignment horizontal="center" vertical="center" wrapText="1"/>
    </xf>
    <xf numFmtId="180" fontId="48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180" fontId="52" fillId="0" borderId="1" xfId="0" applyNumberFormat="1" applyFont="1" applyFill="1" applyBorder="1" applyAlignment="1">
      <alignment horizontal="center" vertical="center" wrapText="1"/>
    </xf>
    <xf numFmtId="180" fontId="48" fillId="0" borderId="0" xfId="0" applyNumberFormat="1" applyFont="1" applyAlignment="1">
      <alignment vertical="center" wrapText="1"/>
    </xf>
    <xf numFmtId="180" fontId="48" fillId="0" borderId="1" xfId="0" applyNumberFormat="1" applyFont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vertical="center" wrapText="1"/>
    </xf>
    <xf numFmtId="0" fontId="3" fillId="0" borderId="1" xfId="0" quotePrefix="1" applyFont="1" applyFill="1" applyBorder="1" applyAlignment="1">
      <alignment horizontal="right" vertical="center" wrapText="1"/>
    </xf>
    <xf numFmtId="180" fontId="2" fillId="0" borderId="1" xfId="0" quotePrefix="1" applyNumberFormat="1" applyFont="1" applyFill="1" applyBorder="1" applyAlignment="1">
      <alignment horizontal="left" vertical="center" wrapText="1"/>
    </xf>
    <xf numFmtId="180" fontId="2" fillId="2" borderId="1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180" fontId="3" fillId="0" borderId="1" xfId="0" quotePrefix="1" applyNumberFormat="1" applyFont="1" applyFill="1" applyBorder="1" applyAlignment="1">
      <alignment horizontal="right" vertical="center" wrapText="1"/>
    </xf>
    <xf numFmtId="180" fontId="48" fillId="2" borderId="0" xfId="0" applyNumberFormat="1" applyFont="1" applyFill="1" applyAlignment="1">
      <alignment vertical="center" wrapText="1"/>
    </xf>
    <xf numFmtId="180" fontId="2" fillId="3" borderId="1" xfId="0" applyNumberFormat="1" applyFont="1" applyFill="1" applyBorder="1" applyAlignment="1">
      <alignment horizontal="center" vertical="center" wrapText="1"/>
    </xf>
    <xf numFmtId="180" fontId="49" fillId="0" borderId="0" xfId="0" applyNumberFormat="1" applyFont="1" applyFill="1" applyAlignment="1">
      <alignment vertical="center" wrapText="1"/>
    </xf>
    <xf numFmtId="180" fontId="3" fillId="2" borderId="0" xfId="0" applyNumberFormat="1" applyFont="1" applyFill="1" applyAlignment="1">
      <alignment vertical="center" wrapText="1"/>
    </xf>
    <xf numFmtId="0" fontId="6" fillId="0" borderId="0" xfId="0" applyFont="1"/>
    <xf numFmtId="0" fontId="53" fillId="0" borderId="0" xfId="0" applyFont="1"/>
    <xf numFmtId="0" fontId="54" fillId="0" borderId="0" xfId="0" applyFont="1"/>
    <xf numFmtId="0" fontId="3" fillId="0" borderId="1" xfId="3" applyFont="1" applyFill="1" applyBorder="1" applyAlignment="1">
      <alignment horizontal="center" vertical="center" wrapText="1"/>
    </xf>
    <xf numFmtId="4" fontId="3" fillId="0" borderId="1" xfId="3" applyNumberFormat="1" applyFont="1" applyFill="1" applyBorder="1" applyAlignment="1">
      <alignment horizontal="center" vertical="center" wrapText="1"/>
    </xf>
    <xf numFmtId="4" fontId="3" fillId="0" borderId="1" xfId="3" applyNumberFormat="1" applyFont="1" applyFill="1" applyBorder="1" applyAlignment="1">
      <alignment horizontal="right" vertical="center" wrapText="1"/>
    </xf>
    <xf numFmtId="0" fontId="2" fillId="0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right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3" fillId="0" borderId="1" xfId="3" quotePrefix="1" applyFont="1" applyFill="1" applyBorder="1" applyAlignment="1">
      <alignment horizontal="right" vertical="center" wrapText="1"/>
    </xf>
    <xf numFmtId="0" fontId="2" fillId="0" borderId="1" xfId="3" quotePrefix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left" vertical="center" wrapText="1"/>
    </xf>
    <xf numFmtId="4" fontId="2" fillId="0" borderId="1" xfId="3" applyNumberFormat="1" applyFont="1" applyFill="1" applyBorder="1" applyAlignment="1">
      <alignment horizontal="center" vertical="center" wrapText="1"/>
    </xf>
    <xf numFmtId="4" fontId="48" fillId="0" borderId="1" xfId="0" applyNumberFormat="1" applyFont="1" applyFill="1" applyBorder="1" applyAlignment="1">
      <alignment horizontal="center" vertical="center" wrapText="1"/>
    </xf>
    <xf numFmtId="180" fontId="2" fillId="0" borderId="1" xfId="0" quotePrefix="1" applyNumberFormat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4" fontId="49" fillId="0" borderId="1" xfId="0" applyNumberFormat="1" applyFont="1" applyFill="1" applyBorder="1" applyAlignment="1">
      <alignment horizontal="center" vertical="center" wrapText="1"/>
    </xf>
    <xf numFmtId="0" fontId="55" fillId="0" borderId="1" xfId="3" applyFont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right" vertical="center" wrapText="1"/>
    </xf>
    <xf numFmtId="180" fontId="49" fillId="0" borderId="1" xfId="0" applyNumberFormat="1" applyFont="1" applyFill="1" applyBorder="1" applyAlignment="1">
      <alignment horizontal="right" vertical="center" wrapText="1"/>
    </xf>
    <xf numFmtId="180" fontId="2" fillId="0" borderId="1" xfId="0" quotePrefix="1" applyNumberFormat="1" applyFont="1" applyFill="1" applyBorder="1" applyAlignment="1">
      <alignment horizontal="right" vertical="center" wrapText="1"/>
    </xf>
    <xf numFmtId="180" fontId="4" fillId="0" borderId="2" xfId="0" quotePrefix="1" applyNumberFormat="1" applyFont="1" applyBorder="1" applyAlignment="1">
      <alignment horizontal="right" vertical="center" wrapText="1"/>
    </xf>
    <xf numFmtId="180" fontId="48" fillId="0" borderId="1" xfId="0" applyNumberFormat="1" applyFont="1" applyFill="1" applyBorder="1" applyAlignment="1">
      <alignment horizontal="right" vertical="center" wrapText="1"/>
    </xf>
    <xf numFmtId="180" fontId="56" fillId="0" borderId="1" xfId="0" applyNumberFormat="1" applyFont="1" applyFill="1" applyBorder="1" applyAlignment="1">
      <alignment horizontal="center" vertical="center" wrapText="1"/>
    </xf>
    <xf numFmtId="180" fontId="49" fillId="0" borderId="1" xfId="0" quotePrefix="1" applyNumberFormat="1" applyFont="1" applyFill="1" applyBorder="1" applyAlignment="1">
      <alignment horizontal="left" vertical="center" wrapText="1"/>
    </xf>
    <xf numFmtId="180" fontId="49" fillId="0" borderId="1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1" fontId="48" fillId="0" borderId="1" xfId="0" applyNumberFormat="1" applyFont="1" applyFill="1" applyBorder="1" applyAlignment="1">
      <alignment horizontal="center" vertical="center" wrapText="1"/>
    </xf>
    <xf numFmtId="0" fontId="48" fillId="0" borderId="1" xfId="0" applyNumberFormat="1" applyFont="1" applyFill="1" applyBorder="1" applyAlignment="1">
      <alignment horizontal="center" vertical="center" wrapText="1"/>
    </xf>
    <xf numFmtId="180" fontId="3" fillId="0" borderId="1" xfId="0" quotePrefix="1" applyNumberFormat="1" applyFont="1" applyFill="1" applyBorder="1" applyAlignment="1">
      <alignment horizontal="center" vertical="center" wrapText="1"/>
    </xf>
    <xf numFmtId="183" fontId="3" fillId="0" borderId="1" xfId="0" applyNumberFormat="1" applyFont="1" applyFill="1" applyBorder="1" applyAlignment="1">
      <alignment horizontal="center" vertical="center" wrapText="1"/>
    </xf>
    <xf numFmtId="180" fontId="2" fillId="0" borderId="3" xfId="0" applyNumberFormat="1" applyFont="1" applyFill="1" applyBorder="1" applyAlignment="1">
      <alignment vertical="center" wrapText="1"/>
    </xf>
    <xf numFmtId="180" fontId="2" fillId="0" borderId="3" xfId="0" applyNumberFormat="1" applyFont="1" applyFill="1" applyBorder="1" applyAlignment="1">
      <alignment horizontal="center" vertical="center" wrapText="1"/>
    </xf>
    <xf numFmtId="180" fontId="48" fillId="0" borderId="3" xfId="0" applyNumberFormat="1" applyFont="1" applyFill="1" applyBorder="1" applyAlignment="1">
      <alignment horizontal="center" vertical="center" wrapText="1"/>
    </xf>
    <xf numFmtId="180" fontId="48" fillId="0" borderId="1" xfId="0" quotePrefix="1" applyNumberFormat="1" applyFont="1" applyFill="1" applyBorder="1" applyAlignment="1">
      <alignment horizontal="right" vertical="center" wrapText="1"/>
    </xf>
    <xf numFmtId="180" fontId="49" fillId="0" borderId="1" xfId="0" quotePrefix="1" applyNumberFormat="1" applyFont="1" applyFill="1" applyBorder="1" applyAlignment="1">
      <alignment horizontal="center" vertical="center" wrapText="1"/>
    </xf>
    <xf numFmtId="180" fontId="57" fillId="0" borderId="1" xfId="0" applyNumberFormat="1" applyFont="1" applyFill="1" applyBorder="1" applyAlignment="1">
      <alignment horizontal="center" vertical="center" wrapText="1"/>
    </xf>
    <xf numFmtId="180" fontId="53" fillId="0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Fill="1" applyBorder="1" applyAlignment="1">
      <alignment vertical="center" wrapText="1"/>
    </xf>
    <xf numFmtId="180" fontId="8" fillId="0" borderId="1" xfId="0" quotePrefix="1" applyNumberFormat="1" applyFont="1" applyFill="1" applyBorder="1" applyAlignment="1">
      <alignment horizontal="left" vertical="center" wrapText="1"/>
    </xf>
    <xf numFmtId="180" fontId="54" fillId="0" borderId="1" xfId="0" quotePrefix="1" applyNumberFormat="1" applyFont="1" applyFill="1" applyBorder="1" applyAlignment="1">
      <alignment horizontal="center" vertical="center" wrapText="1"/>
    </xf>
    <xf numFmtId="49" fontId="57" fillId="0" borderId="0" xfId="0" applyNumberFormat="1" applyFont="1" applyAlignment="1">
      <alignment horizontal="center" vertical="center" wrapText="1"/>
    </xf>
    <xf numFmtId="49" fontId="10" fillId="0" borderId="0" xfId="0" applyNumberFormat="1" applyFont="1" applyFill="1" applyAlignment="1">
      <alignment horizontal="center" vertical="center" wrapText="1"/>
    </xf>
    <xf numFmtId="180" fontId="10" fillId="0" borderId="1" xfId="0" applyNumberFormat="1" applyFont="1" applyFill="1" applyBorder="1" applyAlignment="1">
      <alignment horizontal="center" vertical="center" wrapText="1"/>
    </xf>
    <xf numFmtId="49" fontId="57" fillId="0" borderId="1" xfId="0" applyNumberFormat="1" applyFont="1" applyFill="1" applyBorder="1" applyAlignment="1">
      <alignment horizontal="center" vertical="center" wrapText="1"/>
    </xf>
    <xf numFmtId="49" fontId="57" fillId="0" borderId="4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57" fillId="0" borderId="1" xfId="0" quotePrefix="1" applyNumberFormat="1" applyFont="1" applyFill="1" applyBorder="1" applyAlignment="1">
      <alignment horizontal="center" vertical="center" wrapText="1"/>
    </xf>
    <xf numFmtId="49" fontId="57" fillId="0" borderId="1" xfId="0" quotePrefix="1" applyNumberFormat="1" applyFont="1" applyBorder="1" applyAlignment="1">
      <alignment horizontal="center" vertical="center" wrapText="1"/>
    </xf>
    <xf numFmtId="49" fontId="57" fillId="0" borderId="5" xfId="0" applyNumberFormat="1" applyFont="1" applyFill="1" applyBorder="1" applyAlignment="1">
      <alignment horizontal="center" vertical="center" wrapText="1"/>
    </xf>
    <xf numFmtId="49" fontId="57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57" fillId="0" borderId="6" xfId="0" applyNumberFormat="1" applyFont="1" applyFill="1" applyBorder="1" applyAlignment="1">
      <alignment horizontal="center" vertical="center" wrapText="1"/>
    </xf>
    <xf numFmtId="49" fontId="57" fillId="0" borderId="3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Fill="1" applyAlignment="1">
      <alignment horizontal="center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58" fillId="0" borderId="1" xfId="3" quotePrefix="1" applyFont="1" applyBorder="1" applyAlignment="1">
      <alignment horizontal="right" vertical="center" wrapText="1"/>
    </xf>
    <xf numFmtId="0" fontId="58" fillId="0" borderId="1" xfId="3" applyFont="1" applyBorder="1" applyAlignment="1">
      <alignment horizontal="right" vertical="center" wrapText="1"/>
    </xf>
    <xf numFmtId="49" fontId="57" fillId="4" borderId="1" xfId="0" applyNumberFormat="1" applyFont="1" applyFill="1" applyBorder="1" applyAlignment="1">
      <alignment horizontal="center" vertical="center" wrapText="1"/>
    </xf>
    <xf numFmtId="180" fontId="54" fillId="4" borderId="1" xfId="0" applyNumberFormat="1" applyFont="1" applyFill="1" applyBorder="1" applyAlignment="1">
      <alignment horizontal="right" vertical="center" wrapText="1"/>
    </xf>
    <xf numFmtId="180" fontId="54" fillId="4" borderId="1" xfId="0" applyNumberFormat="1" applyFont="1" applyFill="1" applyBorder="1" applyAlignment="1">
      <alignment horizontal="center" vertical="center" wrapText="1"/>
    </xf>
    <xf numFmtId="180" fontId="59" fillId="0" borderId="0" xfId="0" applyNumberFormat="1" applyFont="1" applyFill="1" applyAlignment="1">
      <alignment vertical="center" wrapText="1"/>
    </xf>
    <xf numFmtId="180" fontId="49" fillId="5" borderId="1" xfId="0" applyNumberFormat="1" applyFont="1" applyFill="1" applyBorder="1" applyAlignment="1">
      <alignment horizontal="center" vertical="center" wrapText="1"/>
    </xf>
    <xf numFmtId="180" fontId="2" fillId="5" borderId="1" xfId="0" applyNumberFormat="1" applyFont="1" applyFill="1" applyBorder="1" applyAlignment="1">
      <alignment horizontal="center" vertical="center" wrapText="1"/>
    </xf>
    <xf numFmtId="180" fontId="10" fillId="5" borderId="5" xfId="0" quotePrefix="1" applyNumberFormat="1" applyFont="1" applyFill="1" applyBorder="1" applyAlignment="1">
      <alignment horizontal="left" vertical="center" wrapText="1"/>
    </xf>
    <xf numFmtId="180" fontId="5" fillId="5" borderId="7" xfId="0" applyNumberFormat="1" applyFont="1" applyFill="1" applyBorder="1" applyAlignment="1">
      <alignment vertical="center" wrapText="1"/>
    </xf>
    <xf numFmtId="180" fontId="5" fillId="5" borderId="8" xfId="0" applyNumberFormat="1" applyFont="1" applyFill="1" applyBorder="1" applyAlignment="1">
      <alignment vertical="center" wrapText="1"/>
    </xf>
    <xf numFmtId="49" fontId="57" fillId="5" borderId="1" xfId="0" applyNumberFormat="1" applyFont="1" applyFill="1" applyBorder="1" applyAlignment="1">
      <alignment horizontal="center" vertical="center" wrapText="1"/>
    </xf>
    <xf numFmtId="180" fontId="10" fillId="5" borderId="5" xfId="0" quotePrefix="1" applyNumberFormat="1" applyFont="1" applyFill="1" applyBorder="1" applyAlignment="1">
      <alignment vertical="center" wrapText="1"/>
    </xf>
    <xf numFmtId="180" fontId="10" fillId="5" borderId="5" xfId="0" applyNumberFormat="1" applyFont="1" applyFill="1" applyBorder="1" applyAlignment="1">
      <alignment vertical="center" wrapText="1"/>
    </xf>
    <xf numFmtId="180" fontId="7" fillId="5" borderId="1" xfId="0" applyNumberFormat="1" applyFont="1" applyFill="1" applyBorder="1" applyAlignment="1">
      <alignment vertical="center" wrapText="1"/>
    </xf>
    <xf numFmtId="180" fontId="48" fillId="5" borderId="1" xfId="0" applyNumberFormat="1" applyFont="1" applyFill="1" applyBorder="1" applyAlignment="1">
      <alignment horizontal="center" vertical="center" wrapText="1"/>
    </xf>
    <xf numFmtId="180" fontId="2" fillId="5" borderId="1" xfId="0" applyNumberFormat="1" applyFont="1" applyFill="1" applyBorder="1" applyAlignment="1">
      <alignment horizontal="right" vertical="center" wrapText="1"/>
    </xf>
    <xf numFmtId="180" fontId="5" fillId="5" borderId="1" xfId="0" quotePrefix="1" applyNumberFormat="1" applyFont="1" applyFill="1" applyBorder="1" applyAlignment="1">
      <alignment horizontal="left" vertical="center" wrapText="1"/>
    </xf>
    <xf numFmtId="180" fontId="57" fillId="5" borderId="5" xfId="0" quotePrefix="1" applyNumberFormat="1" applyFont="1" applyFill="1" applyBorder="1" applyAlignment="1">
      <alignment horizontal="left" vertical="center" wrapText="1"/>
    </xf>
    <xf numFmtId="180" fontId="51" fillId="5" borderId="7" xfId="0" applyNumberFormat="1" applyFont="1" applyFill="1" applyBorder="1" applyAlignment="1">
      <alignment vertical="center" wrapText="1"/>
    </xf>
    <xf numFmtId="180" fontId="51" fillId="5" borderId="8" xfId="0" applyNumberFormat="1" applyFont="1" applyFill="1" applyBorder="1" applyAlignment="1">
      <alignment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80" fontId="54" fillId="5" borderId="1" xfId="0" applyNumberFormat="1" applyFont="1" applyFill="1" applyBorder="1" applyAlignment="1">
      <alignment horizontal="center" vertical="center" wrapText="1"/>
    </xf>
    <xf numFmtId="180" fontId="53" fillId="5" borderId="1" xfId="0" applyNumberFormat="1" applyFont="1" applyFill="1" applyBorder="1" applyAlignment="1">
      <alignment horizontal="center"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Fill="1" applyBorder="1" applyAlignment="1">
      <alignment horizontal="center" vertical="center" wrapText="1"/>
    </xf>
    <xf numFmtId="180" fontId="50" fillId="0" borderId="0" xfId="0" applyNumberFormat="1" applyFont="1" applyBorder="1" applyAlignment="1">
      <alignment horizontal="left" vertical="center" wrapText="1"/>
    </xf>
    <xf numFmtId="180" fontId="3" fillId="5" borderId="1" xfId="0" applyNumberFormat="1" applyFont="1" applyFill="1" applyBorder="1" applyAlignment="1">
      <alignment horizontal="center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180" fontId="2" fillId="5" borderId="1" xfId="0" applyNumberFormat="1" applyFont="1" applyFill="1" applyBorder="1" applyAlignment="1">
      <alignment vertical="center" wrapText="1"/>
    </xf>
    <xf numFmtId="180" fontId="2" fillId="5" borderId="1" xfId="0" quotePrefix="1" applyNumberFormat="1" applyFont="1" applyFill="1" applyBorder="1" applyAlignment="1">
      <alignment horizontal="left" vertical="center" wrapText="1"/>
    </xf>
    <xf numFmtId="180" fontId="3" fillId="5" borderId="1" xfId="0" applyNumberFormat="1" applyFont="1" applyFill="1" applyBorder="1" applyAlignment="1">
      <alignment vertical="center" wrapText="1"/>
    </xf>
    <xf numFmtId="180" fontId="48" fillId="0" borderId="0" xfId="0" applyNumberFormat="1" applyFont="1" applyFill="1" applyBorder="1" applyAlignment="1">
      <alignment vertical="center" wrapText="1"/>
    </xf>
    <xf numFmtId="180" fontId="54" fillId="0" borderId="1" xfId="0" applyNumberFormat="1" applyFont="1" applyFill="1" applyBorder="1" applyAlignment="1">
      <alignment horizontal="center" vertical="center" wrapText="1"/>
    </xf>
    <xf numFmtId="180" fontId="6" fillId="5" borderId="1" xfId="0" applyNumberFormat="1" applyFont="1" applyFill="1" applyBorder="1" applyAlignment="1">
      <alignment horizontal="center" vertical="center" wrapText="1"/>
    </xf>
    <xf numFmtId="4" fontId="3" fillId="0" borderId="0" xfId="3" applyNumberFormat="1" applyFont="1" applyFill="1" applyBorder="1" applyAlignment="1">
      <alignment horizontal="center" vertical="center" wrapText="1"/>
    </xf>
    <xf numFmtId="180" fontId="48" fillId="0" borderId="0" xfId="0" applyNumberFormat="1" applyFont="1" applyBorder="1" applyAlignment="1">
      <alignment vertical="center" wrapText="1"/>
    </xf>
    <xf numFmtId="180" fontId="2" fillId="0" borderId="0" xfId="0" applyNumberFormat="1" applyFont="1" applyFill="1" applyAlignment="1">
      <alignment horizontal="right" vertical="center" wrapText="1"/>
    </xf>
    <xf numFmtId="180" fontId="49" fillId="0" borderId="1" xfId="0" quotePrefix="1" applyNumberFormat="1" applyFont="1" applyBorder="1" applyAlignment="1">
      <alignment horizontal="right" vertical="center" wrapText="1"/>
    </xf>
    <xf numFmtId="180" fontId="51" fillId="5" borderId="7" xfId="0" applyNumberFormat="1" applyFont="1" applyFill="1" applyBorder="1" applyAlignment="1">
      <alignment horizontal="right" vertical="center" wrapText="1"/>
    </xf>
    <xf numFmtId="180" fontId="48" fillId="0" borderId="1" xfId="0" applyNumberFormat="1" applyFont="1" applyBorder="1" applyAlignment="1">
      <alignment horizontal="right" vertical="center" wrapText="1"/>
    </xf>
    <xf numFmtId="180" fontId="5" fillId="5" borderId="7" xfId="0" applyNumberFormat="1" applyFont="1" applyFill="1" applyBorder="1" applyAlignment="1">
      <alignment horizontal="right" vertical="center" wrapText="1"/>
    </xf>
    <xf numFmtId="180" fontId="2" fillId="3" borderId="1" xfId="0" applyNumberFormat="1" applyFont="1" applyFill="1" applyBorder="1" applyAlignment="1">
      <alignment horizontal="right" vertical="center" wrapText="1"/>
    </xf>
    <xf numFmtId="4" fontId="48" fillId="0" borderId="1" xfId="0" applyNumberFormat="1" applyFont="1" applyFill="1" applyBorder="1" applyAlignment="1">
      <alignment horizontal="right" vertical="center" wrapText="1"/>
    </xf>
    <xf numFmtId="4" fontId="49" fillId="0" borderId="1" xfId="0" applyNumberFormat="1" applyFont="1" applyFill="1" applyBorder="1" applyAlignment="1">
      <alignment horizontal="right" vertical="center" wrapText="1"/>
    </xf>
    <xf numFmtId="4" fontId="55" fillId="0" borderId="1" xfId="3" applyNumberFormat="1" applyFont="1" applyFill="1" applyBorder="1" applyAlignment="1">
      <alignment horizontal="right" vertical="center" wrapText="1"/>
    </xf>
    <xf numFmtId="180" fontId="53" fillId="0" borderId="1" xfId="0" applyNumberFormat="1" applyFont="1" applyFill="1" applyBorder="1" applyAlignment="1">
      <alignment horizontal="right" vertical="center" wrapText="1"/>
    </xf>
    <xf numFmtId="180" fontId="52" fillId="0" borderId="1" xfId="0" applyNumberFormat="1" applyFont="1" applyFill="1" applyBorder="1" applyAlignment="1">
      <alignment horizontal="right" vertical="center" wrapText="1"/>
    </xf>
    <xf numFmtId="180" fontId="3" fillId="5" borderId="1" xfId="0" applyNumberFormat="1" applyFont="1" applyFill="1" applyBorder="1" applyAlignment="1">
      <alignment horizontal="right" vertical="center" wrapText="1"/>
    </xf>
    <xf numFmtId="180" fontId="48" fillId="0" borderId="3" xfId="0" applyNumberFormat="1" applyFont="1" applyFill="1" applyBorder="1" applyAlignment="1">
      <alignment horizontal="right" vertical="center" wrapText="1"/>
    </xf>
    <xf numFmtId="180" fontId="3" fillId="2" borderId="1" xfId="0" applyNumberFormat="1" applyFont="1" applyFill="1" applyBorder="1" applyAlignment="1">
      <alignment horizontal="right" vertical="center" wrapText="1"/>
    </xf>
    <xf numFmtId="180" fontId="48" fillId="0" borderId="0" xfId="0" applyNumberFormat="1" applyFont="1" applyAlignment="1">
      <alignment horizontal="right" vertical="center" wrapText="1"/>
    </xf>
    <xf numFmtId="180" fontId="48" fillId="6" borderId="1" xfId="0" applyNumberFormat="1" applyFont="1" applyFill="1" applyBorder="1" applyAlignment="1">
      <alignment horizontal="center" vertical="center" wrapText="1"/>
    </xf>
    <xf numFmtId="180" fontId="3" fillId="6" borderId="1" xfId="0" applyNumberFormat="1" applyFont="1" applyFill="1" applyBorder="1" applyAlignment="1">
      <alignment horizontal="center" vertical="center" wrapText="1"/>
    </xf>
    <xf numFmtId="180" fontId="3" fillId="6" borderId="1" xfId="0" applyNumberFormat="1" applyFont="1" applyFill="1" applyBorder="1" applyAlignment="1">
      <alignment horizontal="right" vertical="center" wrapText="1"/>
    </xf>
    <xf numFmtId="180" fontId="48" fillId="6" borderId="1" xfId="0" quotePrefix="1" applyNumberFormat="1" applyFont="1" applyFill="1" applyBorder="1" applyAlignment="1">
      <alignment horizontal="left" vertical="center" wrapText="1"/>
    </xf>
    <xf numFmtId="180" fontId="48" fillId="0" borderId="0" xfId="0" applyNumberFormat="1" applyFont="1" applyAlignment="1">
      <alignment horizontal="center" vertical="center" wrapText="1"/>
    </xf>
    <xf numFmtId="180" fontId="11" fillId="0" borderId="0" xfId="0" applyNumberFormat="1" applyFont="1" applyAlignment="1">
      <alignment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Fill="1" applyBorder="1" applyAlignment="1">
      <alignment horizontal="right" vertical="center" wrapText="1"/>
    </xf>
    <xf numFmtId="180" fontId="60" fillId="0" borderId="1" xfId="0" applyNumberFormat="1" applyFont="1" applyFill="1" applyBorder="1" applyAlignment="1">
      <alignment horizontal="center" vertical="center" wrapText="1"/>
    </xf>
    <xf numFmtId="180" fontId="11" fillId="0" borderId="0" xfId="0" applyNumberFormat="1" applyFont="1" applyFill="1" applyAlignment="1">
      <alignment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80" fontId="3" fillId="0" borderId="0" xfId="0" applyNumberFormat="1" applyFont="1" applyFill="1" applyBorder="1" applyAlignment="1">
      <alignment horizontal="center" vertical="center" wrapText="1"/>
    </xf>
    <xf numFmtId="180" fontId="49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180" fontId="60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180" fontId="61" fillId="0" borderId="1" xfId="0" applyNumberFormat="1" applyFont="1" applyFill="1" applyBorder="1" applyAlignment="1">
      <alignment horizontal="center" vertical="center" wrapText="1"/>
    </xf>
    <xf numFmtId="180" fontId="62" fillId="0" borderId="1" xfId="0" applyNumberFormat="1" applyFont="1" applyFill="1" applyBorder="1" applyAlignment="1">
      <alignment horizontal="center" vertical="center" wrapText="1"/>
    </xf>
    <xf numFmtId="183" fontId="60" fillId="0" borderId="1" xfId="0" applyNumberFormat="1" applyFont="1" applyFill="1" applyBorder="1" applyAlignment="1">
      <alignment horizontal="center" vertical="center" wrapText="1"/>
    </xf>
    <xf numFmtId="180" fontId="63" fillId="0" borderId="1" xfId="0" quotePrefix="1" applyNumberFormat="1" applyFont="1" applyFill="1" applyBorder="1" applyAlignment="1">
      <alignment horizontal="left" vertical="center" wrapText="1"/>
    </xf>
    <xf numFmtId="0" fontId="60" fillId="0" borderId="1" xfId="0" applyFont="1" applyFill="1" applyBorder="1" applyAlignment="1">
      <alignment horizontal="right" vertical="center" wrapText="1"/>
    </xf>
    <xf numFmtId="0" fontId="60" fillId="0" borderId="1" xfId="0" applyFont="1" applyFill="1" applyBorder="1" applyAlignment="1">
      <alignment horizontal="center" vertical="center" wrapText="1"/>
    </xf>
    <xf numFmtId="180" fontId="60" fillId="0" borderId="1" xfId="0" applyNumberFormat="1" applyFont="1" applyFill="1" applyBorder="1" applyAlignment="1">
      <alignment vertical="center" wrapText="1"/>
    </xf>
    <xf numFmtId="0" fontId="60" fillId="0" borderId="1" xfId="0" quotePrefix="1" applyFont="1" applyFill="1" applyBorder="1" applyAlignment="1">
      <alignment horizontal="right" vertical="center" wrapText="1"/>
    </xf>
    <xf numFmtId="180" fontId="2" fillId="2" borderId="1" xfId="0" quotePrefix="1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80" fontId="61" fillId="0" borderId="1" xfId="0" quotePrefix="1" applyNumberFormat="1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2" fontId="3" fillId="0" borderId="3" xfId="0" quotePrefix="1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180" fontId="48" fillId="0" borderId="1" xfId="0" applyNumberFormat="1" applyFont="1" applyBorder="1" applyAlignment="1">
      <alignment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180" fontId="5" fillId="5" borderId="5" xfId="0" quotePrefix="1" applyNumberFormat="1" applyFont="1" applyFill="1" applyBorder="1" applyAlignment="1">
      <alignment horizontal="left" vertical="center" wrapText="1"/>
    </xf>
    <xf numFmtId="180" fontId="5" fillId="5" borderId="7" xfId="0" quotePrefix="1" applyNumberFormat="1" applyFont="1" applyFill="1" applyBorder="1" applyAlignment="1">
      <alignment horizontal="left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180" fontId="48" fillId="0" borderId="0" xfId="0" quotePrefix="1" applyNumberFormat="1" applyFont="1" applyAlignment="1">
      <alignment horizontal="left" vertical="center" wrapText="1"/>
    </xf>
    <xf numFmtId="180" fontId="49" fillId="0" borderId="3" xfId="0" applyNumberFormat="1" applyFont="1" applyFill="1" applyBorder="1" applyAlignment="1">
      <alignment horizontal="center" vertical="center" wrapText="1"/>
    </xf>
    <xf numFmtId="180" fontId="2" fillId="0" borderId="1" xfId="0" quotePrefix="1" applyNumberFormat="1" applyFont="1" applyFill="1" applyBorder="1" applyAlignment="1">
      <alignment horizontal="center" vertical="center" wrapText="1"/>
    </xf>
    <xf numFmtId="180" fontId="60" fillId="0" borderId="1" xfId="0" applyNumberFormat="1" applyFont="1" applyBorder="1" applyAlignment="1">
      <alignment horizontal="center" vertical="center" wrapText="1"/>
    </xf>
    <xf numFmtId="1" fontId="49" fillId="0" borderId="1" xfId="0" applyNumberFormat="1" applyFont="1" applyFill="1" applyBorder="1" applyAlignment="1">
      <alignment horizontal="center" vertical="center" wrapText="1"/>
    </xf>
    <xf numFmtId="0" fontId="49" fillId="0" borderId="1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Alignment="1">
      <alignment vertical="center" wrapText="1"/>
    </xf>
    <xf numFmtId="180" fontId="48" fillId="0" borderId="0" xfId="0" quotePrefix="1" applyNumberFormat="1" applyFont="1" applyFill="1" applyBorder="1" applyAlignment="1">
      <alignment horizontal="left" vertical="center" wrapText="1"/>
    </xf>
    <xf numFmtId="4" fontId="2" fillId="0" borderId="1" xfId="3" applyNumberFormat="1" applyFont="1" applyFill="1" applyBorder="1" applyAlignment="1">
      <alignment horizontal="right" vertical="center" wrapText="1"/>
    </xf>
    <xf numFmtId="180" fontId="60" fillId="2" borderId="1" xfId="0" applyNumberFormat="1" applyFont="1" applyFill="1" applyBorder="1" applyAlignment="1">
      <alignment horizontal="center" vertical="center" wrapText="1"/>
    </xf>
    <xf numFmtId="180" fontId="60" fillId="0" borderId="1" xfId="0" applyNumberFormat="1" applyFont="1" applyBorder="1" applyAlignment="1">
      <alignment horizontal="right" vertical="center" wrapText="1"/>
    </xf>
    <xf numFmtId="180" fontId="12" fillId="0" borderId="1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180" fontId="49" fillId="0" borderId="0" xfId="0" applyNumberFormat="1" applyFont="1" applyAlignment="1">
      <alignment horizontal="center" vertical="center" wrapText="1"/>
    </xf>
    <xf numFmtId="180" fontId="61" fillId="0" borderId="1" xfId="0" quotePrefix="1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left" vertical="center" wrapText="1"/>
    </xf>
    <xf numFmtId="49" fontId="10" fillId="0" borderId="1" xfId="0" quotePrefix="1" applyNumberFormat="1" applyFont="1" applyFill="1" applyBorder="1" applyAlignment="1">
      <alignment horizontal="center" vertical="center" wrapText="1"/>
    </xf>
    <xf numFmtId="180" fontId="2" fillId="7" borderId="1" xfId="0" applyNumberFormat="1" applyFont="1" applyFill="1" applyBorder="1" applyAlignment="1">
      <alignment horizontal="right" vertical="center" wrapText="1"/>
    </xf>
    <xf numFmtId="0" fontId="8" fillId="0" borderId="1" xfId="3" quotePrefix="1" applyFont="1" applyFill="1" applyBorder="1" applyAlignment="1">
      <alignment horizontal="left" vertical="center" wrapText="1"/>
    </xf>
    <xf numFmtId="4" fontId="3" fillId="6" borderId="1" xfId="3" applyNumberFormat="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vertical="center" wrapText="1"/>
    </xf>
    <xf numFmtId="180" fontId="5" fillId="5" borderId="7" xfId="0" applyNumberFormat="1" applyFont="1" applyFill="1" applyBorder="1" applyAlignment="1">
      <alignment horizontal="center" vertical="center" wrapText="1"/>
    </xf>
    <xf numFmtId="49" fontId="57" fillId="8" borderId="6" xfId="0" applyNumberFormat="1" applyFont="1" applyFill="1" applyBorder="1" applyAlignment="1">
      <alignment horizontal="center" vertical="center" wrapText="1"/>
    </xf>
    <xf numFmtId="180" fontId="2" fillId="8" borderId="6" xfId="0" quotePrefix="1" applyNumberFormat="1" applyFont="1" applyFill="1" applyBorder="1" applyAlignment="1">
      <alignment horizontal="right" vertical="center" wrapText="1"/>
    </xf>
    <xf numFmtId="180" fontId="2" fillId="8" borderId="6" xfId="0" applyNumberFormat="1" applyFont="1" applyFill="1" applyBorder="1" applyAlignment="1">
      <alignment vertical="center" wrapText="1"/>
    </xf>
    <xf numFmtId="180" fontId="2" fillId="8" borderId="6" xfId="0" applyNumberFormat="1" applyFont="1" applyFill="1" applyBorder="1" applyAlignment="1">
      <alignment horizontal="center" vertical="center" wrapText="1"/>
    </xf>
    <xf numFmtId="180" fontId="49" fillId="8" borderId="6" xfId="0" applyNumberFormat="1" applyFont="1" applyFill="1" applyBorder="1" applyAlignment="1">
      <alignment horizontal="center" vertical="center" wrapText="1"/>
    </xf>
    <xf numFmtId="180" fontId="49" fillId="8" borderId="6" xfId="0" applyNumberFormat="1" applyFont="1" applyFill="1" applyBorder="1" applyAlignment="1">
      <alignment horizontal="right" vertical="center" wrapText="1"/>
    </xf>
    <xf numFmtId="49" fontId="13" fillId="8" borderId="6" xfId="0" applyNumberFormat="1" applyFont="1" applyFill="1" applyBorder="1" applyAlignment="1">
      <alignment horizontal="center" vertical="center" wrapText="1"/>
    </xf>
    <xf numFmtId="180" fontId="12" fillId="8" borderId="6" xfId="0" applyNumberFormat="1" applyFont="1" applyFill="1" applyBorder="1" applyAlignment="1">
      <alignment horizontal="center" vertical="center" wrapText="1"/>
    </xf>
    <xf numFmtId="180" fontId="12" fillId="8" borderId="6" xfId="0" applyNumberFormat="1" applyFont="1" applyFill="1" applyBorder="1" applyAlignment="1">
      <alignment horizontal="right" vertical="center" wrapText="1"/>
    </xf>
    <xf numFmtId="180" fontId="12" fillId="8" borderId="6" xfId="0" applyNumberFormat="1" applyFont="1" applyFill="1" applyBorder="1" applyAlignment="1">
      <alignment vertical="center" wrapText="1"/>
    </xf>
    <xf numFmtId="180" fontId="56" fillId="8" borderId="6" xfId="0" applyNumberFormat="1" applyFont="1" applyFill="1" applyBorder="1" applyAlignment="1">
      <alignment horizontal="center" vertical="center" wrapText="1"/>
    </xf>
    <xf numFmtId="49" fontId="57" fillId="8" borderId="1" xfId="0" applyNumberFormat="1" applyFont="1" applyFill="1" applyBorder="1" applyAlignment="1">
      <alignment horizontal="center" vertical="center" wrapText="1"/>
    </xf>
    <xf numFmtId="180" fontId="2" fillId="9" borderId="1" xfId="0" quotePrefix="1" applyNumberFormat="1" applyFont="1" applyFill="1" applyBorder="1" applyAlignment="1">
      <alignment horizontal="right" vertical="center" wrapText="1"/>
    </xf>
    <xf numFmtId="180" fontId="56" fillId="9" borderId="1" xfId="0" applyNumberFormat="1" applyFont="1" applyFill="1" applyBorder="1" applyAlignment="1">
      <alignment horizontal="center" vertical="center" wrapText="1"/>
    </xf>
    <xf numFmtId="180" fontId="2" fillId="9" borderId="1" xfId="0" applyNumberFormat="1" applyFont="1" applyFill="1" applyBorder="1" applyAlignment="1">
      <alignment horizontal="center" vertical="center" wrapText="1"/>
    </xf>
    <xf numFmtId="180" fontId="49" fillId="9" borderId="1" xfId="0" applyNumberFormat="1" applyFont="1" applyFill="1" applyBorder="1" applyAlignment="1">
      <alignment horizontal="center" vertical="center" wrapText="1"/>
    </xf>
    <xf numFmtId="180" fontId="49" fillId="9" borderId="1" xfId="0" applyNumberFormat="1" applyFont="1" applyFill="1" applyBorder="1" applyAlignment="1">
      <alignment horizontal="right" vertical="center" wrapText="1"/>
    </xf>
    <xf numFmtId="180" fontId="54" fillId="9" borderId="1" xfId="0" applyNumberFormat="1" applyFont="1" applyFill="1" applyBorder="1" applyAlignment="1">
      <alignment horizontal="center" vertical="center" wrapText="1"/>
    </xf>
    <xf numFmtId="4" fontId="49" fillId="9" borderId="1" xfId="0" applyNumberFormat="1" applyFont="1" applyFill="1" applyBorder="1" applyAlignment="1">
      <alignment horizontal="center" vertical="center" wrapText="1"/>
    </xf>
    <xf numFmtId="180" fontId="8" fillId="9" borderId="1" xfId="0" applyNumberFormat="1" applyFont="1" applyFill="1" applyBorder="1" applyAlignment="1">
      <alignment horizontal="right" vertical="center" wrapText="1"/>
    </xf>
    <xf numFmtId="180" fontId="2" fillId="9" borderId="1" xfId="0" applyNumberFormat="1" applyFont="1" applyFill="1" applyBorder="1" applyAlignment="1">
      <alignment horizontal="right" vertical="center" wrapText="1"/>
    </xf>
    <xf numFmtId="180" fontId="2" fillId="8" borderId="1" xfId="0" applyNumberFormat="1" applyFont="1" applyFill="1" applyBorder="1" applyAlignment="1">
      <alignment horizontal="right" vertical="center" wrapText="1"/>
    </xf>
    <xf numFmtId="180" fontId="56" fillId="8" borderId="1" xfId="0" applyNumberFormat="1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 wrapText="1"/>
    </xf>
    <xf numFmtId="180" fontId="49" fillId="8" borderId="1" xfId="0" applyNumberFormat="1" applyFont="1" applyFill="1" applyBorder="1" applyAlignment="1">
      <alignment horizontal="center" vertical="center" wrapText="1"/>
    </xf>
    <xf numFmtId="180" fontId="49" fillId="8" borderId="1" xfId="0" applyNumberFormat="1" applyFont="1" applyFill="1" applyBorder="1" applyAlignment="1">
      <alignment horizontal="right" vertical="center" wrapText="1"/>
    </xf>
    <xf numFmtId="180" fontId="2" fillId="8" borderId="1" xfId="0" quotePrefix="1" applyNumberFormat="1" applyFont="1" applyFill="1" applyBorder="1" applyAlignment="1">
      <alignment horizontal="right" vertical="center" wrapText="1"/>
    </xf>
    <xf numFmtId="4" fontId="2" fillId="9" borderId="1" xfId="0" applyNumberFormat="1" applyFont="1" applyFill="1" applyBorder="1" applyAlignment="1">
      <alignment horizontal="center" vertical="center" wrapText="1"/>
    </xf>
    <xf numFmtId="4" fontId="49" fillId="9" borderId="1" xfId="0" applyNumberFormat="1" applyFont="1" applyFill="1" applyBorder="1" applyAlignment="1">
      <alignment horizontal="right" vertical="center" wrapText="1"/>
    </xf>
    <xf numFmtId="49" fontId="57" fillId="10" borderId="1" xfId="0" applyNumberFormat="1" applyFont="1" applyFill="1" applyBorder="1" applyAlignment="1">
      <alignment horizontal="center" vertical="center" wrapText="1"/>
    </xf>
    <xf numFmtId="180" fontId="54" fillId="10" borderId="1" xfId="0" applyNumberFormat="1" applyFont="1" applyFill="1" applyBorder="1" applyAlignment="1">
      <alignment horizontal="right" vertical="center" wrapText="1"/>
    </xf>
    <xf numFmtId="180" fontId="54" fillId="10" borderId="1" xfId="0" applyNumberFormat="1" applyFont="1" applyFill="1" applyBorder="1" applyAlignment="1">
      <alignment horizontal="center" vertical="center" wrapText="1"/>
    </xf>
    <xf numFmtId="0" fontId="54" fillId="10" borderId="1" xfId="0" applyNumberFormat="1" applyFont="1" applyFill="1" applyBorder="1" applyAlignment="1">
      <alignment horizontal="center" vertical="center" wrapText="1"/>
    </xf>
    <xf numFmtId="49" fontId="64" fillId="10" borderId="1" xfId="0" applyNumberFormat="1" applyFont="1" applyFill="1" applyBorder="1" applyAlignment="1">
      <alignment horizontal="center" vertical="center" wrapText="1"/>
    </xf>
    <xf numFmtId="180" fontId="64" fillId="10" borderId="1" xfId="0" applyNumberFormat="1" applyFont="1" applyFill="1" applyBorder="1" applyAlignment="1">
      <alignment horizontal="right" vertical="center" wrapText="1"/>
    </xf>
    <xf numFmtId="180" fontId="64" fillId="10" borderId="1" xfId="0" applyNumberFormat="1" applyFont="1" applyFill="1" applyBorder="1" applyAlignment="1">
      <alignment horizontal="center" vertical="center" wrapText="1"/>
    </xf>
    <xf numFmtId="180" fontId="60" fillId="0" borderId="0" xfId="0" applyNumberFormat="1" applyFont="1" applyFill="1" applyAlignment="1">
      <alignment vertical="center" wrapText="1"/>
    </xf>
    <xf numFmtId="0" fontId="6" fillId="0" borderId="0" xfId="0" applyFont="1" applyFill="1"/>
    <xf numFmtId="4" fontId="6" fillId="0" borderId="0" xfId="0" applyNumberFormat="1" applyFont="1" applyFill="1" applyAlignment="1">
      <alignment horizontal="right"/>
    </xf>
    <xf numFmtId="0" fontId="0" fillId="0" borderId="0" xfId="0" applyFont="1" applyFill="1"/>
    <xf numFmtId="0" fontId="8" fillId="0" borderId="0" xfId="0" applyFont="1" applyFill="1" applyAlignment="1">
      <alignment horizontal="center"/>
    </xf>
    <xf numFmtId="4" fontId="8" fillId="0" borderId="0" xfId="0" applyNumberFormat="1" applyFont="1" applyFill="1" applyAlignment="1">
      <alignment horizontal="right"/>
    </xf>
    <xf numFmtId="0" fontId="6" fillId="0" borderId="0" xfId="0" quotePrefix="1" applyFont="1" applyFill="1" applyAlignment="1">
      <alignment horizontal="left"/>
    </xf>
    <xf numFmtId="0" fontId="58" fillId="0" borderId="0" xfId="0" applyFont="1" applyFill="1"/>
    <xf numFmtId="180" fontId="65" fillId="0" borderId="1" xfId="0" applyNumberFormat="1" applyFont="1" applyFill="1" applyBorder="1" applyAlignment="1">
      <alignment horizontal="center" vertical="center" wrapText="1"/>
    </xf>
    <xf numFmtId="180" fontId="66" fillId="0" borderId="0" xfId="0" applyNumberFormat="1" applyFont="1" applyFill="1" applyBorder="1" applyAlignment="1">
      <alignment horizontal="center" vertical="center" wrapText="1"/>
    </xf>
    <xf numFmtId="180" fontId="10" fillId="5" borderId="1" xfId="0" applyNumberFormat="1" applyFont="1" applyFill="1" applyBorder="1" applyAlignment="1">
      <alignment horizontal="center" vertical="center" wrapText="1"/>
    </xf>
    <xf numFmtId="180" fontId="65" fillId="0" borderId="0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49" fontId="57" fillId="5" borderId="1" xfId="0" quotePrefix="1" applyNumberFormat="1" applyFont="1" applyFill="1" applyBorder="1" applyAlignment="1">
      <alignment horizontal="center" vertical="center" wrapText="1"/>
    </xf>
    <xf numFmtId="184" fontId="65" fillId="0" borderId="1" xfId="0" applyNumberFormat="1" applyFont="1" applyFill="1" applyBorder="1" applyAlignment="1">
      <alignment horizontal="center" vertical="center" wrapText="1"/>
    </xf>
    <xf numFmtId="49" fontId="57" fillId="6" borderId="1" xfId="0" applyNumberFormat="1" applyFont="1" applyFill="1" applyBorder="1" applyAlignment="1">
      <alignment horizontal="center" vertical="center" wrapText="1"/>
    </xf>
    <xf numFmtId="4" fontId="65" fillId="0" borderId="1" xfId="0" applyNumberFormat="1" applyFont="1" applyFill="1" applyBorder="1" applyAlignment="1">
      <alignment horizontal="center" vertical="center" wrapText="1"/>
    </xf>
    <xf numFmtId="180" fontId="57" fillId="5" borderId="1" xfId="0" applyNumberFormat="1" applyFont="1" applyFill="1" applyBorder="1" applyAlignment="1">
      <alignment horizontal="center" vertical="center" wrapText="1"/>
    </xf>
    <xf numFmtId="180" fontId="10" fillId="6" borderId="1" xfId="0" applyNumberFormat="1" applyFont="1" applyFill="1" applyBorder="1" applyAlignment="1">
      <alignment horizontal="center" vertical="center" wrapText="1"/>
    </xf>
    <xf numFmtId="180" fontId="65" fillId="0" borderId="0" xfId="0" applyNumberFormat="1" applyFont="1" applyAlignment="1">
      <alignment horizontal="center" vertical="center" wrapText="1"/>
    </xf>
    <xf numFmtId="2" fontId="65" fillId="0" borderId="1" xfId="0" applyNumberFormat="1" applyFont="1" applyFill="1" applyBorder="1" applyAlignment="1">
      <alignment horizontal="center" vertical="center" wrapText="1"/>
    </xf>
    <xf numFmtId="49" fontId="10" fillId="5" borderId="1" xfId="0" quotePrefix="1" applyNumberFormat="1" applyFont="1" applyFill="1" applyBorder="1" applyAlignment="1">
      <alignment horizontal="center" vertical="center" wrapText="1"/>
    </xf>
    <xf numFmtId="49" fontId="13" fillId="5" borderId="5" xfId="0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180" fontId="67" fillId="0" borderId="1" xfId="0" applyNumberFormat="1" applyFont="1" applyFill="1" applyBorder="1" applyAlignment="1">
      <alignment horizontal="center" vertical="center" wrapText="1"/>
    </xf>
    <xf numFmtId="184" fontId="68" fillId="0" borderId="1" xfId="0" applyNumberFormat="1" applyFont="1" applyFill="1" applyBorder="1" applyAlignment="1">
      <alignment horizontal="center" vertical="center" wrapText="1"/>
    </xf>
    <xf numFmtId="49" fontId="57" fillId="11" borderId="1" xfId="0" quotePrefix="1" applyNumberFormat="1" applyFont="1" applyFill="1" applyBorder="1" applyAlignment="1">
      <alignment horizontal="center" vertical="center" wrapText="1"/>
    </xf>
    <xf numFmtId="4" fontId="65" fillId="0" borderId="1" xfId="3" applyNumberFormat="1" applyFont="1" applyFill="1" applyBorder="1" applyAlignment="1">
      <alignment horizontal="center" vertical="center" wrapText="1"/>
    </xf>
    <xf numFmtId="4" fontId="67" fillId="0" borderId="1" xfId="3" applyNumberFormat="1" applyFont="1" applyFill="1" applyBorder="1" applyAlignment="1">
      <alignment horizontal="center" vertical="center" wrapText="1"/>
    </xf>
    <xf numFmtId="4" fontId="66" fillId="0" borderId="1" xfId="3" applyNumberFormat="1" applyFont="1" applyFill="1" applyBorder="1" applyAlignment="1">
      <alignment horizontal="center" vertical="center" wrapText="1"/>
    </xf>
    <xf numFmtId="180" fontId="48" fillId="0" borderId="9" xfId="0" applyNumberFormat="1" applyFont="1" applyBorder="1" applyAlignment="1">
      <alignment vertical="center" wrapText="1"/>
    </xf>
    <xf numFmtId="180" fontId="3" fillId="0" borderId="1" xfId="0" applyNumberFormat="1" applyFont="1" applyBorder="1" applyAlignment="1">
      <alignment vertical="center" wrapText="1"/>
    </xf>
    <xf numFmtId="180" fontId="49" fillId="0" borderId="0" xfId="0" applyNumberFormat="1" applyFont="1" applyBorder="1" applyAlignment="1">
      <alignment vertical="center" wrapText="1"/>
    </xf>
    <xf numFmtId="4" fontId="3" fillId="0" borderId="0" xfId="3" applyNumberFormat="1" applyFont="1" applyFill="1" applyBorder="1" applyAlignment="1">
      <alignment horizontal="right" vertical="center" wrapText="1"/>
    </xf>
    <xf numFmtId="180" fontId="66" fillId="0" borderId="1" xfId="0" applyNumberFormat="1" applyFont="1" applyFill="1" applyBorder="1" applyAlignment="1">
      <alignment horizontal="center" vertical="center" wrapText="1"/>
    </xf>
    <xf numFmtId="180" fontId="69" fillId="0" borderId="0" xfId="0" applyNumberFormat="1" applyFont="1" applyFill="1" applyAlignment="1">
      <alignment horizontal="center" vertical="center" wrapText="1"/>
    </xf>
    <xf numFmtId="49" fontId="57" fillId="11" borderId="1" xfId="0" applyNumberFormat="1" applyFont="1" applyFill="1" applyBorder="1" applyAlignment="1">
      <alignment horizontal="center"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180" fontId="48" fillId="0" borderId="0" xfId="0" applyNumberFormat="1" applyFont="1" applyAlignment="1">
      <alignment horizontal="center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0" fontId="70" fillId="0" borderId="0" xfId="0" applyFont="1"/>
    <xf numFmtId="0" fontId="70" fillId="0" borderId="0" xfId="0" applyFont="1" applyAlignment="1">
      <alignment horizontal="right"/>
    </xf>
    <xf numFmtId="0" fontId="71" fillId="0" borderId="0" xfId="0" applyFont="1"/>
    <xf numFmtId="0" fontId="72" fillId="0" borderId="0" xfId="0" applyFont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 applyAlignment="1">
      <alignment horizontal="right"/>
    </xf>
    <xf numFmtId="0" fontId="74" fillId="0" borderId="0" xfId="0" applyFont="1"/>
    <xf numFmtId="0" fontId="75" fillId="0" borderId="0" xfId="0" applyFont="1" applyAlignment="1">
      <alignment horizontal="right"/>
    </xf>
    <xf numFmtId="0" fontId="75" fillId="0" borderId="0" xfId="0" applyFont="1"/>
    <xf numFmtId="0" fontId="72" fillId="0" borderId="0" xfId="0" applyFont="1"/>
    <xf numFmtId="0" fontId="76" fillId="0" borderId="0" xfId="0" applyFont="1"/>
    <xf numFmtId="0" fontId="76" fillId="0" borderId="0" xfId="0" applyFont="1" applyAlignment="1">
      <alignment horizontal="right"/>
    </xf>
    <xf numFmtId="0" fontId="73" fillId="0" borderId="0" xfId="0" applyFont="1"/>
    <xf numFmtId="0" fontId="77" fillId="0" borderId="0" xfId="0" applyFont="1" applyAlignment="1">
      <alignment horizontal="right"/>
    </xf>
    <xf numFmtId="0" fontId="77" fillId="0" borderId="0" xfId="0" applyFont="1"/>
    <xf numFmtId="0" fontId="78" fillId="0" borderId="0" xfId="0" applyFont="1" applyAlignment="1">
      <alignment horizontal="right"/>
    </xf>
    <xf numFmtId="0" fontId="79" fillId="0" borderId="0" xfId="0" applyFont="1"/>
    <xf numFmtId="0" fontId="79" fillId="0" borderId="0" xfId="0" applyFont="1" applyAlignment="1">
      <alignment horizontal="right"/>
    </xf>
    <xf numFmtId="180" fontId="80" fillId="0" borderId="1" xfId="0" applyNumberFormat="1" applyFont="1" applyFill="1" applyBorder="1" applyAlignment="1">
      <alignment horizontal="center" vertical="center" wrapText="1"/>
    </xf>
    <xf numFmtId="180" fontId="80" fillId="0" borderId="1" xfId="0" quotePrefix="1" applyNumberFormat="1" applyFont="1" applyFill="1" applyBorder="1" applyAlignment="1">
      <alignment horizontal="left" vertical="center" wrapText="1"/>
    </xf>
    <xf numFmtId="180" fontId="81" fillId="0" borderId="1" xfId="0" quotePrefix="1" applyNumberFormat="1" applyFont="1" applyFill="1" applyBorder="1" applyAlignment="1">
      <alignment horizontal="right" vertical="center" wrapText="1"/>
    </xf>
    <xf numFmtId="180" fontId="81" fillId="0" borderId="1" xfId="0" applyNumberFormat="1" applyFont="1" applyFill="1" applyBorder="1" applyAlignment="1">
      <alignment horizontal="right" vertical="center" wrapText="1"/>
    </xf>
    <xf numFmtId="0" fontId="71" fillId="0" borderId="0" xfId="0" applyFont="1" applyAlignment="1">
      <alignment horizontal="left"/>
    </xf>
    <xf numFmtId="0" fontId="70" fillId="0" borderId="0" xfId="0" applyFont="1" applyAlignment="1">
      <alignment horizontal="left"/>
    </xf>
    <xf numFmtId="0" fontId="82" fillId="0" borderId="0" xfId="0" applyFont="1"/>
    <xf numFmtId="180" fontId="80" fillId="0" borderId="1" xfId="0" applyNumberFormat="1" applyFont="1" applyFill="1" applyBorder="1" applyAlignment="1">
      <alignment horizontal="left" vertical="center" wrapText="1"/>
    </xf>
    <xf numFmtId="0" fontId="83" fillId="0" borderId="0" xfId="0" applyFont="1" applyAlignment="1">
      <alignment wrapText="1"/>
    </xf>
    <xf numFmtId="0" fontId="84" fillId="0" borderId="0" xfId="0" applyFont="1" applyAlignment="1">
      <alignment wrapText="1"/>
    </xf>
    <xf numFmtId="0" fontId="82" fillId="0" borderId="0" xfId="0" applyFont="1" applyAlignment="1">
      <alignment wrapText="1"/>
    </xf>
    <xf numFmtId="0" fontId="85" fillId="0" borderId="0" xfId="0" applyFont="1"/>
    <xf numFmtId="0" fontId="86" fillId="0" borderId="0" xfId="0" applyFont="1"/>
    <xf numFmtId="0" fontId="17" fillId="0" borderId="0" xfId="0" applyFont="1" applyAlignment="1">
      <alignment horizontal="right"/>
    </xf>
    <xf numFmtId="0" fontId="87" fillId="0" borderId="0" xfId="0" applyFont="1" applyAlignment="1">
      <alignment horizontal="right"/>
    </xf>
    <xf numFmtId="0" fontId="87" fillId="0" borderId="0" xfId="0" applyFont="1"/>
    <xf numFmtId="0" fontId="1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4" fontId="81" fillId="0" borderId="1" xfId="3" applyNumberFormat="1" applyFont="1" applyFill="1" applyBorder="1" applyAlignment="1">
      <alignment horizontal="center" vertical="center" wrapText="1"/>
    </xf>
    <xf numFmtId="180" fontId="4" fillId="0" borderId="2" xfId="0" quotePrefix="1" applyNumberFormat="1" applyFont="1" applyFill="1" applyBorder="1" applyAlignment="1">
      <alignment horizontal="right" vertical="center" wrapText="1"/>
    </xf>
    <xf numFmtId="180" fontId="50" fillId="0" borderId="2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right"/>
    </xf>
    <xf numFmtId="4" fontId="60" fillId="0" borderId="1" xfId="0" applyNumberFormat="1" applyFont="1" applyFill="1" applyBorder="1" applyAlignment="1">
      <alignment horizontal="right" vertical="center" wrapText="1"/>
    </xf>
    <xf numFmtId="0" fontId="81" fillId="0" borderId="1" xfId="0" quotePrefix="1" applyFont="1" applyFill="1" applyBorder="1" applyAlignment="1">
      <alignment horizontal="right" vertical="center" wrapText="1"/>
    </xf>
    <xf numFmtId="0" fontId="80" fillId="0" borderId="1" xfId="3" applyFont="1" applyFill="1" applyBorder="1" applyAlignment="1">
      <alignment horizontal="left" vertical="center" wrapText="1"/>
    </xf>
    <xf numFmtId="0" fontId="16" fillId="0" borderId="0" xfId="0" applyFont="1" applyAlignment="1">
      <alignment horizontal="right"/>
    </xf>
    <xf numFmtId="0" fontId="81" fillId="0" borderId="1" xfId="3" quotePrefix="1" applyFont="1" applyFill="1" applyBorder="1" applyAlignment="1">
      <alignment horizontal="right" vertical="center" wrapText="1"/>
    </xf>
    <xf numFmtId="0" fontId="84" fillId="0" borderId="0" xfId="0" applyFont="1"/>
    <xf numFmtId="0" fontId="83" fillId="0" borderId="0" xfId="0" applyFont="1"/>
    <xf numFmtId="0" fontId="81" fillId="0" borderId="1" xfId="3" applyFont="1" applyFill="1" applyBorder="1" applyAlignment="1">
      <alignment horizontal="right" vertical="center" wrapText="1"/>
    </xf>
    <xf numFmtId="4" fontId="80" fillId="0" borderId="1" xfId="3" applyNumberFormat="1" applyFont="1" applyFill="1" applyBorder="1" applyAlignment="1">
      <alignment horizontal="center" vertical="center" wrapText="1"/>
    </xf>
    <xf numFmtId="4" fontId="61" fillId="0" borderId="1" xfId="3" applyNumberFormat="1" applyFont="1" applyFill="1" applyBorder="1" applyAlignment="1">
      <alignment horizontal="right" vertical="center" wrapText="1"/>
    </xf>
    <xf numFmtId="0" fontId="82" fillId="0" borderId="1" xfId="0" applyFont="1" applyBorder="1" applyAlignment="1">
      <alignment horizontal="center" wrapText="1"/>
    </xf>
    <xf numFmtId="0" fontId="82" fillId="0" borderId="1" xfId="0" applyFont="1" applyBorder="1" applyAlignment="1">
      <alignment horizontal="right"/>
    </xf>
    <xf numFmtId="180" fontId="81" fillId="0" borderId="1" xfId="0" applyNumberFormat="1" applyFont="1" applyFill="1" applyBorder="1" applyAlignment="1">
      <alignment horizontal="center" vertical="center" wrapText="1"/>
    </xf>
    <xf numFmtId="180" fontId="81" fillId="0" borderId="0" xfId="0" applyNumberFormat="1" applyFont="1" applyFill="1" applyAlignment="1">
      <alignment horizontal="center" vertical="center" wrapText="1"/>
    </xf>
    <xf numFmtId="0" fontId="80" fillId="0" borderId="1" xfId="3" quotePrefix="1" applyFont="1" applyFill="1" applyBorder="1" applyAlignment="1">
      <alignment horizontal="left" vertical="center" wrapText="1"/>
    </xf>
    <xf numFmtId="0" fontId="81" fillId="0" borderId="1" xfId="0" applyFont="1" applyFill="1" applyBorder="1" applyAlignment="1">
      <alignment horizontal="right" vertical="center" wrapText="1"/>
    </xf>
    <xf numFmtId="180" fontId="88" fillId="0" borderId="1" xfId="0" quotePrefix="1" applyNumberFormat="1" applyFont="1" applyFill="1" applyBorder="1" applyAlignment="1">
      <alignment horizontal="left" vertical="center" wrapText="1"/>
    </xf>
    <xf numFmtId="0" fontId="70" fillId="6" borderId="0" xfId="0" applyFont="1" applyFill="1"/>
    <xf numFmtId="0" fontId="0" fillId="6" borderId="0" xfId="0" applyFont="1" applyFill="1"/>
    <xf numFmtId="0" fontId="70" fillId="0" borderId="0" xfId="0" applyFont="1" applyAlignment="1">
      <alignment wrapText="1"/>
    </xf>
    <xf numFmtId="0" fontId="70" fillId="0" borderId="0" xfId="0" applyFont="1" applyAlignment="1">
      <alignment horizontal="center"/>
    </xf>
    <xf numFmtId="0" fontId="70" fillId="0" borderId="0" xfId="0" applyFont="1" applyAlignment="1">
      <alignment horizontal="center" wrapText="1"/>
    </xf>
    <xf numFmtId="4" fontId="61" fillId="0" borderId="1" xfId="0" applyNumberFormat="1" applyFont="1" applyFill="1" applyBorder="1" applyAlignment="1">
      <alignment horizontal="center" vertical="center" wrapText="1"/>
    </xf>
    <xf numFmtId="180" fontId="89" fillId="0" borderId="1" xfId="0" applyNumberFormat="1" applyFont="1" applyFill="1" applyBorder="1" applyAlignment="1">
      <alignment horizontal="center" vertical="center" wrapText="1"/>
    </xf>
    <xf numFmtId="4" fontId="65" fillId="0" borderId="1" xfId="3" applyNumberFormat="1" applyFont="1" applyFill="1" applyBorder="1" applyAlignment="1">
      <alignment horizontal="right" vertical="center" wrapText="1"/>
    </xf>
    <xf numFmtId="180" fontId="65" fillId="3" borderId="1" xfId="0" applyNumberFormat="1" applyFont="1" applyFill="1" applyBorder="1" applyAlignment="1">
      <alignment horizontal="center" vertical="center" wrapText="1"/>
    </xf>
    <xf numFmtId="180" fontId="65" fillId="2" borderId="1" xfId="0" applyNumberFormat="1" applyFont="1" applyFill="1" applyBorder="1" applyAlignment="1">
      <alignment horizontal="center" vertical="center" wrapText="1"/>
    </xf>
    <xf numFmtId="180" fontId="65" fillId="0" borderId="3" xfId="0" applyNumberFormat="1" applyFont="1" applyFill="1" applyBorder="1" applyAlignment="1">
      <alignment horizontal="center" vertical="center" wrapText="1"/>
    </xf>
    <xf numFmtId="180" fontId="80" fillId="0" borderId="3" xfId="0" applyNumberFormat="1" applyFont="1" applyFill="1" applyBorder="1" applyAlignment="1">
      <alignment horizontal="center" vertical="center" wrapText="1"/>
    </xf>
    <xf numFmtId="180" fontId="80" fillId="0" borderId="3" xfId="0" applyNumberFormat="1" applyFont="1" applyFill="1" applyBorder="1" applyAlignment="1">
      <alignment vertical="center" wrapText="1"/>
    </xf>
    <xf numFmtId="0" fontId="80" fillId="0" borderId="1" xfId="0" quotePrefix="1" applyFont="1" applyFill="1" applyBorder="1" applyAlignment="1">
      <alignment horizontal="left" vertical="center" wrapText="1"/>
    </xf>
    <xf numFmtId="180" fontId="48" fillId="0" borderId="0" xfId="0" applyNumberFormat="1" applyFont="1" applyBorder="1" applyAlignment="1">
      <alignment horizontal="center" vertical="center" wrapText="1"/>
    </xf>
    <xf numFmtId="180" fontId="81" fillId="0" borderId="0" xfId="0" applyNumberFormat="1" applyFont="1" applyAlignment="1">
      <alignment horizontal="center" vertical="center" wrapText="1"/>
    </xf>
    <xf numFmtId="180" fontId="66" fillId="0" borderId="1" xfId="0" applyNumberFormat="1" applyFont="1" applyFill="1" applyBorder="1" applyAlignment="1">
      <alignment horizontal="right" vertical="center" wrapText="1"/>
    </xf>
    <xf numFmtId="4" fontId="66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60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66" fillId="0" borderId="1" xfId="3" applyNumberFormat="1" applyFont="1" applyFill="1" applyBorder="1" applyAlignment="1">
      <alignment horizontal="right" vertical="center" wrapText="1"/>
    </xf>
    <xf numFmtId="4" fontId="66" fillId="0" borderId="1" xfId="0" applyNumberFormat="1" applyFont="1" applyFill="1" applyBorder="1" applyAlignment="1">
      <alignment horizontal="right" vertical="center" wrapText="1"/>
    </xf>
    <xf numFmtId="4" fontId="60" fillId="0" borderId="1" xfId="3" applyNumberFormat="1" applyFont="1" applyFill="1" applyBorder="1" applyAlignment="1">
      <alignment horizontal="right" vertical="center" wrapText="1"/>
    </xf>
    <xf numFmtId="180" fontId="89" fillId="0" borderId="1" xfId="0" applyNumberFormat="1" applyFont="1" applyFill="1" applyBorder="1" applyAlignment="1">
      <alignment horizontal="right" vertical="center" wrapText="1"/>
    </xf>
    <xf numFmtId="180" fontId="90" fillId="0" borderId="1" xfId="0" applyNumberFormat="1" applyFont="1" applyFill="1" applyBorder="1" applyAlignment="1">
      <alignment horizontal="right" vertical="center" wrapText="1"/>
    </xf>
    <xf numFmtId="0" fontId="91" fillId="0" borderId="0" xfId="0" applyFont="1"/>
    <xf numFmtId="0" fontId="92" fillId="0" borderId="0" xfId="0" applyFont="1"/>
    <xf numFmtId="0" fontId="93" fillId="0" borderId="0" xfId="0" applyFont="1"/>
    <xf numFmtId="180" fontId="6" fillId="0" borderId="1" xfId="0" applyNumberFormat="1" applyFont="1" applyFill="1" applyBorder="1" applyAlignment="1">
      <alignment horizontal="right" vertical="center" wrapText="1"/>
    </xf>
    <xf numFmtId="4" fontId="61" fillId="0" borderId="1" xfId="3" applyNumberFormat="1" applyFont="1" applyFill="1" applyBorder="1" applyAlignment="1">
      <alignment horizontal="center" vertical="center" wrapText="1"/>
    </xf>
    <xf numFmtId="180" fontId="70" fillId="0" borderId="0" xfId="0" applyNumberFormat="1" applyFont="1"/>
    <xf numFmtId="4" fontId="70" fillId="0" borderId="0" xfId="0" applyNumberFormat="1" applyFont="1"/>
    <xf numFmtId="2" fontId="71" fillId="0" borderId="1" xfId="0" applyNumberFormat="1" applyFont="1" applyBorder="1"/>
    <xf numFmtId="180" fontId="66" fillId="0" borderId="1" xfId="0" quotePrefix="1" applyNumberFormat="1" applyFont="1" applyFill="1" applyBorder="1" applyAlignment="1">
      <alignment horizontal="right" vertical="center" wrapText="1"/>
    </xf>
    <xf numFmtId="180" fontId="5" fillId="5" borderId="7" xfId="0" quotePrefix="1" applyNumberFormat="1" applyFont="1" applyFill="1" applyBorder="1" applyAlignment="1">
      <alignment horizontal="left" vertical="center" wrapText="1"/>
    </xf>
    <xf numFmtId="180" fontId="89" fillId="0" borderId="1" xfId="0" quotePrefix="1" applyNumberFormat="1" applyFont="1" applyFill="1" applyBorder="1" applyAlignment="1">
      <alignment horizontal="left" vertical="center" wrapText="1"/>
    </xf>
    <xf numFmtId="180" fontId="90" fillId="0" borderId="1" xfId="0" quotePrefix="1" applyNumberFormat="1" applyFont="1" applyFill="1" applyBorder="1" applyAlignment="1">
      <alignment horizontal="right" vertical="center" wrapText="1"/>
    </xf>
    <xf numFmtId="180" fontId="89" fillId="0" borderId="1" xfId="0" applyNumberFormat="1" applyFont="1" applyFill="1" applyBorder="1" applyAlignment="1">
      <alignment horizontal="left" vertical="center" wrapText="1"/>
    </xf>
    <xf numFmtId="0" fontId="90" fillId="0" borderId="1" xfId="3" quotePrefix="1" applyFont="1" applyFill="1" applyBorder="1" applyAlignment="1">
      <alignment horizontal="right" vertical="center" wrapText="1"/>
    </xf>
    <xf numFmtId="0" fontId="89" fillId="0" borderId="1" xfId="3" applyFont="1" applyFill="1" applyBorder="1" applyAlignment="1">
      <alignment horizontal="left" vertical="center" wrapText="1"/>
    </xf>
    <xf numFmtId="180" fontId="2" fillId="0" borderId="7" xfId="0" quotePrefix="1" applyNumberFormat="1" applyFont="1" applyFill="1" applyBorder="1" applyAlignment="1">
      <alignment horizontal="right" vertical="center" wrapText="1"/>
    </xf>
    <xf numFmtId="180" fontId="2" fillId="0" borderId="7" xfId="0" applyNumberFormat="1" applyFont="1" applyFill="1" applyBorder="1" applyAlignment="1">
      <alignment vertical="center" wrapText="1"/>
    </xf>
    <xf numFmtId="180" fontId="2" fillId="0" borderId="7" xfId="0" applyNumberFormat="1" applyFont="1" applyFill="1" applyBorder="1" applyAlignment="1">
      <alignment horizontal="center" vertical="center" wrapText="1"/>
    </xf>
    <xf numFmtId="180" fontId="49" fillId="0" borderId="7" xfId="0" applyNumberFormat="1" applyFont="1" applyFill="1" applyBorder="1" applyAlignment="1">
      <alignment horizontal="center" vertical="center" wrapText="1"/>
    </xf>
    <xf numFmtId="180" fontId="49" fillId="0" borderId="7" xfId="0" applyNumberFormat="1" applyFont="1" applyFill="1" applyBorder="1" applyAlignment="1">
      <alignment horizontal="right" vertical="center" wrapText="1"/>
    </xf>
    <xf numFmtId="180" fontId="2" fillId="0" borderId="8" xfId="0" applyNumberFormat="1" applyFont="1" applyFill="1" applyBorder="1" applyAlignment="1">
      <alignment horizontal="center" vertical="center" wrapText="1"/>
    </xf>
    <xf numFmtId="180" fontId="61" fillId="3" borderId="1" xfId="0" applyNumberFormat="1" applyFont="1" applyFill="1" applyBorder="1" applyAlignment="1">
      <alignment horizontal="center" vertical="center" wrapText="1"/>
    </xf>
    <xf numFmtId="49" fontId="57" fillId="2" borderId="5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wrapText="1"/>
    </xf>
    <xf numFmtId="0" fontId="24" fillId="0" borderId="1" xfId="0" quotePrefix="1" applyFont="1" applyFill="1" applyBorder="1" applyAlignment="1">
      <alignment horizontal="right" wrapText="1"/>
    </xf>
    <xf numFmtId="0" fontId="24" fillId="0" borderId="1" xfId="0" applyFont="1" applyFill="1" applyBorder="1" applyAlignment="1">
      <alignment horizontal="right"/>
    </xf>
    <xf numFmtId="0" fontId="24" fillId="0" borderId="5" xfId="0" quotePrefix="1" applyFont="1" applyFill="1" applyBorder="1" applyAlignment="1">
      <alignment horizontal="right"/>
    </xf>
    <xf numFmtId="0" fontId="24" fillId="0" borderId="5" xfId="0" applyFont="1" applyFill="1" applyBorder="1" applyAlignment="1">
      <alignment horizontal="right"/>
    </xf>
    <xf numFmtId="0" fontId="25" fillId="0" borderId="1" xfId="0" applyFont="1" applyFill="1" applyBorder="1" applyAlignment="1">
      <alignment horizontal="center" wrapText="1"/>
    </xf>
    <xf numFmtId="0" fontId="25" fillId="0" borderId="1" xfId="0" quotePrefix="1" applyFont="1" applyFill="1" applyBorder="1" applyAlignment="1">
      <alignment horizontal="center" wrapText="1"/>
    </xf>
    <xf numFmtId="0" fontId="94" fillId="0" borderId="1" xfId="0" quotePrefix="1" applyFont="1" applyFill="1" applyBorder="1" applyAlignment="1">
      <alignment horizontal="right" wrapText="1"/>
    </xf>
    <xf numFmtId="0" fontId="94" fillId="0" borderId="1" xfId="0" applyFont="1" applyFill="1" applyBorder="1" applyAlignment="1">
      <alignment horizontal="right" wrapText="1"/>
    </xf>
    <xf numFmtId="180" fontId="90" fillId="0" borderId="1" xfId="0" applyNumberFormat="1" applyFont="1" applyFill="1" applyBorder="1" applyAlignment="1">
      <alignment horizontal="center" vertical="center" wrapText="1"/>
    </xf>
    <xf numFmtId="2" fontId="89" fillId="0" borderId="1" xfId="0" applyNumberFormat="1" applyFont="1" applyFill="1" applyBorder="1" applyAlignment="1">
      <alignment horizontal="center" vertical="center" wrapText="1"/>
    </xf>
    <xf numFmtId="2" fontId="90" fillId="0" borderId="1" xfId="0" applyNumberFormat="1" applyFont="1" applyFill="1" applyBorder="1" applyAlignment="1">
      <alignment horizontal="center" vertical="center" wrapText="1"/>
    </xf>
    <xf numFmtId="4" fontId="90" fillId="0" borderId="1" xfId="3" applyNumberFormat="1" applyFont="1" applyFill="1" applyBorder="1" applyAlignment="1">
      <alignment horizontal="center" vertical="center" wrapText="1"/>
    </xf>
    <xf numFmtId="0" fontId="71" fillId="0" borderId="0" xfId="0" applyFont="1" applyAlignment="1">
      <alignment horizontal="right"/>
    </xf>
    <xf numFmtId="180" fontId="89" fillId="0" borderId="0" xfId="0" applyNumberFormat="1" applyFont="1" applyFill="1" applyBorder="1" applyAlignment="1">
      <alignment horizontal="center" vertical="center" wrapText="1"/>
    </xf>
    <xf numFmtId="180" fontId="90" fillId="0" borderId="0" xfId="0" applyNumberFormat="1" applyFont="1" applyFill="1" applyBorder="1" applyAlignment="1">
      <alignment horizontal="center" vertical="center" wrapText="1"/>
    </xf>
    <xf numFmtId="0" fontId="70" fillId="0" borderId="1" xfId="0" applyFont="1" applyBorder="1"/>
    <xf numFmtId="0" fontId="70" fillId="0" borderId="5" xfId="0" applyFont="1" applyBorder="1"/>
    <xf numFmtId="0" fontId="70" fillId="0" borderId="10" xfId="0" applyFont="1" applyBorder="1"/>
    <xf numFmtId="0" fontId="70" fillId="0" borderId="0" xfId="0" applyFont="1" applyBorder="1"/>
    <xf numFmtId="4" fontId="89" fillId="0" borderId="1" xfId="0" applyNumberFormat="1" applyFont="1" applyFill="1" applyBorder="1" applyAlignment="1">
      <alignment horizontal="center" vertical="center" wrapText="1"/>
    </xf>
    <xf numFmtId="0" fontId="0" fillId="0" borderId="0" xfId="0"/>
    <xf numFmtId="4" fontId="90" fillId="0" borderId="1" xfId="0" applyNumberFormat="1" applyFont="1" applyFill="1" applyBorder="1" applyAlignment="1">
      <alignment horizontal="center" vertical="center" wrapText="1"/>
    </xf>
    <xf numFmtId="0" fontId="70" fillId="0" borderId="11" xfId="0" applyFont="1" applyBorder="1" applyAlignment="1">
      <alignment horizontal="center" vertical="center"/>
    </xf>
    <xf numFmtId="0" fontId="70" fillId="0" borderId="12" xfId="0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70" fillId="0" borderId="14" xfId="0" applyFont="1" applyBorder="1" applyAlignment="1">
      <alignment horizontal="center" vertical="center"/>
    </xf>
    <xf numFmtId="0" fontId="70" fillId="0" borderId="15" xfId="0" applyFont="1" applyBorder="1" applyAlignment="1">
      <alignment horizontal="center" vertical="center"/>
    </xf>
    <xf numFmtId="0" fontId="70" fillId="0" borderId="16" xfId="0" applyFont="1" applyBorder="1" applyAlignment="1">
      <alignment horizontal="center" vertical="center"/>
    </xf>
    <xf numFmtId="0" fontId="70" fillId="0" borderId="17" xfId="0" applyFont="1" applyBorder="1"/>
    <xf numFmtId="0" fontId="70" fillId="0" borderId="18" xfId="0" applyFont="1" applyBorder="1"/>
    <xf numFmtId="0" fontId="70" fillId="0" borderId="14" xfId="0" applyFont="1" applyBorder="1"/>
    <xf numFmtId="0" fontId="70" fillId="0" borderId="15" xfId="0" applyFont="1" applyBorder="1"/>
    <xf numFmtId="0" fontId="70" fillId="0" borderId="16" xfId="0" applyFont="1" applyBorder="1"/>
    <xf numFmtId="0" fontId="95" fillId="0" borderId="15" xfId="0" applyFont="1" applyBorder="1" applyAlignment="1">
      <alignment horizontal="center" vertical="center"/>
    </xf>
    <xf numFmtId="0" fontId="70" fillId="0" borderId="18" xfId="0" applyNumberFormat="1" applyFont="1" applyBorder="1"/>
    <xf numFmtId="0" fontId="95" fillId="0" borderId="1" xfId="0" applyFont="1" applyBorder="1"/>
    <xf numFmtId="16" fontId="70" fillId="0" borderId="18" xfId="0" applyNumberFormat="1" applyFont="1" applyBorder="1"/>
    <xf numFmtId="180" fontId="60" fillId="0" borderId="0" xfId="0" applyNumberFormat="1" applyFont="1" applyAlignment="1">
      <alignment vertical="center" wrapText="1"/>
    </xf>
    <xf numFmtId="0" fontId="96" fillId="0" borderId="1" xfId="3" quotePrefix="1" applyFont="1" applyBorder="1" applyAlignment="1">
      <alignment horizontal="right" vertical="center" wrapText="1"/>
    </xf>
    <xf numFmtId="0" fontId="90" fillId="0" borderId="1" xfId="0" applyFont="1" applyFill="1" applyBorder="1" applyAlignment="1">
      <alignment horizontal="right" vertical="center" wrapText="1"/>
    </xf>
    <xf numFmtId="0" fontId="17" fillId="0" borderId="0" xfId="0" applyFont="1"/>
    <xf numFmtId="0" fontId="70" fillId="0" borderId="1" xfId="0" applyFont="1" applyBorder="1"/>
    <xf numFmtId="0" fontId="70" fillId="0" borderId="5" xfId="0" applyFont="1" applyBorder="1"/>
    <xf numFmtId="0" fontId="70" fillId="0" borderId="6" xfId="0" applyFont="1" applyBorder="1"/>
    <xf numFmtId="0" fontId="70" fillId="0" borderId="3" xfId="0" applyFont="1" applyBorder="1"/>
    <xf numFmtId="0" fontId="71" fillId="0" borderId="1" xfId="0" applyFont="1" applyBorder="1"/>
    <xf numFmtId="180" fontId="5" fillId="5" borderId="7" xfId="0" quotePrefix="1" applyNumberFormat="1" applyFont="1" applyFill="1" applyBorder="1" applyAlignment="1">
      <alignment horizontal="left" vertical="center" wrapText="1"/>
    </xf>
    <xf numFmtId="180" fontId="5" fillId="5" borderId="5" xfId="0" quotePrefix="1" applyNumberFormat="1" applyFont="1" applyFill="1" applyBorder="1" applyAlignment="1">
      <alignment horizontal="left" vertical="center" wrapText="1"/>
    </xf>
    <xf numFmtId="180" fontId="5" fillId="5" borderId="8" xfId="0" quotePrefix="1" applyNumberFormat="1" applyFont="1" applyFill="1" applyBorder="1" applyAlignment="1">
      <alignment horizontal="left" vertical="center" wrapText="1"/>
    </xf>
    <xf numFmtId="184" fontId="89" fillId="0" borderId="1" xfId="0" applyNumberFormat="1" applyFont="1" applyFill="1" applyBorder="1" applyAlignment="1">
      <alignment horizontal="center" vertical="center" wrapText="1"/>
    </xf>
    <xf numFmtId="0" fontId="97" fillId="0" borderId="1" xfId="0" applyFont="1" applyBorder="1"/>
    <xf numFmtId="0" fontId="97" fillId="0" borderId="0" xfId="0" applyFont="1"/>
    <xf numFmtId="0" fontId="70" fillId="0" borderId="12" xfId="0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70" fillId="0" borderId="14" xfId="0" applyFont="1" applyBorder="1" applyAlignment="1">
      <alignment horizontal="right" vertical="center"/>
    </xf>
    <xf numFmtId="0" fontId="75" fillId="0" borderId="1" xfId="0" applyFont="1" applyBorder="1"/>
    <xf numFmtId="0" fontId="73" fillId="0" borderId="1" xfId="0" applyFont="1" applyBorder="1"/>
    <xf numFmtId="0" fontId="74" fillId="0" borderId="1" xfId="0" applyFont="1" applyBorder="1"/>
    <xf numFmtId="0" fontId="86" fillId="0" borderId="1" xfId="0" applyFont="1" applyBorder="1"/>
    <xf numFmtId="0" fontId="98" fillId="0" borderId="1" xfId="0" applyFont="1" applyBorder="1"/>
    <xf numFmtId="0" fontId="70" fillId="6" borderId="16" xfId="0" applyFont="1" applyFill="1" applyBorder="1"/>
    <xf numFmtId="0" fontId="70" fillId="12" borderId="18" xfId="0" applyFont="1" applyFill="1" applyBorder="1"/>
    <xf numFmtId="0" fontId="70" fillId="0" borderId="16" xfId="0" applyFont="1" applyFill="1" applyBorder="1"/>
    <xf numFmtId="0" fontId="70" fillId="6" borderId="18" xfId="0" applyFont="1" applyFill="1" applyBorder="1"/>
    <xf numFmtId="0" fontId="17" fillId="5" borderId="18" xfId="0" applyNumberFormat="1" applyFont="1" applyFill="1" applyBorder="1"/>
    <xf numFmtId="0" fontId="70" fillId="5" borderId="18" xfId="0" applyFont="1" applyFill="1" applyBorder="1"/>
    <xf numFmtId="0" fontId="70" fillId="5" borderId="18" xfId="0" applyNumberFormat="1" applyFont="1" applyFill="1" applyBorder="1"/>
    <xf numFmtId="0" fontId="70" fillId="6" borderId="18" xfId="0" applyNumberFormat="1" applyFont="1" applyFill="1" applyBorder="1"/>
    <xf numFmtId="0" fontId="70" fillId="12" borderId="18" xfId="0" applyNumberFormat="1" applyFont="1" applyFill="1" applyBorder="1"/>
    <xf numFmtId="0" fontId="70" fillId="13" borderId="18" xfId="0" applyNumberFormat="1" applyFont="1" applyFill="1" applyBorder="1"/>
    <xf numFmtId="0" fontId="17" fillId="13" borderId="18" xfId="0" applyFont="1" applyFill="1" applyBorder="1"/>
    <xf numFmtId="0" fontId="70" fillId="13" borderId="18" xfId="0" applyFont="1" applyFill="1" applyBorder="1"/>
    <xf numFmtId="0" fontId="70" fillId="14" borderId="18" xfId="0" applyFont="1" applyFill="1" applyBorder="1"/>
    <xf numFmtId="0" fontId="70" fillId="15" borderId="18" xfId="0" applyFont="1" applyFill="1" applyBorder="1"/>
    <xf numFmtId="0" fontId="70" fillId="16" borderId="16" xfId="0" applyFont="1" applyFill="1" applyBorder="1"/>
    <xf numFmtId="0" fontId="70" fillId="17" borderId="16" xfId="0" applyFont="1" applyFill="1" applyBorder="1"/>
    <xf numFmtId="0" fontId="70" fillId="12" borderId="16" xfId="0" applyFont="1" applyFill="1" applyBorder="1"/>
    <xf numFmtId="0" fontId="17" fillId="0" borderId="18" xfId="0" applyNumberFormat="1" applyFont="1" applyFill="1" applyBorder="1"/>
    <xf numFmtId="180" fontId="2" fillId="0" borderId="6" xfId="0" quotePrefix="1" applyNumberFormat="1" applyFont="1" applyFill="1" applyBorder="1" applyAlignment="1">
      <alignment horizontal="right" vertical="center" wrapText="1"/>
    </xf>
    <xf numFmtId="180" fontId="2" fillId="0" borderId="6" xfId="0" applyNumberFormat="1" applyFont="1" applyFill="1" applyBorder="1" applyAlignment="1">
      <alignment vertical="center" wrapText="1"/>
    </xf>
    <xf numFmtId="180" fontId="2" fillId="0" borderId="6" xfId="0" applyNumberFormat="1" applyFont="1" applyFill="1" applyBorder="1" applyAlignment="1">
      <alignment horizontal="center" vertical="center" wrapText="1"/>
    </xf>
    <xf numFmtId="180" fontId="49" fillId="0" borderId="6" xfId="0" applyNumberFormat="1" applyFont="1" applyFill="1" applyBorder="1" applyAlignment="1">
      <alignment horizontal="center" vertical="center" wrapText="1"/>
    </xf>
    <xf numFmtId="180" fontId="49" fillId="0" borderId="6" xfId="0" applyNumberFormat="1" applyFont="1" applyFill="1" applyBorder="1" applyAlignment="1">
      <alignment horizontal="right" vertical="center" wrapText="1"/>
    </xf>
    <xf numFmtId="180" fontId="3" fillId="0" borderId="3" xfId="0" applyNumberFormat="1" applyFont="1" applyFill="1" applyBorder="1" applyAlignment="1">
      <alignment horizontal="center" vertical="center" wrapText="1"/>
    </xf>
    <xf numFmtId="180" fontId="7" fillId="5" borderId="7" xfId="0" applyNumberFormat="1" applyFont="1" applyFill="1" applyBorder="1" applyAlignment="1">
      <alignment vertical="center" wrapText="1"/>
    </xf>
    <xf numFmtId="180" fontId="6" fillId="5" borderId="7" xfId="0" applyNumberFormat="1" applyFont="1" applyFill="1" applyBorder="1" applyAlignment="1">
      <alignment horizontal="center" vertical="center" wrapText="1"/>
    </xf>
    <xf numFmtId="180" fontId="3" fillId="5" borderId="7" xfId="0" applyNumberFormat="1" applyFont="1" applyFill="1" applyBorder="1" applyAlignment="1">
      <alignment horizontal="right" vertical="center" wrapText="1"/>
    </xf>
    <xf numFmtId="180" fontId="48" fillId="5" borderId="7" xfId="0" applyNumberFormat="1" applyFont="1" applyFill="1" applyBorder="1" applyAlignment="1">
      <alignment horizontal="center" vertical="center" wrapText="1"/>
    </xf>
    <xf numFmtId="180" fontId="51" fillId="0" borderId="3" xfId="0" applyNumberFormat="1" applyFont="1" applyFill="1" applyBorder="1" applyAlignment="1">
      <alignment horizontal="center" vertical="center" wrapText="1"/>
    </xf>
    <xf numFmtId="180" fontId="52" fillId="0" borderId="3" xfId="0" applyNumberFormat="1" applyFont="1" applyFill="1" applyBorder="1" applyAlignment="1">
      <alignment horizontal="center" vertical="center" wrapText="1"/>
    </xf>
    <xf numFmtId="180" fontId="48" fillId="5" borderId="8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wrapText="1"/>
    </xf>
    <xf numFmtId="180" fontId="65" fillId="0" borderId="1" xfId="0" applyNumberFormat="1" applyFont="1" applyFill="1" applyBorder="1" applyAlignment="1">
      <alignment horizontal="right" vertical="center" wrapText="1"/>
    </xf>
    <xf numFmtId="180" fontId="53" fillId="0" borderId="3" xfId="0" applyNumberFormat="1" applyFont="1" applyFill="1" applyBorder="1" applyAlignment="1">
      <alignment horizontal="center" vertical="center" wrapText="1"/>
    </xf>
    <xf numFmtId="180" fontId="53" fillId="0" borderId="3" xfId="0" applyNumberFormat="1" applyFont="1" applyFill="1" applyBorder="1" applyAlignment="1">
      <alignment horizontal="right" vertical="center" wrapText="1"/>
    </xf>
    <xf numFmtId="180" fontId="54" fillId="5" borderId="8" xfId="0" applyNumberFormat="1" applyFont="1" applyFill="1" applyBorder="1" applyAlignment="1">
      <alignment horizontal="center" vertical="center" wrapText="1"/>
    </xf>
    <xf numFmtId="180" fontId="2" fillId="5" borderId="5" xfId="0" applyNumberFormat="1" applyFont="1" applyFill="1" applyBorder="1" applyAlignment="1">
      <alignment vertical="center" wrapText="1"/>
    </xf>
    <xf numFmtId="180" fontId="2" fillId="5" borderId="8" xfId="0" applyNumberFormat="1" applyFont="1" applyFill="1" applyBorder="1" applyAlignment="1">
      <alignment vertical="center" wrapText="1"/>
    </xf>
    <xf numFmtId="180" fontId="2" fillId="5" borderId="7" xfId="0" quotePrefix="1" applyNumberFormat="1" applyFont="1" applyFill="1" applyBorder="1" applyAlignment="1">
      <alignment horizontal="left" vertical="center" wrapText="1"/>
    </xf>
    <xf numFmtId="49" fontId="57" fillId="5" borderId="5" xfId="0" applyNumberFormat="1" applyFont="1" applyFill="1" applyBorder="1" applyAlignment="1">
      <alignment horizontal="center" vertical="center" wrapText="1"/>
    </xf>
    <xf numFmtId="180" fontId="2" fillId="5" borderId="8" xfId="0" applyNumberFormat="1" applyFont="1" applyFill="1" applyBorder="1" applyAlignment="1">
      <alignment horizontal="center" vertical="center" wrapText="1"/>
    </xf>
    <xf numFmtId="180" fontId="2" fillId="0" borderId="3" xfId="0" quotePrefix="1" applyNumberFormat="1" applyFont="1" applyFill="1" applyBorder="1" applyAlignment="1">
      <alignment horizontal="left" vertical="center" wrapText="1"/>
    </xf>
    <xf numFmtId="180" fontId="49" fillId="0" borderId="3" xfId="0" quotePrefix="1" applyNumberFormat="1" applyFont="1" applyFill="1" applyBorder="1" applyAlignment="1">
      <alignment horizontal="center" vertical="center" wrapText="1"/>
    </xf>
    <xf numFmtId="180" fontId="54" fillId="0" borderId="3" xfId="0" quotePrefix="1" applyNumberFormat="1" applyFont="1" applyFill="1" applyBorder="1" applyAlignment="1">
      <alignment horizontal="center" vertical="center" wrapText="1"/>
    </xf>
    <xf numFmtId="180" fontId="3" fillId="5" borderId="8" xfId="0" applyNumberFormat="1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left" vertical="center" wrapText="1"/>
    </xf>
    <xf numFmtId="180" fontId="61" fillId="0" borderId="0" xfId="0" applyNumberFormat="1" applyFont="1" applyAlignment="1">
      <alignment vertical="center" wrapText="1"/>
    </xf>
    <xf numFmtId="0" fontId="99" fillId="0" borderId="10" xfId="0" applyFont="1" applyBorder="1"/>
    <xf numFmtId="0" fontId="100" fillId="0" borderId="0" xfId="0" applyFont="1"/>
    <xf numFmtId="0" fontId="100" fillId="0" borderId="10" xfId="0" applyFont="1" applyBorder="1"/>
    <xf numFmtId="0" fontId="99" fillId="0" borderId="10" xfId="0" applyFont="1" applyBorder="1"/>
    <xf numFmtId="0" fontId="70" fillId="0" borderId="19" xfId="0" applyFont="1" applyBorder="1"/>
    <xf numFmtId="0" fontId="70" fillId="0" borderId="20" xfId="0" applyFont="1" applyBorder="1"/>
    <xf numFmtId="0" fontId="70" fillId="0" borderId="21" xfId="0" applyFont="1" applyBorder="1"/>
    <xf numFmtId="0" fontId="98" fillId="0" borderId="0" xfId="0" applyFont="1" applyAlignment="1">
      <alignment horizontal="right"/>
    </xf>
    <xf numFmtId="0" fontId="98" fillId="0" borderId="0" xfId="0" applyFont="1"/>
    <xf numFmtId="2" fontId="70" fillId="0" borderId="1" xfId="0" applyNumberFormat="1" applyFont="1" applyBorder="1"/>
    <xf numFmtId="2" fontId="71" fillId="0" borderId="0" xfId="0" applyNumberFormat="1" applyFont="1"/>
    <xf numFmtId="0" fontId="70" fillId="0" borderId="9" xfId="0" applyFont="1" applyBorder="1"/>
    <xf numFmtId="2" fontId="70" fillId="0" borderId="22" xfId="0" applyNumberFormat="1" applyFont="1" applyBorder="1"/>
    <xf numFmtId="0" fontId="70" fillId="0" borderId="23" xfId="0" applyFont="1" applyBorder="1"/>
    <xf numFmtId="0" fontId="70" fillId="0" borderId="2" xfId="0" applyFont="1" applyBorder="1"/>
    <xf numFmtId="180" fontId="48" fillId="0" borderId="0" xfId="0" applyNumberFormat="1" applyFont="1" applyAlignment="1">
      <alignment horizontal="center"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180" fontId="5" fillId="5" borderId="7" xfId="0" quotePrefix="1" applyNumberFormat="1" applyFont="1" applyFill="1" applyBorder="1" applyAlignment="1">
      <alignment horizontal="left" vertical="center" wrapText="1"/>
    </xf>
    <xf numFmtId="180" fontId="50" fillId="0" borderId="2" xfId="0" applyNumberFormat="1" applyFont="1" applyBorder="1" applyAlignment="1">
      <alignment horizontal="right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180" fontId="5" fillId="5" borderId="5" xfId="0" quotePrefix="1" applyNumberFormat="1" applyFont="1" applyFill="1" applyBorder="1" applyAlignment="1">
      <alignment horizontal="left" vertical="center" wrapText="1"/>
    </xf>
    <xf numFmtId="180" fontId="5" fillId="5" borderId="8" xfId="0" quotePrefix="1" applyNumberFormat="1" applyFont="1" applyFill="1" applyBorder="1" applyAlignment="1">
      <alignment horizontal="left" vertical="center" wrapText="1"/>
    </xf>
    <xf numFmtId="0" fontId="73" fillId="0" borderId="9" xfId="0" applyFont="1" applyBorder="1"/>
    <xf numFmtId="0" fontId="73" fillId="0" borderId="0" xfId="0" applyFont="1" applyBorder="1"/>
    <xf numFmtId="2" fontId="73" fillId="0" borderId="22" xfId="0" applyNumberFormat="1" applyFont="1" applyBorder="1"/>
    <xf numFmtId="0" fontId="73" fillId="0" borderId="4" xfId="0" applyFont="1" applyBorder="1"/>
    <xf numFmtId="0" fontId="73" fillId="0" borderId="24" xfId="0" applyFont="1" applyBorder="1"/>
    <xf numFmtId="2" fontId="70" fillId="0" borderId="0" xfId="0" applyNumberFormat="1" applyFont="1" applyBorder="1"/>
    <xf numFmtId="2" fontId="101" fillId="0" borderId="10" xfId="0" applyNumberFormat="1" applyFont="1" applyBorder="1"/>
    <xf numFmtId="2" fontId="70" fillId="0" borderId="0" xfId="0" applyNumberFormat="1" applyFont="1"/>
    <xf numFmtId="2" fontId="71" fillId="0" borderId="10" xfId="0" applyNumberFormat="1" applyFont="1" applyBorder="1"/>
    <xf numFmtId="180" fontId="65" fillId="0" borderId="1" xfId="0" quotePrefix="1" applyNumberFormat="1" applyFont="1" applyFill="1" applyBorder="1" applyAlignment="1">
      <alignment horizontal="left" vertical="center" wrapText="1"/>
    </xf>
    <xf numFmtId="0" fontId="70" fillId="0" borderId="0" xfId="0" applyFont="1" applyFill="1" applyBorder="1"/>
    <xf numFmtId="0" fontId="66" fillId="0" borderId="1" xfId="3" quotePrefix="1" applyFont="1" applyFill="1" applyBorder="1" applyAlignment="1">
      <alignment horizontal="right" vertical="center" wrapText="1"/>
    </xf>
    <xf numFmtId="180" fontId="66" fillId="0" borderId="0" xfId="0" applyNumberFormat="1" applyFont="1" applyFill="1" applyAlignment="1">
      <alignment horizontal="center" vertical="center" wrapText="1"/>
    </xf>
    <xf numFmtId="0" fontId="66" fillId="0" borderId="1" xfId="3" applyFont="1" applyFill="1" applyBorder="1" applyAlignment="1">
      <alignment horizontal="right" vertical="center" wrapText="1"/>
    </xf>
    <xf numFmtId="0" fontId="65" fillId="0" borderId="1" xfId="3" quotePrefix="1" applyFont="1" applyFill="1" applyBorder="1" applyAlignment="1">
      <alignment horizontal="left" vertical="center" wrapText="1"/>
    </xf>
    <xf numFmtId="0" fontId="65" fillId="0" borderId="1" xfId="3" applyFont="1" applyFill="1" applyBorder="1" applyAlignment="1">
      <alignment horizontal="center" vertical="center" wrapText="1"/>
    </xf>
    <xf numFmtId="0" fontId="65" fillId="0" borderId="1" xfId="3" applyFont="1" applyFill="1" applyBorder="1" applyAlignment="1">
      <alignment horizontal="left" vertical="center" wrapText="1"/>
    </xf>
    <xf numFmtId="180" fontId="65" fillId="0" borderId="1" xfId="0" applyNumberFormat="1" applyFont="1" applyFill="1" applyBorder="1" applyAlignment="1">
      <alignment horizontal="left" vertical="center" wrapText="1"/>
    </xf>
    <xf numFmtId="2" fontId="66" fillId="0" borderId="1" xfId="0" applyNumberFormat="1" applyFont="1" applyFill="1" applyBorder="1" applyAlignment="1">
      <alignment horizontal="center" vertical="center" wrapText="1"/>
    </xf>
    <xf numFmtId="180" fontId="102" fillId="0" borderId="1" xfId="0" applyNumberFormat="1" applyFont="1" applyFill="1" applyBorder="1" applyAlignment="1">
      <alignment horizontal="center" vertical="center" wrapText="1"/>
    </xf>
    <xf numFmtId="180" fontId="103" fillId="0" borderId="1" xfId="0" applyNumberFormat="1" applyFont="1" applyFill="1" applyBorder="1" applyAlignment="1">
      <alignment horizontal="center" vertical="center" wrapText="1"/>
    </xf>
    <xf numFmtId="180" fontId="65" fillId="0" borderId="1" xfId="0" applyNumberFormat="1" applyFont="1" applyFill="1" applyBorder="1" applyAlignment="1">
      <alignment vertical="center" wrapText="1"/>
    </xf>
    <xf numFmtId="180" fontId="102" fillId="0" borderId="0" xfId="0" applyNumberFormat="1" applyFont="1" applyFill="1" applyBorder="1" applyAlignment="1">
      <alignment horizontal="center" vertical="center" wrapText="1"/>
    </xf>
    <xf numFmtId="4" fontId="102" fillId="0" borderId="1" xfId="0" applyNumberFormat="1" applyFont="1" applyFill="1" applyBorder="1" applyAlignment="1">
      <alignment horizontal="center"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180" fontId="5" fillId="5" borderId="7" xfId="0" quotePrefix="1" applyNumberFormat="1" applyFont="1" applyFill="1" applyBorder="1" applyAlignment="1">
      <alignment horizontal="left" vertical="center" wrapText="1"/>
    </xf>
    <xf numFmtId="180" fontId="50" fillId="0" borderId="2" xfId="0" applyNumberFormat="1" applyFont="1" applyBorder="1" applyAlignment="1">
      <alignment horizontal="right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180" fontId="48" fillId="0" borderId="0" xfId="0" applyNumberFormat="1" applyFont="1" applyAlignment="1">
      <alignment horizontal="center" vertical="center" wrapText="1"/>
    </xf>
    <xf numFmtId="180" fontId="5" fillId="5" borderId="5" xfId="0" quotePrefix="1" applyNumberFormat="1" applyFont="1" applyFill="1" applyBorder="1" applyAlignment="1">
      <alignment horizontal="left" vertical="center" wrapText="1"/>
    </xf>
    <xf numFmtId="180" fontId="5" fillId="5" borderId="8" xfId="0" quotePrefix="1" applyNumberFormat="1" applyFont="1" applyFill="1" applyBorder="1" applyAlignment="1">
      <alignment horizontal="left" vertical="center" wrapText="1"/>
    </xf>
    <xf numFmtId="180" fontId="10" fillId="0" borderId="6" xfId="0" applyNumberFormat="1" applyFont="1" applyFill="1" applyBorder="1" applyAlignment="1">
      <alignment horizontal="center" vertical="center" wrapText="1"/>
    </xf>
    <xf numFmtId="180" fontId="65" fillId="0" borderId="1" xfId="0" applyNumberFormat="1" applyFont="1" applyBorder="1" applyAlignment="1">
      <alignment horizontal="center" vertical="center" wrapText="1"/>
    </xf>
    <xf numFmtId="0" fontId="65" fillId="0" borderId="1" xfId="3" applyFont="1" applyFill="1" applyBorder="1" applyAlignment="1">
      <alignment vertical="center" wrapText="1"/>
    </xf>
    <xf numFmtId="180" fontId="2" fillId="5" borderId="7" xfId="0" quotePrefix="1" applyNumberFormat="1" applyFont="1" applyFill="1" applyBorder="1" applyAlignment="1">
      <alignment horizontal="left" vertical="center" wrapText="1"/>
    </xf>
    <xf numFmtId="180" fontId="104" fillId="0" borderId="3" xfId="0" applyNumberFormat="1" applyFont="1" applyFill="1" applyBorder="1" applyAlignment="1">
      <alignment vertical="center" wrapText="1"/>
    </xf>
    <xf numFmtId="0" fontId="66" fillId="0" borderId="1" xfId="0" applyFont="1" applyFill="1" applyBorder="1" applyAlignment="1">
      <alignment horizontal="right" vertical="center" wrapText="1"/>
    </xf>
    <xf numFmtId="0" fontId="0" fillId="0" borderId="9" xfId="0" applyBorder="1"/>
    <xf numFmtId="0" fontId="0" fillId="0" borderId="0" xfId="0" applyBorder="1"/>
    <xf numFmtId="0" fontId="0" fillId="0" borderId="22" xfId="0" applyBorder="1"/>
    <xf numFmtId="180" fontId="2" fillId="5" borderId="7" xfId="0" quotePrefix="1" applyNumberFormat="1" applyFont="1" applyFill="1" applyBorder="1" applyAlignment="1">
      <alignment horizontal="left" vertical="center" wrapText="1"/>
    </xf>
    <xf numFmtId="0" fontId="70" fillId="5" borderId="0" xfId="0" applyFont="1" applyFill="1"/>
    <xf numFmtId="0" fontId="70" fillId="5" borderId="25" xfId="0" applyFont="1" applyFill="1" applyBorder="1"/>
    <xf numFmtId="0" fontId="70" fillId="5" borderId="26" xfId="0" applyFont="1" applyFill="1" applyBorder="1"/>
    <xf numFmtId="0" fontId="70" fillId="5" borderId="27" xfId="0" applyFont="1" applyFill="1" applyBorder="1"/>
    <xf numFmtId="0" fontId="70" fillId="5" borderId="0" xfId="0" applyFont="1" applyFill="1" applyBorder="1"/>
    <xf numFmtId="0" fontId="70" fillId="5" borderId="28" xfId="0" applyFont="1" applyFill="1" applyBorder="1"/>
    <xf numFmtId="16" fontId="70" fillId="5" borderId="0" xfId="0" applyNumberFormat="1" applyFont="1" applyFill="1"/>
    <xf numFmtId="0" fontId="70" fillId="5" borderId="29" xfId="0" applyFont="1" applyFill="1" applyBorder="1"/>
    <xf numFmtId="0" fontId="70" fillId="5" borderId="30" xfId="0" applyFont="1" applyFill="1" applyBorder="1"/>
    <xf numFmtId="16" fontId="70" fillId="5" borderId="31" xfId="0" applyNumberFormat="1" applyFont="1" applyFill="1" applyBorder="1"/>
    <xf numFmtId="0" fontId="70" fillId="6" borderId="32" xfId="0" applyFont="1" applyFill="1" applyBorder="1"/>
    <xf numFmtId="0" fontId="70" fillId="6" borderId="25" xfId="0" applyFont="1" applyFill="1" applyBorder="1"/>
    <xf numFmtId="0" fontId="70" fillId="6" borderId="26" xfId="0" applyFont="1" applyFill="1" applyBorder="1"/>
    <xf numFmtId="0" fontId="70" fillId="6" borderId="27" xfId="0" applyFont="1" applyFill="1" applyBorder="1"/>
    <xf numFmtId="0" fontId="70" fillId="6" borderId="0" xfId="0" applyFont="1" applyFill="1" applyBorder="1"/>
    <xf numFmtId="0" fontId="70" fillId="6" borderId="28" xfId="0" applyFont="1" applyFill="1" applyBorder="1"/>
    <xf numFmtId="0" fontId="70" fillId="6" borderId="29" xfId="0" applyFont="1" applyFill="1" applyBorder="1"/>
    <xf numFmtId="0" fontId="70" fillId="6" borderId="30" xfId="0" applyFont="1" applyFill="1" applyBorder="1"/>
    <xf numFmtId="0" fontId="70" fillId="6" borderId="31" xfId="0" applyFont="1" applyFill="1" applyBorder="1"/>
    <xf numFmtId="0" fontId="70" fillId="5" borderId="1" xfId="0" applyFont="1" applyFill="1" applyBorder="1"/>
    <xf numFmtId="2" fontId="17" fillId="6" borderId="1" xfId="0" applyNumberFormat="1" applyFont="1" applyFill="1" applyBorder="1"/>
    <xf numFmtId="0" fontId="71" fillId="6" borderId="0" xfId="0" applyFont="1" applyFill="1"/>
    <xf numFmtId="2" fontId="70" fillId="6" borderId="1" xfId="0" applyNumberFormat="1" applyFont="1" applyFill="1" applyBorder="1"/>
    <xf numFmtId="0" fontId="40" fillId="5" borderId="0" xfId="0" applyFont="1" applyFill="1"/>
    <xf numFmtId="2" fontId="70" fillId="5" borderId="1" xfId="0" applyNumberFormat="1" applyFont="1" applyFill="1" applyBorder="1"/>
    <xf numFmtId="2" fontId="70" fillId="11" borderId="1" xfId="0" applyNumberFormat="1" applyFont="1" applyFill="1" applyBorder="1"/>
    <xf numFmtId="0" fontId="71" fillId="11" borderId="0" xfId="0" applyFont="1" applyFill="1"/>
    <xf numFmtId="0" fontId="40" fillId="18" borderId="0" xfId="0" applyFont="1" applyFill="1"/>
    <xf numFmtId="2" fontId="70" fillId="18" borderId="1" xfId="0" applyNumberFormat="1" applyFont="1" applyFill="1" applyBorder="1"/>
    <xf numFmtId="180" fontId="2" fillId="5" borderId="7" xfId="0" quotePrefix="1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right"/>
    </xf>
    <xf numFmtId="180" fontId="105" fillId="0" borderId="2" xfId="0" applyNumberFormat="1" applyFont="1" applyFill="1" applyBorder="1" applyAlignment="1">
      <alignment horizontal="center" vertical="center" wrapText="1"/>
    </xf>
    <xf numFmtId="180" fontId="105" fillId="0" borderId="0" xfId="0" applyNumberFormat="1" applyFont="1" applyBorder="1" applyAlignment="1">
      <alignment horizontal="left" vertical="center" wrapText="1"/>
    </xf>
    <xf numFmtId="2" fontId="106" fillId="0" borderId="10" xfId="0" applyNumberFormat="1" applyFont="1" applyBorder="1"/>
    <xf numFmtId="2" fontId="103" fillId="0" borderId="1" xfId="0" applyNumberFormat="1" applyFont="1" applyFill="1" applyBorder="1" applyAlignment="1">
      <alignment horizontal="center" vertical="center" wrapText="1"/>
    </xf>
    <xf numFmtId="180" fontId="102" fillId="0" borderId="1" xfId="0" applyNumberFormat="1" applyFont="1" applyBorder="1" applyAlignment="1">
      <alignment horizontal="center" vertical="center" wrapText="1"/>
    </xf>
    <xf numFmtId="180" fontId="65" fillId="0" borderId="3" xfId="0" quotePrefix="1" applyNumberFormat="1" applyFont="1" applyFill="1" applyBorder="1" applyAlignment="1">
      <alignment horizontal="left" vertical="center" wrapText="1"/>
    </xf>
    <xf numFmtId="0" fontId="107" fillId="0" borderId="1" xfId="3" quotePrefix="1" applyFont="1" applyBorder="1" applyAlignment="1">
      <alignment horizontal="right" vertical="center" wrapText="1"/>
    </xf>
    <xf numFmtId="0" fontId="70" fillId="18" borderId="0" xfId="0" applyFont="1" applyFill="1" applyBorder="1"/>
    <xf numFmtId="180" fontId="65" fillId="0" borderId="3" xfId="0" quotePrefix="1" applyNumberFormat="1" applyFont="1" applyBorder="1" applyAlignment="1">
      <alignment horizontal="left" vertical="center" wrapText="1"/>
    </xf>
    <xf numFmtId="180" fontId="65" fillId="0" borderId="1" xfId="0" quotePrefix="1" applyNumberFormat="1" applyFont="1" applyBorder="1" applyAlignment="1">
      <alignment horizontal="left" vertical="center" wrapText="1"/>
    </xf>
    <xf numFmtId="180" fontId="2" fillId="5" borderId="7" xfId="0" quotePrefix="1" applyNumberFormat="1" applyFont="1" applyFill="1" applyBorder="1" applyAlignment="1">
      <alignment horizontal="left" vertical="center" wrapText="1"/>
    </xf>
    <xf numFmtId="0" fontId="17" fillId="6" borderId="0" xfId="0" applyFont="1" applyFill="1"/>
    <xf numFmtId="0" fontId="17" fillId="14" borderId="0" xfId="0" applyFont="1" applyFill="1"/>
    <xf numFmtId="0" fontId="70" fillId="6" borderId="0" xfId="0" applyFont="1" applyFill="1" applyAlignment="1">
      <alignment horizontal="center"/>
    </xf>
    <xf numFmtId="0" fontId="70" fillId="6" borderId="0" xfId="0" applyFont="1" applyFill="1" applyAlignment="1">
      <alignment horizontal="right"/>
    </xf>
    <xf numFmtId="0" fontId="70" fillId="6" borderId="1" xfId="0" applyFont="1" applyFill="1" applyBorder="1" applyAlignment="1">
      <alignment horizontal="right"/>
    </xf>
    <xf numFmtId="2" fontId="65" fillId="0" borderId="1" xfId="3" applyNumberFormat="1" applyFont="1" applyFill="1" applyBorder="1" applyAlignment="1">
      <alignment horizontal="center" vertical="center" wrapText="1"/>
    </xf>
    <xf numFmtId="0" fontId="75" fillId="0" borderId="0" xfId="0" applyFont="1" applyBorder="1"/>
    <xf numFmtId="0" fontId="66" fillId="0" borderId="1" xfId="0" quotePrefix="1" applyFont="1" applyFill="1" applyBorder="1" applyAlignment="1">
      <alignment horizontal="right" vertical="center" wrapText="1"/>
    </xf>
    <xf numFmtId="180" fontId="107" fillId="0" borderId="1" xfId="0" applyNumberFormat="1" applyFont="1" applyFill="1" applyBorder="1" applyAlignment="1">
      <alignment horizontal="right" vertical="center" wrapText="1"/>
    </xf>
    <xf numFmtId="4" fontId="66" fillId="0" borderId="1" xfId="0" applyNumberFormat="1" applyFont="1" applyFill="1" applyBorder="1" applyAlignment="1">
      <alignment horizontal="center" vertical="center" wrapText="1"/>
    </xf>
    <xf numFmtId="3" fontId="66" fillId="0" borderId="1" xfId="0" applyNumberFormat="1" applyFont="1" applyFill="1" applyBorder="1" applyAlignment="1">
      <alignment horizontal="center" vertical="center" wrapText="1"/>
    </xf>
    <xf numFmtId="0" fontId="70" fillId="18" borderId="0" xfId="0" applyFont="1" applyFill="1" applyAlignment="1">
      <alignment horizontal="right"/>
    </xf>
    <xf numFmtId="0" fontId="70" fillId="14" borderId="0" xfId="0" applyFont="1" applyFill="1" applyAlignment="1">
      <alignment horizontal="right"/>
    </xf>
    <xf numFmtId="2" fontId="70" fillId="14" borderId="1" xfId="0" applyNumberFormat="1" applyFont="1" applyFill="1" applyBorder="1"/>
    <xf numFmtId="0" fontId="70" fillId="5" borderId="0" xfId="0" applyFont="1" applyFill="1" applyAlignment="1">
      <alignment horizontal="right"/>
    </xf>
    <xf numFmtId="186" fontId="66" fillId="0" borderId="1" xfId="3" applyNumberFormat="1" applyFont="1" applyFill="1" applyBorder="1" applyAlignment="1">
      <alignment horizontal="center" vertical="center" wrapText="1"/>
    </xf>
    <xf numFmtId="0" fontId="17" fillId="18" borderId="0" xfId="0" applyFont="1" applyFill="1"/>
    <xf numFmtId="0" fontId="70" fillId="18" borderId="10" xfId="0" applyFont="1" applyFill="1" applyBorder="1"/>
    <xf numFmtId="0" fontId="71" fillId="18" borderId="0" xfId="0" applyFont="1" applyFill="1"/>
    <xf numFmtId="0" fontId="70" fillId="18" borderId="1" xfId="0" applyFont="1" applyFill="1" applyBorder="1"/>
    <xf numFmtId="0" fontId="70" fillId="18" borderId="0" xfId="0" applyFont="1" applyFill="1"/>
    <xf numFmtId="0" fontId="70" fillId="18" borderId="1" xfId="0" applyFont="1" applyFill="1" applyBorder="1" applyAlignment="1">
      <alignment horizontal="right"/>
    </xf>
    <xf numFmtId="0" fontId="70" fillId="6" borderId="10" xfId="0" applyFont="1" applyFill="1" applyBorder="1"/>
    <xf numFmtId="0" fontId="70" fillId="14" borderId="10" xfId="0" applyFont="1" applyFill="1" applyBorder="1"/>
    <xf numFmtId="0" fontId="71" fillId="14" borderId="0" xfId="0" applyFont="1" applyFill="1"/>
    <xf numFmtId="0" fontId="70" fillId="14" borderId="1" xfId="0" applyFont="1" applyFill="1" applyBorder="1"/>
    <xf numFmtId="0" fontId="70" fillId="14" borderId="0" xfId="0" applyFont="1" applyFill="1"/>
    <xf numFmtId="0" fontId="70" fillId="14" borderId="1" xfId="0" applyFont="1" applyFill="1" applyBorder="1" applyAlignment="1">
      <alignment horizontal="right"/>
    </xf>
    <xf numFmtId="0" fontId="71" fillId="5" borderId="0" xfId="0" applyFont="1" applyFill="1"/>
    <xf numFmtId="0" fontId="70" fillId="0" borderId="1" xfId="0" applyFont="1" applyBorder="1" applyAlignment="1">
      <alignment horizontal="center"/>
    </xf>
    <xf numFmtId="4" fontId="103" fillId="0" borderId="1" xfId="0" applyNumberFormat="1" applyFont="1" applyFill="1" applyBorder="1" applyAlignment="1">
      <alignment horizontal="center" vertical="center" wrapText="1"/>
    </xf>
    <xf numFmtId="180" fontId="65" fillId="0" borderId="3" xfId="0" applyNumberFormat="1" applyFont="1" applyFill="1" applyBorder="1" applyAlignment="1">
      <alignment vertical="center" wrapText="1"/>
    </xf>
    <xf numFmtId="183" fontId="66" fillId="0" borderId="1" xfId="0" applyNumberFormat="1" applyFont="1" applyFill="1" applyBorder="1" applyAlignment="1">
      <alignment horizontal="center" vertical="center" wrapText="1"/>
    </xf>
    <xf numFmtId="4" fontId="90" fillId="0" borderId="0" xfId="3" applyNumberFormat="1" applyFont="1" applyFill="1" applyBorder="1" applyAlignment="1">
      <alignment horizontal="center" vertical="center" wrapText="1"/>
    </xf>
    <xf numFmtId="1" fontId="66" fillId="0" borderId="1" xfId="0" applyNumberFormat="1" applyFont="1" applyFill="1" applyBorder="1" applyAlignment="1">
      <alignment horizontal="center" vertical="center" wrapText="1"/>
    </xf>
    <xf numFmtId="180" fontId="108" fillId="0" borderId="0" xfId="0" applyNumberFormat="1" applyFont="1" applyAlignment="1">
      <alignment vertical="center" wrapText="1"/>
    </xf>
    <xf numFmtId="0" fontId="71" fillId="0" borderId="16" xfId="0" applyFont="1" applyBorder="1"/>
    <xf numFmtId="0" fontId="71" fillId="0" borderId="18" xfId="0" applyFont="1" applyBorder="1"/>
    <xf numFmtId="0" fontId="71" fillId="0" borderId="18" xfId="0" applyFont="1" applyBorder="1" applyAlignment="1">
      <alignment horizontal="right"/>
    </xf>
    <xf numFmtId="0" fontId="71" fillId="0" borderId="16" xfId="0" applyFont="1" applyBorder="1" applyAlignment="1">
      <alignment horizontal="right" vertical="center"/>
    </xf>
    <xf numFmtId="0" fontId="71" fillId="0" borderId="16" xfId="0" applyFont="1" applyBorder="1" applyAlignment="1">
      <alignment horizontal="right"/>
    </xf>
    <xf numFmtId="0" fontId="71" fillId="0" borderId="0" xfId="0" applyFont="1" applyBorder="1"/>
    <xf numFmtId="0" fontId="71" fillId="0" borderId="1" xfId="0" applyFont="1" applyBorder="1" applyAlignment="1">
      <alignment horizontal="center"/>
    </xf>
    <xf numFmtId="0" fontId="95" fillId="0" borderId="1" xfId="0" applyFont="1" applyBorder="1" applyAlignment="1">
      <alignment horizontal="center"/>
    </xf>
    <xf numFmtId="0" fontId="92" fillId="0" borderId="1" xfId="0" applyFont="1" applyBorder="1"/>
    <xf numFmtId="0" fontId="92" fillId="0" borderId="15" xfId="0" applyFont="1" applyBorder="1"/>
    <xf numFmtId="0" fontId="92" fillId="0" borderId="15" xfId="0" applyFont="1" applyBorder="1" applyAlignment="1">
      <alignment horizontal="left" vertical="center"/>
    </xf>
    <xf numFmtId="0" fontId="73" fillId="0" borderId="1" xfId="3" applyFont="1" applyFill="1" applyBorder="1" applyAlignment="1">
      <alignment horizontal="right" vertical="center" wrapText="1"/>
    </xf>
    <xf numFmtId="0" fontId="17" fillId="8" borderId="1" xfId="0" applyFont="1" applyFill="1" applyBorder="1"/>
    <xf numFmtId="0" fontId="17" fillId="14" borderId="1" xfId="0" applyFont="1" applyFill="1" applyBorder="1"/>
    <xf numFmtId="0" fontId="65" fillId="0" borderId="1" xfId="0" quotePrefix="1" applyFont="1" applyFill="1" applyBorder="1" applyAlignment="1">
      <alignment horizontal="center" vertical="center" wrapText="1"/>
    </xf>
    <xf numFmtId="4" fontId="103" fillId="0" borderId="1" xfId="3" applyNumberFormat="1" applyFont="1" applyFill="1" applyBorder="1" applyAlignment="1">
      <alignment horizontal="center" vertical="center" wrapText="1"/>
    </xf>
    <xf numFmtId="0" fontId="73" fillId="0" borderId="1" xfId="3" quotePrefix="1" applyFont="1" applyFill="1" applyBorder="1" applyAlignment="1">
      <alignment horizontal="right" vertical="center" wrapText="1"/>
    </xf>
    <xf numFmtId="4" fontId="102" fillId="0" borderId="1" xfId="3" applyNumberFormat="1" applyFont="1" applyFill="1" applyBorder="1" applyAlignment="1">
      <alignment horizontal="center" vertical="center" wrapText="1"/>
    </xf>
    <xf numFmtId="0" fontId="102" fillId="0" borderId="1" xfId="3" applyFont="1" applyFill="1" applyBorder="1" applyAlignment="1">
      <alignment horizontal="center" vertical="center" wrapText="1"/>
    </xf>
    <xf numFmtId="0" fontId="66" fillId="0" borderId="1" xfId="0" applyNumberFormat="1" applyFont="1" applyFill="1" applyBorder="1" applyAlignment="1">
      <alignment horizontal="center" vertical="center" wrapText="1"/>
    </xf>
    <xf numFmtId="0" fontId="65" fillId="0" borderId="1" xfId="0" applyNumberFormat="1" applyFont="1" applyFill="1" applyBorder="1" applyAlignment="1">
      <alignment horizontal="center" vertical="center" wrapText="1"/>
    </xf>
    <xf numFmtId="0" fontId="70" fillId="5" borderId="10" xfId="0" applyFont="1" applyFill="1" applyBorder="1"/>
    <xf numFmtId="180" fontId="48" fillId="0" borderId="1" xfId="0" applyNumberFormat="1" applyFont="1" applyFill="1" applyBorder="1" applyAlignment="1">
      <alignment vertical="center" wrapText="1"/>
    </xf>
    <xf numFmtId="180" fontId="109" fillId="0" borderId="1" xfId="0" applyNumberFormat="1" applyFont="1" applyFill="1" applyBorder="1" applyAlignment="1">
      <alignment horizontal="right" vertical="center" wrapText="1"/>
    </xf>
    <xf numFmtId="180" fontId="110" fillId="0" borderId="1" xfId="0" applyNumberFormat="1" applyFont="1" applyFill="1" applyBorder="1" applyAlignment="1">
      <alignment horizontal="right" vertical="center" wrapText="1"/>
    </xf>
    <xf numFmtId="4" fontId="109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60" fillId="0" borderId="1" xfId="0" applyNumberFormat="1" applyFont="1" applyFill="1" applyBorder="1" applyAlignment="1">
      <alignment horizontal="center" vertical="center" wrapText="1"/>
    </xf>
    <xf numFmtId="4" fontId="109" fillId="0" borderId="1" xfId="3" applyNumberFormat="1" applyFont="1" applyFill="1" applyBorder="1" applyAlignment="1">
      <alignment horizontal="right" vertical="center" wrapText="1"/>
    </xf>
    <xf numFmtId="4" fontId="48" fillId="0" borderId="1" xfId="0" applyNumberFormat="1" applyFont="1" applyFill="1" applyBorder="1" applyAlignment="1">
      <alignment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0" fontId="55" fillId="0" borderId="0" xfId="0" quotePrefix="1" applyFont="1" applyAlignment="1">
      <alignment horizontal="left"/>
    </xf>
    <xf numFmtId="0" fontId="55" fillId="0" borderId="0" xfId="0" applyFont="1"/>
    <xf numFmtId="171" fontId="47" fillId="0" borderId="0" xfId="5" applyNumberFormat="1" applyFont="1"/>
    <xf numFmtId="0" fontId="1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55" fillId="0" borderId="0" xfId="0" applyFont="1" applyAlignment="1">
      <alignment horizontal="right"/>
    </xf>
    <xf numFmtId="180" fontId="48" fillId="0" borderId="0" xfId="0" applyNumberFormat="1" applyFont="1" applyAlignment="1">
      <alignment horizontal="center" vertical="center" wrapText="1"/>
    </xf>
    <xf numFmtId="171" fontId="71" fillId="0" borderId="1" xfId="5" applyNumberFormat="1" applyFont="1" applyBorder="1" applyAlignment="1">
      <alignment horizontal="center"/>
    </xf>
    <xf numFmtId="190" fontId="70" fillId="0" borderId="1" xfId="5" applyNumberFormat="1" applyFont="1" applyBorder="1" applyAlignment="1">
      <alignment horizontal="center"/>
    </xf>
    <xf numFmtId="171" fontId="112" fillId="0" borderId="0" xfId="5" applyNumberFormat="1" applyFont="1"/>
    <xf numFmtId="4" fontId="70" fillId="0" borderId="1" xfId="0" applyNumberFormat="1" applyFont="1" applyBorder="1"/>
    <xf numFmtId="4" fontId="71" fillId="0" borderId="1" xfId="0" applyNumberFormat="1" applyFont="1" applyBorder="1" applyAlignment="1">
      <alignment horizontal="center"/>
    </xf>
    <xf numFmtId="4" fontId="70" fillId="0" borderId="1" xfId="0" applyNumberFormat="1" applyFont="1" applyBorder="1" applyAlignment="1">
      <alignment horizontal="center"/>
    </xf>
    <xf numFmtId="180" fontId="61" fillId="0" borderId="0" xfId="0" applyNumberFormat="1" applyFont="1" applyFill="1" applyBorder="1" applyAlignment="1">
      <alignment horizontal="center" vertical="center" wrapText="1"/>
    </xf>
    <xf numFmtId="180" fontId="113" fillId="0" borderId="0" xfId="0" applyNumberFormat="1" applyFont="1" applyFill="1" applyAlignment="1">
      <alignment vertical="center" wrapText="1"/>
    </xf>
    <xf numFmtId="180" fontId="2" fillId="5" borderId="7" xfId="0" quotePrefix="1" applyNumberFormat="1" applyFont="1" applyFill="1" applyBorder="1" applyAlignment="1">
      <alignment horizontal="left" vertical="center" wrapText="1"/>
    </xf>
    <xf numFmtId="180" fontId="113" fillId="0" borderId="0" xfId="0" applyNumberFormat="1" applyFont="1" applyAlignment="1">
      <alignment vertical="center" wrapText="1"/>
    </xf>
    <xf numFmtId="180" fontId="2" fillId="5" borderId="7" xfId="0" quotePrefix="1" applyNumberFormat="1" applyFont="1" applyFill="1" applyBorder="1" applyAlignment="1">
      <alignment horizontal="left" vertical="center" wrapText="1"/>
    </xf>
    <xf numFmtId="0" fontId="70" fillId="0" borderId="1" xfId="0" applyFont="1" applyBorder="1" applyAlignment="1">
      <alignment horizontal="center"/>
    </xf>
    <xf numFmtId="180" fontId="2" fillId="5" borderId="7" xfId="0" quotePrefix="1" applyNumberFormat="1" applyFont="1" applyFill="1" applyBorder="1" applyAlignment="1">
      <alignment horizontal="left" vertical="center" wrapText="1"/>
    </xf>
    <xf numFmtId="0" fontId="103" fillId="0" borderId="0" xfId="0" quotePrefix="1" applyFont="1" applyAlignment="1">
      <alignment horizontal="left"/>
    </xf>
    <xf numFmtId="0" fontId="103" fillId="0" borderId="0" xfId="0" applyFont="1"/>
    <xf numFmtId="171" fontId="114" fillId="0" borderId="0" xfId="5" applyNumberFormat="1" applyFont="1"/>
    <xf numFmtId="0" fontId="115" fillId="0" borderId="0" xfId="0" applyFont="1"/>
    <xf numFmtId="171" fontId="116" fillId="0" borderId="1" xfId="5" applyNumberFormat="1" applyFont="1" applyBorder="1" applyAlignment="1">
      <alignment horizontal="center"/>
    </xf>
    <xf numFmtId="0" fontId="116" fillId="0" borderId="1" xfId="0" applyFont="1" applyBorder="1" applyAlignment="1">
      <alignment horizontal="center"/>
    </xf>
    <xf numFmtId="0" fontId="103" fillId="0" borderId="0" xfId="0" applyFont="1" applyAlignment="1">
      <alignment horizontal="right"/>
    </xf>
    <xf numFmtId="0" fontId="98" fillId="0" borderId="1" xfId="0" applyFont="1" applyBorder="1" applyAlignment="1">
      <alignment horizontal="center"/>
    </xf>
    <xf numFmtId="190" fontId="98" fillId="0" borderId="1" xfId="5" applyNumberFormat="1" applyFont="1" applyBorder="1" applyAlignment="1">
      <alignment horizontal="center"/>
    </xf>
    <xf numFmtId="0" fontId="102" fillId="0" borderId="1" xfId="0" applyFont="1" applyBorder="1" applyAlignment="1">
      <alignment horizontal="center" vertical="center"/>
    </xf>
    <xf numFmtId="171" fontId="98" fillId="0" borderId="0" xfId="5" applyNumberFormat="1" applyFont="1"/>
    <xf numFmtId="0" fontId="103" fillId="0" borderId="1" xfId="0" applyFont="1" applyBorder="1" applyAlignment="1">
      <alignment vertical="center"/>
    </xf>
    <xf numFmtId="4" fontId="98" fillId="0" borderId="0" xfId="0" applyNumberFormat="1" applyFont="1"/>
    <xf numFmtId="4" fontId="98" fillId="0" borderId="1" xfId="0" applyNumberFormat="1" applyFont="1" applyBorder="1"/>
    <xf numFmtId="0" fontId="103" fillId="0" borderId="1" xfId="0" applyFont="1" applyBorder="1" applyAlignment="1">
      <alignment vertical="center" wrapText="1"/>
    </xf>
    <xf numFmtId="0" fontId="117" fillId="0" borderId="1" xfId="0" applyFont="1" applyBorder="1" applyAlignment="1">
      <alignment vertical="center" wrapText="1"/>
    </xf>
    <xf numFmtId="0" fontId="118" fillId="0" borderId="1" xfId="0" applyFont="1" applyBorder="1" applyAlignment="1">
      <alignment vertical="center"/>
    </xf>
    <xf numFmtId="4" fontId="116" fillId="0" borderId="1" xfId="0" applyNumberFormat="1" applyFont="1" applyBorder="1" applyAlignment="1">
      <alignment horizontal="center"/>
    </xf>
    <xf numFmtId="0" fontId="103" fillId="0" borderId="1" xfId="0" applyFont="1" applyBorder="1"/>
    <xf numFmtId="0" fontId="103" fillId="0" borderId="1" xfId="0" applyFont="1" applyBorder="1" applyAlignment="1">
      <alignment horizontal="right"/>
    </xf>
    <xf numFmtId="0" fontId="118" fillId="0" borderId="1" xfId="0" applyFont="1" applyBorder="1" applyAlignment="1">
      <alignment horizontal="right" vertical="center"/>
    </xf>
    <xf numFmtId="4" fontId="98" fillId="0" borderId="1" xfId="0" applyNumberFormat="1" applyFont="1" applyBorder="1" applyAlignment="1">
      <alignment horizontal="center"/>
    </xf>
    <xf numFmtId="4" fontId="119" fillId="0" borderId="1" xfId="0" applyNumberFormat="1" applyFont="1" applyBorder="1"/>
    <xf numFmtId="4" fontId="106" fillId="0" borderId="1" xfId="0" applyNumberFormat="1" applyFont="1" applyBorder="1"/>
    <xf numFmtId="0" fontId="71" fillId="0" borderId="22" xfId="0" applyFont="1" applyFill="1" applyBorder="1" applyAlignment="1">
      <alignment horizontal="center"/>
    </xf>
    <xf numFmtId="180" fontId="3" fillId="0" borderId="0" xfId="0" applyNumberFormat="1" applyFont="1" applyFill="1" applyAlignment="1">
      <alignment horizontal="center" vertical="center" wrapText="1"/>
    </xf>
    <xf numFmtId="180" fontId="8" fillId="0" borderId="3" xfId="0" applyNumberFormat="1" applyFont="1" applyFill="1" applyBorder="1" applyAlignment="1">
      <alignment vertical="center" wrapText="1"/>
    </xf>
    <xf numFmtId="184" fontId="2" fillId="0" borderId="1" xfId="0" applyNumberFormat="1" applyFont="1" applyFill="1" applyBorder="1" applyAlignment="1">
      <alignment horizontal="center" vertical="center" wrapText="1"/>
    </xf>
    <xf numFmtId="0" fontId="6" fillId="0" borderId="1" xfId="3" quotePrefix="1" applyFont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180" fontId="2" fillId="0" borderId="3" xfId="0" quotePrefix="1" applyNumberFormat="1" applyFont="1" applyBorder="1" applyAlignment="1">
      <alignment horizontal="left" vertical="center" wrapText="1"/>
    </xf>
    <xf numFmtId="0" fontId="17" fillId="0" borderId="1" xfId="3" quotePrefix="1" applyFont="1" applyFill="1" applyBorder="1" applyAlignment="1">
      <alignment horizontal="right" vertical="center" wrapText="1"/>
    </xf>
    <xf numFmtId="0" fontId="17" fillId="0" borderId="1" xfId="3" applyFont="1" applyFill="1" applyBorder="1" applyAlignment="1">
      <alignment horizontal="right" vertical="center" wrapText="1"/>
    </xf>
    <xf numFmtId="2" fontId="2" fillId="0" borderId="1" xfId="3" applyNumberFormat="1" applyFont="1" applyFill="1" applyBorder="1" applyAlignment="1">
      <alignment horizontal="center" vertical="center" wrapText="1"/>
    </xf>
    <xf numFmtId="180" fontId="60" fillId="0" borderId="0" xfId="0" applyNumberFormat="1" applyFont="1" applyAlignment="1">
      <alignment horizontal="right" vertical="center" wrapText="1"/>
    </xf>
    <xf numFmtId="184" fontId="89" fillId="0" borderId="0" xfId="0" applyNumberFormat="1" applyFont="1" applyFill="1" applyBorder="1" applyAlignment="1">
      <alignment horizontal="center"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180" fontId="2" fillId="5" borderId="7" xfId="0" quotePrefix="1" applyNumberFormat="1" applyFont="1" applyFill="1" applyBorder="1" applyAlignment="1">
      <alignment horizontal="left" vertical="center" wrapText="1"/>
    </xf>
    <xf numFmtId="180" fontId="50" fillId="0" borderId="2" xfId="0" applyNumberFormat="1" applyFont="1" applyBorder="1" applyAlignment="1">
      <alignment horizontal="right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180" fontId="48" fillId="0" borderId="0" xfId="0" applyNumberFormat="1" applyFont="1" applyAlignment="1">
      <alignment horizontal="center" vertical="center" wrapText="1"/>
    </xf>
    <xf numFmtId="180" fontId="5" fillId="5" borderId="5" xfId="0" quotePrefix="1" applyNumberFormat="1" applyFont="1" applyFill="1" applyBorder="1" applyAlignment="1">
      <alignment horizontal="left" vertical="center" wrapText="1"/>
    </xf>
    <xf numFmtId="180" fontId="5" fillId="5" borderId="7" xfId="0" quotePrefix="1" applyNumberFormat="1" applyFont="1" applyFill="1" applyBorder="1" applyAlignment="1">
      <alignment horizontal="left" vertical="center" wrapText="1"/>
    </xf>
    <xf numFmtId="180" fontId="5" fillId="5" borderId="8" xfId="0" quotePrefix="1" applyNumberFormat="1" applyFont="1" applyFill="1" applyBorder="1" applyAlignment="1">
      <alignment horizontal="left" vertical="center" wrapText="1"/>
    </xf>
    <xf numFmtId="0" fontId="3" fillId="0" borderId="6" xfId="3" applyFont="1" applyFill="1" applyBorder="1" applyAlignment="1">
      <alignment horizontal="center" vertical="center" wrapText="1"/>
    </xf>
    <xf numFmtId="4" fontId="3" fillId="0" borderId="6" xfId="3" applyNumberFormat="1" applyFont="1" applyFill="1" applyBorder="1" applyAlignment="1">
      <alignment horizontal="center" vertical="center" wrapText="1"/>
    </xf>
    <xf numFmtId="180" fontId="3" fillId="0" borderId="6" xfId="0" applyNumberFormat="1" applyFont="1" applyFill="1" applyBorder="1" applyAlignment="1">
      <alignment horizontal="center" vertical="center" wrapText="1"/>
    </xf>
    <xf numFmtId="4" fontId="66" fillId="0" borderId="6" xfId="3" applyNumberFormat="1" applyFont="1" applyFill="1" applyBorder="1" applyAlignment="1">
      <alignment horizontal="right" vertical="center" wrapText="1"/>
    </xf>
    <xf numFmtId="180" fontId="2" fillId="0" borderId="6" xfId="0" applyNumberFormat="1" applyFont="1" applyFill="1" applyBorder="1" applyAlignment="1">
      <alignment horizontal="left" vertical="center" wrapText="1"/>
    </xf>
    <xf numFmtId="180" fontId="2" fillId="0" borderId="6" xfId="0" applyNumberFormat="1" applyFont="1" applyFill="1" applyBorder="1" applyAlignment="1">
      <alignment horizontal="right" vertical="center" wrapText="1"/>
    </xf>
    <xf numFmtId="180" fontId="3" fillId="0" borderId="6" xfId="0" applyNumberFormat="1" applyFont="1" applyFill="1" applyBorder="1" applyAlignment="1">
      <alignment horizontal="left" vertical="center" wrapText="1"/>
    </xf>
    <xf numFmtId="0" fontId="106" fillId="0" borderId="0" xfId="0" applyFont="1"/>
    <xf numFmtId="180" fontId="2" fillId="5" borderId="7" xfId="0" quotePrefix="1" applyNumberFormat="1" applyFont="1" applyFill="1" applyBorder="1" applyAlignment="1">
      <alignment horizontal="left" vertical="center" wrapText="1"/>
    </xf>
    <xf numFmtId="180" fontId="50" fillId="0" borderId="2" xfId="0" applyNumberFormat="1" applyFont="1" applyBorder="1" applyAlignment="1">
      <alignment horizontal="right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180" fontId="48" fillId="0" borderId="0" xfId="0" applyNumberFormat="1" applyFont="1" applyAlignment="1">
      <alignment horizontal="center"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180" fontId="5" fillId="5" borderId="7" xfId="0" quotePrefix="1" applyNumberFormat="1" applyFont="1" applyFill="1" applyBorder="1" applyAlignment="1">
      <alignment horizontal="left" vertical="center" wrapText="1"/>
    </xf>
    <xf numFmtId="180" fontId="5" fillId="5" borderId="5" xfId="0" quotePrefix="1" applyNumberFormat="1" applyFont="1" applyFill="1" applyBorder="1" applyAlignment="1">
      <alignment horizontal="left" vertical="center" wrapText="1"/>
    </xf>
    <xf numFmtId="180" fontId="5" fillId="5" borderId="8" xfId="0" quotePrefix="1" applyNumberFormat="1" applyFont="1" applyFill="1" applyBorder="1" applyAlignment="1">
      <alignment horizontal="left" vertical="center" wrapText="1"/>
    </xf>
    <xf numFmtId="180" fontId="2" fillId="5" borderId="7" xfId="0" quotePrefix="1" applyNumberFormat="1" applyFont="1" applyFill="1" applyBorder="1" applyAlignment="1">
      <alignment horizontal="left" vertical="center" wrapText="1"/>
    </xf>
    <xf numFmtId="180" fontId="50" fillId="0" borderId="2" xfId="0" applyNumberFormat="1" applyFont="1" applyBorder="1" applyAlignment="1">
      <alignment horizontal="right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180" fontId="48" fillId="0" borderId="0" xfId="0" applyNumberFormat="1" applyFont="1" applyAlignment="1">
      <alignment horizontal="center"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180" fontId="5" fillId="5" borderId="7" xfId="0" quotePrefix="1" applyNumberFormat="1" applyFont="1" applyFill="1" applyBorder="1" applyAlignment="1">
      <alignment horizontal="left" vertical="center" wrapText="1"/>
    </xf>
    <xf numFmtId="180" fontId="5" fillId="5" borderId="5" xfId="0" quotePrefix="1" applyNumberFormat="1" applyFont="1" applyFill="1" applyBorder="1" applyAlignment="1">
      <alignment horizontal="left" vertical="center" wrapText="1"/>
    </xf>
    <xf numFmtId="180" fontId="5" fillId="5" borderId="8" xfId="0" quotePrefix="1" applyNumberFormat="1" applyFont="1" applyFill="1" applyBorder="1" applyAlignment="1">
      <alignment horizontal="left"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180" fontId="2" fillId="5" borderId="7" xfId="0" quotePrefix="1" applyNumberFormat="1" applyFont="1" applyFill="1" applyBorder="1" applyAlignment="1">
      <alignment horizontal="left" vertical="center" wrapText="1"/>
    </xf>
    <xf numFmtId="0" fontId="120" fillId="0" borderId="0" xfId="0" applyFont="1"/>
    <xf numFmtId="180" fontId="2" fillId="5" borderId="7" xfId="0" quotePrefix="1" applyNumberFormat="1" applyFont="1" applyFill="1" applyBorder="1" applyAlignment="1">
      <alignment horizontal="left" vertical="center" wrapText="1"/>
    </xf>
    <xf numFmtId="0" fontId="8" fillId="0" borderId="0" xfId="0" quotePrefix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quotePrefix="1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180" fontId="9" fillId="0" borderId="0" xfId="0" applyNumberFormat="1" applyFont="1" applyFill="1" applyBorder="1" applyAlignment="1">
      <alignment horizontal="right" vertical="center" wrapText="1"/>
    </xf>
    <xf numFmtId="180" fontId="4" fillId="0" borderId="2" xfId="0" quotePrefix="1" applyNumberFormat="1" applyFont="1" applyFill="1" applyBorder="1" applyAlignment="1">
      <alignment horizontal="right" vertical="center" wrapText="1"/>
    </xf>
    <xf numFmtId="180" fontId="50" fillId="0" borderId="2" xfId="0" applyNumberFormat="1" applyFont="1" applyBorder="1" applyAlignment="1">
      <alignment horizontal="right" vertical="center" wrapText="1"/>
    </xf>
    <xf numFmtId="49" fontId="57" fillId="0" borderId="1" xfId="0" applyNumberFormat="1" applyFont="1" applyBorder="1" applyAlignment="1">
      <alignment horizontal="center" vertical="center" wrapText="1"/>
    </xf>
    <xf numFmtId="180" fontId="48" fillId="0" borderId="9" xfId="0" applyNumberFormat="1" applyFont="1" applyBorder="1" applyAlignment="1">
      <alignment horizontal="center" vertical="center" wrapText="1"/>
    </xf>
    <xf numFmtId="180" fontId="48" fillId="0" borderId="0" xfId="0" quotePrefix="1" applyNumberFormat="1" applyFont="1" applyAlignment="1">
      <alignment horizontal="center" vertical="center" wrapText="1"/>
    </xf>
    <xf numFmtId="180" fontId="48" fillId="0" borderId="0" xfId="0" applyNumberFormat="1" applyFont="1" applyAlignment="1">
      <alignment horizontal="center" vertical="center" wrapText="1"/>
    </xf>
    <xf numFmtId="180" fontId="49" fillId="0" borderId="1" xfId="0" applyNumberFormat="1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/>
    </xf>
    <xf numFmtId="180" fontId="5" fillId="5" borderId="5" xfId="0" quotePrefix="1" applyNumberFormat="1" applyFont="1" applyFill="1" applyBorder="1" applyAlignment="1">
      <alignment horizontal="left" vertical="center" wrapText="1"/>
    </xf>
    <xf numFmtId="180" fontId="5" fillId="5" borderId="7" xfId="0" quotePrefix="1" applyNumberFormat="1" applyFont="1" applyFill="1" applyBorder="1" applyAlignment="1">
      <alignment horizontal="left" vertical="center" wrapText="1"/>
    </xf>
    <xf numFmtId="180" fontId="5" fillId="5" borderId="8" xfId="0" quotePrefix="1" applyNumberFormat="1" applyFont="1" applyFill="1" applyBorder="1" applyAlignment="1">
      <alignment horizontal="left" vertical="center" wrapText="1"/>
    </xf>
    <xf numFmtId="0" fontId="122" fillId="0" borderId="0" xfId="0" applyNumberFormat="1" applyFont="1" applyAlignment="1">
      <alignment horizontal="center" vertical="center"/>
    </xf>
    <xf numFmtId="180" fontId="4" fillId="0" borderId="0" xfId="0" quotePrefix="1" applyNumberFormat="1" applyFont="1" applyFill="1" applyBorder="1" applyAlignment="1">
      <alignment horizontal="right" vertical="center" wrapText="1"/>
    </xf>
    <xf numFmtId="180" fontId="4" fillId="0" borderId="0" xfId="0" applyNumberFormat="1" applyFont="1" applyFill="1" applyBorder="1" applyAlignment="1">
      <alignment horizontal="center" vertical="center" wrapText="1"/>
    </xf>
    <xf numFmtId="180" fontId="4" fillId="0" borderId="0" xfId="0" quotePrefix="1" applyNumberFormat="1" applyFont="1" applyBorder="1" applyAlignment="1">
      <alignment horizontal="right" vertical="center" wrapText="1"/>
    </xf>
    <xf numFmtId="180" fontId="50" fillId="0" borderId="0" xfId="0" applyNumberFormat="1" applyFont="1" applyBorder="1" applyAlignment="1">
      <alignment horizontal="right" vertical="center" wrapText="1"/>
    </xf>
    <xf numFmtId="0" fontId="121" fillId="0" borderId="1" xfId="0" quotePrefix="1" applyNumberFormat="1" applyFont="1" applyFill="1" applyBorder="1" applyAlignment="1">
      <alignment horizontal="center" vertical="center"/>
    </xf>
    <xf numFmtId="180" fontId="2" fillId="5" borderId="6" xfId="0" quotePrefix="1" applyNumberFormat="1" applyFont="1" applyFill="1" applyBorder="1" applyAlignment="1">
      <alignment horizontal="left" vertical="center" wrapText="1"/>
    </xf>
  </cellXfs>
  <cellStyles count="6">
    <cellStyle name="TableStyleLight1" xfId="1"/>
    <cellStyle name="Обычный" xfId="0" builtinId="0"/>
    <cellStyle name="Обычный 2" xfId="2"/>
    <cellStyle name="Обычный 2 2" xfId="3"/>
    <cellStyle name="Обычный 3" xfId="4"/>
    <cellStyle name="Финансовый" xfId="5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8;&#1085;&#1090;&#1077;&#1088;-&#1057;&#1090;&#1088;&#1086;&#1081;/10-&#1081;%20&#1082;&#1074;&#1072;&#1088;&#1090;&#1072;&#1083;/&#1057;&#1084;&#1077;&#1090;&#1099;/&#1089;&#1084;&#1077;&#1090;&#1072;_&#1076;&#1086;&#1084;%2043_&#1092;&#1091;&#1085;&#1076;&#1072;&#1084;&#1077;&#1085;&#1090;&#1099;_24.11.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"/>
      <sheetName val="Д2"/>
      <sheetName val="Ек"/>
      <sheetName val="Д"/>
      <sheetName val="Е"/>
      <sheetName val="МЭ"/>
      <sheetName val="металл"/>
      <sheetName val="лестницы"/>
      <sheetName val="арматура"/>
      <sheetName val="ведомость затрат"/>
    </sheetNames>
    <sheetDataSet>
      <sheetData sheetId="0" refreshError="1"/>
      <sheetData sheetId="1" refreshError="1">
        <row r="16">
          <cell r="D16">
            <v>297.49</v>
          </cell>
        </row>
        <row r="18">
          <cell r="D18">
            <v>33.838352499999999</v>
          </cell>
        </row>
        <row r="20">
          <cell r="D20">
            <v>101.91055</v>
          </cell>
        </row>
        <row r="22">
          <cell r="D22">
            <v>13.61805</v>
          </cell>
        </row>
        <row r="24">
          <cell r="D24">
            <v>25.549999999999997</v>
          </cell>
        </row>
        <row r="27">
          <cell r="D27">
            <v>291.173</v>
          </cell>
        </row>
        <row r="28">
          <cell r="D28">
            <v>5.91</v>
          </cell>
        </row>
        <row r="30">
          <cell r="D30">
            <v>66</v>
          </cell>
        </row>
        <row r="31">
          <cell r="D31">
            <v>27</v>
          </cell>
        </row>
        <row r="32">
          <cell r="D32">
            <v>69</v>
          </cell>
        </row>
        <row r="33">
          <cell r="D33">
            <v>7</v>
          </cell>
        </row>
        <row r="34">
          <cell r="D34">
            <v>3</v>
          </cell>
        </row>
        <row r="36">
          <cell r="D36">
            <v>70.48</v>
          </cell>
        </row>
        <row r="37">
          <cell r="D37">
            <v>3</v>
          </cell>
        </row>
        <row r="39">
          <cell r="D39">
            <v>123.108</v>
          </cell>
        </row>
        <row r="42">
          <cell r="D42">
            <v>12.8</v>
          </cell>
        </row>
        <row r="44">
          <cell r="D44">
            <v>0.23860000000000001</v>
          </cell>
        </row>
        <row r="46">
          <cell r="D46">
            <v>41.573999999999998</v>
          </cell>
        </row>
        <row r="48">
          <cell r="D48">
            <v>0.44</v>
          </cell>
        </row>
        <row r="50">
          <cell r="D50">
            <v>36.300000000000004</v>
          </cell>
        </row>
      </sheetData>
      <sheetData sheetId="2" refreshError="1">
        <row r="16">
          <cell r="D16">
            <v>352.56300000000005</v>
          </cell>
        </row>
        <row r="18">
          <cell r="D18">
            <v>56.724000000000004</v>
          </cell>
        </row>
        <row r="20">
          <cell r="D20">
            <v>195.13549999999998</v>
          </cell>
        </row>
        <row r="22">
          <cell r="D22">
            <v>26.251799999999999</v>
          </cell>
        </row>
        <row r="24">
          <cell r="D24">
            <v>38.045000000000002</v>
          </cell>
        </row>
        <row r="27">
          <cell r="D27">
            <v>11.150599999999999</v>
          </cell>
        </row>
        <row r="28">
          <cell r="D28">
            <v>11.32</v>
          </cell>
        </row>
        <row r="30">
          <cell r="D30">
            <v>128</v>
          </cell>
        </row>
        <row r="31">
          <cell r="D31">
            <v>53</v>
          </cell>
        </row>
        <row r="32">
          <cell r="D32">
            <v>121</v>
          </cell>
        </row>
        <row r="33">
          <cell r="D33">
            <v>17</v>
          </cell>
        </row>
        <row r="34">
          <cell r="D34">
            <v>14</v>
          </cell>
        </row>
        <row r="35">
          <cell r="D35">
            <v>49</v>
          </cell>
        </row>
        <row r="37">
          <cell r="D37">
            <v>164.72</v>
          </cell>
        </row>
        <row r="38">
          <cell r="D38">
            <v>6.8999999999999995</v>
          </cell>
        </row>
        <row r="40">
          <cell r="D40">
            <v>17.5</v>
          </cell>
        </row>
        <row r="42">
          <cell r="D42">
            <v>0.23039999999999999</v>
          </cell>
        </row>
        <row r="44">
          <cell r="D44">
            <v>335.5958</v>
          </cell>
        </row>
        <row r="47">
          <cell r="D47">
            <v>75.03</v>
          </cell>
        </row>
        <row r="49">
          <cell r="D49">
            <v>1.2</v>
          </cell>
        </row>
        <row r="51">
          <cell r="D51">
            <v>65.61</v>
          </cell>
        </row>
      </sheetData>
      <sheetData sheetId="3" refreshError="1">
        <row r="16">
          <cell r="D16">
            <v>234.976</v>
          </cell>
        </row>
        <row r="18">
          <cell r="D18">
            <v>24.207162499999999</v>
          </cell>
        </row>
        <row r="20">
          <cell r="D20">
            <v>65.768499999999989</v>
          </cell>
        </row>
        <row r="22">
          <cell r="D22">
            <v>6.0697000000000001</v>
          </cell>
        </row>
        <row r="24">
          <cell r="D24">
            <v>62.257999999999996</v>
          </cell>
        </row>
        <row r="27">
          <cell r="D27">
            <v>3.7582</v>
          </cell>
        </row>
        <row r="28">
          <cell r="D28">
            <v>3.81</v>
          </cell>
        </row>
        <row r="30">
          <cell r="D30">
            <v>72</v>
          </cell>
        </row>
        <row r="31">
          <cell r="D31">
            <v>30</v>
          </cell>
        </row>
        <row r="32">
          <cell r="D32">
            <v>64</v>
          </cell>
        </row>
        <row r="33">
          <cell r="D33">
            <v>7</v>
          </cell>
        </row>
        <row r="35">
          <cell r="D35">
            <v>94.53</v>
          </cell>
        </row>
        <row r="36">
          <cell r="D36">
            <v>3.6</v>
          </cell>
        </row>
        <row r="38">
          <cell r="D38">
            <v>127.32</v>
          </cell>
        </row>
        <row r="41">
          <cell r="D41">
            <v>42.18</v>
          </cell>
        </row>
        <row r="43">
          <cell r="D43">
            <v>12.6</v>
          </cell>
        </row>
        <row r="45">
          <cell r="D45">
            <v>0.24280000000000002</v>
          </cell>
        </row>
        <row r="47">
          <cell r="D47">
            <v>0.44</v>
          </cell>
        </row>
        <row r="49">
          <cell r="D49">
            <v>28.26</v>
          </cell>
        </row>
      </sheetData>
      <sheetData sheetId="4" refreshError="1">
        <row r="16">
          <cell r="D16">
            <v>35.576000000000001</v>
          </cell>
        </row>
        <row r="18">
          <cell r="D18">
            <v>114.11049999999999</v>
          </cell>
        </row>
        <row r="20">
          <cell r="D20">
            <v>11.804600000000001</v>
          </cell>
        </row>
        <row r="22">
          <cell r="D22">
            <v>109.20699999999999</v>
          </cell>
        </row>
        <row r="25">
          <cell r="D25">
            <v>6.5206</v>
          </cell>
        </row>
        <row r="26">
          <cell r="D26">
            <v>6.62</v>
          </cell>
        </row>
        <row r="28">
          <cell r="D28">
            <v>112</v>
          </cell>
        </row>
        <row r="29">
          <cell r="D29">
            <v>48</v>
          </cell>
        </row>
        <row r="30">
          <cell r="D30">
            <v>146</v>
          </cell>
        </row>
        <row r="31">
          <cell r="D31">
            <v>14</v>
          </cell>
        </row>
        <row r="33">
          <cell r="D33">
            <v>183.35</v>
          </cell>
        </row>
        <row r="34">
          <cell r="D34">
            <v>5.7</v>
          </cell>
        </row>
        <row r="36">
          <cell r="D36">
            <v>22.9</v>
          </cell>
        </row>
        <row r="38">
          <cell r="D38">
            <v>0.49380000000000002</v>
          </cell>
        </row>
        <row r="40">
          <cell r="D40">
            <v>335.5958</v>
          </cell>
        </row>
        <row r="43">
          <cell r="D43">
            <v>75.03</v>
          </cell>
        </row>
        <row r="45">
          <cell r="D45">
            <v>0.44</v>
          </cell>
        </row>
        <row r="47">
          <cell r="D47">
            <v>28.26</v>
          </cell>
        </row>
      </sheetData>
      <sheetData sheetId="5" refreshError="1"/>
      <sheetData sheetId="6" refreshError="1"/>
      <sheetData sheetId="7" refreshError="1"/>
      <sheetData sheetId="8" refreshError="1">
        <row r="26">
          <cell r="E26">
            <v>94.53</v>
          </cell>
        </row>
        <row r="48">
          <cell r="M48">
            <v>13618.050000000001</v>
          </cell>
        </row>
        <row r="54">
          <cell r="M54">
            <v>70.48</v>
          </cell>
        </row>
        <row r="64">
          <cell r="M64">
            <v>183.35</v>
          </cell>
        </row>
        <row r="74">
          <cell r="M74">
            <v>164.72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825"/>
  <sheetViews>
    <sheetView zoomScaleNormal="100" workbookViewId="0">
      <pane ySplit="1356" topLeftCell="A10"/>
      <selection activeCell="A9" sqref="A1:IV65536"/>
      <selection pane="bottomLeft" activeCell="E18" sqref="E18"/>
    </sheetView>
  </sheetViews>
  <sheetFormatPr defaultColWidth="9" defaultRowHeight="15.6" outlineLevelRow="2" x14ac:dyDescent="0.25"/>
  <cols>
    <col min="1" max="1" width="5.21875" style="81" customWidth="1"/>
    <col min="2" max="2" width="44.44140625" style="25" customWidth="1"/>
    <col min="3" max="3" width="11.6640625" style="740" customWidth="1"/>
    <col min="4" max="4" width="12.33203125" style="740" customWidth="1"/>
    <col min="5" max="5" width="13.109375" style="740" customWidth="1"/>
    <col min="6" max="6" width="13" style="148" customWidth="1"/>
    <col min="7" max="7" width="15.33203125" style="740" customWidth="1"/>
    <col min="8" max="8" width="16.44140625" style="740" customWidth="1"/>
    <col min="9" max="9" width="16.33203125" style="740" customWidth="1"/>
    <col min="10" max="10" width="14.44140625" style="25" bestFit="1" customWidth="1"/>
    <col min="11" max="11" width="17.109375" style="25" customWidth="1"/>
    <col min="12" max="12" width="16.33203125" style="25" customWidth="1"/>
    <col min="13" max="13" width="10.6640625" style="25" customWidth="1"/>
    <col min="14" max="14" width="7" style="25" customWidth="1"/>
    <col min="15" max="15" width="26.21875" style="25" customWidth="1"/>
    <col min="16" max="16" width="17.33203125" style="25" customWidth="1"/>
    <col min="17" max="16384" width="9" style="25"/>
  </cols>
  <sheetData>
    <row r="1" spans="1:13" s="251" customFormat="1" ht="14.4" x14ac:dyDescent="0.25">
      <c r="A1" s="249"/>
      <c r="B1" s="249"/>
      <c r="C1" s="249"/>
      <c r="D1" s="249"/>
      <c r="E1" s="249"/>
      <c r="F1" s="249"/>
      <c r="G1" s="250"/>
      <c r="H1" s="250"/>
      <c r="I1" s="250"/>
    </row>
    <row r="2" spans="1:13" s="251" customFormat="1" ht="27.75" customHeight="1" x14ac:dyDescent="0.25">
      <c r="A2" s="249"/>
      <c r="B2" s="252" t="s">
        <v>626</v>
      </c>
      <c r="C2" s="249"/>
      <c r="D2" s="249"/>
      <c r="E2" s="249"/>
      <c r="F2" s="249"/>
      <c r="G2" s="253" t="s">
        <v>627</v>
      </c>
      <c r="H2" s="250"/>
      <c r="I2" s="250"/>
    </row>
    <row r="3" spans="1:13" s="251" customFormat="1" ht="14.4" x14ac:dyDescent="0.25">
      <c r="A3" s="249"/>
      <c r="B3" s="249"/>
      <c r="C3" s="249"/>
      <c r="D3" s="249"/>
      <c r="E3" s="249"/>
      <c r="F3" s="249"/>
      <c r="G3" s="250"/>
      <c r="H3" s="250" t="s">
        <v>628</v>
      </c>
      <c r="I3" s="250"/>
    </row>
    <row r="4" spans="1:13" s="251" customFormat="1" ht="14.4" x14ac:dyDescent="0.25">
      <c r="A4" s="249"/>
      <c r="B4" s="249"/>
      <c r="C4" s="249"/>
      <c r="D4" s="249"/>
      <c r="E4" s="249"/>
      <c r="F4" s="249"/>
      <c r="G4" s="250"/>
      <c r="H4" s="250"/>
      <c r="I4" s="250"/>
    </row>
    <row r="5" spans="1:13" s="251" customFormat="1" ht="14.4" x14ac:dyDescent="0.25">
      <c r="A5" s="249"/>
      <c r="B5" s="254"/>
      <c r="C5" s="249"/>
      <c r="D5" s="249"/>
      <c r="E5" s="255"/>
      <c r="F5" s="249" t="s">
        <v>629</v>
      </c>
      <c r="G5" s="250"/>
      <c r="H5" s="250"/>
      <c r="I5" s="250"/>
    </row>
    <row r="6" spans="1:13" s="251" customFormat="1" ht="14.4" x14ac:dyDescent="0.25">
      <c r="A6" s="249"/>
      <c r="B6" s="249"/>
      <c r="C6" s="249"/>
      <c r="D6" s="249"/>
      <c r="E6" s="249"/>
      <c r="F6" s="249"/>
      <c r="G6" s="250"/>
      <c r="H6" s="250" t="s">
        <v>630</v>
      </c>
      <c r="I6" s="250"/>
    </row>
    <row r="7" spans="1:13" s="251" customFormat="1" ht="14.4" x14ac:dyDescent="0.25">
      <c r="A7" s="249"/>
      <c r="B7" s="772" t="s">
        <v>631</v>
      </c>
      <c r="C7" s="773"/>
      <c r="D7" s="773"/>
      <c r="E7" s="773"/>
      <c r="F7" s="773"/>
      <c r="G7" s="773"/>
      <c r="H7" s="773"/>
      <c r="I7" s="250"/>
    </row>
    <row r="8" spans="1:13" s="251" customFormat="1" ht="29.25" customHeight="1" x14ac:dyDescent="0.25">
      <c r="A8" s="249"/>
      <c r="B8" s="774" t="s">
        <v>1299</v>
      </c>
      <c r="C8" s="775"/>
      <c r="D8" s="775"/>
      <c r="E8" s="775"/>
      <c r="F8" s="775"/>
      <c r="G8" s="775"/>
      <c r="H8" s="775"/>
      <c r="I8" s="250"/>
    </row>
    <row r="9" spans="1:13" s="7" customFormat="1" ht="15.75" customHeight="1" x14ac:dyDescent="0.25">
      <c r="A9" s="82"/>
      <c r="B9" s="4"/>
      <c r="C9" s="4"/>
      <c r="D9" s="4"/>
      <c r="E9" s="4"/>
      <c r="F9" s="134"/>
      <c r="G9" s="776" t="s">
        <v>342</v>
      </c>
      <c r="H9" s="776"/>
      <c r="I9" s="94">
        <f>I10/C10</f>
        <v>19063.881455427003</v>
      </c>
    </row>
    <row r="10" spans="1:13" s="7" customFormat="1" ht="15.75" customHeight="1" x14ac:dyDescent="0.25">
      <c r="A10" s="777" t="s">
        <v>227</v>
      </c>
      <c r="B10" s="777"/>
      <c r="C10" s="7">
        <v>3437.2</v>
      </c>
      <c r="D10" s="59" t="s">
        <v>343</v>
      </c>
      <c r="E10" s="123">
        <v>90</v>
      </c>
      <c r="F10" s="778" t="s">
        <v>17</v>
      </c>
      <c r="G10" s="778"/>
      <c r="H10" s="778"/>
      <c r="I10" s="8">
        <f>I823*1</f>
        <v>65526373.338593692</v>
      </c>
    </row>
    <row r="11" spans="1:13" s="7" customFormat="1" ht="15.75" customHeight="1" x14ac:dyDescent="0.25">
      <c r="A11" s="325"/>
      <c r="B11" s="325"/>
      <c r="C11" s="122"/>
      <c r="D11" s="59"/>
      <c r="E11" s="123"/>
      <c r="F11" s="738"/>
      <c r="G11" s="738"/>
      <c r="H11" s="738"/>
      <c r="I11" s="8"/>
    </row>
    <row r="12" spans="1:13" s="7" customFormat="1" ht="15.75" customHeight="1" x14ac:dyDescent="0.25">
      <c r="A12" s="325"/>
      <c r="B12" s="325"/>
      <c r="C12" s="122"/>
      <c r="D12" s="59"/>
      <c r="E12" s="123"/>
      <c r="F12" s="738"/>
      <c r="G12" s="738"/>
      <c r="H12" s="738"/>
      <c r="I12" s="8"/>
    </row>
    <row r="13" spans="1:13" ht="25.5" customHeight="1" x14ac:dyDescent="0.25">
      <c r="A13" s="779" t="s">
        <v>0</v>
      </c>
      <c r="B13" s="783" t="s">
        <v>1</v>
      </c>
      <c r="C13" s="783" t="s">
        <v>2</v>
      </c>
      <c r="D13" s="783" t="s">
        <v>3</v>
      </c>
      <c r="E13" s="783" t="s">
        <v>4</v>
      </c>
      <c r="F13" s="783"/>
      <c r="G13" s="783" t="s">
        <v>5</v>
      </c>
      <c r="H13" s="783"/>
      <c r="I13" s="783" t="s">
        <v>6</v>
      </c>
    </row>
    <row r="14" spans="1:13" x14ac:dyDescent="0.25">
      <c r="A14" s="779"/>
      <c r="B14" s="783"/>
      <c r="C14" s="783"/>
      <c r="D14" s="783"/>
      <c r="E14" s="736" t="s">
        <v>7</v>
      </c>
      <c r="F14" s="135" t="s">
        <v>475</v>
      </c>
      <c r="G14" s="736" t="s">
        <v>7</v>
      </c>
      <c r="H14" s="736" t="s">
        <v>339</v>
      </c>
      <c r="I14" s="783"/>
    </row>
    <row r="15" spans="1:13" s="5" customFormat="1" ht="24" customHeight="1" x14ac:dyDescent="0.25">
      <c r="A15" s="104"/>
      <c r="B15" s="771" t="s">
        <v>1511</v>
      </c>
      <c r="C15" s="771"/>
      <c r="D15" s="771"/>
      <c r="E15" s="771"/>
      <c r="F15" s="138"/>
      <c r="G15" s="105"/>
      <c r="H15" s="105"/>
      <c r="I15" s="106"/>
    </row>
    <row r="16" spans="1:13" s="6" customFormat="1" ht="18" customHeight="1" outlineLevel="1" x14ac:dyDescent="0.25">
      <c r="A16" s="107" t="s">
        <v>210</v>
      </c>
      <c r="B16" s="29" t="s">
        <v>1513</v>
      </c>
      <c r="C16" s="31" t="s">
        <v>8</v>
      </c>
      <c r="D16" s="31">
        <f>[1]Д2!D18+[1]Ек!D18+[1]Д!D18+[1]Е!D16</f>
        <v>150.34551500000001</v>
      </c>
      <c r="E16" s="256">
        <v>1100</v>
      </c>
      <c r="F16" s="60"/>
      <c r="G16" s="2">
        <f t="shared" ref="G16:G50" si="0">E16*D16</f>
        <v>165380.06650000002</v>
      </c>
      <c r="H16" s="18">
        <f t="shared" ref="H16:H51" si="1">F16*D16</f>
        <v>0</v>
      </c>
      <c r="I16" s="11">
        <f t="shared" ref="I16:I44" si="2">G16+H16</f>
        <v>165380.06650000002</v>
      </c>
      <c r="J16" s="6">
        <v>1000</v>
      </c>
      <c r="K16" s="161"/>
      <c r="L16" s="161"/>
      <c r="M16" s="161"/>
    </row>
    <row r="17" spans="1:252" s="38" customFormat="1" outlineLevel="1" x14ac:dyDescent="0.25">
      <c r="A17" s="84"/>
      <c r="B17" s="33" t="s">
        <v>486</v>
      </c>
      <c r="C17" s="31" t="s">
        <v>8</v>
      </c>
      <c r="D17" s="2">
        <f>D16*1.015</f>
        <v>152.600697725</v>
      </c>
      <c r="E17" s="18"/>
      <c r="F17" s="664">
        <v>2900</v>
      </c>
      <c r="G17" s="2">
        <f t="shared" si="0"/>
        <v>0</v>
      </c>
      <c r="H17" s="18">
        <f t="shared" si="1"/>
        <v>442542.02340250002</v>
      </c>
      <c r="I17" s="11">
        <f t="shared" si="2"/>
        <v>442542.02340250002</v>
      </c>
      <c r="J17" s="15">
        <v>3450</v>
      </c>
      <c r="K17" s="161"/>
      <c r="L17" s="161"/>
      <c r="M17" s="161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</row>
    <row r="18" spans="1:252" s="38" customFormat="1" ht="22.2" customHeight="1" outlineLevel="1" x14ac:dyDescent="0.25">
      <c r="A18" s="107" t="s">
        <v>211</v>
      </c>
      <c r="B18" s="29" t="s">
        <v>1476</v>
      </c>
      <c r="C18" s="31" t="s">
        <v>8</v>
      </c>
      <c r="D18" s="31">
        <f>[1]Д2!D20+[1]Ек!D20+[1]Д!D20+[1]Е!D18</f>
        <v>476.92504999999994</v>
      </c>
      <c r="E18" s="256">
        <v>1500</v>
      </c>
      <c r="F18" s="60"/>
      <c r="G18" s="2">
        <f t="shared" si="0"/>
        <v>715387.57499999995</v>
      </c>
      <c r="H18" s="18">
        <f t="shared" si="1"/>
        <v>0</v>
      </c>
      <c r="I18" s="60">
        <f t="shared" si="2"/>
        <v>715387.57499999995</v>
      </c>
      <c r="J18" s="15">
        <v>2500</v>
      </c>
      <c r="K18" s="407"/>
      <c r="L18" s="161"/>
      <c r="M18" s="161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</row>
    <row r="19" spans="1:252" s="38" customFormat="1" outlineLevel="1" x14ac:dyDescent="0.25">
      <c r="A19" s="83"/>
      <c r="B19" s="11" t="s">
        <v>724</v>
      </c>
      <c r="C19" s="2" t="s">
        <v>8</v>
      </c>
      <c r="D19" s="2">
        <f>D18*1.015</f>
        <v>484.07892574999988</v>
      </c>
      <c r="E19" s="2"/>
      <c r="F19" s="664">
        <v>3800</v>
      </c>
      <c r="G19" s="2">
        <f t="shared" si="0"/>
        <v>0</v>
      </c>
      <c r="H19" s="18">
        <f t="shared" si="1"/>
        <v>1839499.9178499996</v>
      </c>
      <c r="I19" s="11">
        <f t="shared" si="2"/>
        <v>1839499.9178499996</v>
      </c>
      <c r="J19" s="15">
        <v>5000</v>
      </c>
      <c r="K19" s="161"/>
      <c r="L19" s="161"/>
      <c r="M19" s="161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</row>
    <row r="20" spans="1:252" s="5" customFormat="1" ht="31.2" customHeight="1" outlineLevel="1" x14ac:dyDescent="0.25">
      <c r="A20" s="83"/>
      <c r="B20" s="33" t="s">
        <v>358</v>
      </c>
      <c r="C20" s="2" t="s">
        <v>9</v>
      </c>
      <c r="D20" s="161">
        <f>[1]Д2!D22+[1]Ек!D22+[1]Д!D22+[1]Е!D20</f>
        <v>57.744149999999998</v>
      </c>
      <c r="E20" s="2"/>
      <c r="F20" s="361">
        <v>29000</v>
      </c>
      <c r="G20" s="2">
        <f t="shared" si="0"/>
        <v>0</v>
      </c>
      <c r="H20" s="18">
        <f t="shared" si="1"/>
        <v>1674580.3499999999</v>
      </c>
      <c r="I20" s="11">
        <f t="shared" si="2"/>
        <v>1674580.3499999999</v>
      </c>
      <c r="J20" s="248">
        <v>35000</v>
      </c>
      <c r="L20" s="161"/>
      <c r="M20" s="161"/>
    </row>
    <row r="21" spans="1:252" outlineLevel="1" x14ac:dyDescent="0.25">
      <c r="A21" s="83"/>
      <c r="B21" s="11" t="s">
        <v>11</v>
      </c>
      <c r="C21" s="2" t="s">
        <v>8</v>
      </c>
      <c r="D21" s="2">
        <v>5</v>
      </c>
      <c r="E21" s="2"/>
      <c r="F21" s="361">
        <v>7500</v>
      </c>
      <c r="G21" s="2">
        <f t="shared" si="0"/>
        <v>0</v>
      </c>
      <c r="H21" s="18">
        <f t="shared" si="1"/>
        <v>37500</v>
      </c>
      <c r="I21" s="11">
        <f t="shared" si="2"/>
        <v>37500</v>
      </c>
      <c r="J21" s="25">
        <v>7500</v>
      </c>
      <c r="K21" s="161"/>
      <c r="L21" s="161"/>
      <c r="M21" s="161"/>
    </row>
    <row r="22" spans="1:252" ht="16.2" customHeight="1" outlineLevel="1" x14ac:dyDescent="0.25">
      <c r="A22" s="107" t="s">
        <v>212</v>
      </c>
      <c r="B22" s="9" t="s">
        <v>1514</v>
      </c>
      <c r="C22" s="31" t="s">
        <v>14</v>
      </c>
      <c r="D22" s="670">
        <f>[1]Д2!D24+[1]Ек!D24+[1]Д!D24+[1]Е!D22</f>
        <v>235.06</v>
      </c>
      <c r="E22" s="256">
        <v>100</v>
      </c>
      <c r="F22" s="11"/>
      <c r="G22" s="2">
        <f t="shared" si="0"/>
        <v>23506</v>
      </c>
      <c r="H22" s="18">
        <f t="shared" si="1"/>
        <v>0</v>
      </c>
      <c r="I22" s="11">
        <f t="shared" si="2"/>
        <v>23506</v>
      </c>
      <c r="J22" s="25">
        <v>100</v>
      </c>
      <c r="K22" s="161"/>
      <c r="L22" s="161"/>
      <c r="M22" s="161"/>
    </row>
    <row r="23" spans="1:252" ht="16.2" customHeight="1" outlineLevel="1" x14ac:dyDescent="0.25">
      <c r="A23" s="84"/>
      <c r="B23" s="11" t="s">
        <v>1311</v>
      </c>
      <c r="C23" s="2" t="s">
        <v>15</v>
      </c>
      <c r="D23" s="2">
        <f>2.5*D22</f>
        <v>587.65</v>
      </c>
      <c r="E23" s="2"/>
      <c r="F23" s="361">
        <v>55</v>
      </c>
      <c r="G23" s="2">
        <f t="shared" si="0"/>
        <v>0</v>
      </c>
      <c r="H23" s="18">
        <f t="shared" si="1"/>
        <v>32320.75</v>
      </c>
      <c r="I23" s="60">
        <f t="shared" si="2"/>
        <v>32320.75</v>
      </c>
      <c r="J23" s="25">
        <v>55</v>
      </c>
      <c r="K23" s="161"/>
      <c r="L23" s="161"/>
      <c r="M23" s="161"/>
    </row>
    <row r="24" spans="1:252" ht="16.2" customHeight="1" outlineLevel="1" x14ac:dyDescent="0.25">
      <c r="A24" s="84"/>
      <c r="B24" s="11" t="s">
        <v>1312</v>
      </c>
      <c r="C24" s="2" t="s">
        <v>30</v>
      </c>
      <c r="D24" s="2">
        <f>0.35*D22</f>
        <v>82.271000000000001</v>
      </c>
      <c r="E24" s="2"/>
      <c r="F24" s="361">
        <v>44</v>
      </c>
      <c r="G24" s="2">
        <f t="shared" si="0"/>
        <v>0</v>
      </c>
      <c r="H24" s="18">
        <f t="shared" si="1"/>
        <v>3619.924</v>
      </c>
      <c r="I24" s="60">
        <f t="shared" si="2"/>
        <v>3619.924</v>
      </c>
      <c r="J24" s="25">
        <v>44</v>
      </c>
      <c r="K24" s="161"/>
      <c r="L24" s="161"/>
      <c r="M24" s="161"/>
    </row>
    <row r="25" spans="1:252" ht="26.25" customHeight="1" outlineLevel="1" x14ac:dyDescent="0.25">
      <c r="A25" s="107" t="s">
        <v>213</v>
      </c>
      <c r="B25" s="9" t="s">
        <v>1515</v>
      </c>
      <c r="C25" s="31" t="s">
        <v>14</v>
      </c>
      <c r="D25" s="65">
        <f>[1]Д2!D27+[1]Ек!D27+[1]Д!D27+[1]Е!D25</f>
        <v>312.60239999999999</v>
      </c>
      <c r="E25" s="264">
        <v>100</v>
      </c>
      <c r="F25" s="140"/>
      <c r="G25" s="2">
        <f t="shared" si="0"/>
        <v>31260.239999999998</v>
      </c>
      <c r="H25" s="18">
        <f t="shared" si="1"/>
        <v>0</v>
      </c>
      <c r="I25" s="140">
        <f>H25+G25</f>
        <v>31260.239999999998</v>
      </c>
      <c r="J25" s="25">
        <v>100</v>
      </c>
      <c r="K25" s="406"/>
      <c r="L25" s="161"/>
      <c r="M25" s="161"/>
    </row>
    <row r="26" spans="1:252" ht="15.75" customHeight="1" outlineLevel="1" x14ac:dyDescent="0.25">
      <c r="A26" s="84"/>
      <c r="B26" s="33" t="s">
        <v>1244</v>
      </c>
      <c r="C26" s="2" t="s">
        <v>8</v>
      </c>
      <c r="D26" s="2">
        <f>[1]Д2!D28+[1]Ек!D28+[1]Д!D28+[1]Е!D26</f>
        <v>27.66</v>
      </c>
      <c r="E26" s="2"/>
      <c r="F26" s="164">
        <f>ROUND(4100*1.1,2)</f>
        <v>4510</v>
      </c>
      <c r="G26" s="2">
        <f t="shared" si="0"/>
        <v>0</v>
      </c>
      <c r="H26" s="18">
        <f t="shared" si="1"/>
        <v>124746.6</v>
      </c>
      <c r="I26" s="11">
        <f>G26+H26</f>
        <v>124746.6</v>
      </c>
      <c r="J26" s="25">
        <v>4510</v>
      </c>
      <c r="K26" s="407"/>
      <c r="L26" s="161"/>
      <c r="M26" s="161"/>
    </row>
    <row r="27" spans="1:252" ht="15.75" customHeight="1" outlineLevel="1" x14ac:dyDescent="0.25">
      <c r="A27" s="107" t="s">
        <v>493</v>
      </c>
      <c r="B27" s="29" t="s">
        <v>731</v>
      </c>
      <c r="C27" s="31" t="s">
        <v>12</v>
      </c>
      <c r="D27" s="31">
        <f>SUM(D28:D33)</f>
        <v>1047</v>
      </c>
      <c r="E27" s="256">
        <v>300</v>
      </c>
      <c r="F27" s="60"/>
      <c r="G27" s="2">
        <f t="shared" si="0"/>
        <v>314100</v>
      </c>
      <c r="H27" s="18">
        <f t="shared" si="1"/>
        <v>0</v>
      </c>
      <c r="I27" s="60">
        <f t="shared" si="2"/>
        <v>314100</v>
      </c>
      <c r="J27" s="25">
        <v>300</v>
      </c>
      <c r="K27" s="407"/>
      <c r="L27" s="161"/>
      <c r="M27" s="161"/>
    </row>
    <row r="28" spans="1:252" ht="15.75" customHeight="1" outlineLevel="1" x14ac:dyDescent="0.25">
      <c r="A28" s="84"/>
      <c r="B28" s="33" t="s">
        <v>732</v>
      </c>
      <c r="C28" s="2" t="s">
        <v>12</v>
      </c>
      <c r="D28" s="2">
        <f>[1]Д2!D30+[1]Ек!D30+[1]Д!D30+[1]Е!D28</f>
        <v>378</v>
      </c>
      <c r="E28" s="31"/>
      <c r="F28" s="664">
        <v>1935.11</v>
      </c>
      <c r="G28" s="2">
        <f t="shared" si="0"/>
        <v>0</v>
      </c>
      <c r="H28" s="18">
        <f t="shared" si="1"/>
        <v>731471.58</v>
      </c>
      <c r="I28" s="60">
        <f t="shared" si="2"/>
        <v>731471.58</v>
      </c>
      <c r="J28" s="25">
        <f>F28</f>
        <v>1935.11</v>
      </c>
      <c r="K28" s="407"/>
      <c r="L28" s="161"/>
      <c r="M28" s="161"/>
    </row>
    <row r="29" spans="1:252" ht="15.75" customHeight="1" outlineLevel="1" x14ac:dyDescent="0.25">
      <c r="A29" s="84"/>
      <c r="B29" s="33" t="s">
        <v>733</v>
      </c>
      <c r="C29" s="2" t="s">
        <v>12</v>
      </c>
      <c r="D29" s="2">
        <f>[1]Д2!D31+[1]Ек!D31+[1]Д!D31+[1]Е!D29</f>
        <v>158</v>
      </c>
      <c r="E29" s="31"/>
      <c r="F29" s="664">
        <v>944.39</v>
      </c>
      <c r="G29" s="2">
        <f t="shared" si="0"/>
        <v>0</v>
      </c>
      <c r="H29" s="18">
        <f t="shared" si="1"/>
        <v>149213.62</v>
      </c>
      <c r="I29" s="60">
        <f t="shared" si="2"/>
        <v>149213.62</v>
      </c>
      <c r="J29" s="25">
        <f t="shared" ref="J29:J35" si="3">F29</f>
        <v>944.39</v>
      </c>
      <c r="K29" s="407"/>
      <c r="L29" s="161"/>
      <c r="M29" s="161"/>
    </row>
    <row r="30" spans="1:252" outlineLevel="1" x14ac:dyDescent="0.25">
      <c r="A30" s="84"/>
      <c r="B30" s="33" t="s">
        <v>735</v>
      </c>
      <c r="C30" s="2" t="s">
        <v>12</v>
      </c>
      <c r="D30" s="2">
        <f>[1]Д2!D32+[1]Ек!D32+[1]Д!D32+[1]Е!D30</f>
        <v>400</v>
      </c>
      <c r="E30" s="18"/>
      <c r="F30" s="664">
        <v>694.93</v>
      </c>
      <c r="G30" s="2">
        <f t="shared" si="0"/>
        <v>0</v>
      </c>
      <c r="H30" s="18">
        <f t="shared" si="1"/>
        <v>277972</v>
      </c>
      <c r="I30" s="60">
        <f t="shared" si="2"/>
        <v>277972</v>
      </c>
      <c r="J30" s="25">
        <f t="shared" si="3"/>
        <v>694.93</v>
      </c>
      <c r="K30" s="407"/>
      <c r="L30" s="161"/>
      <c r="M30" s="161"/>
    </row>
    <row r="31" spans="1:252" outlineLevel="1" x14ac:dyDescent="0.25">
      <c r="A31" s="84"/>
      <c r="B31" s="33" t="s">
        <v>1302</v>
      </c>
      <c r="C31" s="2" t="s">
        <v>12</v>
      </c>
      <c r="D31" s="2">
        <f>[1]Д2!D33+[1]Ек!D33+[1]Д!D33+[1]Е!D31</f>
        <v>45</v>
      </c>
      <c r="E31" s="18"/>
      <c r="F31" s="363">
        <v>900</v>
      </c>
      <c r="G31" s="2">
        <f t="shared" si="0"/>
        <v>0</v>
      </c>
      <c r="H31" s="18">
        <f t="shared" si="1"/>
        <v>40500</v>
      </c>
      <c r="I31" s="60">
        <f>G31+H31</f>
        <v>40500</v>
      </c>
      <c r="J31" s="25">
        <f t="shared" si="3"/>
        <v>900</v>
      </c>
      <c r="K31" s="161"/>
      <c r="L31" s="161"/>
      <c r="M31" s="161"/>
    </row>
    <row r="32" spans="1:252" outlineLevel="1" x14ac:dyDescent="0.25">
      <c r="A32" s="84"/>
      <c r="B32" s="33" t="s">
        <v>1313</v>
      </c>
      <c r="C32" s="2" t="s">
        <v>12</v>
      </c>
      <c r="D32" s="2">
        <f>[1]Д2!D34+[1]Ек!D34</f>
        <v>17</v>
      </c>
      <c r="E32" s="18"/>
      <c r="F32" s="664">
        <v>1365.97</v>
      </c>
      <c r="G32" s="2">
        <f t="shared" si="0"/>
        <v>0</v>
      </c>
      <c r="H32" s="18">
        <f t="shared" si="1"/>
        <v>23221.49</v>
      </c>
      <c r="I32" s="60">
        <f t="shared" si="2"/>
        <v>23221.49</v>
      </c>
      <c r="J32" s="25">
        <f t="shared" si="3"/>
        <v>1365.97</v>
      </c>
      <c r="K32" s="638"/>
      <c r="L32" s="161"/>
      <c r="M32" s="161"/>
    </row>
    <row r="33" spans="1:13" outlineLevel="1" x14ac:dyDescent="0.25">
      <c r="A33" s="84"/>
      <c r="B33" s="33" t="s">
        <v>734</v>
      </c>
      <c r="C33" s="2" t="s">
        <v>12</v>
      </c>
      <c r="D33" s="2">
        <f>[1]Ек!D35</f>
        <v>49</v>
      </c>
      <c r="E33" s="31"/>
      <c r="F33" s="664">
        <v>452.6</v>
      </c>
      <c r="G33" s="2">
        <f t="shared" si="0"/>
        <v>0</v>
      </c>
      <c r="H33" s="18">
        <f t="shared" si="1"/>
        <v>22177.4</v>
      </c>
      <c r="I33" s="663">
        <f>G33+H33</f>
        <v>22177.4</v>
      </c>
      <c r="J33" s="25">
        <f t="shared" si="3"/>
        <v>452.6</v>
      </c>
      <c r="K33" s="638"/>
      <c r="L33" s="161"/>
      <c r="M33" s="161"/>
    </row>
    <row r="34" spans="1:13" outlineLevel="1" x14ac:dyDescent="0.25">
      <c r="A34" s="84"/>
      <c r="B34" s="11" t="s">
        <v>72</v>
      </c>
      <c r="C34" s="2" t="s">
        <v>8</v>
      </c>
      <c r="D34" s="2">
        <f>D27*0.05</f>
        <v>52.35</v>
      </c>
      <c r="E34" s="18"/>
      <c r="F34" s="361">
        <v>2600</v>
      </c>
      <c r="G34" s="2">
        <f t="shared" si="0"/>
        <v>0</v>
      </c>
      <c r="H34" s="18">
        <f t="shared" si="1"/>
        <v>136110</v>
      </c>
      <c r="I34" s="60">
        <f t="shared" si="2"/>
        <v>136110</v>
      </c>
      <c r="J34" s="25">
        <f t="shared" si="3"/>
        <v>2600</v>
      </c>
      <c r="K34" s="638"/>
      <c r="L34" s="161"/>
      <c r="M34" s="161"/>
    </row>
    <row r="35" spans="1:13" outlineLevel="1" x14ac:dyDescent="0.25">
      <c r="A35" s="92"/>
      <c r="B35" s="47" t="s">
        <v>1528</v>
      </c>
      <c r="C35" s="41" t="s">
        <v>15</v>
      </c>
      <c r="D35" s="42">
        <f>[1]Д2!D36+[1]Ек!D37+[1]Д!D35+[1]Е!D33</f>
        <v>513.08000000000004</v>
      </c>
      <c r="E35" s="2"/>
      <c r="F35" s="364">
        <v>42</v>
      </c>
      <c r="G35" s="2">
        <f t="shared" si="0"/>
        <v>0</v>
      </c>
      <c r="H35" s="18">
        <f t="shared" si="1"/>
        <v>21549.360000000001</v>
      </c>
      <c r="I35" s="11">
        <f t="shared" si="2"/>
        <v>21549.360000000001</v>
      </c>
      <c r="J35" s="25">
        <f t="shared" si="3"/>
        <v>42</v>
      </c>
      <c r="K35" s="259"/>
      <c r="L35" s="161"/>
      <c r="M35" s="161"/>
    </row>
    <row r="36" spans="1:13" ht="31.2" outlineLevel="1" x14ac:dyDescent="0.25">
      <c r="A36" s="107" t="s">
        <v>1246</v>
      </c>
      <c r="B36" s="29" t="s">
        <v>1245</v>
      </c>
      <c r="C36" s="41" t="s">
        <v>8</v>
      </c>
      <c r="D36" s="42">
        <f>[1]Д2!D37+[1]Ек!D38+[1]Д!D36+[1]Е!D34</f>
        <v>19.2</v>
      </c>
      <c r="E36" s="256">
        <v>800</v>
      </c>
      <c r="F36" s="60"/>
      <c r="G36" s="2">
        <f t="shared" si="0"/>
        <v>15360</v>
      </c>
      <c r="H36" s="18">
        <f t="shared" si="1"/>
        <v>0</v>
      </c>
      <c r="I36" s="60">
        <f t="shared" si="2"/>
        <v>15360</v>
      </c>
      <c r="J36" s="25">
        <v>800</v>
      </c>
      <c r="K36" s="161"/>
      <c r="L36" s="161"/>
      <c r="M36" s="161"/>
    </row>
    <row r="37" spans="1:13" outlineLevel="1" x14ac:dyDescent="0.25">
      <c r="A37" s="92"/>
      <c r="B37" s="11" t="s">
        <v>738</v>
      </c>
      <c r="C37" s="2" t="s">
        <v>8</v>
      </c>
      <c r="D37" s="2">
        <f>D36*1.015</f>
        <v>19.487999999999996</v>
      </c>
      <c r="E37" s="2"/>
      <c r="F37" s="664">
        <v>3600</v>
      </c>
      <c r="G37" s="2">
        <f t="shared" si="0"/>
        <v>0</v>
      </c>
      <c r="H37" s="18">
        <f t="shared" si="1"/>
        <v>70156.799999999988</v>
      </c>
      <c r="I37" s="11">
        <f t="shared" si="2"/>
        <v>70156.799999999988</v>
      </c>
      <c r="J37" s="25">
        <v>4200</v>
      </c>
      <c r="K37" s="407"/>
      <c r="L37" s="161"/>
      <c r="M37" s="161"/>
    </row>
    <row r="38" spans="1:13" ht="31.2" outlineLevel="1" x14ac:dyDescent="0.25">
      <c r="A38" s="107" t="s">
        <v>1247</v>
      </c>
      <c r="B38" s="9" t="s">
        <v>1516</v>
      </c>
      <c r="C38" s="31" t="s">
        <v>14</v>
      </c>
      <c r="D38" s="670">
        <f>[1]Д2!D39+[1]Ек!D44+[1]Д!D38+[1]Е!D40</f>
        <v>921.61959999999999</v>
      </c>
      <c r="E38" s="256">
        <v>100</v>
      </c>
      <c r="F38" s="11"/>
      <c r="G38" s="2">
        <f t="shared" si="0"/>
        <v>92161.959999999992</v>
      </c>
      <c r="H38" s="18">
        <f t="shared" si="1"/>
        <v>0</v>
      </c>
      <c r="I38" s="11">
        <f t="shared" si="2"/>
        <v>92161.959999999992</v>
      </c>
      <c r="K38" s="161"/>
      <c r="L38" s="161"/>
      <c r="M38" s="161"/>
    </row>
    <row r="39" spans="1:13" s="36" customFormat="1" ht="33" customHeight="1" outlineLevel="1" x14ac:dyDescent="0.25">
      <c r="A39" s="84"/>
      <c r="B39" s="11" t="s">
        <v>1311</v>
      </c>
      <c r="C39" s="2" t="s">
        <v>15</v>
      </c>
      <c r="D39" s="2">
        <f>2.5*D38</f>
        <v>2304.049</v>
      </c>
      <c r="E39" s="2"/>
      <c r="F39" s="361">
        <v>55</v>
      </c>
      <c r="G39" s="2">
        <f t="shared" si="0"/>
        <v>0</v>
      </c>
      <c r="H39" s="18">
        <f t="shared" si="1"/>
        <v>126722.69499999999</v>
      </c>
      <c r="I39" s="60">
        <f t="shared" si="2"/>
        <v>126722.69499999999</v>
      </c>
      <c r="K39" s="162"/>
      <c r="L39" s="162"/>
      <c r="M39" s="162"/>
    </row>
    <row r="40" spans="1:13" s="36" customFormat="1" outlineLevel="1" x14ac:dyDescent="0.25">
      <c r="A40" s="84"/>
      <c r="B40" s="11" t="s">
        <v>1312</v>
      </c>
      <c r="C40" s="2" t="s">
        <v>30</v>
      </c>
      <c r="D40" s="2">
        <f>0.35*D38</f>
        <v>322.56685999999996</v>
      </c>
      <c r="E40" s="2"/>
      <c r="F40" s="361">
        <v>44</v>
      </c>
      <c r="G40" s="2">
        <f t="shared" si="0"/>
        <v>0</v>
      </c>
      <c r="H40" s="18">
        <f t="shared" si="1"/>
        <v>14192.941839999998</v>
      </c>
      <c r="I40" s="60">
        <f t="shared" si="2"/>
        <v>14192.941839999998</v>
      </c>
      <c r="K40" s="162"/>
      <c r="L40" s="162"/>
      <c r="M40" s="162"/>
    </row>
    <row r="41" spans="1:13" s="36" customFormat="1" outlineLevel="1" x14ac:dyDescent="0.25">
      <c r="A41" s="107" t="s">
        <v>1496</v>
      </c>
      <c r="B41" s="29" t="s">
        <v>1317</v>
      </c>
      <c r="C41" s="31" t="s">
        <v>8</v>
      </c>
      <c r="D41" s="31">
        <f>[1]Д2!D42+[1]Ек!D40+[1]Д!D43+[1]Е!D36</f>
        <v>65.8</v>
      </c>
      <c r="E41" s="256">
        <v>2500</v>
      </c>
      <c r="F41" s="60"/>
      <c r="G41" s="2">
        <f t="shared" si="0"/>
        <v>164500</v>
      </c>
      <c r="H41" s="18">
        <f t="shared" si="1"/>
        <v>0</v>
      </c>
      <c r="I41" s="60">
        <f t="shared" si="2"/>
        <v>164500</v>
      </c>
      <c r="K41" s="162"/>
      <c r="L41" s="162"/>
      <c r="M41" s="162"/>
    </row>
    <row r="42" spans="1:13" s="36" customFormat="1" outlineLevel="1" x14ac:dyDescent="0.25">
      <c r="A42" s="83"/>
      <c r="B42" s="11" t="s">
        <v>738</v>
      </c>
      <c r="C42" s="2" t="s">
        <v>8</v>
      </c>
      <c r="D42" s="2">
        <f>D41*1.015</f>
        <v>66.786999999999992</v>
      </c>
      <c r="E42" s="2"/>
      <c r="F42" s="664">
        <v>3600</v>
      </c>
      <c r="G42" s="2">
        <f t="shared" si="0"/>
        <v>0</v>
      </c>
      <c r="H42" s="18">
        <f t="shared" si="1"/>
        <v>240433.19999999998</v>
      </c>
      <c r="I42" s="11">
        <f t="shared" si="2"/>
        <v>240433.19999999998</v>
      </c>
      <c r="K42" s="162"/>
      <c r="L42" s="162"/>
      <c r="M42" s="162"/>
    </row>
    <row r="43" spans="1:13" s="36" customFormat="1" outlineLevel="1" x14ac:dyDescent="0.25">
      <c r="A43" s="83"/>
      <c r="B43" s="33" t="s">
        <v>358</v>
      </c>
      <c r="C43" s="2" t="s">
        <v>9</v>
      </c>
      <c r="D43" s="161">
        <f>[1]Д2!D44+[1]Ек!D42+[1]Д!D45+[1]Е!D38</f>
        <v>1.2056</v>
      </c>
      <c r="E43" s="2"/>
      <c r="F43" s="361">
        <v>29000</v>
      </c>
      <c r="G43" s="2">
        <f t="shared" si="0"/>
        <v>0</v>
      </c>
      <c r="H43" s="18">
        <f t="shared" si="1"/>
        <v>34962.400000000001</v>
      </c>
      <c r="I43" s="11">
        <f t="shared" si="2"/>
        <v>34962.400000000001</v>
      </c>
      <c r="K43" s="162"/>
      <c r="L43" s="162"/>
      <c r="M43" s="162"/>
    </row>
    <row r="44" spans="1:13" s="36" customFormat="1" outlineLevel="1" x14ac:dyDescent="0.25">
      <c r="A44" s="83"/>
      <c r="B44" s="11" t="s">
        <v>11</v>
      </c>
      <c r="C44" s="2" t="s">
        <v>8</v>
      </c>
      <c r="D44" s="2">
        <f>0.0061*D41</f>
        <v>0.40138000000000001</v>
      </c>
      <c r="E44" s="2"/>
      <c r="F44" s="361">
        <v>7500</v>
      </c>
      <c r="G44" s="2">
        <f t="shared" si="0"/>
        <v>0</v>
      </c>
      <c r="H44" s="18">
        <f t="shared" si="1"/>
        <v>3010.35</v>
      </c>
      <c r="I44" s="11">
        <f t="shared" si="2"/>
        <v>3010.35</v>
      </c>
      <c r="K44" s="162"/>
      <c r="L44" s="162"/>
      <c r="M44" s="162"/>
    </row>
    <row r="45" spans="1:13" s="36" customFormat="1" ht="31.2" outlineLevel="1" x14ac:dyDescent="0.25">
      <c r="A45" s="107" t="s">
        <v>1497</v>
      </c>
      <c r="B45" s="9" t="s">
        <v>1517</v>
      </c>
      <c r="C45" s="31" t="s">
        <v>14</v>
      </c>
      <c r="D45" s="65">
        <f>[1]Д2!D46+[1]Ек!D47+[1]Д!D41+[1]Е!D43</f>
        <v>233.81399999999999</v>
      </c>
      <c r="E45" s="264">
        <v>250</v>
      </c>
      <c r="F45" s="140"/>
      <c r="G45" s="2">
        <f t="shared" si="0"/>
        <v>58453.5</v>
      </c>
      <c r="H45" s="18">
        <f t="shared" si="1"/>
        <v>0</v>
      </c>
      <c r="I45" s="140">
        <f>H45+G45</f>
        <v>58453.5</v>
      </c>
      <c r="K45" s="162"/>
      <c r="L45" s="162"/>
      <c r="M45" s="162"/>
    </row>
    <row r="46" spans="1:13" s="36" customFormat="1" outlineLevel="1" x14ac:dyDescent="0.25">
      <c r="A46" s="553"/>
      <c r="B46" s="33" t="s">
        <v>1318</v>
      </c>
      <c r="C46" s="2" t="s">
        <v>14</v>
      </c>
      <c r="D46" s="2">
        <f>ROUND(D45*2,2)</f>
        <v>467.63</v>
      </c>
      <c r="E46" s="2"/>
      <c r="F46" s="665">
        <v>86.8</v>
      </c>
      <c r="G46" s="2">
        <f t="shared" si="0"/>
        <v>0</v>
      </c>
      <c r="H46" s="18">
        <f t="shared" si="1"/>
        <v>40590.284</v>
      </c>
      <c r="I46" s="11">
        <f>G46+H46</f>
        <v>40590.284</v>
      </c>
      <c r="K46" s="162"/>
      <c r="L46" s="162"/>
      <c r="M46" s="162"/>
    </row>
    <row r="47" spans="1:13" s="36" customFormat="1" outlineLevel="1" x14ac:dyDescent="0.25">
      <c r="A47" s="107" t="s">
        <v>1499</v>
      </c>
      <c r="B47" s="29" t="s">
        <v>1500</v>
      </c>
      <c r="C47" s="2" t="s">
        <v>8</v>
      </c>
      <c r="D47" s="31">
        <f>[1]Д2!D48+[1]Ек!D49+[1]Д!D47+[1]Е!D45</f>
        <v>2.52</v>
      </c>
      <c r="E47" s="256">
        <v>1500</v>
      </c>
      <c r="F47" s="164"/>
      <c r="G47" s="2">
        <f t="shared" si="0"/>
        <v>3780</v>
      </c>
      <c r="H47" s="18">
        <f t="shared" si="1"/>
        <v>0</v>
      </c>
      <c r="I47" s="11">
        <f>G47+H47</f>
        <v>3780</v>
      </c>
      <c r="K47" s="162"/>
      <c r="L47" s="162"/>
      <c r="M47" s="162"/>
    </row>
    <row r="48" spans="1:13" s="36" customFormat="1" outlineLevel="1" x14ac:dyDescent="0.25">
      <c r="A48" s="84"/>
      <c r="B48" s="11" t="s">
        <v>736</v>
      </c>
      <c r="C48" s="2" t="s">
        <v>8</v>
      </c>
      <c r="D48" s="2">
        <f>D47*1.02</f>
        <v>2.5704000000000002</v>
      </c>
      <c r="E48" s="2"/>
      <c r="F48" s="664">
        <v>4200</v>
      </c>
      <c r="G48" s="2">
        <f t="shared" si="0"/>
        <v>0</v>
      </c>
      <c r="H48" s="18">
        <f t="shared" si="1"/>
        <v>10795.68</v>
      </c>
      <c r="I48" s="60">
        <f>G48+H48</f>
        <v>10795.68</v>
      </c>
      <c r="K48" s="162"/>
      <c r="L48" s="162"/>
      <c r="M48" s="162"/>
    </row>
    <row r="49" spans="1:14" s="36" customFormat="1" outlineLevel="1" x14ac:dyDescent="0.25">
      <c r="A49" s="84"/>
      <c r="B49" s="11" t="s">
        <v>737</v>
      </c>
      <c r="C49" s="41" t="s">
        <v>15</v>
      </c>
      <c r="D49" s="42">
        <f>[1]Д2!D50+[1]Ек!D51+[1]Д!D49+[1]Е!D47</f>
        <v>158.42999999999998</v>
      </c>
      <c r="E49" s="2"/>
      <c r="F49" s="364">
        <v>42</v>
      </c>
      <c r="G49" s="2">
        <f t="shared" si="0"/>
        <v>0</v>
      </c>
      <c r="H49" s="18">
        <f t="shared" si="1"/>
        <v>6654.0599999999995</v>
      </c>
      <c r="I49" s="11">
        <f>G49+H49</f>
        <v>6654.0599999999995</v>
      </c>
      <c r="K49" s="162"/>
      <c r="L49" s="162"/>
      <c r="M49" s="162"/>
    </row>
    <row r="50" spans="1:14" s="36" customFormat="1" outlineLevel="1" x14ac:dyDescent="0.25">
      <c r="A50" s="92"/>
      <c r="B50" s="750" t="s">
        <v>1547</v>
      </c>
      <c r="C50" s="744" t="s">
        <v>1548</v>
      </c>
      <c r="D50" s="745">
        <f>2*20*8</f>
        <v>320</v>
      </c>
      <c r="E50" s="746">
        <v>1300</v>
      </c>
      <c r="F50" s="747"/>
      <c r="G50" s="2">
        <f t="shared" si="0"/>
        <v>416000</v>
      </c>
      <c r="H50" s="18">
        <f t="shared" si="1"/>
        <v>0</v>
      </c>
      <c r="I50" s="11">
        <f>G50+H50</f>
        <v>416000</v>
      </c>
      <c r="K50" s="162"/>
      <c r="L50" s="162"/>
      <c r="M50" s="162"/>
    </row>
    <row r="51" spans="1:14" s="36" customFormat="1" outlineLevel="1" x14ac:dyDescent="0.25">
      <c r="A51" s="92"/>
      <c r="B51" s="748" t="s">
        <v>1543</v>
      </c>
      <c r="C51" s="744"/>
      <c r="D51" s="745"/>
      <c r="E51" s="746"/>
      <c r="F51" s="747"/>
      <c r="G51" s="474">
        <f>SUM(G16:G50)</f>
        <v>1999889.3414999999</v>
      </c>
      <c r="H51" s="18">
        <f t="shared" si="1"/>
        <v>0</v>
      </c>
      <c r="I51" s="749">
        <f>G51</f>
        <v>1999889.3414999999</v>
      </c>
      <c r="K51" s="162"/>
      <c r="L51" s="162"/>
      <c r="M51" s="162"/>
    </row>
    <row r="52" spans="1:14" s="36" customFormat="1" outlineLevel="1" x14ac:dyDescent="0.25">
      <c r="A52" s="92"/>
      <c r="B52" s="748" t="s">
        <v>1546</v>
      </c>
      <c r="C52" s="744"/>
      <c r="D52" s="745"/>
      <c r="E52" s="746"/>
      <c r="F52" s="747"/>
      <c r="G52" s="474"/>
      <c r="H52" s="473">
        <f>SUM(H16:H49)</f>
        <v>6104543.4260925008</v>
      </c>
      <c r="I52" s="749">
        <f>H52</f>
        <v>6104543.4260925008</v>
      </c>
      <c r="K52" s="162"/>
      <c r="L52" s="162"/>
      <c r="M52" s="162"/>
    </row>
    <row r="53" spans="1:14" s="36" customFormat="1" outlineLevel="1" x14ac:dyDescent="0.25">
      <c r="A53" s="92"/>
      <c r="B53" s="748" t="s">
        <v>1544</v>
      </c>
      <c r="C53" s="744"/>
      <c r="D53" s="745"/>
      <c r="E53" s="746"/>
      <c r="F53" s="747"/>
      <c r="G53" s="474"/>
      <c r="H53" s="746"/>
      <c r="I53" s="749">
        <f>G53</f>
        <v>0</v>
      </c>
      <c r="K53" s="162"/>
      <c r="L53" s="162"/>
      <c r="M53" s="162"/>
    </row>
    <row r="54" spans="1:14" s="36" customFormat="1" outlineLevel="1" x14ac:dyDescent="0.25">
      <c r="A54" s="92"/>
      <c r="B54" s="748" t="s">
        <v>1545</v>
      </c>
      <c r="C54" s="744"/>
      <c r="D54" s="745"/>
      <c r="E54" s="746"/>
      <c r="F54" s="747"/>
      <c r="G54" s="474"/>
      <c r="H54" s="746"/>
      <c r="I54" s="749">
        <f>G54</f>
        <v>0</v>
      </c>
      <c r="K54" s="162"/>
      <c r="L54" s="162"/>
      <c r="M54" s="162"/>
    </row>
    <row r="55" spans="1:14" s="36" customFormat="1" ht="46.8" x14ac:dyDescent="0.25">
      <c r="A55" s="212"/>
      <c r="B55" s="213" t="s">
        <v>739</v>
      </c>
      <c r="C55" s="222"/>
      <c r="D55" s="215"/>
      <c r="E55" s="216"/>
      <c r="F55" s="217"/>
      <c r="G55" s="216">
        <f>G51+G53+G54</f>
        <v>1999889.3414999999</v>
      </c>
      <c r="H55" s="216">
        <f>SUM(H16:H49)</f>
        <v>6104543.4260925008</v>
      </c>
      <c r="I55" s="215">
        <f>I51+I52+I53+I54</f>
        <v>8104432.7675925009</v>
      </c>
      <c r="J55" s="691"/>
      <c r="K55" s="162"/>
      <c r="L55" s="162"/>
      <c r="M55" s="162"/>
    </row>
    <row r="56" spans="1:14" s="36" customFormat="1" x14ac:dyDescent="0.25">
      <c r="A56" s="85"/>
      <c r="B56" s="58" t="s">
        <v>624</v>
      </c>
      <c r="C56" s="9"/>
      <c r="D56" s="31"/>
      <c r="E56" s="10"/>
      <c r="F56" s="57"/>
      <c r="G56" s="10"/>
      <c r="H56" s="10"/>
      <c r="I56" s="31">
        <f>ROUND(I55/1.18*0.18,2)</f>
        <v>1236269.4099999999</v>
      </c>
      <c r="K56" s="162"/>
      <c r="L56" s="162"/>
      <c r="M56" s="162"/>
    </row>
    <row r="57" spans="1:14" ht="18.75" customHeight="1" x14ac:dyDescent="0.25">
      <c r="A57" s="104"/>
      <c r="B57" s="771" t="s">
        <v>494</v>
      </c>
      <c r="C57" s="771"/>
      <c r="D57" s="771"/>
      <c r="E57" s="771"/>
      <c r="F57" s="771"/>
      <c r="G57" s="105"/>
      <c r="H57" s="105"/>
      <c r="I57" s="106"/>
      <c r="K57" s="129"/>
      <c r="L57" s="133"/>
      <c r="M57" s="133"/>
    </row>
    <row r="58" spans="1:14" ht="20.25" customHeight="1" outlineLevel="2" x14ac:dyDescent="0.25">
      <c r="A58" s="107" t="s">
        <v>204</v>
      </c>
      <c r="B58" s="29" t="s">
        <v>755</v>
      </c>
      <c r="C58" s="31" t="s">
        <v>14</v>
      </c>
      <c r="D58" s="31">
        <v>39</v>
      </c>
      <c r="E58" s="256">
        <v>400</v>
      </c>
      <c r="F58" s="11"/>
      <c r="G58" s="2">
        <f>E58*D58</f>
        <v>15600</v>
      </c>
      <c r="H58" s="2"/>
      <c r="I58" s="11">
        <f>G58+H58</f>
        <v>15600</v>
      </c>
      <c r="J58" s="25">
        <f>D58/0.12</f>
        <v>325</v>
      </c>
      <c r="K58" s="161"/>
      <c r="L58" s="161"/>
      <c r="M58" s="161"/>
    </row>
    <row r="59" spans="1:14" ht="31.2" outlineLevel="2" x14ac:dyDescent="0.25">
      <c r="A59" s="84"/>
      <c r="B59" s="11" t="s">
        <v>764</v>
      </c>
      <c r="C59" s="2" t="s">
        <v>12</v>
      </c>
      <c r="D59" s="64">
        <f>D58*46</f>
        <v>1794</v>
      </c>
      <c r="E59" s="2"/>
      <c r="F59" s="664">
        <v>11</v>
      </c>
      <c r="G59" s="2">
        <f t="shared" ref="G59:G118" si="4">E59*D59</f>
        <v>0</v>
      </c>
      <c r="H59" s="2">
        <f>F59*D59</f>
        <v>19734</v>
      </c>
      <c r="I59" s="11">
        <f>G59+H59</f>
        <v>19734</v>
      </c>
      <c r="J59" s="25">
        <f>1/(0.25*0.088)</f>
        <v>45.45454545454546</v>
      </c>
      <c r="K59" s="161"/>
      <c r="L59" s="161"/>
      <c r="M59" s="161"/>
    </row>
    <row r="60" spans="1:14" outlineLevel="2" x14ac:dyDescent="0.25">
      <c r="A60" s="84"/>
      <c r="B60" s="11" t="s">
        <v>756</v>
      </c>
      <c r="C60" s="2" t="s">
        <v>8</v>
      </c>
      <c r="D60" s="64">
        <f>Д2!D56+Ек!D57+Д!D54+Е!D53</f>
        <v>1.08</v>
      </c>
      <c r="E60" s="2"/>
      <c r="F60" s="164">
        <v>2600</v>
      </c>
      <c r="G60" s="2">
        <f t="shared" si="4"/>
        <v>0</v>
      </c>
      <c r="H60" s="2">
        <f t="shared" ref="H60:H119" si="5">F60*D60</f>
        <v>2808</v>
      </c>
      <c r="I60" s="11">
        <f>G60+H60</f>
        <v>2808</v>
      </c>
      <c r="K60" s="161"/>
      <c r="L60" s="161"/>
      <c r="M60" s="161"/>
    </row>
    <row r="61" spans="1:14" outlineLevel="2" x14ac:dyDescent="0.25">
      <c r="A61" s="107" t="s">
        <v>205</v>
      </c>
      <c r="B61" s="205" t="s">
        <v>16</v>
      </c>
      <c r="C61" s="31" t="s">
        <v>12</v>
      </c>
      <c r="D61" s="160">
        <f>D62+D63</f>
        <v>14</v>
      </c>
      <c r="E61" s="256"/>
      <c r="F61" s="11"/>
      <c r="G61" s="2">
        <f t="shared" si="4"/>
        <v>0</v>
      </c>
      <c r="H61" s="2">
        <f t="shared" si="5"/>
        <v>0</v>
      </c>
      <c r="I61" s="11">
        <f t="shared" ref="I61:I68" si="6">G61+H61</f>
        <v>0</v>
      </c>
      <c r="K61" s="163"/>
      <c r="L61" s="163"/>
      <c r="M61" s="163"/>
      <c r="N61" s="5"/>
    </row>
    <row r="62" spans="1:14" outlineLevel="2" x14ac:dyDescent="0.25">
      <c r="A62" s="84"/>
      <c r="B62" s="33" t="s">
        <v>754</v>
      </c>
      <c r="C62" s="2" t="s">
        <v>12</v>
      </c>
      <c r="D62" s="64">
        <f>Д!D56+Е!D55</f>
        <v>2</v>
      </c>
      <c r="E62" s="2"/>
      <c r="F62" s="664">
        <v>203</v>
      </c>
      <c r="G62" s="2">
        <f t="shared" si="4"/>
        <v>0</v>
      </c>
      <c r="H62" s="2">
        <f t="shared" si="5"/>
        <v>406</v>
      </c>
      <c r="I62" s="11">
        <f t="shared" si="6"/>
        <v>406</v>
      </c>
      <c r="K62" s="163"/>
      <c r="L62" s="163"/>
      <c r="M62" s="163"/>
      <c r="N62" s="5"/>
    </row>
    <row r="63" spans="1:14" outlineLevel="2" x14ac:dyDescent="0.25">
      <c r="A63" s="84"/>
      <c r="B63" s="33" t="s">
        <v>880</v>
      </c>
      <c r="C63" s="2" t="s">
        <v>12</v>
      </c>
      <c r="D63" s="64">
        <f>Ек!D59</f>
        <v>12</v>
      </c>
      <c r="E63" s="2"/>
      <c r="F63" s="664">
        <v>386</v>
      </c>
      <c r="G63" s="2">
        <f t="shared" si="4"/>
        <v>0</v>
      </c>
      <c r="H63" s="2">
        <f t="shared" si="5"/>
        <v>4632</v>
      </c>
      <c r="I63" s="11">
        <f t="shared" si="6"/>
        <v>4632</v>
      </c>
      <c r="K63" s="163"/>
      <c r="L63" s="163"/>
      <c r="M63" s="163"/>
      <c r="N63" s="5"/>
    </row>
    <row r="64" spans="1:14" outlineLevel="2" x14ac:dyDescent="0.25">
      <c r="A64" s="84"/>
      <c r="B64" s="11" t="s">
        <v>72</v>
      </c>
      <c r="C64" s="2" t="s">
        <v>8</v>
      </c>
      <c r="D64" s="64">
        <f>ROUND(0.23*D61,2)</f>
        <v>3.22</v>
      </c>
      <c r="E64" s="2"/>
      <c r="F64" s="361">
        <v>2600</v>
      </c>
      <c r="G64" s="2">
        <f t="shared" si="4"/>
        <v>0</v>
      </c>
      <c r="H64" s="2">
        <f t="shared" si="5"/>
        <v>8372</v>
      </c>
      <c r="I64" s="11">
        <f t="shared" si="6"/>
        <v>8372</v>
      </c>
      <c r="K64" s="163"/>
      <c r="L64" s="163"/>
      <c r="M64" s="163"/>
      <c r="N64" s="5"/>
    </row>
    <row r="65" spans="1:14" outlineLevel="2" x14ac:dyDescent="0.25">
      <c r="A65" s="107" t="s">
        <v>207</v>
      </c>
      <c r="B65" s="44" t="s">
        <v>784</v>
      </c>
      <c r="C65" s="46" t="s">
        <v>12</v>
      </c>
      <c r="D65" s="50">
        <f>Д2!D60+Ек!D61+Д!D58+Е!D57</f>
        <v>5</v>
      </c>
      <c r="E65" s="166">
        <v>1000</v>
      </c>
      <c r="F65" s="43"/>
      <c r="G65" s="2">
        <f t="shared" si="4"/>
        <v>5000</v>
      </c>
      <c r="H65" s="2">
        <f t="shared" si="5"/>
        <v>0</v>
      </c>
      <c r="I65" s="11">
        <f t="shared" si="6"/>
        <v>5000</v>
      </c>
      <c r="K65" s="163"/>
      <c r="L65" s="163"/>
      <c r="M65" s="163"/>
      <c r="N65" s="5"/>
    </row>
    <row r="66" spans="1:14" outlineLevel="2" x14ac:dyDescent="0.25">
      <c r="A66" s="84"/>
      <c r="B66" s="11" t="s">
        <v>785</v>
      </c>
      <c r="C66" s="2" t="s">
        <v>12</v>
      </c>
      <c r="D66" s="64">
        <f>Д2!D61+Ек!D62+Д!D59+Е!D58</f>
        <v>24</v>
      </c>
      <c r="E66" s="2"/>
      <c r="F66" s="164">
        <v>1300</v>
      </c>
      <c r="G66" s="2">
        <f t="shared" si="4"/>
        <v>0</v>
      </c>
      <c r="H66" s="2">
        <f t="shared" si="5"/>
        <v>31200</v>
      </c>
      <c r="I66" s="11">
        <f t="shared" si="6"/>
        <v>31200</v>
      </c>
      <c r="K66" s="163"/>
      <c r="L66" s="163"/>
      <c r="M66" s="163"/>
      <c r="N66" s="5"/>
    </row>
    <row r="67" spans="1:14" outlineLevel="2" x14ac:dyDescent="0.25">
      <c r="A67" s="84"/>
      <c r="B67" s="11" t="s">
        <v>1326</v>
      </c>
      <c r="C67" s="2" t="s">
        <v>12</v>
      </c>
      <c r="D67" s="64">
        <f>Д2!D62+Ек!D63+Д!D60+Е!D59</f>
        <v>4</v>
      </c>
      <c r="E67" s="2"/>
      <c r="F67" s="164">
        <v>1300</v>
      </c>
      <c r="G67" s="2">
        <f t="shared" si="4"/>
        <v>0</v>
      </c>
      <c r="H67" s="2">
        <f t="shared" si="5"/>
        <v>5200</v>
      </c>
      <c r="I67" s="11">
        <f t="shared" si="6"/>
        <v>5200</v>
      </c>
      <c r="K67" s="163"/>
      <c r="L67" s="163"/>
      <c r="M67" s="163"/>
      <c r="N67" s="5"/>
    </row>
    <row r="68" spans="1:14" outlineLevel="2" x14ac:dyDescent="0.25">
      <c r="A68" s="84"/>
      <c r="B68" s="11" t="s">
        <v>786</v>
      </c>
      <c r="C68" s="2" t="s">
        <v>12</v>
      </c>
      <c r="D68" s="64">
        <f>Д2!D63+Ек!D64+Д!D61+Е!D60</f>
        <v>31</v>
      </c>
      <c r="E68" s="2"/>
      <c r="F68" s="164">
        <v>1300</v>
      </c>
      <c r="G68" s="2">
        <f t="shared" si="4"/>
        <v>0</v>
      </c>
      <c r="H68" s="2">
        <f t="shared" si="5"/>
        <v>40300</v>
      </c>
      <c r="I68" s="11">
        <f t="shared" si="6"/>
        <v>40300</v>
      </c>
      <c r="K68" s="163"/>
      <c r="L68" s="163"/>
      <c r="M68" s="163"/>
      <c r="N68" s="5"/>
    </row>
    <row r="69" spans="1:14" outlineLevel="2" x14ac:dyDescent="0.25">
      <c r="A69" s="84"/>
      <c r="B69" s="11" t="s">
        <v>1327</v>
      </c>
      <c r="C69" s="2" t="s">
        <v>12</v>
      </c>
      <c r="D69" s="64">
        <f>Д2!D64+Ек!D65+Д!D62+Е!D61</f>
        <v>5</v>
      </c>
      <c r="E69" s="2"/>
      <c r="F69" s="164">
        <v>1300</v>
      </c>
      <c r="G69" s="2">
        <f t="shared" si="4"/>
        <v>0</v>
      </c>
      <c r="H69" s="2">
        <f t="shared" si="5"/>
        <v>6500</v>
      </c>
      <c r="I69" s="11">
        <f>G69+H69</f>
        <v>6500</v>
      </c>
      <c r="K69" s="163"/>
      <c r="L69" s="163"/>
      <c r="M69" s="163"/>
      <c r="N69" s="5"/>
    </row>
    <row r="70" spans="1:14" outlineLevel="2" x14ac:dyDescent="0.25">
      <c r="A70" s="84"/>
      <c r="B70" s="11" t="s">
        <v>1518</v>
      </c>
      <c r="C70" s="2" t="s">
        <v>12</v>
      </c>
      <c r="D70" s="64">
        <f>Д2!D65+Ек!D66+Д!D63+Е!D62</f>
        <v>4</v>
      </c>
      <c r="E70" s="2"/>
      <c r="F70" s="164">
        <v>1300</v>
      </c>
      <c r="G70" s="2">
        <f t="shared" si="4"/>
        <v>0</v>
      </c>
      <c r="H70" s="2">
        <f t="shared" si="5"/>
        <v>5200</v>
      </c>
      <c r="I70" s="11">
        <f>G70+H70</f>
        <v>5200</v>
      </c>
      <c r="K70" s="163"/>
      <c r="L70" s="163"/>
      <c r="M70" s="163"/>
      <c r="N70" s="5"/>
    </row>
    <row r="71" spans="1:14" outlineLevel="2" x14ac:dyDescent="0.25">
      <c r="A71" s="84"/>
      <c r="B71" s="11" t="s">
        <v>738</v>
      </c>
      <c r="C71" s="2" t="s">
        <v>8</v>
      </c>
      <c r="D71" s="2">
        <f>Д2!D66+Ек!D67+Д!D64+Е!D63</f>
        <v>0.2</v>
      </c>
      <c r="E71" s="2"/>
      <c r="F71" s="664">
        <v>4200</v>
      </c>
      <c r="G71" s="2">
        <f t="shared" si="4"/>
        <v>0</v>
      </c>
      <c r="H71" s="2">
        <f t="shared" si="5"/>
        <v>840</v>
      </c>
      <c r="I71" s="11">
        <f>G71+H71</f>
        <v>840</v>
      </c>
      <c r="K71" s="163"/>
      <c r="L71" s="163"/>
      <c r="M71" s="163"/>
      <c r="N71" s="5"/>
    </row>
    <row r="72" spans="1:14" outlineLevel="2" x14ac:dyDescent="0.25">
      <c r="A72" s="84"/>
      <c r="B72" s="11" t="s">
        <v>763</v>
      </c>
      <c r="C72" s="2" t="s">
        <v>1323</v>
      </c>
      <c r="D72" s="64">
        <f>Д2!D67+Ек!D68+Д!D65+Е!D64</f>
        <v>54.000000000000007</v>
      </c>
      <c r="E72" s="2"/>
      <c r="F72" s="164">
        <v>300</v>
      </c>
      <c r="G72" s="2">
        <f t="shared" si="4"/>
        <v>0</v>
      </c>
      <c r="H72" s="2">
        <f t="shared" si="5"/>
        <v>16200.000000000002</v>
      </c>
      <c r="I72" s="11">
        <f>G72+H72</f>
        <v>16200.000000000002</v>
      </c>
      <c r="K72" s="163"/>
      <c r="L72" s="163"/>
      <c r="M72" s="163"/>
      <c r="N72" s="5"/>
    </row>
    <row r="73" spans="1:14" outlineLevel="2" x14ac:dyDescent="0.25">
      <c r="A73" s="84"/>
      <c r="B73" s="11" t="s">
        <v>767</v>
      </c>
      <c r="C73" s="2" t="s">
        <v>15</v>
      </c>
      <c r="D73" s="64">
        <f>Д2!D68+Ек!D69+Д!D66+Е!D65</f>
        <v>610</v>
      </c>
      <c r="E73" s="2"/>
      <c r="F73" s="361">
        <v>40</v>
      </c>
      <c r="G73" s="2">
        <f t="shared" si="4"/>
        <v>0</v>
      </c>
      <c r="H73" s="2">
        <f t="shared" si="5"/>
        <v>24400</v>
      </c>
      <c r="I73" s="11">
        <f t="shared" ref="I73:I79" si="7">G73+H73</f>
        <v>24400</v>
      </c>
      <c r="K73" s="163"/>
      <c r="L73" s="163"/>
      <c r="M73" s="163"/>
      <c r="N73" s="5"/>
    </row>
    <row r="74" spans="1:14" outlineLevel="2" x14ac:dyDescent="0.25">
      <c r="A74" s="84"/>
      <c r="B74" s="11" t="s">
        <v>768</v>
      </c>
      <c r="C74" s="2" t="s">
        <v>15</v>
      </c>
      <c r="D74" s="64">
        <f>Д2!D69+Ек!D70+Д!D67+Е!D66</f>
        <v>1380</v>
      </c>
      <c r="E74" s="2"/>
      <c r="F74" s="361">
        <v>40</v>
      </c>
      <c r="G74" s="2">
        <f t="shared" si="4"/>
        <v>0</v>
      </c>
      <c r="H74" s="2">
        <f t="shared" si="5"/>
        <v>55200</v>
      </c>
      <c r="I74" s="11">
        <f t="shared" si="7"/>
        <v>55200</v>
      </c>
      <c r="K74" s="163"/>
      <c r="L74" s="163"/>
      <c r="M74" s="163"/>
      <c r="N74" s="5"/>
    </row>
    <row r="75" spans="1:14" outlineLevel="2" x14ac:dyDescent="0.25">
      <c r="A75" s="84"/>
      <c r="B75" s="11" t="s">
        <v>770</v>
      </c>
      <c r="C75" s="2" t="s">
        <v>15</v>
      </c>
      <c r="D75" s="64">
        <f>Д2!D70+Ек!D71+Д!D68+Е!D67</f>
        <v>23</v>
      </c>
      <c r="E75" s="2"/>
      <c r="F75" s="361">
        <v>36</v>
      </c>
      <c r="G75" s="2">
        <f t="shared" si="4"/>
        <v>0</v>
      </c>
      <c r="H75" s="2">
        <f t="shared" si="5"/>
        <v>828</v>
      </c>
      <c r="I75" s="11">
        <f t="shared" si="7"/>
        <v>828</v>
      </c>
      <c r="K75" s="163"/>
      <c r="L75" s="163"/>
      <c r="M75" s="163"/>
      <c r="N75" s="5"/>
    </row>
    <row r="76" spans="1:14" outlineLevel="2" x14ac:dyDescent="0.25">
      <c r="A76" s="84"/>
      <c r="B76" s="11" t="s">
        <v>1331</v>
      </c>
      <c r="C76" s="2" t="s">
        <v>15</v>
      </c>
      <c r="D76" s="64">
        <f>Д2!D71+Ек!D72+Д!D69+Е!D68</f>
        <v>284</v>
      </c>
      <c r="E76" s="2"/>
      <c r="F76" s="361">
        <v>36</v>
      </c>
      <c r="G76" s="2">
        <f t="shared" si="4"/>
        <v>0</v>
      </c>
      <c r="H76" s="2">
        <f t="shared" si="5"/>
        <v>10224</v>
      </c>
      <c r="I76" s="11">
        <f t="shared" si="7"/>
        <v>10224</v>
      </c>
      <c r="K76" s="163"/>
      <c r="L76" s="163"/>
      <c r="M76" s="163"/>
      <c r="N76" s="5"/>
    </row>
    <row r="77" spans="1:14" outlineLevel="2" x14ac:dyDescent="0.25">
      <c r="A77" s="84"/>
      <c r="B77" s="11" t="s">
        <v>771</v>
      </c>
      <c r="C77" s="2" t="s">
        <v>15</v>
      </c>
      <c r="D77" s="64">
        <f>Е!D69</f>
        <v>40</v>
      </c>
      <c r="E77" s="2"/>
      <c r="F77" s="361">
        <v>36</v>
      </c>
      <c r="G77" s="2">
        <f t="shared" si="4"/>
        <v>0</v>
      </c>
      <c r="H77" s="2">
        <f t="shared" si="5"/>
        <v>1440</v>
      </c>
      <c r="I77" s="11">
        <f>G77+H77</f>
        <v>1440</v>
      </c>
      <c r="K77" s="163"/>
      <c r="L77" s="163"/>
      <c r="M77" s="163"/>
      <c r="N77" s="5"/>
    </row>
    <row r="78" spans="1:14" outlineLevel="2" x14ac:dyDescent="0.25">
      <c r="A78" s="84"/>
      <c r="B78" s="11" t="s">
        <v>772</v>
      </c>
      <c r="C78" s="2" t="s">
        <v>15</v>
      </c>
      <c r="D78" s="64">
        <f>Д2!D72+Ек!D74+Д!D70+Е!D70</f>
        <v>130</v>
      </c>
      <c r="E78" s="2"/>
      <c r="F78" s="361">
        <v>33</v>
      </c>
      <c r="G78" s="2">
        <f t="shared" si="4"/>
        <v>0</v>
      </c>
      <c r="H78" s="2">
        <f t="shared" si="5"/>
        <v>4290</v>
      </c>
      <c r="I78" s="11">
        <f t="shared" si="7"/>
        <v>4290</v>
      </c>
      <c r="K78" s="163"/>
      <c r="L78" s="163"/>
      <c r="M78" s="163"/>
      <c r="N78" s="5"/>
    </row>
    <row r="79" spans="1:14" outlineLevel="2" x14ac:dyDescent="0.25">
      <c r="A79" s="84"/>
      <c r="B79" s="11" t="s">
        <v>773</v>
      </c>
      <c r="C79" s="2" t="s">
        <v>15</v>
      </c>
      <c r="D79" s="64">
        <f>Д2!D73+Ек!D75+Д!D71+Е!D71</f>
        <v>206</v>
      </c>
      <c r="E79" s="2"/>
      <c r="F79" s="361">
        <v>33</v>
      </c>
      <c r="G79" s="2">
        <f t="shared" si="4"/>
        <v>0</v>
      </c>
      <c r="H79" s="2">
        <f t="shared" si="5"/>
        <v>6798</v>
      </c>
      <c r="I79" s="11">
        <f t="shared" si="7"/>
        <v>6798</v>
      </c>
      <c r="K79" s="163"/>
      <c r="L79" s="163"/>
      <c r="M79" s="163"/>
      <c r="N79" s="5"/>
    </row>
    <row r="80" spans="1:14" outlineLevel="2" x14ac:dyDescent="0.25">
      <c r="A80" s="107" t="s">
        <v>66</v>
      </c>
      <c r="B80" s="49" t="s">
        <v>807</v>
      </c>
      <c r="C80" s="41" t="s">
        <v>14</v>
      </c>
      <c r="D80" s="2">
        <f>SUM(D72:D79)*27/1000</f>
        <v>73.629000000000005</v>
      </c>
      <c r="E80" s="353">
        <v>100</v>
      </c>
      <c r="F80" s="363"/>
      <c r="G80" s="2">
        <f t="shared" si="4"/>
        <v>7362.9000000000005</v>
      </c>
      <c r="H80" s="2">
        <f t="shared" si="5"/>
        <v>0</v>
      </c>
      <c r="I80" s="11">
        <f>G80</f>
        <v>7362.9000000000005</v>
      </c>
      <c r="K80" s="163"/>
      <c r="L80" s="163"/>
      <c r="M80" s="163"/>
      <c r="N80" s="5"/>
    </row>
    <row r="81" spans="1:14" outlineLevel="2" x14ac:dyDescent="0.25">
      <c r="A81" s="84"/>
      <c r="B81" s="47" t="s">
        <v>908</v>
      </c>
      <c r="C81" s="41" t="s">
        <v>15</v>
      </c>
      <c r="D81" s="2">
        <f>D80*0.2</f>
        <v>14.725800000000001</v>
      </c>
      <c r="E81" s="390"/>
      <c r="F81" s="362">
        <v>85</v>
      </c>
      <c r="G81" s="2">
        <f t="shared" si="4"/>
        <v>0</v>
      </c>
      <c r="H81" s="2">
        <f t="shared" si="5"/>
        <v>1251.6930000000002</v>
      </c>
      <c r="I81" s="11">
        <f>H81</f>
        <v>1251.6930000000002</v>
      </c>
      <c r="K81" s="163"/>
      <c r="L81" s="163"/>
      <c r="M81" s="163"/>
      <c r="N81" s="5"/>
    </row>
    <row r="82" spans="1:14" outlineLevel="2" x14ac:dyDescent="0.25">
      <c r="A82" s="84"/>
      <c r="B82" s="47" t="s">
        <v>809</v>
      </c>
      <c r="C82" s="41" t="s">
        <v>15</v>
      </c>
      <c r="D82" s="2">
        <f>D80*0.3</f>
        <v>22.088699999999999</v>
      </c>
      <c r="E82" s="390"/>
      <c r="F82" s="362">
        <v>115</v>
      </c>
      <c r="G82" s="2">
        <f t="shared" si="4"/>
        <v>0</v>
      </c>
      <c r="H82" s="2">
        <f t="shared" si="5"/>
        <v>2540.2004999999999</v>
      </c>
      <c r="I82" s="11">
        <f>H82</f>
        <v>2540.2004999999999</v>
      </c>
      <c r="K82" s="163"/>
      <c r="L82" s="163"/>
      <c r="M82" s="163"/>
      <c r="N82" s="5"/>
    </row>
    <row r="83" spans="1:14" outlineLevel="2" x14ac:dyDescent="0.25">
      <c r="A83" s="107" t="s">
        <v>349</v>
      </c>
      <c r="B83" s="29" t="s">
        <v>787</v>
      </c>
      <c r="C83" s="31" t="s">
        <v>8</v>
      </c>
      <c r="D83" s="31">
        <f>Д2!D77+Ек!D79+Д!D75+Е!D75</f>
        <v>3.5600000000000005</v>
      </c>
      <c r="E83" s="256">
        <v>800</v>
      </c>
      <c r="F83" s="11"/>
      <c r="G83" s="2">
        <f t="shared" si="4"/>
        <v>2848.0000000000005</v>
      </c>
      <c r="H83" s="2">
        <f t="shared" si="5"/>
        <v>0</v>
      </c>
      <c r="I83" s="11">
        <f t="shared" ref="I83:I111" si="8">G83+H83</f>
        <v>2848.0000000000005</v>
      </c>
      <c r="K83" s="163"/>
      <c r="L83" s="163"/>
      <c r="M83" s="163"/>
      <c r="N83" s="5"/>
    </row>
    <row r="84" spans="1:14" outlineLevel="2" x14ac:dyDescent="0.25">
      <c r="A84" s="84"/>
      <c r="B84" s="11" t="s">
        <v>738</v>
      </c>
      <c r="C84" s="2" t="s">
        <v>8</v>
      </c>
      <c r="D84" s="2">
        <f>D83*1.02</f>
        <v>3.6312000000000006</v>
      </c>
      <c r="E84" s="2"/>
      <c r="F84" s="664">
        <v>4200</v>
      </c>
      <c r="G84" s="2">
        <f t="shared" si="4"/>
        <v>0</v>
      </c>
      <c r="H84" s="2">
        <f t="shared" si="5"/>
        <v>15251.040000000003</v>
      </c>
      <c r="I84" s="11">
        <f t="shared" si="8"/>
        <v>15251.040000000003</v>
      </c>
      <c r="K84" s="163"/>
      <c r="L84" s="163"/>
      <c r="M84" s="163"/>
      <c r="N84" s="5"/>
    </row>
    <row r="85" spans="1:14" outlineLevel="2" x14ac:dyDescent="0.25">
      <c r="A85" s="84"/>
      <c r="B85" s="47" t="s">
        <v>1529</v>
      </c>
      <c r="C85" s="41" t="s">
        <v>15</v>
      </c>
      <c r="D85" s="42">
        <f>Д2!D79+Ек!D81+Д!D77+Е!D77</f>
        <v>151.48000000000002</v>
      </c>
      <c r="E85" s="2"/>
      <c r="F85" s="364">
        <v>42</v>
      </c>
      <c r="G85" s="2">
        <f t="shared" si="4"/>
        <v>0</v>
      </c>
      <c r="H85" s="2">
        <f t="shared" si="5"/>
        <v>6362.1600000000008</v>
      </c>
      <c r="I85" s="11">
        <f t="shared" si="8"/>
        <v>6362.1600000000008</v>
      </c>
      <c r="K85" s="163"/>
      <c r="L85" s="163"/>
      <c r="M85" s="163"/>
      <c r="N85" s="5"/>
    </row>
    <row r="86" spans="1:14" ht="18.75" customHeight="1" outlineLevel="2" x14ac:dyDescent="0.25">
      <c r="A86" s="107" t="s">
        <v>495</v>
      </c>
      <c r="B86" s="29" t="s">
        <v>1305</v>
      </c>
      <c r="C86" s="2" t="s">
        <v>8</v>
      </c>
      <c r="D86" s="31">
        <f>Д2!D80+Ек!D82+Д!D78+Е!D78</f>
        <v>2.52</v>
      </c>
      <c r="E86" s="256">
        <v>1500</v>
      </c>
      <c r="F86" s="164"/>
      <c r="G86" s="2">
        <f t="shared" si="4"/>
        <v>3780</v>
      </c>
      <c r="H86" s="2">
        <f t="shared" si="5"/>
        <v>0</v>
      </c>
      <c r="I86" s="11">
        <f t="shared" si="8"/>
        <v>3780</v>
      </c>
      <c r="K86" s="161"/>
      <c r="L86" s="161"/>
      <c r="M86" s="161"/>
      <c r="N86" s="5"/>
    </row>
    <row r="87" spans="1:14" outlineLevel="2" x14ac:dyDescent="0.25">
      <c r="A87" s="84"/>
      <c r="B87" s="11" t="s">
        <v>738</v>
      </c>
      <c r="C87" s="2" t="s">
        <v>8</v>
      </c>
      <c r="D87" s="2">
        <f>D86*1.02</f>
        <v>2.5704000000000002</v>
      </c>
      <c r="E87" s="2"/>
      <c r="F87" s="664">
        <v>4200</v>
      </c>
      <c r="G87" s="2">
        <f t="shared" si="4"/>
        <v>0</v>
      </c>
      <c r="H87" s="2">
        <f t="shared" si="5"/>
        <v>10795.68</v>
      </c>
      <c r="I87" s="60">
        <f t="shared" si="8"/>
        <v>10795.68</v>
      </c>
      <c r="K87" s="161"/>
      <c r="L87" s="161"/>
      <c r="M87" s="161"/>
      <c r="N87" s="5"/>
    </row>
    <row r="88" spans="1:14" outlineLevel="2" x14ac:dyDescent="0.25">
      <c r="A88" s="84"/>
      <c r="B88" s="11" t="s">
        <v>737</v>
      </c>
      <c r="C88" s="41" t="s">
        <v>15</v>
      </c>
      <c r="D88" s="42">
        <f>Д2!D82+Ек!D84+Д!D80+Е!D80</f>
        <v>158.42999999999998</v>
      </c>
      <c r="E88" s="2"/>
      <c r="F88" s="364">
        <v>42</v>
      </c>
      <c r="G88" s="2">
        <f t="shared" si="4"/>
        <v>0</v>
      </c>
      <c r="H88" s="2">
        <f t="shared" si="5"/>
        <v>6654.0599999999995</v>
      </c>
      <c r="I88" s="11">
        <f t="shared" si="8"/>
        <v>6654.0599999999995</v>
      </c>
      <c r="K88" s="161"/>
      <c r="L88" s="161"/>
      <c r="M88" s="161"/>
      <c r="N88" s="5"/>
    </row>
    <row r="89" spans="1:14" ht="31.2" outlineLevel="2" x14ac:dyDescent="0.25">
      <c r="A89" s="84"/>
      <c r="B89" s="29" t="s">
        <v>1352</v>
      </c>
      <c r="C89" s="2" t="s">
        <v>8</v>
      </c>
      <c r="D89" s="31">
        <f>Ек!D85</f>
        <v>0.16800000000000001</v>
      </c>
      <c r="E89" s="256">
        <v>600</v>
      </c>
      <c r="F89" s="164"/>
      <c r="G89" s="2">
        <f t="shared" si="4"/>
        <v>100.80000000000001</v>
      </c>
      <c r="H89" s="2">
        <f t="shared" si="5"/>
        <v>0</v>
      </c>
      <c r="I89" s="11">
        <f t="shared" si="8"/>
        <v>100.80000000000001</v>
      </c>
      <c r="K89" s="161"/>
      <c r="L89" s="161"/>
      <c r="M89" s="161"/>
      <c r="N89" s="5"/>
    </row>
    <row r="90" spans="1:14" outlineLevel="2" x14ac:dyDescent="0.25">
      <c r="A90" s="84"/>
      <c r="B90" s="11" t="s">
        <v>738</v>
      </c>
      <c r="C90" s="2" t="s">
        <v>8</v>
      </c>
      <c r="D90" s="2">
        <f>D89*1.02</f>
        <v>0.17136000000000001</v>
      </c>
      <c r="E90" s="2"/>
      <c r="F90" s="664">
        <v>4200</v>
      </c>
      <c r="G90" s="2">
        <f t="shared" si="4"/>
        <v>0</v>
      </c>
      <c r="H90" s="2">
        <f t="shared" si="5"/>
        <v>719.7120000000001</v>
      </c>
      <c r="I90" s="60">
        <f t="shared" si="8"/>
        <v>719.7120000000001</v>
      </c>
      <c r="K90" s="161"/>
      <c r="L90" s="161"/>
      <c r="M90" s="161"/>
      <c r="N90" s="5"/>
    </row>
    <row r="91" spans="1:14" outlineLevel="2" x14ac:dyDescent="0.25">
      <c r="A91" s="84"/>
      <c r="B91" s="11" t="s">
        <v>737</v>
      </c>
      <c r="C91" s="41" t="s">
        <v>15</v>
      </c>
      <c r="D91" s="42">
        <f>Ек!D87</f>
        <v>15.36</v>
      </c>
      <c r="E91" s="2"/>
      <c r="F91" s="364">
        <v>42</v>
      </c>
      <c r="G91" s="2">
        <f t="shared" si="4"/>
        <v>0</v>
      </c>
      <c r="H91" s="2">
        <f t="shared" si="5"/>
        <v>645.12</v>
      </c>
      <c r="I91" s="11">
        <f t="shared" si="8"/>
        <v>645.12</v>
      </c>
      <c r="K91" s="161"/>
      <c r="L91" s="161"/>
      <c r="M91" s="161"/>
      <c r="N91" s="5"/>
    </row>
    <row r="92" spans="1:14" outlineLevel="2" x14ac:dyDescent="0.25">
      <c r="A92" s="107" t="s">
        <v>496</v>
      </c>
      <c r="B92" s="48" t="s">
        <v>740</v>
      </c>
      <c r="C92" s="46" t="s">
        <v>12</v>
      </c>
      <c r="D92" s="50">
        <f>SUM(D93:D105)</f>
        <v>192</v>
      </c>
      <c r="E92" s="275">
        <v>350</v>
      </c>
      <c r="F92" s="43"/>
      <c r="G92" s="2">
        <f t="shared" si="4"/>
        <v>67200</v>
      </c>
      <c r="H92" s="2">
        <f t="shared" si="5"/>
        <v>0</v>
      </c>
      <c r="I92" s="11">
        <f t="shared" si="8"/>
        <v>67200</v>
      </c>
      <c r="K92" s="161"/>
      <c r="L92" s="161"/>
      <c r="M92" s="161"/>
      <c r="N92" s="5"/>
    </row>
    <row r="93" spans="1:14" outlineLevel="2" x14ac:dyDescent="0.25">
      <c r="A93" s="84"/>
      <c r="B93" s="47" t="s">
        <v>751</v>
      </c>
      <c r="C93" s="2" t="s">
        <v>12</v>
      </c>
      <c r="D93" s="2">
        <f>Ек!D89+Е!D82</f>
        <v>38</v>
      </c>
      <c r="E93" s="31"/>
      <c r="F93" s="363">
        <v>15000</v>
      </c>
      <c r="G93" s="2">
        <f t="shared" si="4"/>
        <v>0</v>
      </c>
      <c r="H93" s="2">
        <f t="shared" si="5"/>
        <v>570000</v>
      </c>
      <c r="I93" s="60">
        <f t="shared" si="8"/>
        <v>570000</v>
      </c>
      <c r="K93" s="161"/>
      <c r="L93" s="161"/>
      <c r="M93" s="161"/>
      <c r="N93" s="5"/>
    </row>
    <row r="94" spans="1:14" outlineLevel="2" x14ac:dyDescent="0.25">
      <c r="A94" s="84"/>
      <c r="B94" s="47" t="s">
        <v>752</v>
      </c>
      <c r="C94" s="2" t="s">
        <v>12</v>
      </c>
      <c r="D94" s="2">
        <f>Ек!D90+Е!D83</f>
        <v>10</v>
      </c>
      <c r="E94" s="31"/>
      <c r="F94" s="363">
        <v>15000</v>
      </c>
      <c r="G94" s="2">
        <f t="shared" si="4"/>
        <v>0</v>
      </c>
      <c r="H94" s="2">
        <f t="shared" si="5"/>
        <v>150000</v>
      </c>
      <c r="I94" s="60">
        <f t="shared" si="8"/>
        <v>150000</v>
      </c>
      <c r="K94" s="161"/>
      <c r="L94" s="161"/>
      <c r="M94" s="161"/>
      <c r="N94" s="5"/>
    </row>
    <row r="95" spans="1:14" outlineLevel="2" x14ac:dyDescent="0.25">
      <c r="A95" s="84"/>
      <c r="B95" s="47" t="s">
        <v>742</v>
      </c>
      <c r="C95" s="2" t="s">
        <v>12</v>
      </c>
      <c r="D95" s="2">
        <f>Д2!D84+Д!D82</f>
        <v>12</v>
      </c>
      <c r="E95" s="31"/>
      <c r="F95" s="664">
        <v>12796</v>
      </c>
      <c r="G95" s="2">
        <f t="shared" si="4"/>
        <v>0</v>
      </c>
      <c r="H95" s="2">
        <f t="shared" si="5"/>
        <v>153552</v>
      </c>
      <c r="I95" s="60">
        <f t="shared" si="8"/>
        <v>153552</v>
      </c>
      <c r="K95" s="161"/>
      <c r="L95" s="161"/>
      <c r="M95" s="161"/>
      <c r="N95" s="5"/>
    </row>
    <row r="96" spans="1:14" outlineLevel="2" x14ac:dyDescent="0.25">
      <c r="A96" s="84"/>
      <c r="B96" s="47" t="s">
        <v>741</v>
      </c>
      <c r="C96" s="2" t="s">
        <v>12</v>
      </c>
      <c r="D96" s="2">
        <f>Д2!D85+Е!D83</f>
        <v>10</v>
      </c>
      <c r="E96" s="31"/>
      <c r="F96" s="664">
        <v>14406</v>
      </c>
      <c r="G96" s="2">
        <f t="shared" si="4"/>
        <v>0</v>
      </c>
      <c r="H96" s="2">
        <f t="shared" si="5"/>
        <v>144060</v>
      </c>
      <c r="I96" s="60">
        <f t="shared" si="8"/>
        <v>144060</v>
      </c>
      <c r="K96" s="161"/>
      <c r="L96" s="161"/>
      <c r="M96" s="161"/>
      <c r="N96" s="5"/>
    </row>
    <row r="97" spans="1:14" outlineLevel="2" x14ac:dyDescent="0.25">
      <c r="A97" s="84"/>
      <c r="B97" s="47" t="s">
        <v>743</v>
      </c>
      <c r="C97" s="2" t="s">
        <v>12</v>
      </c>
      <c r="D97" s="2">
        <f>Д2!D86+Ек!D91+Д!D84+Е!D84</f>
        <v>68</v>
      </c>
      <c r="E97" s="31"/>
      <c r="F97" s="362">
        <v>9631</v>
      </c>
      <c r="G97" s="2">
        <f t="shared" si="4"/>
        <v>0</v>
      </c>
      <c r="H97" s="2">
        <f t="shared" si="5"/>
        <v>654908</v>
      </c>
      <c r="I97" s="60">
        <f t="shared" si="8"/>
        <v>654908</v>
      </c>
      <c r="K97" s="161"/>
      <c r="L97" s="161"/>
      <c r="M97" s="161"/>
      <c r="N97" s="5"/>
    </row>
    <row r="98" spans="1:14" outlineLevel="2" x14ac:dyDescent="0.25">
      <c r="A98" s="84"/>
      <c r="B98" s="47" t="s">
        <v>744</v>
      </c>
      <c r="C98" s="2" t="s">
        <v>12</v>
      </c>
      <c r="D98" s="2">
        <f>Д2!D87+Ек!D92+Д!D85+Е!D85</f>
        <v>20</v>
      </c>
      <c r="E98" s="31"/>
      <c r="F98" s="362">
        <v>11987</v>
      </c>
      <c r="G98" s="2">
        <f t="shared" si="4"/>
        <v>0</v>
      </c>
      <c r="H98" s="2">
        <f t="shared" si="5"/>
        <v>239740</v>
      </c>
      <c r="I98" s="60">
        <f t="shared" si="8"/>
        <v>239740</v>
      </c>
      <c r="K98" s="161"/>
      <c r="L98" s="161"/>
      <c r="M98" s="161"/>
      <c r="N98" s="5"/>
    </row>
    <row r="99" spans="1:14" outlineLevel="2" x14ac:dyDescent="0.25">
      <c r="A99" s="84"/>
      <c r="B99" s="47" t="s">
        <v>745</v>
      </c>
      <c r="C99" s="2" t="s">
        <v>12</v>
      </c>
      <c r="D99" s="2">
        <f>Д2!D88+Д!D86</f>
        <v>2</v>
      </c>
      <c r="E99" s="31"/>
      <c r="F99" s="664">
        <v>5621</v>
      </c>
      <c r="G99" s="2">
        <f t="shared" si="4"/>
        <v>0</v>
      </c>
      <c r="H99" s="2">
        <f t="shared" si="5"/>
        <v>11242</v>
      </c>
      <c r="I99" s="60">
        <f t="shared" si="8"/>
        <v>11242</v>
      </c>
      <c r="K99" s="161"/>
      <c r="L99" s="161"/>
      <c r="M99" s="161"/>
      <c r="N99" s="5"/>
    </row>
    <row r="100" spans="1:14" outlineLevel="2" x14ac:dyDescent="0.25">
      <c r="A100" s="84"/>
      <c r="B100" s="47" t="s">
        <v>746</v>
      </c>
      <c r="C100" s="2" t="s">
        <v>12</v>
      </c>
      <c r="D100" s="2">
        <f>Д2!D89+Д!D87</f>
        <v>2</v>
      </c>
      <c r="E100" s="31"/>
      <c r="F100" s="666">
        <v>4222</v>
      </c>
      <c r="G100" s="2">
        <f t="shared" si="4"/>
        <v>0</v>
      </c>
      <c r="H100" s="2">
        <f t="shared" si="5"/>
        <v>8444</v>
      </c>
      <c r="I100" s="60">
        <f>G100+H100</f>
        <v>8444</v>
      </c>
      <c r="K100" s="161"/>
      <c r="L100" s="161"/>
      <c r="M100" s="161"/>
      <c r="N100" s="5"/>
    </row>
    <row r="101" spans="1:14" outlineLevel="2" x14ac:dyDescent="0.25">
      <c r="A101" s="84"/>
      <c r="B101" s="47" t="s">
        <v>1519</v>
      </c>
      <c r="C101" s="2" t="s">
        <v>12</v>
      </c>
      <c r="D101" s="2">
        <f>Ек!D93+Е!D86</f>
        <v>4</v>
      </c>
      <c r="E101" s="31"/>
      <c r="F101" s="362">
        <v>4100</v>
      </c>
      <c r="G101" s="2">
        <f t="shared" si="4"/>
        <v>0</v>
      </c>
      <c r="H101" s="2">
        <f t="shared" si="5"/>
        <v>16400</v>
      </c>
      <c r="I101" s="60">
        <f t="shared" si="8"/>
        <v>16400</v>
      </c>
      <c r="K101" s="161"/>
      <c r="L101" s="161"/>
      <c r="M101" s="161"/>
      <c r="N101" s="5"/>
    </row>
    <row r="102" spans="1:14" outlineLevel="2" x14ac:dyDescent="0.25">
      <c r="A102" s="84"/>
      <c r="B102" s="47" t="s">
        <v>1338</v>
      </c>
      <c r="C102" s="2" t="s">
        <v>12</v>
      </c>
      <c r="D102" s="2">
        <f>Ек!D94+Е!D87</f>
        <v>3</v>
      </c>
      <c r="E102" s="31"/>
      <c r="F102" s="363">
        <v>12000</v>
      </c>
      <c r="G102" s="2">
        <f t="shared" si="4"/>
        <v>0</v>
      </c>
      <c r="H102" s="2">
        <f t="shared" si="5"/>
        <v>36000</v>
      </c>
      <c r="I102" s="60">
        <f t="shared" si="8"/>
        <v>36000</v>
      </c>
      <c r="K102" s="161"/>
      <c r="L102" s="161"/>
      <c r="M102" s="161"/>
      <c r="N102" s="5"/>
    </row>
    <row r="103" spans="1:14" outlineLevel="2" x14ac:dyDescent="0.25">
      <c r="A103" s="84"/>
      <c r="B103" s="47" t="s">
        <v>1319</v>
      </c>
      <c r="C103" s="2" t="s">
        <v>12</v>
      </c>
      <c r="D103" s="2">
        <f>Д2!D90+Ек!D95+Е!D88</f>
        <v>6</v>
      </c>
      <c r="E103" s="31"/>
      <c r="F103" s="363">
        <v>15000</v>
      </c>
      <c r="G103" s="2">
        <f t="shared" si="4"/>
        <v>0</v>
      </c>
      <c r="H103" s="2">
        <f t="shared" si="5"/>
        <v>90000</v>
      </c>
      <c r="I103" s="60">
        <f t="shared" si="8"/>
        <v>90000</v>
      </c>
      <c r="K103" s="161"/>
      <c r="L103" s="161"/>
      <c r="M103" s="161"/>
      <c r="N103" s="5"/>
    </row>
    <row r="104" spans="1:14" outlineLevel="2" x14ac:dyDescent="0.25">
      <c r="A104" s="84"/>
      <c r="B104" s="47" t="s">
        <v>1307</v>
      </c>
      <c r="C104" s="2" t="s">
        <v>12</v>
      </c>
      <c r="D104" s="2">
        <f>Д2!D91+Ек!D96+Д!D88+Е!D89</f>
        <v>15</v>
      </c>
      <c r="E104" s="31"/>
      <c r="F104" s="362">
        <v>18060</v>
      </c>
      <c r="G104" s="2">
        <f t="shared" si="4"/>
        <v>0</v>
      </c>
      <c r="H104" s="2">
        <f t="shared" si="5"/>
        <v>270900</v>
      </c>
      <c r="I104" s="60">
        <f t="shared" si="8"/>
        <v>270900</v>
      </c>
      <c r="K104" s="161"/>
      <c r="L104" s="161"/>
      <c r="M104" s="161"/>
      <c r="N104" s="5"/>
    </row>
    <row r="105" spans="1:14" outlineLevel="2" x14ac:dyDescent="0.25">
      <c r="A105" s="84"/>
      <c r="B105" s="47" t="s">
        <v>1320</v>
      </c>
      <c r="C105" s="2" t="s">
        <v>12</v>
      </c>
      <c r="D105" s="2">
        <f>Д2!D92</f>
        <v>2</v>
      </c>
      <c r="E105" s="31"/>
      <c r="F105" s="362">
        <v>20377</v>
      </c>
      <c r="G105" s="2">
        <f t="shared" si="4"/>
        <v>0</v>
      </c>
      <c r="H105" s="2">
        <f t="shared" si="5"/>
        <v>40754</v>
      </c>
      <c r="I105" s="60">
        <f t="shared" si="8"/>
        <v>40754</v>
      </c>
      <c r="K105" s="161"/>
      <c r="L105" s="161"/>
      <c r="M105" s="161"/>
      <c r="N105" s="5"/>
    </row>
    <row r="106" spans="1:14" outlineLevel="2" x14ac:dyDescent="0.25">
      <c r="A106" s="84"/>
      <c r="B106" s="45" t="s">
        <v>480</v>
      </c>
      <c r="C106" s="41" t="s">
        <v>9</v>
      </c>
      <c r="D106" s="722">
        <f>Д2!D93+Ек!D97+Д!D89+Е!D90</f>
        <v>0.36610999999999999</v>
      </c>
      <c r="E106" s="43"/>
      <c r="F106" s="364">
        <v>40000</v>
      </c>
      <c r="G106" s="2">
        <f t="shared" si="4"/>
        <v>0</v>
      </c>
      <c r="H106" s="2">
        <f t="shared" si="5"/>
        <v>14644.4</v>
      </c>
      <c r="I106" s="11">
        <f t="shared" si="8"/>
        <v>14644.4</v>
      </c>
      <c r="K106" s="161"/>
      <c r="L106" s="161"/>
      <c r="M106" s="161"/>
      <c r="N106" s="5"/>
    </row>
    <row r="107" spans="1:14" outlineLevel="2" x14ac:dyDescent="0.25">
      <c r="A107" s="84"/>
      <c r="B107" s="45" t="s">
        <v>198</v>
      </c>
      <c r="C107" s="41" t="s">
        <v>9</v>
      </c>
      <c r="D107" s="42">
        <f>0.11/334.51*D88</f>
        <v>5.2097994080894439E-2</v>
      </c>
      <c r="E107" s="43"/>
      <c r="F107" s="364">
        <f>65*1.1*1000</f>
        <v>71500</v>
      </c>
      <c r="G107" s="2">
        <f t="shared" si="4"/>
        <v>0</v>
      </c>
      <c r="H107" s="2">
        <f t="shared" si="5"/>
        <v>3725.0065767839524</v>
      </c>
      <c r="I107" s="11">
        <f t="shared" si="8"/>
        <v>3725.0065767839524</v>
      </c>
      <c r="K107" s="161"/>
      <c r="L107" s="161"/>
      <c r="M107" s="161"/>
      <c r="N107" s="5"/>
    </row>
    <row r="108" spans="1:14" outlineLevel="2" x14ac:dyDescent="0.25">
      <c r="A108" s="107" t="s">
        <v>621</v>
      </c>
      <c r="B108" s="49" t="s">
        <v>788</v>
      </c>
      <c r="C108" s="203" t="s">
        <v>8</v>
      </c>
      <c r="D108" s="46">
        <f>Д2!D95+Ек!D99+Д!D91+Е!D92</f>
        <v>6.8599999999999994</v>
      </c>
      <c r="E108" s="353">
        <v>800</v>
      </c>
      <c r="F108" s="139"/>
      <c r="G108" s="2">
        <f t="shared" si="4"/>
        <v>5488</v>
      </c>
      <c r="H108" s="2">
        <f t="shared" si="5"/>
        <v>0</v>
      </c>
      <c r="I108" s="11">
        <f t="shared" si="8"/>
        <v>5488</v>
      </c>
      <c r="K108" s="161"/>
      <c r="L108" s="161"/>
      <c r="M108" s="161"/>
      <c r="N108" s="5"/>
    </row>
    <row r="109" spans="1:14" outlineLevel="2" x14ac:dyDescent="0.25">
      <c r="A109" s="84"/>
      <c r="B109" s="47" t="s">
        <v>366</v>
      </c>
      <c r="C109" s="41" t="s">
        <v>15</v>
      </c>
      <c r="D109" s="42">
        <f>Д2!D96+Ек!D100+Д!D92+Е!D93</f>
        <v>896.65</v>
      </c>
      <c r="E109" s="2"/>
      <c r="F109" s="364">
        <v>34</v>
      </c>
      <c r="G109" s="2">
        <f t="shared" si="4"/>
        <v>0</v>
      </c>
      <c r="H109" s="2">
        <f t="shared" si="5"/>
        <v>30486.1</v>
      </c>
      <c r="I109" s="11">
        <f t="shared" si="8"/>
        <v>30486.1</v>
      </c>
      <c r="K109" s="161"/>
      <c r="L109" s="161"/>
      <c r="M109" s="161"/>
      <c r="N109" s="5"/>
    </row>
    <row r="110" spans="1:14" outlineLevel="2" x14ac:dyDescent="0.25">
      <c r="A110" s="84"/>
      <c r="B110" s="47" t="s">
        <v>1530</v>
      </c>
      <c r="C110" s="41" t="s">
        <v>15</v>
      </c>
      <c r="D110" s="42">
        <f>Д2!D97+Ек!D101+Д!D93+Е!D94</f>
        <v>24.44</v>
      </c>
      <c r="E110" s="2"/>
      <c r="F110" s="364">
        <v>42</v>
      </c>
      <c r="G110" s="2">
        <f t="shared" si="4"/>
        <v>0</v>
      </c>
      <c r="H110" s="2">
        <f t="shared" si="5"/>
        <v>1026.48</v>
      </c>
      <c r="I110" s="11">
        <f t="shared" si="8"/>
        <v>1026.48</v>
      </c>
      <c r="K110" s="161"/>
      <c r="L110" s="161"/>
      <c r="M110" s="161"/>
      <c r="N110" s="5"/>
    </row>
    <row r="111" spans="1:14" outlineLevel="2" x14ac:dyDescent="0.25">
      <c r="A111" s="84"/>
      <c r="B111" s="47" t="s">
        <v>483</v>
      </c>
      <c r="C111" s="41" t="s">
        <v>8</v>
      </c>
      <c r="D111" s="42">
        <f>Д2!D98+Ек!D102+Д!D94+Е!D95</f>
        <v>6.9629000000000003</v>
      </c>
      <c r="E111" s="2"/>
      <c r="F111" s="664">
        <v>4200</v>
      </c>
      <c r="G111" s="2">
        <f t="shared" si="4"/>
        <v>0</v>
      </c>
      <c r="H111" s="2">
        <f t="shared" si="5"/>
        <v>29244.18</v>
      </c>
      <c r="I111" s="11">
        <f t="shared" si="8"/>
        <v>29244.18</v>
      </c>
      <c r="K111" s="161"/>
      <c r="L111" s="161"/>
      <c r="M111" s="161"/>
      <c r="N111" s="5"/>
    </row>
    <row r="112" spans="1:14" hidden="1" outlineLevel="1" x14ac:dyDescent="0.25">
      <c r="A112" s="84"/>
      <c r="B112" s="309"/>
      <c r="C112" s="2"/>
      <c r="D112" s="340"/>
      <c r="E112" s="2"/>
      <c r="F112" s="164"/>
      <c r="G112" s="2">
        <f t="shared" si="4"/>
        <v>0</v>
      </c>
      <c r="H112" s="2">
        <f t="shared" si="5"/>
        <v>0</v>
      </c>
      <c r="I112" s="60"/>
      <c r="K112" s="161"/>
      <c r="L112" s="161"/>
      <c r="M112" s="161"/>
      <c r="N112" s="5"/>
    </row>
    <row r="113" spans="1:252" s="6" customFormat="1" hidden="1" outlineLevel="1" x14ac:dyDescent="0.25">
      <c r="A113" s="269" t="s">
        <v>496</v>
      </c>
      <c r="B113" s="313" t="s">
        <v>27</v>
      </c>
      <c r="C113" s="31" t="s">
        <v>14</v>
      </c>
      <c r="D113" s="306">
        <v>0</v>
      </c>
      <c r="E113" s="256">
        <v>100</v>
      </c>
      <c r="F113" s="11"/>
      <c r="G113" s="2">
        <f t="shared" si="4"/>
        <v>0</v>
      </c>
      <c r="H113" s="2">
        <f t="shared" si="5"/>
        <v>0</v>
      </c>
      <c r="I113" s="11">
        <f t="shared" ref="I113:I118" si="9">G113+H113</f>
        <v>0</v>
      </c>
      <c r="K113" s="161"/>
      <c r="L113" s="161"/>
      <c r="M113" s="161"/>
      <c r="N113" s="5"/>
    </row>
    <row r="114" spans="1:252" ht="31.2" hidden="1" outlineLevel="1" x14ac:dyDescent="0.25">
      <c r="A114" s="86"/>
      <c r="B114" s="309" t="s">
        <v>28</v>
      </c>
      <c r="C114" s="2" t="s">
        <v>8</v>
      </c>
      <c r="D114" s="340">
        <f>ROUND(D113*0.1*1.03,2)</f>
        <v>0</v>
      </c>
      <c r="E114" s="2"/>
      <c r="F114" s="164">
        <v>4100</v>
      </c>
      <c r="G114" s="2">
        <f t="shared" si="4"/>
        <v>0</v>
      </c>
      <c r="H114" s="2">
        <f t="shared" si="5"/>
        <v>0</v>
      </c>
      <c r="I114" s="11">
        <f t="shared" si="9"/>
        <v>0</v>
      </c>
      <c r="K114" s="161"/>
      <c r="L114" s="161"/>
      <c r="M114" s="161"/>
      <c r="N114" s="5"/>
    </row>
    <row r="115" spans="1:252" s="36" customFormat="1" ht="36" hidden="1" customHeight="1" outlineLevel="1" x14ac:dyDescent="0.25">
      <c r="A115" s="261" t="s">
        <v>621</v>
      </c>
      <c r="B115" s="307" t="s">
        <v>209</v>
      </c>
      <c r="C115" s="31" t="s">
        <v>14</v>
      </c>
      <c r="D115" s="306">
        <v>0</v>
      </c>
      <c r="E115" s="256">
        <v>150</v>
      </c>
      <c r="F115" s="11"/>
      <c r="G115" s="2">
        <f t="shared" si="4"/>
        <v>0</v>
      </c>
      <c r="H115" s="2">
        <f t="shared" si="5"/>
        <v>0</v>
      </c>
      <c r="I115" s="11">
        <f t="shared" si="9"/>
        <v>0</v>
      </c>
      <c r="K115" s="161"/>
      <c r="L115" s="161"/>
      <c r="M115" s="161"/>
      <c r="N115" s="5"/>
    </row>
    <row r="116" spans="1:252" hidden="1" outlineLevel="1" x14ac:dyDescent="0.25">
      <c r="A116" s="84"/>
      <c r="B116" s="309" t="s">
        <v>65</v>
      </c>
      <c r="C116" s="2" t="s">
        <v>15</v>
      </c>
      <c r="D116" s="340">
        <f>2.5*D115</f>
        <v>0</v>
      </c>
      <c r="E116" s="2"/>
      <c r="F116" s="361">
        <v>55</v>
      </c>
      <c r="G116" s="2">
        <f t="shared" si="4"/>
        <v>0</v>
      </c>
      <c r="H116" s="2">
        <f t="shared" si="5"/>
        <v>0</v>
      </c>
      <c r="I116" s="11">
        <f t="shared" si="9"/>
        <v>0</v>
      </c>
      <c r="K116" s="161"/>
      <c r="L116" s="161"/>
      <c r="M116" s="161"/>
      <c r="N116" s="5"/>
    </row>
    <row r="117" spans="1:252" hidden="1" outlineLevel="1" x14ac:dyDescent="0.25">
      <c r="A117" s="84"/>
      <c r="B117" s="309" t="s">
        <v>68</v>
      </c>
      <c r="C117" s="2" t="s">
        <v>30</v>
      </c>
      <c r="D117" s="340">
        <f>0.35*D115</f>
        <v>0</v>
      </c>
      <c r="E117" s="2"/>
      <c r="F117" s="361">
        <v>44</v>
      </c>
      <c r="G117" s="2">
        <f t="shared" si="4"/>
        <v>0</v>
      </c>
      <c r="H117" s="2">
        <f t="shared" si="5"/>
        <v>0</v>
      </c>
      <c r="I117" s="11">
        <f t="shared" si="9"/>
        <v>0</v>
      </c>
      <c r="K117" s="161"/>
      <c r="L117" s="161"/>
      <c r="M117" s="161"/>
      <c r="N117" s="5"/>
    </row>
    <row r="118" spans="1:252" s="36" customFormat="1" outlineLevel="1" x14ac:dyDescent="0.25">
      <c r="A118" s="92"/>
      <c r="B118" s="750" t="s">
        <v>1547</v>
      </c>
      <c r="C118" s="744" t="s">
        <v>1548</v>
      </c>
      <c r="D118" s="745">
        <v>66</v>
      </c>
      <c r="E118" s="746">
        <v>1100</v>
      </c>
      <c r="F118" s="747"/>
      <c r="G118" s="2">
        <f t="shared" si="4"/>
        <v>72600</v>
      </c>
      <c r="H118" s="2">
        <f t="shared" si="5"/>
        <v>0</v>
      </c>
      <c r="I118" s="11">
        <f t="shared" si="9"/>
        <v>72600</v>
      </c>
      <c r="K118" s="162"/>
      <c r="L118" s="162"/>
      <c r="M118" s="162"/>
    </row>
    <row r="119" spans="1:252" s="36" customFormat="1" outlineLevel="1" x14ac:dyDescent="0.25">
      <c r="A119" s="92"/>
      <c r="B119" s="748" t="s">
        <v>1543</v>
      </c>
      <c r="C119" s="744"/>
      <c r="D119" s="745"/>
      <c r="E119" s="746"/>
      <c r="F119" s="747"/>
      <c r="G119" s="474">
        <f>SUM(G58:G118)</f>
        <v>179979.7</v>
      </c>
      <c r="H119" s="2">
        <f t="shared" si="5"/>
        <v>0</v>
      </c>
      <c r="I119" s="749">
        <f>G119</f>
        <v>179979.7</v>
      </c>
      <c r="K119" s="162"/>
      <c r="L119" s="162"/>
      <c r="M119" s="162"/>
    </row>
    <row r="120" spans="1:252" s="36" customFormat="1" outlineLevel="1" x14ac:dyDescent="0.25">
      <c r="A120" s="92"/>
      <c r="B120" s="748" t="s">
        <v>1546</v>
      </c>
      <c r="C120" s="744"/>
      <c r="D120" s="745"/>
      <c r="E120" s="746"/>
      <c r="F120" s="747"/>
      <c r="G120" s="474"/>
      <c r="H120" s="473">
        <f>SUM(H58:H117)</f>
        <v>2753917.8320767842</v>
      </c>
      <c r="I120" s="749">
        <f>H120</f>
        <v>2753917.8320767842</v>
      </c>
      <c r="K120" s="162"/>
      <c r="L120" s="162"/>
      <c r="M120" s="162"/>
    </row>
    <row r="121" spans="1:252" s="36" customFormat="1" outlineLevel="1" x14ac:dyDescent="0.25">
      <c r="A121" s="92"/>
      <c r="B121" s="748" t="s">
        <v>1544</v>
      </c>
      <c r="C121" s="744"/>
      <c r="D121" s="745"/>
      <c r="E121" s="746"/>
      <c r="F121" s="747"/>
      <c r="G121" s="474"/>
      <c r="H121" s="746"/>
      <c r="I121" s="749">
        <f>G121</f>
        <v>0</v>
      </c>
      <c r="K121" s="162"/>
      <c r="L121" s="162"/>
      <c r="M121" s="162"/>
    </row>
    <row r="122" spans="1:252" s="36" customFormat="1" outlineLevel="1" x14ac:dyDescent="0.25">
      <c r="A122" s="92"/>
      <c r="B122" s="748" t="s">
        <v>1545</v>
      </c>
      <c r="C122" s="744"/>
      <c r="D122" s="745"/>
      <c r="E122" s="746"/>
      <c r="F122" s="747"/>
      <c r="G122" s="474"/>
      <c r="H122" s="746"/>
      <c r="I122" s="749">
        <f>G122</f>
        <v>0</v>
      </c>
      <c r="K122" s="162"/>
      <c r="L122" s="162"/>
      <c r="M122" s="162"/>
    </row>
    <row r="123" spans="1:252" s="36" customFormat="1" ht="31.2" x14ac:dyDescent="0.25">
      <c r="A123" s="212"/>
      <c r="B123" s="213" t="s">
        <v>577</v>
      </c>
      <c r="C123" s="222"/>
      <c r="D123" s="215"/>
      <c r="E123" s="216"/>
      <c r="F123" s="217"/>
      <c r="G123" s="216">
        <f>G119+G121+G122</f>
        <v>179979.7</v>
      </c>
      <c r="H123" s="216">
        <f>H120</f>
        <v>2753917.8320767842</v>
      </c>
      <c r="I123" s="215">
        <f>I120+I121+I122+I119</f>
        <v>2933897.5320767844</v>
      </c>
      <c r="J123" s="691"/>
    </row>
    <row r="124" spans="1:252" s="39" customFormat="1" ht="18.600000000000001" customHeight="1" x14ac:dyDescent="0.25">
      <c r="A124" s="739"/>
      <c r="B124" s="58" t="s">
        <v>624</v>
      </c>
      <c r="C124" s="9"/>
      <c r="D124" s="31"/>
      <c r="E124" s="10"/>
      <c r="F124" s="57"/>
      <c r="G124" s="10"/>
      <c r="H124" s="10"/>
      <c r="I124" s="31">
        <f>ROUND(I123/1.18*0.18,2)</f>
        <v>447543.69</v>
      </c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25"/>
      <c r="IH124" s="25"/>
      <c r="II124" s="25"/>
      <c r="IJ124" s="25"/>
      <c r="IK124" s="25"/>
      <c r="IL124" s="25"/>
      <c r="IM124" s="25"/>
      <c r="IN124" s="25"/>
      <c r="IO124" s="25"/>
      <c r="IP124" s="25"/>
      <c r="IQ124" s="25"/>
      <c r="IR124" s="25"/>
    </row>
    <row r="125" spans="1:252" ht="18.75" customHeight="1" x14ac:dyDescent="0.25">
      <c r="A125" s="104"/>
      <c r="B125" s="737" t="s">
        <v>789</v>
      </c>
      <c r="C125" s="105"/>
      <c r="D125" s="105"/>
      <c r="E125" s="105"/>
      <c r="F125" s="138"/>
      <c r="G125" s="105"/>
      <c r="H125" s="105"/>
      <c r="I125" s="106"/>
    </row>
    <row r="126" spans="1:252" ht="33.75" hidden="1" customHeight="1" x14ac:dyDescent="0.25">
      <c r="A126" s="107" t="s">
        <v>219</v>
      </c>
      <c r="B126" s="379" t="s">
        <v>1270</v>
      </c>
      <c r="C126" s="31" t="s">
        <v>8</v>
      </c>
      <c r="D126" s="166">
        <v>0</v>
      </c>
      <c r="E126" s="166">
        <v>1500</v>
      </c>
      <c r="F126" s="11"/>
      <c r="G126" s="2">
        <f>ROUND(E126*D126,2)</f>
        <v>0</v>
      </c>
      <c r="H126" s="2"/>
      <c r="I126" s="11">
        <f>G126+H126</f>
        <v>0</v>
      </c>
      <c r="J126" s="351"/>
      <c r="K126" s="351"/>
    </row>
    <row r="127" spans="1:252" ht="18" hidden="1" customHeight="1" x14ac:dyDescent="0.25">
      <c r="A127" s="332"/>
      <c r="B127" s="368" t="s">
        <v>790</v>
      </c>
      <c r="C127" s="2" t="s">
        <v>8</v>
      </c>
      <c r="D127" s="403">
        <f>D126*1.05</f>
        <v>0</v>
      </c>
      <c r="E127" s="2"/>
      <c r="F127" s="361">
        <v>11.7</v>
      </c>
      <c r="G127" s="2"/>
      <c r="H127" s="2">
        <f>ROUND(D127*F127,2)</f>
        <v>0</v>
      </c>
      <c r="I127" s="11">
        <f>G127+H127</f>
        <v>0</v>
      </c>
    </row>
    <row r="128" spans="1:252" ht="18.75" hidden="1" customHeight="1" x14ac:dyDescent="0.25">
      <c r="A128" s="332"/>
      <c r="B128" s="368" t="s">
        <v>791</v>
      </c>
      <c r="C128" s="2" t="s">
        <v>8</v>
      </c>
      <c r="D128" s="403">
        <f>ROUND(0.23*D126,2)</f>
        <v>0</v>
      </c>
      <c r="E128" s="2"/>
      <c r="F128" s="361">
        <v>2700</v>
      </c>
      <c r="G128" s="2"/>
      <c r="H128" s="2">
        <f>ROUND(D128*F128,2)</f>
        <v>0</v>
      </c>
      <c r="I128" s="11">
        <f>G128+H128</f>
        <v>0</v>
      </c>
    </row>
    <row r="129" spans="1:11" ht="17.25" hidden="1" customHeight="1" outlineLevel="1" x14ac:dyDescent="0.25">
      <c r="A129" s="84"/>
      <c r="B129" s="382" t="s">
        <v>869</v>
      </c>
      <c r="C129" s="2" t="s">
        <v>9</v>
      </c>
      <c r="D129" s="401">
        <v>0</v>
      </c>
      <c r="E129" s="31"/>
      <c r="F129" s="361">
        <v>42000</v>
      </c>
      <c r="G129" s="2"/>
      <c r="H129" s="2">
        <f>ROUND(D129*F129,2)</f>
        <v>0</v>
      </c>
      <c r="I129" s="11">
        <f t="shared" ref="I129:I186" si="10">G129+H129</f>
        <v>0</v>
      </c>
      <c r="K129" s="280"/>
    </row>
    <row r="130" spans="1:11" ht="17.25" hidden="1" customHeight="1" outlineLevel="1" x14ac:dyDescent="0.25">
      <c r="A130" s="84"/>
      <c r="B130" s="382" t="s">
        <v>870</v>
      </c>
      <c r="C130" s="2" t="s">
        <v>9</v>
      </c>
      <c r="D130" s="401">
        <v>0</v>
      </c>
      <c r="E130" s="31"/>
      <c r="F130" s="361">
        <v>42000</v>
      </c>
      <c r="G130" s="2"/>
      <c r="H130" s="2">
        <f>ROUND(D130*F130,2)</f>
        <v>0</v>
      </c>
      <c r="I130" s="11">
        <f t="shared" si="10"/>
        <v>0</v>
      </c>
      <c r="K130" s="280"/>
    </row>
    <row r="131" spans="1:11" ht="17.25" hidden="1" customHeight="1" outlineLevel="1" x14ac:dyDescent="0.25">
      <c r="A131" s="84"/>
      <c r="B131" s="382" t="s">
        <v>868</v>
      </c>
      <c r="C131" s="2" t="s">
        <v>9</v>
      </c>
      <c r="D131" s="401">
        <v>0</v>
      </c>
      <c r="E131" s="31"/>
      <c r="F131" s="361">
        <v>42000</v>
      </c>
      <c r="G131" s="2"/>
      <c r="H131" s="2">
        <f>ROUND(D131*F131,2)</f>
        <v>0</v>
      </c>
      <c r="I131" s="11">
        <f t="shared" si="10"/>
        <v>0</v>
      </c>
      <c r="K131" s="280"/>
    </row>
    <row r="132" spans="1:11" ht="32.25" customHeight="1" outlineLevel="2" x14ac:dyDescent="0.25">
      <c r="A132" s="107" t="s">
        <v>219</v>
      </c>
      <c r="B132" s="29" t="s">
        <v>1285</v>
      </c>
      <c r="C132" s="30" t="s">
        <v>8</v>
      </c>
      <c r="D132" s="31">
        <f>Д2!D108+Ек!D112+Д!D104+Е!D105</f>
        <v>1586.6671670000003</v>
      </c>
      <c r="E132" s="256">
        <v>1500</v>
      </c>
      <c r="F132" s="11"/>
      <c r="G132" s="2">
        <f>E132*D132</f>
        <v>2380000.7505000005</v>
      </c>
      <c r="H132" s="2"/>
      <c r="I132" s="11">
        <f>G132+H132</f>
        <v>2380000.7505000005</v>
      </c>
      <c r="J132" s="25">
        <f>1587*4.1</f>
        <v>6506.7</v>
      </c>
      <c r="K132" s="280"/>
    </row>
    <row r="133" spans="1:11" ht="17.25" customHeight="1" outlineLevel="2" x14ac:dyDescent="0.25">
      <c r="A133" s="84"/>
      <c r="B133" s="11" t="s">
        <v>796</v>
      </c>
      <c r="C133" s="2" t="s">
        <v>12</v>
      </c>
      <c r="D133" s="2">
        <f>D132*304</f>
        <v>482346.81876800011</v>
      </c>
      <c r="E133" s="158"/>
      <c r="F133" s="664">
        <v>8.8000000000000007</v>
      </c>
      <c r="G133" s="2">
        <f t="shared" ref="G133:G191" si="11">E133*D133</f>
        <v>0</v>
      </c>
      <c r="H133" s="2">
        <f>F133*D133</f>
        <v>4244652.0051584011</v>
      </c>
      <c r="I133" s="11">
        <f>G133+H133</f>
        <v>4244652.0051584011</v>
      </c>
      <c r="K133" s="280"/>
    </row>
    <row r="134" spans="1:11" ht="17.25" customHeight="1" outlineLevel="2" x14ac:dyDescent="0.25">
      <c r="A134" s="84"/>
      <c r="B134" s="11" t="s">
        <v>797</v>
      </c>
      <c r="C134" s="2" t="s">
        <v>8</v>
      </c>
      <c r="D134" s="2">
        <f>ROUND(0.23*D132,2)</f>
        <v>364.93</v>
      </c>
      <c r="E134" s="158"/>
      <c r="F134" s="361">
        <v>2600</v>
      </c>
      <c r="G134" s="2">
        <f t="shared" si="11"/>
        <v>0</v>
      </c>
      <c r="H134" s="2">
        <f t="shared" ref="H134:H192" si="12">F134*D134</f>
        <v>948818</v>
      </c>
      <c r="I134" s="11">
        <f>G134+H134</f>
        <v>948818</v>
      </c>
      <c r="K134" s="280"/>
    </row>
    <row r="135" spans="1:11" ht="17.25" customHeight="1" outlineLevel="2" x14ac:dyDescent="0.25">
      <c r="A135" s="84"/>
      <c r="B135" s="11" t="s">
        <v>862</v>
      </c>
      <c r="C135" s="2" t="s">
        <v>9</v>
      </c>
      <c r="D135" s="2">
        <v>7.5</v>
      </c>
      <c r="E135" s="158"/>
      <c r="F135" s="361">
        <v>62000</v>
      </c>
      <c r="G135" s="2">
        <f t="shared" si="11"/>
        <v>0</v>
      </c>
      <c r="H135" s="2">
        <f t="shared" si="12"/>
        <v>465000</v>
      </c>
      <c r="I135" s="11">
        <f>G135+H135</f>
        <v>465000</v>
      </c>
      <c r="K135" s="280"/>
    </row>
    <row r="136" spans="1:11" ht="18.75" customHeight="1" outlineLevel="2" x14ac:dyDescent="0.25">
      <c r="A136" s="107" t="s">
        <v>498</v>
      </c>
      <c r="B136" s="29" t="s">
        <v>963</v>
      </c>
      <c r="C136" s="30" t="s">
        <v>8</v>
      </c>
      <c r="D136" s="31">
        <f>кладка!N51</f>
        <v>179.6014725</v>
      </c>
      <c r="E136" s="256">
        <v>1500</v>
      </c>
      <c r="F136" s="11"/>
      <c r="G136" s="2">
        <f t="shared" si="11"/>
        <v>269402.20874999999</v>
      </c>
      <c r="H136" s="2">
        <f t="shared" si="12"/>
        <v>0</v>
      </c>
      <c r="I136" s="11">
        <f t="shared" si="10"/>
        <v>269402.20874999999</v>
      </c>
      <c r="K136" s="280"/>
    </row>
    <row r="137" spans="1:11" ht="33.75" customHeight="1" outlineLevel="2" x14ac:dyDescent="0.25">
      <c r="A137" s="84"/>
      <c r="B137" s="11" t="s">
        <v>793</v>
      </c>
      <c r="C137" s="2" t="s">
        <v>12</v>
      </c>
      <c r="D137" s="2">
        <f>D136*394</f>
        <v>70762.980165000001</v>
      </c>
      <c r="E137" s="158"/>
      <c r="F137" s="664">
        <v>11</v>
      </c>
      <c r="G137" s="2">
        <f t="shared" si="11"/>
        <v>0</v>
      </c>
      <c r="H137" s="2">
        <f t="shared" si="12"/>
        <v>778392.78181499999</v>
      </c>
      <c r="I137" s="11">
        <f t="shared" si="10"/>
        <v>778392.78181499999</v>
      </c>
      <c r="K137" s="280"/>
    </row>
    <row r="138" spans="1:11" ht="15" customHeight="1" outlineLevel="2" x14ac:dyDescent="0.25">
      <c r="A138" s="84"/>
      <c r="B138" s="11" t="s">
        <v>797</v>
      </c>
      <c r="C138" s="2" t="s">
        <v>8</v>
      </c>
      <c r="D138" s="2">
        <f>ROUND(0.23*D136,2)</f>
        <v>41.31</v>
      </c>
      <c r="E138" s="158"/>
      <c r="F138" s="361">
        <v>2600</v>
      </c>
      <c r="G138" s="2">
        <f t="shared" si="11"/>
        <v>0</v>
      </c>
      <c r="H138" s="2">
        <f t="shared" si="12"/>
        <v>107406</v>
      </c>
      <c r="I138" s="11">
        <f t="shared" si="10"/>
        <v>107406</v>
      </c>
      <c r="K138" s="280"/>
    </row>
    <row r="139" spans="1:11" ht="16.5" hidden="1" customHeight="1" outlineLevel="2" x14ac:dyDescent="0.25">
      <c r="A139" s="84"/>
      <c r="B139" s="11" t="s">
        <v>794</v>
      </c>
      <c r="C139" s="2" t="s">
        <v>8</v>
      </c>
      <c r="D139" s="2">
        <v>0</v>
      </c>
      <c r="E139" s="158"/>
      <c r="F139" s="664">
        <v>3196</v>
      </c>
      <c r="G139" s="2">
        <f t="shared" si="11"/>
        <v>0</v>
      </c>
      <c r="H139" s="2">
        <f t="shared" si="12"/>
        <v>0</v>
      </c>
      <c r="I139" s="11">
        <f t="shared" si="10"/>
        <v>0</v>
      </c>
      <c r="K139" s="280"/>
    </row>
    <row r="140" spans="1:11" ht="15" hidden="1" customHeight="1" outlineLevel="2" x14ac:dyDescent="0.25">
      <c r="A140" s="107" t="s">
        <v>501</v>
      </c>
      <c r="B140" s="29" t="s">
        <v>964</v>
      </c>
      <c r="C140" s="30" t="s">
        <v>8</v>
      </c>
      <c r="D140" s="31">
        <v>0</v>
      </c>
      <c r="E140" s="166">
        <v>1500</v>
      </c>
      <c r="F140" s="11"/>
      <c r="G140" s="2">
        <f t="shared" si="11"/>
        <v>0</v>
      </c>
      <c r="H140" s="2">
        <f t="shared" si="12"/>
        <v>0</v>
      </c>
      <c r="I140" s="11">
        <f t="shared" si="10"/>
        <v>0</v>
      </c>
      <c r="K140" s="280"/>
    </row>
    <row r="141" spans="1:11" ht="15" hidden="1" customHeight="1" outlineLevel="2" x14ac:dyDescent="0.25">
      <c r="A141" s="84"/>
      <c r="B141" s="11" t="s">
        <v>796</v>
      </c>
      <c r="C141" s="2" t="s">
        <v>12</v>
      </c>
      <c r="D141" s="2">
        <f>D140*400</f>
        <v>0</v>
      </c>
      <c r="E141" s="158"/>
      <c r="F141" s="361">
        <v>11.7</v>
      </c>
      <c r="G141" s="2">
        <f t="shared" si="11"/>
        <v>0</v>
      </c>
      <c r="H141" s="2">
        <f t="shared" si="12"/>
        <v>0</v>
      </c>
      <c r="I141" s="11">
        <f t="shared" si="10"/>
        <v>0</v>
      </c>
      <c r="K141" s="280"/>
    </row>
    <row r="142" spans="1:11" ht="15" hidden="1" customHeight="1" outlineLevel="2" x14ac:dyDescent="0.25">
      <c r="A142" s="84"/>
      <c r="B142" s="11" t="s">
        <v>756</v>
      </c>
      <c r="C142" s="2" t="s">
        <v>8</v>
      </c>
      <c r="D142" s="2">
        <f>ROUND(0.23*D140,2)</f>
        <v>0</v>
      </c>
      <c r="E142" s="158"/>
      <c r="F142" s="361">
        <v>2700</v>
      </c>
      <c r="G142" s="2">
        <f t="shared" si="11"/>
        <v>0</v>
      </c>
      <c r="H142" s="2">
        <f t="shared" si="12"/>
        <v>0</v>
      </c>
      <c r="I142" s="11">
        <f t="shared" si="10"/>
        <v>0</v>
      </c>
      <c r="K142" s="280"/>
    </row>
    <row r="143" spans="1:11" ht="18.899999999999999" hidden="1" customHeight="1" outlineLevel="2" x14ac:dyDescent="0.25">
      <c r="A143" s="107" t="s">
        <v>502</v>
      </c>
      <c r="B143" s="29" t="s">
        <v>795</v>
      </c>
      <c r="C143" s="30" t="s">
        <v>8</v>
      </c>
      <c r="D143" s="31">
        <v>0</v>
      </c>
      <c r="E143" s="166">
        <v>1500</v>
      </c>
      <c r="F143" s="11"/>
      <c r="G143" s="2">
        <f t="shared" si="11"/>
        <v>0</v>
      </c>
      <c r="H143" s="2">
        <f t="shared" si="12"/>
        <v>0</v>
      </c>
      <c r="I143" s="11">
        <f t="shared" si="10"/>
        <v>0</v>
      </c>
      <c r="K143" s="280"/>
    </row>
    <row r="144" spans="1:11" ht="15.75" hidden="1" customHeight="1" outlineLevel="2" x14ac:dyDescent="0.25">
      <c r="A144" s="84"/>
      <c r="B144" s="11" t="s">
        <v>796</v>
      </c>
      <c r="C144" s="2" t="s">
        <v>12</v>
      </c>
      <c r="D144" s="2">
        <f>D143*400</f>
        <v>0</v>
      </c>
      <c r="E144" s="158"/>
      <c r="F144" s="361">
        <v>11.7</v>
      </c>
      <c r="G144" s="2">
        <f t="shared" si="11"/>
        <v>0</v>
      </c>
      <c r="H144" s="2">
        <f t="shared" si="12"/>
        <v>0</v>
      </c>
      <c r="I144" s="11">
        <f t="shared" si="10"/>
        <v>0</v>
      </c>
      <c r="K144" s="280"/>
    </row>
    <row r="145" spans="1:12" ht="15" hidden="1" customHeight="1" outlineLevel="2" x14ac:dyDescent="0.25">
      <c r="A145" s="84"/>
      <c r="B145" s="11" t="s">
        <v>756</v>
      </c>
      <c r="C145" s="2" t="s">
        <v>8</v>
      </c>
      <c r="D145" s="2">
        <f>ROUND(0.23*D143,2)</f>
        <v>0</v>
      </c>
      <c r="E145" s="158"/>
      <c r="F145" s="361">
        <v>2700</v>
      </c>
      <c r="G145" s="2">
        <f t="shared" si="11"/>
        <v>0</v>
      </c>
      <c r="H145" s="2">
        <f t="shared" si="12"/>
        <v>0</v>
      </c>
      <c r="I145" s="11">
        <f t="shared" si="10"/>
        <v>0</v>
      </c>
      <c r="K145" s="280"/>
    </row>
    <row r="146" spans="1:12" ht="31.2" outlineLevel="2" x14ac:dyDescent="0.25">
      <c r="A146" s="107" t="s">
        <v>499</v>
      </c>
      <c r="B146" s="29" t="s">
        <v>798</v>
      </c>
      <c r="C146" s="30" t="s">
        <v>8</v>
      </c>
      <c r="D146" s="31">
        <f>Д2!D122+Ек!D126+Д!D117+Е!D119</f>
        <v>70.625047999999964</v>
      </c>
      <c r="E146" s="256">
        <v>1500</v>
      </c>
      <c r="F146" s="11"/>
      <c r="G146" s="2">
        <f t="shared" si="11"/>
        <v>105937.57199999994</v>
      </c>
      <c r="H146" s="2">
        <f t="shared" si="12"/>
        <v>0</v>
      </c>
      <c r="I146" s="11">
        <f t="shared" si="10"/>
        <v>105937.57199999994</v>
      </c>
      <c r="K146" s="5"/>
      <c r="L146" s="132"/>
    </row>
    <row r="147" spans="1:12" s="17" customFormat="1" ht="31.2" outlineLevel="2" x14ac:dyDescent="0.25">
      <c r="A147" s="86"/>
      <c r="B147" s="11" t="s">
        <v>799</v>
      </c>
      <c r="C147" s="2" t="s">
        <v>12</v>
      </c>
      <c r="D147" s="2">
        <f>D146*394</f>
        <v>27826.268911999985</v>
      </c>
      <c r="E147" s="2"/>
      <c r="F147" s="664">
        <v>11</v>
      </c>
      <c r="G147" s="2">
        <f t="shared" si="11"/>
        <v>0</v>
      </c>
      <c r="H147" s="2">
        <f t="shared" si="12"/>
        <v>306088.95803199982</v>
      </c>
      <c r="I147" s="11">
        <f t="shared" si="10"/>
        <v>306088.95803199982</v>
      </c>
    </row>
    <row r="148" spans="1:12" s="6" customFormat="1" outlineLevel="2" x14ac:dyDescent="0.25">
      <c r="A148" s="88"/>
      <c r="B148" s="11" t="s">
        <v>800</v>
      </c>
      <c r="C148" s="2" t="s">
        <v>8</v>
      </c>
      <c r="D148" s="2">
        <f>ROUND(0.23*D146,2)</f>
        <v>16.239999999999998</v>
      </c>
      <c r="E148" s="2"/>
      <c r="F148" s="361">
        <v>2500</v>
      </c>
      <c r="G148" s="2">
        <f t="shared" si="11"/>
        <v>0</v>
      </c>
      <c r="H148" s="2">
        <f t="shared" si="12"/>
        <v>40599.999999999993</v>
      </c>
      <c r="I148" s="11">
        <f t="shared" si="10"/>
        <v>40599.999999999993</v>
      </c>
      <c r="J148" s="693"/>
    </row>
    <row r="149" spans="1:12" s="6" customFormat="1" outlineLevel="2" x14ac:dyDescent="0.25">
      <c r="A149" s="83"/>
      <c r="B149" s="11" t="s">
        <v>1560</v>
      </c>
      <c r="C149" s="2" t="s">
        <v>8</v>
      </c>
      <c r="D149" s="2">
        <f>Д2!D125+Ек!D129+Д!D120+Е!D122</f>
        <v>69.262199999999964</v>
      </c>
      <c r="E149" s="2"/>
      <c r="F149" s="664">
        <v>3196</v>
      </c>
      <c r="G149" s="2">
        <f t="shared" si="11"/>
        <v>0</v>
      </c>
      <c r="H149" s="2">
        <f t="shared" si="12"/>
        <v>221361.99119999987</v>
      </c>
      <c r="I149" s="11">
        <f t="shared" si="10"/>
        <v>221361.99119999987</v>
      </c>
      <c r="J149" s="693"/>
    </row>
    <row r="150" spans="1:12" s="6" customFormat="1" outlineLevel="2" x14ac:dyDescent="0.25">
      <c r="A150" s="107" t="s">
        <v>500</v>
      </c>
      <c r="B150" s="205" t="s">
        <v>16</v>
      </c>
      <c r="C150" s="31" t="s">
        <v>12</v>
      </c>
      <c r="D150" s="160">
        <f>SUM(D151:D167)</f>
        <v>561</v>
      </c>
      <c r="E150" s="256"/>
      <c r="F150" s="11"/>
      <c r="G150" s="2">
        <f t="shared" si="11"/>
        <v>0</v>
      </c>
      <c r="H150" s="2">
        <f t="shared" si="12"/>
        <v>0</v>
      </c>
      <c r="I150" s="11">
        <f t="shared" si="10"/>
        <v>0</v>
      </c>
      <c r="J150" s="693"/>
    </row>
    <row r="151" spans="1:12" s="6" customFormat="1" outlineLevel="2" x14ac:dyDescent="0.25">
      <c r="A151" s="83"/>
      <c r="B151" s="33" t="s">
        <v>855</v>
      </c>
      <c r="C151" s="2" t="s">
        <v>12</v>
      </c>
      <c r="D151" s="64">
        <f>Д2!D127+Ек!D131+Д!D122+Е!D124</f>
        <v>116</v>
      </c>
      <c r="E151" s="2"/>
      <c r="F151" s="664">
        <v>2147</v>
      </c>
      <c r="G151" s="2">
        <f t="shared" si="11"/>
        <v>0</v>
      </c>
      <c r="H151" s="2">
        <f t="shared" si="12"/>
        <v>249052</v>
      </c>
      <c r="I151" s="11">
        <f t="shared" si="10"/>
        <v>249052</v>
      </c>
      <c r="J151" s="693"/>
    </row>
    <row r="152" spans="1:12" s="6" customFormat="1" outlineLevel="2" x14ac:dyDescent="0.25">
      <c r="A152" s="83"/>
      <c r="B152" s="33" t="s">
        <v>857</v>
      </c>
      <c r="C152" s="2" t="s">
        <v>12</v>
      </c>
      <c r="D152" s="64">
        <f>Д2!D128+Ек!D132+Е!D125</f>
        <v>30</v>
      </c>
      <c r="E152" s="2"/>
      <c r="F152" s="664">
        <v>1415</v>
      </c>
      <c r="G152" s="2">
        <f t="shared" si="11"/>
        <v>0</v>
      </c>
      <c r="H152" s="2">
        <f t="shared" si="12"/>
        <v>42450</v>
      </c>
      <c r="I152" s="11">
        <f t="shared" si="10"/>
        <v>42450</v>
      </c>
      <c r="J152" s="693"/>
    </row>
    <row r="153" spans="1:12" s="6" customFormat="1" outlineLevel="2" x14ac:dyDescent="0.25">
      <c r="A153" s="83"/>
      <c r="B153" s="33" t="s">
        <v>871</v>
      </c>
      <c r="C153" s="2" t="s">
        <v>12</v>
      </c>
      <c r="D153" s="64">
        <f>Ек!D133+Д!D123+Е!D126</f>
        <v>43</v>
      </c>
      <c r="E153" s="2"/>
      <c r="F153" s="164">
        <v>2500</v>
      </c>
      <c r="G153" s="2">
        <f t="shared" si="11"/>
        <v>0</v>
      </c>
      <c r="H153" s="2">
        <f t="shared" si="12"/>
        <v>107500</v>
      </c>
      <c r="I153" s="11">
        <f t="shared" si="10"/>
        <v>107500</v>
      </c>
      <c r="J153" s="693"/>
    </row>
    <row r="154" spans="1:12" s="6" customFormat="1" outlineLevel="2" x14ac:dyDescent="0.25">
      <c r="A154" s="83"/>
      <c r="B154" s="33" t="s">
        <v>858</v>
      </c>
      <c r="C154" s="2" t="s">
        <v>12</v>
      </c>
      <c r="D154" s="64">
        <f>Ек!D134+Е!D127</f>
        <v>11</v>
      </c>
      <c r="E154" s="2"/>
      <c r="F154" s="164">
        <v>1900</v>
      </c>
      <c r="G154" s="2">
        <f t="shared" si="11"/>
        <v>0</v>
      </c>
      <c r="H154" s="2">
        <f t="shared" si="12"/>
        <v>20900</v>
      </c>
      <c r="I154" s="11">
        <f t="shared" si="10"/>
        <v>20900</v>
      </c>
      <c r="J154" s="693"/>
    </row>
    <row r="155" spans="1:12" s="6" customFormat="1" outlineLevel="2" x14ac:dyDescent="0.25">
      <c r="A155" s="83"/>
      <c r="B155" s="33" t="s">
        <v>859</v>
      </c>
      <c r="C155" s="2" t="s">
        <v>12</v>
      </c>
      <c r="D155" s="64">
        <f>Д2!D129+Ек!D135</f>
        <v>18</v>
      </c>
      <c r="E155" s="2"/>
      <c r="F155" s="664">
        <v>1317</v>
      </c>
      <c r="G155" s="2">
        <f t="shared" si="11"/>
        <v>0</v>
      </c>
      <c r="H155" s="2">
        <f t="shared" si="12"/>
        <v>23706</v>
      </c>
      <c r="I155" s="11">
        <f t="shared" si="10"/>
        <v>23706</v>
      </c>
      <c r="J155" s="693"/>
    </row>
    <row r="156" spans="1:12" s="6" customFormat="1" outlineLevel="2" x14ac:dyDescent="0.25">
      <c r="A156" s="83"/>
      <c r="B156" s="11" t="s">
        <v>872</v>
      </c>
      <c r="C156" s="2" t="s">
        <v>12</v>
      </c>
      <c r="D156" s="42">
        <f>Д2!D130+Ек!D136+Д!D124+Е!D128</f>
        <v>177</v>
      </c>
      <c r="E156" s="2"/>
      <c r="F156" s="664">
        <v>495</v>
      </c>
      <c r="G156" s="2">
        <f t="shared" si="11"/>
        <v>0</v>
      </c>
      <c r="H156" s="2">
        <f t="shared" si="12"/>
        <v>87615</v>
      </c>
      <c r="I156" s="11">
        <f t="shared" si="10"/>
        <v>87615</v>
      </c>
      <c r="J156" s="693"/>
    </row>
    <row r="157" spans="1:12" s="6" customFormat="1" outlineLevel="2" x14ac:dyDescent="0.25">
      <c r="A157" s="83"/>
      <c r="B157" s="11" t="s">
        <v>754</v>
      </c>
      <c r="C157" s="2" t="s">
        <v>12</v>
      </c>
      <c r="D157" s="42">
        <f>Д!D126</f>
        <v>2</v>
      </c>
      <c r="E157" s="2"/>
      <c r="F157" s="164">
        <v>300</v>
      </c>
      <c r="G157" s="2">
        <f t="shared" si="11"/>
        <v>0</v>
      </c>
      <c r="H157" s="2">
        <f t="shared" si="12"/>
        <v>600</v>
      </c>
      <c r="I157" s="11">
        <f>G157+H157</f>
        <v>600</v>
      </c>
      <c r="J157" s="693"/>
    </row>
    <row r="158" spans="1:12" s="6" customFormat="1" outlineLevel="2" x14ac:dyDescent="0.25">
      <c r="A158" s="83"/>
      <c r="B158" s="11" t="s">
        <v>873</v>
      </c>
      <c r="C158" s="2" t="s">
        <v>12</v>
      </c>
      <c r="D158" s="42">
        <f>Д2!D131+Д!D125</f>
        <v>10</v>
      </c>
      <c r="E158" s="2"/>
      <c r="F158" s="664">
        <v>310</v>
      </c>
      <c r="G158" s="2">
        <f t="shared" si="11"/>
        <v>0</v>
      </c>
      <c r="H158" s="2">
        <f t="shared" si="12"/>
        <v>3100</v>
      </c>
      <c r="I158" s="11">
        <f t="shared" si="10"/>
        <v>3100</v>
      </c>
      <c r="J158" s="693"/>
    </row>
    <row r="159" spans="1:12" s="6" customFormat="1" outlineLevel="2" x14ac:dyDescent="0.25">
      <c r="A159" s="83"/>
      <c r="B159" s="11" t="s">
        <v>1394</v>
      </c>
      <c r="C159" s="2" t="s">
        <v>12</v>
      </c>
      <c r="D159" s="42">
        <f>Ек!D137</f>
        <v>2</v>
      </c>
      <c r="E159" s="2"/>
      <c r="F159" s="164">
        <v>280</v>
      </c>
      <c r="G159" s="2">
        <f t="shared" si="11"/>
        <v>0</v>
      </c>
      <c r="H159" s="2">
        <f t="shared" si="12"/>
        <v>560</v>
      </c>
      <c r="I159" s="11">
        <f t="shared" si="10"/>
        <v>560</v>
      </c>
      <c r="J159" s="693"/>
    </row>
    <row r="160" spans="1:12" s="6" customFormat="1" outlineLevel="2" x14ac:dyDescent="0.25">
      <c r="A160" s="83"/>
      <c r="B160" s="45" t="s">
        <v>876</v>
      </c>
      <c r="C160" s="2" t="s">
        <v>12</v>
      </c>
      <c r="D160" s="42">
        <f>Д2!D132+Ек!D138+Е!D129</f>
        <v>56</v>
      </c>
      <c r="E160" s="2"/>
      <c r="F160" s="664">
        <v>631</v>
      </c>
      <c r="G160" s="2">
        <f t="shared" si="11"/>
        <v>0</v>
      </c>
      <c r="H160" s="2">
        <f t="shared" si="12"/>
        <v>35336</v>
      </c>
      <c r="I160" s="11">
        <f t="shared" si="10"/>
        <v>35336</v>
      </c>
      <c r="J160" s="693"/>
    </row>
    <row r="161" spans="1:11" s="6" customFormat="1" outlineLevel="2" x14ac:dyDescent="0.25">
      <c r="A161" s="83"/>
      <c r="B161" s="45" t="s">
        <v>361</v>
      </c>
      <c r="C161" s="2" t="s">
        <v>12</v>
      </c>
      <c r="D161" s="42">
        <f>Ек!D139</f>
        <v>4</v>
      </c>
      <c r="E161" s="2"/>
      <c r="F161" s="164">
        <v>300</v>
      </c>
      <c r="G161" s="2">
        <f t="shared" si="11"/>
        <v>0</v>
      </c>
      <c r="H161" s="2">
        <f t="shared" si="12"/>
        <v>1200</v>
      </c>
      <c r="I161" s="11">
        <f t="shared" si="10"/>
        <v>1200</v>
      </c>
      <c r="J161" s="693"/>
    </row>
    <row r="162" spans="1:11" s="6" customFormat="1" outlineLevel="2" x14ac:dyDescent="0.25">
      <c r="A162" s="83"/>
      <c r="B162" s="45" t="s">
        <v>880</v>
      </c>
      <c r="C162" s="2" t="s">
        <v>12</v>
      </c>
      <c r="D162" s="42">
        <f>Д2!D133+Ек!D140+Д!D127+Е!D131</f>
        <v>34</v>
      </c>
      <c r="E162" s="2"/>
      <c r="F162" s="664">
        <v>386</v>
      </c>
      <c r="G162" s="2">
        <f t="shared" si="11"/>
        <v>0</v>
      </c>
      <c r="H162" s="2">
        <f t="shared" si="12"/>
        <v>13124</v>
      </c>
      <c r="I162" s="11">
        <f t="shared" si="10"/>
        <v>13124</v>
      </c>
      <c r="J162" s="693"/>
    </row>
    <row r="163" spans="1:11" s="6" customFormat="1" outlineLevel="2" x14ac:dyDescent="0.25">
      <c r="A163" s="83"/>
      <c r="B163" s="45" t="s">
        <v>1395</v>
      </c>
      <c r="C163" s="2" t="s">
        <v>12</v>
      </c>
      <c r="D163" s="42">
        <f>Ек!D141</f>
        <v>2</v>
      </c>
      <c r="E163" s="2"/>
      <c r="F163" s="164">
        <v>800</v>
      </c>
      <c r="G163" s="2">
        <f t="shared" si="11"/>
        <v>0</v>
      </c>
      <c r="H163" s="2">
        <f t="shared" si="12"/>
        <v>1600</v>
      </c>
      <c r="I163" s="11">
        <f t="shared" si="10"/>
        <v>1600</v>
      </c>
      <c r="J163" s="693"/>
    </row>
    <row r="164" spans="1:11" s="6" customFormat="1" outlineLevel="2" x14ac:dyDescent="0.25">
      <c r="A164" s="83"/>
      <c r="B164" s="45" t="s">
        <v>1396</v>
      </c>
      <c r="C164" s="2" t="s">
        <v>12</v>
      </c>
      <c r="D164" s="42">
        <f>Ек!D142+Е!D130</f>
        <v>10</v>
      </c>
      <c r="E164" s="2"/>
      <c r="F164" s="164">
        <v>2000</v>
      </c>
      <c r="G164" s="2">
        <f t="shared" si="11"/>
        <v>0</v>
      </c>
      <c r="H164" s="2">
        <f t="shared" si="12"/>
        <v>20000</v>
      </c>
      <c r="I164" s="11">
        <f>G164+H164</f>
        <v>20000</v>
      </c>
      <c r="J164" s="693"/>
    </row>
    <row r="165" spans="1:11" s="6" customFormat="1" outlineLevel="2" x14ac:dyDescent="0.25">
      <c r="A165" s="83"/>
      <c r="B165" s="45" t="s">
        <v>1355</v>
      </c>
      <c r="C165" s="2" t="s">
        <v>12</v>
      </c>
      <c r="D165" s="42">
        <f>Ек!D143+Е!D132</f>
        <v>6</v>
      </c>
      <c r="E165" s="2"/>
      <c r="F165" s="164">
        <v>1000</v>
      </c>
      <c r="G165" s="2">
        <f t="shared" si="11"/>
        <v>0</v>
      </c>
      <c r="H165" s="2">
        <f t="shared" si="12"/>
        <v>6000</v>
      </c>
      <c r="I165" s="11">
        <f>G165+H165</f>
        <v>6000</v>
      </c>
      <c r="J165" s="693"/>
    </row>
    <row r="166" spans="1:11" s="6" customFormat="1" outlineLevel="2" x14ac:dyDescent="0.25">
      <c r="A166" s="83"/>
      <c r="B166" s="45" t="s">
        <v>861</v>
      </c>
      <c r="C166" s="2" t="s">
        <v>12</v>
      </c>
      <c r="D166" s="42">
        <f>Д2!D134+Д!D128</f>
        <v>4</v>
      </c>
      <c r="E166" s="2"/>
      <c r="F166" s="664">
        <v>2139</v>
      </c>
      <c r="G166" s="2">
        <f t="shared" si="11"/>
        <v>0</v>
      </c>
      <c r="H166" s="2">
        <f t="shared" si="12"/>
        <v>8556</v>
      </c>
      <c r="I166" s="11">
        <f t="shared" si="10"/>
        <v>8556</v>
      </c>
      <c r="J166" s="693"/>
    </row>
    <row r="167" spans="1:11" s="6" customFormat="1" outlineLevel="2" x14ac:dyDescent="0.25">
      <c r="A167" s="83"/>
      <c r="B167" s="45" t="s">
        <v>882</v>
      </c>
      <c r="C167" s="41" t="s">
        <v>12</v>
      </c>
      <c r="D167" s="42">
        <f>Д2!D135+Ек!D144+Д!D129+Е!D133</f>
        <v>36</v>
      </c>
      <c r="E167" s="2"/>
      <c r="F167" s="361">
        <v>454</v>
      </c>
      <c r="G167" s="2">
        <f t="shared" si="11"/>
        <v>0</v>
      </c>
      <c r="H167" s="2">
        <f t="shared" si="12"/>
        <v>16344</v>
      </c>
      <c r="I167" s="11">
        <f t="shared" si="10"/>
        <v>16344</v>
      </c>
      <c r="J167" s="693"/>
    </row>
    <row r="168" spans="1:11" s="6" customFormat="1" outlineLevel="2" x14ac:dyDescent="0.25">
      <c r="A168" s="83"/>
      <c r="B168" s="45" t="s">
        <v>875</v>
      </c>
      <c r="C168" s="41" t="s">
        <v>15</v>
      </c>
      <c r="D168" s="42">
        <f>Д2!D136+Ек!D145+Д!D130+Е!D134</f>
        <v>856.06</v>
      </c>
      <c r="E168" s="2"/>
      <c r="F168" s="364">
        <v>36</v>
      </c>
      <c r="G168" s="2">
        <f t="shared" si="11"/>
        <v>0</v>
      </c>
      <c r="H168" s="2">
        <f t="shared" si="12"/>
        <v>30818.159999999996</v>
      </c>
      <c r="I168" s="11">
        <f t="shared" si="10"/>
        <v>30818.159999999996</v>
      </c>
      <c r="J168" s="693"/>
    </row>
    <row r="169" spans="1:11" s="6" customFormat="1" outlineLevel="2" x14ac:dyDescent="0.25">
      <c r="A169" s="83"/>
      <c r="B169" s="45" t="s">
        <v>368</v>
      </c>
      <c r="C169" s="41" t="s">
        <v>15</v>
      </c>
      <c r="D169" s="50">
        <f>Д2!D137+Д2!D138+Ек!D146+Ек!D147+Ек!D148+Д!D131+Д!D132+Е!D135+Е!D136</f>
        <v>134.74</v>
      </c>
      <c r="E169" s="351"/>
      <c r="F169" s="364">
        <v>33</v>
      </c>
      <c r="G169" s="2">
        <f t="shared" si="11"/>
        <v>0</v>
      </c>
      <c r="H169" s="2">
        <f t="shared" si="12"/>
        <v>4446.42</v>
      </c>
      <c r="I169" s="11">
        <f>G169+H169</f>
        <v>4446.42</v>
      </c>
      <c r="J169" s="693"/>
      <c r="K169" s="5"/>
    </row>
    <row r="170" spans="1:11" s="6" customFormat="1" outlineLevel="2" x14ac:dyDescent="0.25">
      <c r="A170" s="76"/>
      <c r="B170" s="45" t="s">
        <v>1520</v>
      </c>
      <c r="C170" s="41" t="s">
        <v>15</v>
      </c>
      <c r="D170" s="42">
        <f>Д2!D139+Ек!D149+Д!D133+Е!D137</f>
        <v>1140.3499999999999</v>
      </c>
      <c r="E170" s="2"/>
      <c r="F170" s="364">
        <v>33</v>
      </c>
      <c r="G170" s="2">
        <f t="shared" si="11"/>
        <v>0</v>
      </c>
      <c r="H170" s="2">
        <f t="shared" si="12"/>
        <v>37631.549999999996</v>
      </c>
      <c r="I170" s="11">
        <f t="shared" si="10"/>
        <v>37631.549999999996</v>
      </c>
      <c r="J170" s="693"/>
      <c r="K170" s="5"/>
    </row>
    <row r="171" spans="1:11" s="6" customFormat="1" outlineLevel="2" x14ac:dyDescent="0.25">
      <c r="A171" s="107" t="s">
        <v>501</v>
      </c>
      <c r="B171" s="29" t="s">
        <v>965</v>
      </c>
      <c r="C171" s="30" t="s">
        <v>8</v>
      </c>
      <c r="D171" s="31">
        <f>Д2!D140+Ек!D150+Д!D134+Е!D138</f>
        <v>197.4</v>
      </c>
      <c r="E171" s="256">
        <v>1500</v>
      </c>
      <c r="F171" s="11"/>
      <c r="G171" s="2">
        <f t="shared" si="11"/>
        <v>296100</v>
      </c>
      <c r="H171" s="2">
        <f t="shared" si="12"/>
        <v>0</v>
      </c>
      <c r="I171" s="11">
        <f t="shared" si="10"/>
        <v>296100</v>
      </c>
      <c r="J171" s="693"/>
      <c r="K171" s="5"/>
    </row>
    <row r="172" spans="1:11" s="6" customFormat="1" outlineLevel="2" x14ac:dyDescent="0.25">
      <c r="A172" s="76"/>
      <c r="B172" s="11" t="s">
        <v>966</v>
      </c>
      <c r="C172" s="2" t="s">
        <v>8</v>
      </c>
      <c r="D172" s="64">
        <f>D171*1.05</f>
        <v>207.27</v>
      </c>
      <c r="E172" s="2"/>
      <c r="F172" s="361">
        <v>3450</v>
      </c>
      <c r="G172" s="2">
        <f t="shared" si="11"/>
        <v>0</v>
      </c>
      <c r="H172" s="2">
        <f t="shared" si="12"/>
        <v>715081.5</v>
      </c>
      <c r="I172" s="11">
        <f t="shared" si="10"/>
        <v>715081.5</v>
      </c>
      <c r="J172" s="693"/>
      <c r="K172" s="5"/>
    </row>
    <row r="173" spans="1:11" s="6" customFormat="1" outlineLevel="2" x14ac:dyDescent="0.25">
      <c r="A173" s="76"/>
      <c r="B173" s="11" t="s">
        <v>756</v>
      </c>
      <c r="C173" s="2" t="s">
        <v>8</v>
      </c>
      <c r="D173" s="2">
        <f>ROUND(0.23*D171,2)</f>
        <v>45.4</v>
      </c>
      <c r="E173" s="2"/>
      <c r="F173" s="361">
        <v>2500</v>
      </c>
      <c r="G173" s="2">
        <f t="shared" si="11"/>
        <v>0</v>
      </c>
      <c r="H173" s="2">
        <f t="shared" si="12"/>
        <v>113500</v>
      </c>
      <c r="I173" s="11">
        <f t="shared" si="10"/>
        <v>113500</v>
      </c>
      <c r="J173" s="693"/>
      <c r="K173" s="5"/>
    </row>
    <row r="174" spans="1:11" s="6" customFormat="1" ht="32.25" customHeight="1" outlineLevel="2" x14ac:dyDescent="0.25">
      <c r="A174" s="107" t="s">
        <v>502</v>
      </c>
      <c r="B174" s="29" t="s">
        <v>645</v>
      </c>
      <c r="C174" s="174" t="s">
        <v>14</v>
      </c>
      <c r="D174" s="31">
        <f>Д2!D143+Ек!D153+Д!D137+Е!D141</f>
        <v>1501</v>
      </c>
      <c r="E174" s="256">
        <v>300</v>
      </c>
      <c r="F174" s="11"/>
      <c r="G174" s="2">
        <f t="shared" si="11"/>
        <v>450300</v>
      </c>
      <c r="H174" s="2">
        <f t="shared" si="12"/>
        <v>0</v>
      </c>
      <c r="I174" s="11">
        <f t="shared" si="10"/>
        <v>450300</v>
      </c>
      <c r="J174" s="693"/>
      <c r="K174" s="5"/>
    </row>
    <row r="175" spans="1:11" s="6" customFormat="1" ht="31.2" outlineLevel="2" x14ac:dyDescent="0.25">
      <c r="A175" s="76"/>
      <c r="B175" s="11" t="s">
        <v>968</v>
      </c>
      <c r="C175" s="2" t="s">
        <v>12</v>
      </c>
      <c r="D175" s="2">
        <f>D174*3</f>
        <v>4503</v>
      </c>
      <c r="E175" s="2"/>
      <c r="F175" s="664">
        <v>129</v>
      </c>
      <c r="G175" s="2">
        <f t="shared" si="11"/>
        <v>0</v>
      </c>
      <c r="H175" s="2">
        <f t="shared" si="12"/>
        <v>580887</v>
      </c>
      <c r="I175" s="11">
        <f t="shared" si="10"/>
        <v>580887</v>
      </c>
      <c r="J175" s="693"/>
      <c r="K175" s="5"/>
    </row>
    <row r="176" spans="1:11" s="6" customFormat="1" outlineLevel="2" x14ac:dyDescent="0.25">
      <c r="A176" s="76"/>
      <c r="B176" s="11" t="s">
        <v>642</v>
      </c>
      <c r="C176" s="2" t="s">
        <v>12</v>
      </c>
      <c r="D176" s="2">
        <f>D174*0.75</f>
        <v>1125.75</v>
      </c>
      <c r="E176" s="2"/>
      <c r="F176" s="164">
        <v>2.79</v>
      </c>
      <c r="G176" s="2">
        <f t="shared" si="11"/>
        <v>0</v>
      </c>
      <c r="H176" s="2">
        <f t="shared" si="12"/>
        <v>3140.8425000000002</v>
      </c>
      <c r="I176" s="11">
        <f t="shared" si="10"/>
        <v>3140.8425000000002</v>
      </c>
      <c r="J176" s="693"/>
      <c r="K176" s="5"/>
    </row>
    <row r="177" spans="1:13" s="6" customFormat="1" ht="15.75" customHeight="1" outlineLevel="2" x14ac:dyDescent="0.25">
      <c r="A177" s="76"/>
      <c r="B177" s="11" t="s">
        <v>644</v>
      </c>
      <c r="C177" s="2" t="s">
        <v>643</v>
      </c>
      <c r="D177" s="2">
        <f>D174*0.026</f>
        <v>39.025999999999996</v>
      </c>
      <c r="E177" s="2"/>
      <c r="F177" s="164">
        <v>110</v>
      </c>
      <c r="G177" s="2">
        <f t="shared" si="11"/>
        <v>0</v>
      </c>
      <c r="H177" s="2">
        <f t="shared" si="12"/>
        <v>4292.8599999999997</v>
      </c>
      <c r="I177" s="11">
        <f t="shared" si="10"/>
        <v>4292.8599999999997</v>
      </c>
      <c r="J177" s="693"/>
      <c r="K177" s="5"/>
    </row>
    <row r="178" spans="1:13" s="6" customFormat="1" outlineLevel="2" x14ac:dyDescent="0.25">
      <c r="B178" s="11" t="s">
        <v>967</v>
      </c>
      <c r="C178" s="2" t="s">
        <v>15</v>
      </c>
      <c r="D178" s="2">
        <f>D174*2</f>
        <v>3002</v>
      </c>
      <c r="E178" s="2"/>
      <c r="F178" s="164">
        <v>8.9700000000000006</v>
      </c>
      <c r="G178" s="2">
        <f t="shared" si="11"/>
        <v>0</v>
      </c>
      <c r="H178" s="2">
        <f t="shared" si="12"/>
        <v>26927.940000000002</v>
      </c>
      <c r="I178" s="11">
        <f t="shared" si="10"/>
        <v>26927.940000000002</v>
      </c>
      <c r="J178" s="693"/>
      <c r="K178" s="5"/>
    </row>
    <row r="179" spans="1:13" s="6" customFormat="1" ht="31.2" outlineLevel="2" x14ac:dyDescent="0.25">
      <c r="A179" s="107" t="s">
        <v>503</v>
      </c>
      <c r="B179" s="29" t="s">
        <v>646</v>
      </c>
      <c r="C179" s="174" t="s">
        <v>14</v>
      </c>
      <c r="D179" s="31">
        <f>Д2!D148+Ек!D158+Д!D142+Е!D146</f>
        <v>849</v>
      </c>
      <c r="E179" s="256">
        <v>300</v>
      </c>
      <c r="F179" s="164"/>
      <c r="G179" s="2">
        <f t="shared" si="11"/>
        <v>254700</v>
      </c>
      <c r="H179" s="2">
        <f t="shared" si="12"/>
        <v>0</v>
      </c>
      <c r="I179" s="11">
        <f t="shared" si="10"/>
        <v>254700</v>
      </c>
      <c r="J179" s="693"/>
      <c r="K179" s="5"/>
    </row>
    <row r="180" spans="1:13" s="6" customFormat="1" ht="31.2" outlineLevel="2" x14ac:dyDescent="0.25">
      <c r="A180" s="76"/>
      <c r="B180" s="11" t="s">
        <v>647</v>
      </c>
      <c r="C180" s="2" t="s">
        <v>12</v>
      </c>
      <c r="D180" s="2">
        <f>D179*3</f>
        <v>2547</v>
      </c>
      <c r="E180" s="2"/>
      <c r="F180" s="664">
        <v>150</v>
      </c>
      <c r="G180" s="2">
        <f t="shared" si="11"/>
        <v>0</v>
      </c>
      <c r="H180" s="2">
        <f t="shared" si="12"/>
        <v>382050</v>
      </c>
      <c r="I180" s="11">
        <f t="shared" si="10"/>
        <v>382050</v>
      </c>
      <c r="J180" s="693"/>
      <c r="K180" s="5"/>
    </row>
    <row r="181" spans="1:13" s="6" customFormat="1" outlineLevel="2" x14ac:dyDescent="0.25">
      <c r="A181" s="76"/>
      <c r="B181" s="11" t="s">
        <v>642</v>
      </c>
      <c r="C181" s="2" t="s">
        <v>12</v>
      </c>
      <c r="D181" s="2">
        <f>D179*0.75</f>
        <v>636.75</v>
      </c>
      <c r="E181" s="2"/>
      <c r="F181" s="164">
        <v>2.79</v>
      </c>
      <c r="G181" s="2">
        <f t="shared" si="11"/>
        <v>0</v>
      </c>
      <c r="H181" s="2">
        <f t="shared" si="12"/>
        <v>1776.5325</v>
      </c>
      <c r="I181" s="11">
        <f t="shared" si="10"/>
        <v>1776.5325</v>
      </c>
      <c r="J181" s="693"/>
      <c r="K181" s="5"/>
    </row>
    <row r="182" spans="1:13" s="6" customFormat="1" ht="31.2" outlineLevel="2" x14ac:dyDescent="0.25">
      <c r="A182" s="76"/>
      <c r="B182" s="11" t="s">
        <v>644</v>
      </c>
      <c r="C182" s="2" t="s">
        <v>643</v>
      </c>
      <c r="D182" s="2">
        <f>D179*0.026</f>
        <v>22.073999999999998</v>
      </c>
      <c r="E182" s="2"/>
      <c r="F182" s="164">
        <v>110</v>
      </c>
      <c r="G182" s="2">
        <f t="shared" si="11"/>
        <v>0</v>
      </c>
      <c r="H182" s="2">
        <f t="shared" si="12"/>
        <v>2428.14</v>
      </c>
      <c r="I182" s="11">
        <f t="shared" si="10"/>
        <v>2428.14</v>
      </c>
      <c r="J182" s="693"/>
      <c r="K182" s="5"/>
    </row>
    <row r="183" spans="1:13" s="6" customFormat="1" outlineLevel="2" x14ac:dyDescent="0.25">
      <c r="A183" s="76"/>
      <c r="B183" s="11" t="s">
        <v>967</v>
      </c>
      <c r="C183" s="2" t="s">
        <v>15</v>
      </c>
      <c r="D183" s="2">
        <f>D179*2</f>
        <v>1698</v>
      </c>
      <c r="E183" s="2"/>
      <c r="F183" s="164">
        <v>8.9700000000000006</v>
      </c>
      <c r="G183" s="2">
        <f t="shared" si="11"/>
        <v>0</v>
      </c>
      <c r="H183" s="2">
        <f t="shared" si="12"/>
        <v>15231.060000000001</v>
      </c>
      <c r="I183" s="11">
        <f t="shared" si="10"/>
        <v>15231.060000000001</v>
      </c>
      <c r="J183" s="693"/>
      <c r="K183" s="5"/>
    </row>
    <row r="184" spans="1:13" s="6" customFormat="1" outlineLevel="2" x14ac:dyDescent="0.25">
      <c r="A184" s="107" t="s">
        <v>978</v>
      </c>
      <c r="B184" s="29" t="s">
        <v>367</v>
      </c>
      <c r="C184" s="30" t="s">
        <v>8</v>
      </c>
      <c r="D184" s="31">
        <f>Ек!D163+Е!D151</f>
        <v>4.84</v>
      </c>
      <c r="E184" s="256">
        <v>1500</v>
      </c>
      <c r="F184" s="11"/>
      <c r="G184" s="2">
        <f t="shared" si="11"/>
        <v>7260</v>
      </c>
      <c r="H184" s="2">
        <f t="shared" si="12"/>
        <v>0</v>
      </c>
      <c r="I184" s="11">
        <f t="shared" si="10"/>
        <v>7260</v>
      </c>
      <c r="J184" s="693"/>
      <c r="K184" s="5"/>
    </row>
    <row r="185" spans="1:13" s="6" customFormat="1" outlineLevel="2" x14ac:dyDescent="0.25">
      <c r="A185" s="76"/>
      <c r="B185" s="11" t="s">
        <v>966</v>
      </c>
      <c r="C185" s="2" t="s">
        <v>8</v>
      </c>
      <c r="D185" s="64">
        <f>D184*1.05</f>
        <v>5.0819999999999999</v>
      </c>
      <c r="E185" s="2"/>
      <c r="F185" s="361">
        <v>3450</v>
      </c>
      <c r="G185" s="2">
        <f t="shared" si="11"/>
        <v>0</v>
      </c>
      <c r="H185" s="2">
        <f t="shared" si="12"/>
        <v>17532.899999999998</v>
      </c>
      <c r="I185" s="11">
        <f t="shared" si="10"/>
        <v>17532.899999999998</v>
      </c>
      <c r="J185" s="693"/>
      <c r="K185" s="5"/>
    </row>
    <row r="186" spans="1:13" s="6" customFormat="1" outlineLevel="2" x14ac:dyDescent="0.25">
      <c r="A186" s="76"/>
      <c r="B186" s="11" t="s">
        <v>756</v>
      </c>
      <c r="C186" s="2" t="s">
        <v>8</v>
      </c>
      <c r="D186" s="2">
        <f>ROUND(0.23*D184,2)</f>
        <v>1.1100000000000001</v>
      </c>
      <c r="E186" s="2"/>
      <c r="F186" s="361">
        <v>2500</v>
      </c>
      <c r="G186" s="2">
        <f t="shared" si="11"/>
        <v>0</v>
      </c>
      <c r="H186" s="2">
        <f t="shared" si="12"/>
        <v>2775.0000000000005</v>
      </c>
      <c r="I186" s="11">
        <f t="shared" si="10"/>
        <v>2775.0000000000005</v>
      </c>
      <c r="J186" s="693"/>
      <c r="K186" s="5"/>
    </row>
    <row r="187" spans="1:13" s="6" customFormat="1" hidden="1" outlineLevel="1" x14ac:dyDescent="0.25">
      <c r="A187" s="739" t="s">
        <v>504</v>
      </c>
      <c r="B187" s="330" t="s">
        <v>376</v>
      </c>
      <c r="C187" s="46" t="s">
        <v>9</v>
      </c>
      <c r="D187" s="336">
        <v>0</v>
      </c>
      <c r="E187" s="256">
        <v>15000</v>
      </c>
      <c r="F187" s="56"/>
      <c r="G187" s="2">
        <f t="shared" si="11"/>
        <v>0</v>
      </c>
      <c r="H187" s="2">
        <f t="shared" si="12"/>
        <v>0</v>
      </c>
      <c r="I187" s="11">
        <f>G187+H187</f>
        <v>0</v>
      </c>
    </row>
    <row r="188" spans="1:13" s="6" customFormat="1" hidden="1" outlineLevel="1" x14ac:dyDescent="0.25">
      <c r="A188" s="265"/>
      <c r="B188" s="335" t="s">
        <v>377</v>
      </c>
      <c r="C188" s="41" t="s">
        <v>9</v>
      </c>
      <c r="D188" s="324">
        <v>0</v>
      </c>
      <c r="E188" s="31"/>
      <c r="F188" s="164">
        <v>32000</v>
      </c>
      <c r="G188" s="2">
        <f t="shared" si="11"/>
        <v>0</v>
      </c>
      <c r="H188" s="2">
        <f t="shared" si="12"/>
        <v>0</v>
      </c>
      <c r="I188" s="11">
        <f>G188+H188</f>
        <v>0</v>
      </c>
    </row>
    <row r="189" spans="1:13" s="6" customFormat="1" hidden="1" outlineLevel="1" x14ac:dyDescent="0.25">
      <c r="A189" s="265"/>
      <c r="B189" s="335" t="s">
        <v>378</v>
      </c>
      <c r="C189" s="41" t="s">
        <v>9</v>
      </c>
      <c r="D189" s="324">
        <v>0</v>
      </c>
      <c r="E189" s="31"/>
      <c r="F189" s="164">
        <v>32000</v>
      </c>
      <c r="G189" s="2">
        <f t="shared" si="11"/>
        <v>0</v>
      </c>
      <c r="H189" s="2">
        <f t="shared" si="12"/>
        <v>0</v>
      </c>
      <c r="I189" s="11">
        <f>G189+H189</f>
        <v>0</v>
      </c>
    </row>
    <row r="190" spans="1:13" s="6" customFormat="1" hidden="1" outlineLevel="1" x14ac:dyDescent="0.25">
      <c r="A190" s="265"/>
      <c r="B190" s="335" t="s">
        <v>379</v>
      </c>
      <c r="C190" s="41" t="s">
        <v>9</v>
      </c>
      <c r="D190" s="324">
        <v>0</v>
      </c>
      <c r="E190" s="31"/>
      <c r="F190" s="164">
        <v>32000</v>
      </c>
      <c r="G190" s="2">
        <f t="shared" si="11"/>
        <v>0</v>
      </c>
      <c r="H190" s="2">
        <f t="shared" si="12"/>
        <v>0</v>
      </c>
      <c r="I190" s="11">
        <f>G190+H190</f>
        <v>0</v>
      </c>
    </row>
    <row r="191" spans="1:13" s="36" customFormat="1" outlineLevel="1" x14ac:dyDescent="0.25">
      <c r="A191" s="92"/>
      <c r="B191" s="750" t="s">
        <v>1547</v>
      </c>
      <c r="C191" s="744" t="s">
        <v>1548</v>
      </c>
      <c r="D191" s="745">
        <f>2*2*26*8</f>
        <v>832</v>
      </c>
      <c r="E191" s="746">
        <v>1150</v>
      </c>
      <c r="F191" s="747"/>
      <c r="G191" s="2">
        <f t="shared" si="11"/>
        <v>956800</v>
      </c>
      <c r="H191" s="2">
        <f t="shared" si="12"/>
        <v>0</v>
      </c>
      <c r="I191" s="11">
        <f>G191+H191</f>
        <v>956800</v>
      </c>
      <c r="K191" s="162"/>
      <c r="L191" s="162"/>
      <c r="M191" s="162"/>
    </row>
    <row r="192" spans="1:13" s="36" customFormat="1" outlineLevel="1" x14ac:dyDescent="0.25">
      <c r="A192" s="92"/>
      <c r="B192" s="748" t="s">
        <v>1543</v>
      </c>
      <c r="C192" s="744"/>
      <c r="D192" s="745"/>
      <c r="E192" s="746"/>
      <c r="F192" s="747"/>
      <c r="G192" s="474">
        <f>SUM(G131:G191)</f>
        <v>4720500.53125</v>
      </c>
      <c r="H192" s="2">
        <f t="shared" si="12"/>
        <v>0</v>
      </c>
      <c r="I192" s="749">
        <f>G192</f>
        <v>4720500.53125</v>
      </c>
      <c r="K192" s="162"/>
      <c r="L192" s="162"/>
      <c r="M192" s="162"/>
    </row>
    <row r="193" spans="1:13" s="36" customFormat="1" outlineLevel="1" x14ac:dyDescent="0.25">
      <c r="A193" s="92"/>
      <c r="B193" s="748" t="s">
        <v>1546</v>
      </c>
      <c r="C193" s="744"/>
      <c r="D193" s="745"/>
      <c r="E193" s="746"/>
      <c r="F193" s="747"/>
      <c r="G193" s="474"/>
      <c r="H193" s="473">
        <f>SUM(H131:H190)</f>
        <v>9688482.6412054021</v>
      </c>
      <c r="I193" s="749">
        <f>H193</f>
        <v>9688482.6412054021</v>
      </c>
      <c r="K193" s="162"/>
      <c r="L193" s="162"/>
      <c r="M193" s="162"/>
    </row>
    <row r="194" spans="1:13" s="36" customFormat="1" outlineLevel="1" x14ac:dyDescent="0.25">
      <c r="A194" s="92"/>
      <c r="B194" s="748" t="s">
        <v>1544</v>
      </c>
      <c r="C194" s="744"/>
      <c r="D194" s="745"/>
      <c r="E194" s="746"/>
      <c r="F194" s="747"/>
      <c r="G194" s="474"/>
      <c r="H194" s="746"/>
      <c r="I194" s="749">
        <f>G194</f>
        <v>0</v>
      </c>
      <c r="K194" s="162"/>
      <c r="L194" s="162"/>
      <c r="M194" s="162"/>
    </row>
    <row r="195" spans="1:13" s="36" customFormat="1" outlineLevel="1" x14ac:dyDescent="0.25">
      <c r="A195" s="92"/>
      <c r="B195" s="748" t="s">
        <v>1545</v>
      </c>
      <c r="C195" s="744"/>
      <c r="D195" s="745"/>
      <c r="E195" s="746"/>
      <c r="F195" s="747"/>
      <c r="G195" s="474"/>
      <c r="H195" s="746"/>
      <c r="I195" s="749">
        <f>G195</f>
        <v>0</v>
      </c>
      <c r="K195" s="162"/>
      <c r="L195" s="162"/>
      <c r="M195" s="162"/>
    </row>
    <row r="196" spans="1:13" ht="24" customHeight="1" x14ac:dyDescent="0.25">
      <c r="A196" s="223"/>
      <c r="B196" s="224" t="s">
        <v>801</v>
      </c>
      <c r="C196" s="225"/>
      <c r="D196" s="226"/>
      <c r="E196" s="227"/>
      <c r="F196" s="228"/>
      <c r="G196" s="227">
        <f>G192+G194+G195</f>
        <v>4720500.53125</v>
      </c>
      <c r="H196" s="227">
        <f>H193</f>
        <v>9688482.6412054021</v>
      </c>
      <c r="I196" s="230">
        <f>I192+I193+I194+I195</f>
        <v>14408983.172455402</v>
      </c>
      <c r="J196" s="693"/>
      <c r="K196" s="133"/>
    </row>
    <row r="197" spans="1:13" s="5" customFormat="1" ht="15.6" customHeight="1" x14ac:dyDescent="0.25">
      <c r="A197" s="89"/>
      <c r="B197" s="58" t="s">
        <v>624</v>
      </c>
      <c r="C197" s="9"/>
      <c r="D197" s="31"/>
      <c r="E197" s="10"/>
      <c r="F197" s="57"/>
      <c r="G197" s="10"/>
      <c r="H197" s="10"/>
      <c r="I197" s="31">
        <f>ROUND(I196/1.18*0.18,2)</f>
        <v>2197980.48</v>
      </c>
    </row>
    <row r="198" spans="1:13" s="5" customFormat="1" ht="21" customHeight="1" x14ac:dyDescent="0.25">
      <c r="A198" s="108"/>
      <c r="B198" s="737" t="s">
        <v>802</v>
      </c>
      <c r="C198" s="105"/>
      <c r="D198" s="105"/>
      <c r="E198" s="105"/>
      <c r="F198" s="138"/>
      <c r="G198" s="105"/>
      <c r="H198" s="105"/>
      <c r="I198" s="106"/>
    </row>
    <row r="199" spans="1:13" s="5" customFormat="1" ht="15.6" customHeight="1" outlineLevel="1" x14ac:dyDescent="0.25">
      <c r="A199" s="107" t="s">
        <v>223</v>
      </c>
      <c r="B199" s="48" t="s">
        <v>740</v>
      </c>
      <c r="C199" s="46" t="s">
        <v>12</v>
      </c>
      <c r="D199" s="50">
        <f>SUM(D200:D216)</f>
        <v>586</v>
      </c>
      <c r="E199" s="275">
        <v>350</v>
      </c>
      <c r="F199" s="43"/>
      <c r="G199" s="2">
        <f>E199*D199</f>
        <v>205100</v>
      </c>
      <c r="H199" s="11"/>
      <c r="I199" s="11">
        <f>G199+H199</f>
        <v>205100</v>
      </c>
    </row>
    <row r="200" spans="1:13" s="5" customFormat="1" ht="15.6" customHeight="1" outlineLevel="1" x14ac:dyDescent="0.25">
      <c r="A200" s="84"/>
      <c r="B200" s="47" t="s">
        <v>751</v>
      </c>
      <c r="C200" s="2" t="s">
        <v>12</v>
      </c>
      <c r="D200" s="42">
        <f>Ек!D174+Е!D162</f>
        <v>102</v>
      </c>
      <c r="E200" s="31"/>
      <c r="F200" s="363">
        <v>15000</v>
      </c>
      <c r="G200" s="2">
        <f t="shared" ref="G200:G223" si="13">E200*D200</f>
        <v>0</v>
      </c>
      <c r="H200" s="2">
        <f>F200*D200</f>
        <v>1530000</v>
      </c>
      <c r="I200" s="60">
        <f t="shared" ref="I200:I222" si="14">G200+H200</f>
        <v>1530000</v>
      </c>
    </row>
    <row r="201" spans="1:13" s="5" customFormat="1" ht="15.6" customHeight="1" outlineLevel="1" x14ac:dyDescent="0.25">
      <c r="A201" s="84"/>
      <c r="B201" s="47" t="s">
        <v>887</v>
      </c>
      <c r="C201" s="2" t="s">
        <v>12</v>
      </c>
      <c r="D201" s="42">
        <f>Ек!D175+Е!D163</f>
        <v>42</v>
      </c>
      <c r="E201" s="31"/>
      <c r="F201" s="363">
        <v>15000</v>
      </c>
      <c r="G201" s="2">
        <f t="shared" si="13"/>
        <v>0</v>
      </c>
      <c r="H201" s="2">
        <f t="shared" ref="H201:H223" si="15">F201*D201</f>
        <v>630000</v>
      </c>
      <c r="I201" s="60">
        <f t="shared" si="14"/>
        <v>630000</v>
      </c>
    </row>
    <row r="202" spans="1:13" s="5" customFormat="1" ht="15.6" customHeight="1" outlineLevel="1" x14ac:dyDescent="0.25">
      <c r="A202" s="84"/>
      <c r="B202" s="47" t="s">
        <v>742</v>
      </c>
      <c r="C202" s="2" t="s">
        <v>12</v>
      </c>
      <c r="D202" s="42">
        <f>Д2!D165+Д!D159</f>
        <v>63</v>
      </c>
      <c r="E202" s="31"/>
      <c r="F202" s="664">
        <v>12796</v>
      </c>
      <c r="G202" s="2">
        <f t="shared" si="13"/>
        <v>0</v>
      </c>
      <c r="H202" s="2">
        <f t="shared" si="15"/>
        <v>806148</v>
      </c>
      <c r="I202" s="60">
        <f t="shared" si="14"/>
        <v>806148</v>
      </c>
    </row>
    <row r="203" spans="1:13" s="5" customFormat="1" ht="15.6" customHeight="1" outlineLevel="1" x14ac:dyDescent="0.25">
      <c r="A203" s="84"/>
      <c r="B203" s="47" t="s">
        <v>892</v>
      </c>
      <c r="C203" s="2" t="s">
        <v>12</v>
      </c>
      <c r="D203" s="42">
        <f>Д2!D166+Д!D160</f>
        <v>15</v>
      </c>
      <c r="E203" s="31"/>
      <c r="F203" s="664">
        <v>10346.25</v>
      </c>
      <c r="G203" s="2">
        <f t="shared" si="13"/>
        <v>0</v>
      </c>
      <c r="H203" s="2">
        <f t="shared" si="15"/>
        <v>155193.75</v>
      </c>
      <c r="I203" s="60">
        <f t="shared" si="14"/>
        <v>155193.75</v>
      </c>
    </row>
    <row r="204" spans="1:13" s="5" customFormat="1" ht="15.6" customHeight="1" outlineLevel="1" x14ac:dyDescent="0.25">
      <c r="A204" s="84"/>
      <c r="B204" s="47" t="s">
        <v>888</v>
      </c>
      <c r="C204" s="2" t="s">
        <v>12</v>
      </c>
      <c r="D204" s="42">
        <f>Д2!D161+Д!D155</f>
        <v>21</v>
      </c>
      <c r="E204" s="31"/>
      <c r="F204" s="362">
        <v>9478.9</v>
      </c>
      <c r="G204" s="2">
        <f t="shared" si="13"/>
        <v>0</v>
      </c>
      <c r="H204" s="2">
        <f t="shared" si="15"/>
        <v>199056.9</v>
      </c>
      <c r="I204" s="60">
        <f t="shared" si="14"/>
        <v>199056.9</v>
      </c>
    </row>
    <row r="205" spans="1:13" s="5" customFormat="1" ht="15.6" customHeight="1" outlineLevel="1" x14ac:dyDescent="0.25">
      <c r="A205" s="84"/>
      <c r="B205" s="47" t="s">
        <v>889</v>
      </c>
      <c r="C205" s="2" t="s">
        <v>12</v>
      </c>
      <c r="D205" s="42">
        <f>Д2!D162+Ек!D176+Д!D156+Е!D164</f>
        <v>213</v>
      </c>
      <c r="E205" s="31"/>
      <c r="F205" s="362">
        <v>9631</v>
      </c>
      <c r="G205" s="2">
        <f t="shared" si="13"/>
        <v>0</v>
      </c>
      <c r="H205" s="2">
        <f t="shared" si="15"/>
        <v>2051403</v>
      </c>
      <c r="I205" s="60">
        <f t="shared" si="14"/>
        <v>2051403</v>
      </c>
    </row>
    <row r="206" spans="1:13" s="5" customFormat="1" ht="15.6" customHeight="1" outlineLevel="1" x14ac:dyDescent="0.25">
      <c r="A206" s="84"/>
      <c r="B206" s="47" t="s">
        <v>744</v>
      </c>
      <c r="C206" s="2" t="s">
        <v>12</v>
      </c>
      <c r="D206" s="42">
        <f>Ек!D177+Е!D165</f>
        <v>24</v>
      </c>
      <c r="E206" s="31"/>
      <c r="F206" s="362">
        <v>11987</v>
      </c>
      <c r="G206" s="2">
        <f t="shared" si="13"/>
        <v>0</v>
      </c>
      <c r="H206" s="2">
        <f t="shared" si="15"/>
        <v>287688</v>
      </c>
      <c r="I206" s="60">
        <f t="shared" si="14"/>
        <v>287688</v>
      </c>
    </row>
    <row r="207" spans="1:13" s="5" customFormat="1" ht="15.6" customHeight="1" outlineLevel="1" x14ac:dyDescent="0.25">
      <c r="A207" s="84"/>
      <c r="B207" s="47" t="s">
        <v>1371</v>
      </c>
      <c r="C207" s="2" t="s">
        <v>12</v>
      </c>
      <c r="D207" s="42">
        <f>Д2!D163+Д!D157</f>
        <v>4</v>
      </c>
      <c r="E207" s="31"/>
      <c r="F207" s="664">
        <v>5615</v>
      </c>
      <c r="G207" s="2">
        <f t="shared" si="13"/>
        <v>0</v>
      </c>
      <c r="H207" s="2">
        <f t="shared" si="15"/>
        <v>22460</v>
      </c>
      <c r="I207" s="60">
        <f t="shared" si="14"/>
        <v>22460</v>
      </c>
    </row>
    <row r="208" spans="1:13" s="5" customFormat="1" ht="15.6" customHeight="1" outlineLevel="1" x14ac:dyDescent="0.25">
      <c r="A208" s="84"/>
      <c r="B208" s="47" t="s">
        <v>890</v>
      </c>
      <c r="C208" s="2" t="s">
        <v>12</v>
      </c>
      <c r="D208" s="42">
        <f>Д2!D164+Д!D158</f>
        <v>14</v>
      </c>
      <c r="E208" s="31"/>
      <c r="F208" s="664">
        <v>4445</v>
      </c>
      <c r="G208" s="2">
        <f t="shared" si="13"/>
        <v>0</v>
      </c>
      <c r="H208" s="2">
        <f t="shared" si="15"/>
        <v>62230</v>
      </c>
      <c r="I208" s="60">
        <f t="shared" si="14"/>
        <v>62230</v>
      </c>
    </row>
    <row r="209" spans="1:13" s="5" customFormat="1" ht="15.6" customHeight="1" outlineLevel="1" x14ac:dyDescent="0.25">
      <c r="A209" s="84"/>
      <c r="B209" s="47" t="s">
        <v>893</v>
      </c>
      <c r="C209" s="2" t="s">
        <v>12</v>
      </c>
      <c r="D209" s="42">
        <f>Д2!D167+Д!D161</f>
        <v>6</v>
      </c>
      <c r="E209" s="31"/>
      <c r="F209" s="664">
        <v>4457</v>
      </c>
      <c r="G209" s="2">
        <f t="shared" si="13"/>
        <v>0</v>
      </c>
      <c r="H209" s="2">
        <f t="shared" si="15"/>
        <v>26742</v>
      </c>
      <c r="I209" s="60">
        <f t="shared" si="14"/>
        <v>26742</v>
      </c>
    </row>
    <row r="210" spans="1:13" s="5" customFormat="1" ht="15.6" customHeight="1" outlineLevel="1" x14ac:dyDescent="0.25">
      <c r="A210" s="84"/>
      <c r="B210" s="47" t="s">
        <v>1337</v>
      </c>
      <c r="C210" s="2" t="s">
        <v>12</v>
      </c>
      <c r="D210" s="42">
        <f>Ек!D178+Е!D166</f>
        <v>14</v>
      </c>
      <c r="E210" s="31"/>
      <c r="F210" s="363">
        <v>4100</v>
      </c>
      <c r="G210" s="2">
        <f t="shared" si="13"/>
        <v>0</v>
      </c>
      <c r="H210" s="2">
        <f t="shared" si="15"/>
        <v>57400</v>
      </c>
      <c r="I210" s="60">
        <f t="shared" si="14"/>
        <v>57400</v>
      </c>
    </row>
    <row r="211" spans="1:13" s="5" customFormat="1" ht="15.6" customHeight="1" outlineLevel="1" x14ac:dyDescent="0.25">
      <c r="A211" s="84"/>
      <c r="B211" s="47" t="s">
        <v>1306</v>
      </c>
      <c r="C211" s="2" t="s">
        <v>12</v>
      </c>
      <c r="D211" s="42">
        <f>Ек!D179+Е!D167</f>
        <v>8</v>
      </c>
      <c r="E211" s="31"/>
      <c r="F211" s="664">
        <v>5621</v>
      </c>
      <c r="G211" s="2">
        <f t="shared" si="13"/>
        <v>0</v>
      </c>
      <c r="H211" s="2">
        <f t="shared" si="15"/>
        <v>44968</v>
      </c>
      <c r="I211" s="60">
        <f t="shared" si="14"/>
        <v>44968</v>
      </c>
    </row>
    <row r="212" spans="1:13" s="5" customFormat="1" ht="15.6" customHeight="1" outlineLevel="1" x14ac:dyDescent="0.25">
      <c r="A212" s="89"/>
      <c r="B212" s="47" t="s">
        <v>747</v>
      </c>
      <c r="C212" s="2" t="s">
        <v>12</v>
      </c>
      <c r="D212" s="42">
        <f>Д2!D168+Ек!D180+Е!D170</f>
        <v>28</v>
      </c>
      <c r="E212" s="31"/>
      <c r="F212" s="362">
        <v>10206.120000000001</v>
      </c>
      <c r="G212" s="2">
        <f t="shared" si="13"/>
        <v>0</v>
      </c>
      <c r="H212" s="2">
        <f t="shared" si="15"/>
        <v>285771.36000000004</v>
      </c>
      <c r="I212" s="60">
        <f t="shared" si="14"/>
        <v>285771.36000000004</v>
      </c>
    </row>
    <row r="213" spans="1:13" s="5" customFormat="1" ht="15.6" customHeight="1" outlineLevel="1" x14ac:dyDescent="0.25">
      <c r="A213" s="89"/>
      <c r="B213" s="47" t="s">
        <v>749</v>
      </c>
      <c r="C213" s="2" t="s">
        <v>12</v>
      </c>
      <c r="D213" s="42">
        <f>Ек!D181+Е!D168</f>
        <v>8</v>
      </c>
      <c r="E213" s="31"/>
      <c r="F213" s="362">
        <v>14953.2</v>
      </c>
      <c r="G213" s="2">
        <f t="shared" si="13"/>
        <v>0</v>
      </c>
      <c r="H213" s="2">
        <f t="shared" si="15"/>
        <v>119625.60000000001</v>
      </c>
      <c r="I213" s="60">
        <f t="shared" si="14"/>
        <v>119625.60000000001</v>
      </c>
    </row>
    <row r="214" spans="1:13" s="5" customFormat="1" ht="15.6" customHeight="1" outlineLevel="1" x14ac:dyDescent="0.25">
      <c r="A214" s="89"/>
      <c r="B214" s="47" t="s">
        <v>750</v>
      </c>
      <c r="C214" s="2" t="s">
        <v>12</v>
      </c>
      <c r="D214" s="42">
        <f>Д2!D170+Ек!D182+Е!D169</f>
        <v>12</v>
      </c>
      <c r="E214" s="31"/>
      <c r="F214" s="362">
        <v>10358.1</v>
      </c>
      <c r="G214" s="2">
        <f t="shared" si="13"/>
        <v>0</v>
      </c>
      <c r="H214" s="2">
        <f t="shared" si="15"/>
        <v>124297.20000000001</v>
      </c>
      <c r="I214" s="60">
        <f t="shared" si="14"/>
        <v>124297.20000000001</v>
      </c>
    </row>
    <row r="215" spans="1:13" s="5" customFormat="1" ht="15.6" customHeight="1" outlineLevel="1" x14ac:dyDescent="0.25">
      <c r="A215" s="89"/>
      <c r="B215" s="47" t="s">
        <v>748</v>
      </c>
      <c r="C215" s="2" t="s">
        <v>12</v>
      </c>
      <c r="D215" s="42">
        <f>Д2!D169</f>
        <v>4</v>
      </c>
      <c r="E215" s="31"/>
      <c r="F215" s="363">
        <v>10500</v>
      </c>
      <c r="G215" s="2">
        <f t="shared" si="13"/>
        <v>0</v>
      </c>
      <c r="H215" s="2">
        <f t="shared" si="15"/>
        <v>42000</v>
      </c>
      <c r="I215" s="60">
        <f t="shared" si="14"/>
        <v>42000</v>
      </c>
    </row>
    <row r="216" spans="1:13" s="5" customFormat="1" ht="15.6" customHeight="1" outlineLevel="1" x14ac:dyDescent="0.25">
      <c r="A216" s="89"/>
      <c r="B216" s="47" t="s">
        <v>1403</v>
      </c>
      <c r="C216" s="2" t="s">
        <v>12</v>
      </c>
      <c r="D216" s="42">
        <f>Д!D162</f>
        <v>8</v>
      </c>
      <c r="E216" s="31"/>
      <c r="F216" s="362">
        <v>14953.2</v>
      </c>
      <c r="G216" s="2">
        <f t="shared" si="13"/>
        <v>0</v>
      </c>
      <c r="H216" s="2">
        <f t="shared" si="15"/>
        <v>119625.60000000001</v>
      </c>
      <c r="I216" s="60">
        <f t="shared" si="14"/>
        <v>119625.60000000001</v>
      </c>
    </row>
    <row r="217" spans="1:13" s="5" customFormat="1" ht="15.75" customHeight="1" outlineLevel="1" x14ac:dyDescent="0.25">
      <c r="A217" s="89"/>
      <c r="B217" s="47" t="s">
        <v>902</v>
      </c>
      <c r="C217" s="41" t="s">
        <v>9</v>
      </c>
      <c r="D217" s="42">
        <f>Д2!D171+Ек!D183+Д!D163+Е!D171</f>
        <v>3.5432200000000007</v>
      </c>
      <c r="E217" s="43"/>
      <c r="F217" s="364">
        <v>33000</v>
      </c>
      <c r="G217" s="2">
        <f t="shared" si="13"/>
        <v>0</v>
      </c>
      <c r="H217" s="2">
        <f t="shared" si="15"/>
        <v>116926.26000000002</v>
      </c>
      <c r="I217" s="11">
        <f t="shared" si="14"/>
        <v>116926.26000000002</v>
      </c>
    </row>
    <row r="218" spans="1:13" s="5" customFormat="1" ht="15.6" customHeight="1" outlineLevel="1" x14ac:dyDescent="0.25">
      <c r="A218" s="89"/>
      <c r="B218" s="47" t="s">
        <v>901</v>
      </c>
      <c r="C218" s="41" t="s">
        <v>15</v>
      </c>
      <c r="D218" s="42">
        <f>Д2!D172+Ек!D184+Д!D164+Е!D172</f>
        <v>136.72999999999999</v>
      </c>
      <c r="E218" s="43"/>
      <c r="F218" s="364">
        <v>33</v>
      </c>
      <c r="G218" s="2">
        <f t="shared" si="13"/>
        <v>0</v>
      </c>
      <c r="H218" s="2">
        <f t="shared" si="15"/>
        <v>4512.0899999999992</v>
      </c>
      <c r="I218" s="11">
        <f t="shared" si="14"/>
        <v>4512.0899999999992</v>
      </c>
    </row>
    <row r="219" spans="1:13" s="5" customFormat="1" ht="15.6" customHeight="1" outlineLevel="1" x14ac:dyDescent="0.25">
      <c r="A219" s="89"/>
      <c r="B219" s="47" t="s">
        <v>875</v>
      </c>
      <c r="C219" s="41" t="s">
        <v>15</v>
      </c>
      <c r="D219" s="42">
        <f>Д2!D173+Е!D173</f>
        <v>24.36</v>
      </c>
      <c r="E219" s="43"/>
      <c r="F219" s="364">
        <v>36</v>
      </c>
      <c r="G219" s="2">
        <f t="shared" si="13"/>
        <v>0</v>
      </c>
      <c r="H219" s="2">
        <f t="shared" si="15"/>
        <v>876.96</v>
      </c>
      <c r="I219" s="11">
        <f t="shared" si="14"/>
        <v>876.96</v>
      </c>
    </row>
    <row r="220" spans="1:13" s="5" customFormat="1" ht="15.6" customHeight="1" outlineLevel="1" x14ac:dyDescent="0.25">
      <c r="A220" s="107" t="s">
        <v>224</v>
      </c>
      <c r="B220" s="49" t="s">
        <v>788</v>
      </c>
      <c r="C220" s="203" t="s">
        <v>8</v>
      </c>
      <c r="D220" s="46">
        <f>Д2!D174+Ек!D185+Д!D165+Е!D174</f>
        <v>30.200000000000003</v>
      </c>
      <c r="E220" s="353">
        <v>800</v>
      </c>
      <c r="F220" s="139"/>
      <c r="G220" s="2">
        <f t="shared" si="13"/>
        <v>24160.000000000004</v>
      </c>
      <c r="H220" s="2">
        <f t="shared" si="15"/>
        <v>0</v>
      </c>
      <c r="I220" s="11">
        <f t="shared" si="14"/>
        <v>24160.000000000004</v>
      </c>
    </row>
    <row r="221" spans="1:13" s="5" customFormat="1" ht="15.6" customHeight="1" outlineLevel="1" x14ac:dyDescent="0.25">
      <c r="A221" s="89"/>
      <c r="B221" s="47" t="s">
        <v>366</v>
      </c>
      <c r="C221" s="41" t="s">
        <v>9</v>
      </c>
      <c r="D221" s="42">
        <f>Д2!D175+Ек!D186+Д!D166+Е!D175</f>
        <v>5.43384</v>
      </c>
      <c r="E221" s="2"/>
      <c r="F221" s="364">
        <v>34000</v>
      </c>
      <c r="G221" s="2">
        <f t="shared" si="13"/>
        <v>0</v>
      </c>
      <c r="H221" s="2">
        <f t="shared" si="15"/>
        <v>184750.56</v>
      </c>
      <c r="I221" s="11">
        <f t="shared" si="14"/>
        <v>184750.56</v>
      </c>
    </row>
    <row r="222" spans="1:13" s="5" customFormat="1" ht="15.6" customHeight="1" outlineLevel="1" x14ac:dyDescent="0.25">
      <c r="A222" s="89"/>
      <c r="B222" s="47" t="s">
        <v>483</v>
      </c>
      <c r="C222" s="41" t="s">
        <v>8</v>
      </c>
      <c r="D222" s="42">
        <f>D220*1.015</f>
        <v>30.652999999999999</v>
      </c>
      <c r="E222" s="2"/>
      <c r="F222" s="664">
        <v>4200</v>
      </c>
      <c r="G222" s="2">
        <f t="shared" si="13"/>
        <v>0</v>
      </c>
      <c r="H222" s="2">
        <f t="shared" si="15"/>
        <v>128742.59999999999</v>
      </c>
      <c r="I222" s="11">
        <f t="shared" si="14"/>
        <v>128742.59999999999</v>
      </c>
    </row>
    <row r="223" spans="1:13" s="36" customFormat="1" outlineLevel="1" x14ac:dyDescent="0.25">
      <c r="A223" s="92"/>
      <c r="B223" s="750" t="s">
        <v>1547</v>
      </c>
      <c r="C223" s="744" t="s">
        <v>1548</v>
      </c>
      <c r="D223" s="745">
        <v>124</v>
      </c>
      <c r="E223" s="746">
        <v>1150</v>
      </c>
      <c r="F223" s="747"/>
      <c r="G223" s="2">
        <f t="shared" si="13"/>
        <v>142600</v>
      </c>
      <c r="H223" s="2">
        <f t="shared" si="15"/>
        <v>0</v>
      </c>
      <c r="I223" s="11">
        <f>G223+H223</f>
        <v>142600</v>
      </c>
      <c r="K223" s="162"/>
      <c r="L223" s="162"/>
      <c r="M223" s="162"/>
    </row>
    <row r="224" spans="1:13" s="36" customFormat="1" outlineLevel="1" x14ac:dyDescent="0.25">
      <c r="A224" s="92"/>
      <c r="B224" s="748" t="s">
        <v>1543</v>
      </c>
      <c r="C224" s="744"/>
      <c r="D224" s="745"/>
      <c r="E224" s="746"/>
      <c r="F224" s="747"/>
      <c r="G224" s="474">
        <f>SUM(G199:G223)</f>
        <v>371860</v>
      </c>
      <c r="H224" s="746"/>
      <c r="I224" s="749">
        <f>G224</f>
        <v>371860</v>
      </c>
      <c r="K224" s="162"/>
      <c r="L224" s="162"/>
      <c r="M224" s="162"/>
    </row>
    <row r="225" spans="1:13" s="36" customFormat="1" outlineLevel="1" x14ac:dyDescent="0.25">
      <c r="A225" s="92"/>
      <c r="B225" s="748" t="s">
        <v>1546</v>
      </c>
      <c r="C225" s="744"/>
      <c r="D225" s="745"/>
      <c r="E225" s="746"/>
      <c r="F225" s="747"/>
      <c r="G225" s="474"/>
      <c r="H225" s="473">
        <f>SUM(H199:H222)</f>
        <v>7000417.879999999</v>
      </c>
      <c r="I225" s="749">
        <f>H225</f>
        <v>7000417.879999999</v>
      </c>
      <c r="K225" s="162"/>
      <c r="L225" s="162"/>
      <c r="M225" s="162"/>
    </row>
    <row r="226" spans="1:13" s="36" customFormat="1" outlineLevel="1" x14ac:dyDescent="0.25">
      <c r="A226" s="92"/>
      <c r="B226" s="748" t="s">
        <v>1544</v>
      </c>
      <c r="C226" s="744"/>
      <c r="D226" s="745"/>
      <c r="E226" s="746"/>
      <c r="F226" s="747"/>
      <c r="G226" s="474"/>
      <c r="H226" s="746"/>
      <c r="I226" s="749">
        <f>G226</f>
        <v>0</v>
      </c>
      <c r="K226" s="162"/>
      <c r="L226" s="162"/>
      <c r="M226" s="162"/>
    </row>
    <row r="227" spans="1:13" s="36" customFormat="1" outlineLevel="1" x14ac:dyDescent="0.25">
      <c r="A227" s="92"/>
      <c r="B227" s="748" t="s">
        <v>1545</v>
      </c>
      <c r="C227" s="744"/>
      <c r="D227" s="745"/>
      <c r="E227" s="746"/>
      <c r="F227" s="747"/>
      <c r="G227" s="474"/>
      <c r="H227" s="746"/>
      <c r="I227" s="749">
        <f>G227</f>
        <v>0</v>
      </c>
      <c r="K227" s="162"/>
      <c r="L227" s="162"/>
      <c r="M227" s="162"/>
    </row>
    <row r="228" spans="1:13" s="5" customFormat="1" ht="36" customHeight="1" x14ac:dyDescent="0.25">
      <c r="A228" s="223"/>
      <c r="B228" s="232" t="s">
        <v>803</v>
      </c>
      <c r="C228" s="225"/>
      <c r="D228" s="239"/>
      <c r="E228" s="230"/>
      <c r="F228" s="240"/>
      <c r="G228" s="230">
        <f>G224+G226+G227</f>
        <v>371860</v>
      </c>
      <c r="H228" s="230">
        <f>H225</f>
        <v>7000417.879999999</v>
      </c>
      <c r="I228" s="230">
        <f>I225+I224+I226+I227</f>
        <v>7372277.879999999</v>
      </c>
      <c r="J228" s="691"/>
    </row>
    <row r="229" spans="1:13" s="5" customFormat="1" ht="15.6" customHeight="1" x14ac:dyDescent="0.25">
      <c r="A229" s="90"/>
      <c r="B229" s="58" t="s">
        <v>624</v>
      </c>
      <c r="C229" s="9"/>
      <c r="D229" s="31"/>
      <c r="E229" s="10"/>
      <c r="F229" s="57"/>
      <c r="G229" s="10"/>
      <c r="H229" s="10"/>
      <c r="I229" s="31">
        <f>ROUND(I228/1.18*0.18,2)</f>
        <v>1124584.76</v>
      </c>
    </row>
    <row r="230" spans="1:13" s="5" customFormat="1" ht="21" customHeight="1" x14ac:dyDescent="0.25">
      <c r="A230" s="108"/>
      <c r="B230" s="742" t="s">
        <v>810</v>
      </c>
      <c r="C230" s="105"/>
      <c r="D230" s="105"/>
      <c r="E230" s="105"/>
      <c r="F230" s="138"/>
      <c r="G230" s="105"/>
      <c r="H230" s="105"/>
      <c r="I230" s="106"/>
    </row>
    <row r="231" spans="1:13" s="5" customFormat="1" ht="15.6" customHeight="1" outlineLevel="1" x14ac:dyDescent="0.25">
      <c r="A231" s="107" t="s">
        <v>979</v>
      </c>
      <c r="B231" s="49" t="s">
        <v>384</v>
      </c>
      <c r="C231" s="203" t="s">
        <v>12</v>
      </c>
      <c r="D231" s="42">
        <f>D232</f>
        <v>150</v>
      </c>
      <c r="E231" s="353">
        <v>100</v>
      </c>
      <c r="F231" s="139"/>
      <c r="G231" s="2">
        <f>E231*D231</f>
        <v>15000</v>
      </c>
      <c r="H231" s="26"/>
      <c r="I231" s="11">
        <f t="shared" ref="I231:I236" si="16">G231+H231</f>
        <v>15000</v>
      </c>
    </row>
    <row r="232" spans="1:13" s="5" customFormat="1" ht="15.6" customHeight="1" outlineLevel="1" x14ac:dyDescent="0.25">
      <c r="A232" s="391"/>
      <c r="B232" s="47" t="s">
        <v>1375</v>
      </c>
      <c r="C232" s="41" t="s">
        <v>12</v>
      </c>
      <c r="D232" s="42">
        <f>Д2!D182+Ек!D193+Д!D173+Е!D182</f>
        <v>150</v>
      </c>
      <c r="E232" s="282"/>
      <c r="F232" s="668">
        <v>784</v>
      </c>
      <c r="G232" s="2">
        <f t="shared" ref="G232:G247" si="17">E232*D232</f>
        <v>0</v>
      </c>
      <c r="H232" s="2">
        <f>F232*D232</f>
        <v>117600</v>
      </c>
      <c r="I232" s="11">
        <f t="shared" si="16"/>
        <v>117600</v>
      </c>
    </row>
    <row r="233" spans="1:13" s="5" customFormat="1" ht="15.6" customHeight="1" outlineLevel="1" x14ac:dyDescent="0.25">
      <c r="A233" s="391"/>
      <c r="B233" s="47" t="s">
        <v>804</v>
      </c>
      <c r="C233" s="41" t="s">
        <v>8</v>
      </c>
      <c r="D233" s="42">
        <f>Д2!D183+Д!D174</f>
        <v>0.12075</v>
      </c>
      <c r="E233" s="390"/>
      <c r="F233" s="664">
        <v>4200</v>
      </c>
      <c r="G233" s="2">
        <f t="shared" si="17"/>
        <v>0</v>
      </c>
      <c r="H233" s="2">
        <f t="shared" ref="H233:H250" si="18">F233*D233</f>
        <v>507.15</v>
      </c>
      <c r="I233" s="11">
        <f t="shared" si="16"/>
        <v>507.15</v>
      </c>
    </row>
    <row r="234" spans="1:13" s="5" customFormat="1" ht="15.6" customHeight="1" outlineLevel="1" x14ac:dyDescent="0.25">
      <c r="A234" s="107" t="s">
        <v>980</v>
      </c>
      <c r="B234" s="49" t="s">
        <v>824</v>
      </c>
      <c r="C234" s="203" t="s">
        <v>9</v>
      </c>
      <c r="D234" s="733">
        <f>D235</f>
        <v>1.7501199999999999</v>
      </c>
      <c r="E234" s="353">
        <v>30000</v>
      </c>
      <c r="F234" s="139"/>
      <c r="G234" s="2">
        <f t="shared" si="17"/>
        <v>52503.6</v>
      </c>
      <c r="H234" s="2">
        <f t="shared" si="18"/>
        <v>0</v>
      </c>
      <c r="I234" s="11">
        <f t="shared" si="16"/>
        <v>52503.6</v>
      </c>
    </row>
    <row r="235" spans="1:13" s="5" customFormat="1" ht="15.6" customHeight="1" outlineLevel="1" x14ac:dyDescent="0.25">
      <c r="A235" s="391"/>
      <c r="B235" s="47" t="s">
        <v>1376</v>
      </c>
      <c r="C235" s="41" t="s">
        <v>9</v>
      </c>
      <c r="D235" s="42">
        <f>Д2!D185+Ек!D195+Д!D176+Е!D184</f>
        <v>1.7501199999999999</v>
      </c>
      <c r="E235" s="282"/>
      <c r="F235" s="364">
        <v>40000</v>
      </c>
      <c r="G235" s="2">
        <f t="shared" si="17"/>
        <v>0</v>
      </c>
      <c r="H235" s="2">
        <f t="shared" si="18"/>
        <v>70004.800000000003</v>
      </c>
      <c r="I235" s="11">
        <f t="shared" si="16"/>
        <v>70004.800000000003</v>
      </c>
    </row>
    <row r="236" spans="1:13" s="5" customFormat="1" ht="15.6" customHeight="1" outlineLevel="1" x14ac:dyDescent="0.3">
      <c r="A236" s="107" t="s">
        <v>981</v>
      </c>
      <c r="B236" s="49" t="s">
        <v>903</v>
      </c>
      <c r="C236" s="41" t="s">
        <v>12</v>
      </c>
      <c r="D236" s="31">
        <f>Д2!D186+Ек!D196+Д!D177+Е!D185</f>
        <v>16</v>
      </c>
      <c r="E236" s="353">
        <v>600</v>
      </c>
      <c r="F236" s="392"/>
      <c r="G236" s="2">
        <f t="shared" si="17"/>
        <v>9600</v>
      </c>
      <c r="H236" s="2">
        <f t="shared" si="18"/>
        <v>0</v>
      </c>
      <c r="I236" s="11">
        <f t="shared" si="16"/>
        <v>9600</v>
      </c>
    </row>
    <row r="237" spans="1:13" s="5" customFormat="1" ht="15.6" customHeight="1" outlineLevel="1" x14ac:dyDescent="0.25">
      <c r="A237" s="391"/>
      <c r="B237" s="47" t="s">
        <v>1524</v>
      </c>
      <c r="C237" s="41" t="s">
        <v>9</v>
      </c>
      <c r="D237" s="2">
        <f>Д2!D187+Д2!D188+Ек!D197+Д!D178+Д!D179+Е!D186</f>
        <v>1.2767540000000002</v>
      </c>
      <c r="E237" s="353"/>
      <c r="F237" s="364">
        <v>42000</v>
      </c>
      <c r="G237" s="2">
        <f t="shared" si="17"/>
        <v>0</v>
      </c>
      <c r="H237" s="2">
        <f t="shared" si="18"/>
        <v>53623.668000000005</v>
      </c>
      <c r="I237" s="11">
        <f>H237</f>
        <v>53623.668000000005</v>
      </c>
    </row>
    <row r="238" spans="1:13" s="5" customFormat="1" ht="15.6" customHeight="1" outlineLevel="1" x14ac:dyDescent="0.25">
      <c r="A238" s="107" t="s">
        <v>982</v>
      </c>
      <c r="B238" s="49" t="s">
        <v>788</v>
      </c>
      <c r="C238" s="41" t="s">
        <v>8</v>
      </c>
      <c r="D238" s="2">
        <f>Ек!D198+Е!D187</f>
        <v>0.19600000000000001</v>
      </c>
      <c r="E238" s="353">
        <v>500</v>
      </c>
      <c r="F238" s="363"/>
      <c r="G238" s="2">
        <f t="shared" si="17"/>
        <v>98</v>
      </c>
      <c r="H238" s="2">
        <f t="shared" si="18"/>
        <v>0</v>
      </c>
      <c r="I238" s="11">
        <f>G238</f>
        <v>98</v>
      </c>
    </row>
    <row r="239" spans="1:13" s="5" customFormat="1" ht="15.6" customHeight="1" outlineLevel="1" x14ac:dyDescent="0.25">
      <c r="A239" s="391"/>
      <c r="B239" s="47" t="s">
        <v>804</v>
      </c>
      <c r="C239" s="41" t="s">
        <v>8</v>
      </c>
      <c r="D239" s="42">
        <f>D238*1.015</f>
        <v>0.19893999999999998</v>
      </c>
      <c r="E239" s="353"/>
      <c r="F239" s="664">
        <v>4200</v>
      </c>
      <c r="G239" s="2">
        <f t="shared" si="17"/>
        <v>0</v>
      </c>
      <c r="H239" s="2">
        <f t="shared" si="18"/>
        <v>835.54799999999989</v>
      </c>
      <c r="I239" s="11">
        <f>G239+H239</f>
        <v>835.54799999999989</v>
      </c>
    </row>
    <row r="240" spans="1:13" s="5" customFormat="1" ht="15.6" customHeight="1" outlineLevel="1" x14ac:dyDescent="0.25">
      <c r="A240" s="391"/>
      <c r="B240" s="47" t="s">
        <v>998</v>
      </c>
      <c r="C240" s="41" t="s">
        <v>15</v>
      </c>
      <c r="D240" s="2">
        <f>Ек!D200+Е!D189</f>
        <v>42.52</v>
      </c>
      <c r="E240" s="353"/>
      <c r="F240" s="364">
        <v>34</v>
      </c>
      <c r="G240" s="2">
        <f t="shared" si="17"/>
        <v>0</v>
      </c>
      <c r="H240" s="2">
        <f t="shared" si="18"/>
        <v>1445.68</v>
      </c>
      <c r="I240" s="11">
        <f>H240</f>
        <v>1445.68</v>
      </c>
    </row>
    <row r="241" spans="1:13" s="5" customFormat="1" ht="15.6" customHeight="1" outlineLevel="1" x14ac:dyDescent="0.25">
      <c r="A241" s="107" t="s">
        <v>983</v>
      </c>
      <c r="B241" s="49" t="s">
        <v>805</v>
      </c>
      <c r="C241" s="41" t="s">
        <v>12</v>
      </c>
      <c r="D241" s="2">
        <f>Д2!D189+Ек!D201+Д!D180+Е!D190</f>
        <v>20</v>
      </c>
      <c r="E241" s="353">
        <v>3000</v>
      </c>
      <c r="F241" s="363"/>
      <c r="G241" s="2">
        <f t="shared" si="17"/>
        <v>60000</v>
      </c>
      <c r="H241" s="2">
        <f t="shared" si="18"/>
        <v>0</v>
      </c>
      <c r="I241" s="11">
        <f>G241</f>
        <v>60000</v>
      </c>
    </row>
    <row r="242" spans="1:13" s="5" customFormat="1" ht="15.6" customHeight="1" outlineLevel="1" x14ac:dyDescent="0.25">
      <c r="A242" s="391"/>
      <c r="B242" s="47" t="s">
        <v>904</v>
      </c>
      <c r="C242" s="41" t="s">
        <v>9</v>
      </c>
      <c r="D242" s="2">
        <f>Ек!D202+Е!D191</f>
        <v>0.15519999999999998</v>
      </c>
      <c r="E242" s="353"/>
      <c r="F242" s="363">
        <v>40000</v>
      </c>
      <c r="G242" s="2">
        <f t="shared" si="17"/>
        <v>0</v>
      </c>
      <c r="H242" s="2">
        <f t="shared" si="18"/>
        <v>6207.9999999999991</v>
      </c>
      <c r="I242" s="11">
        <f>H242</f>
        <v>6207.9999999999991</v>
      </c>
    </row>
    <row r="243" spans="1:13" s="5" customFormat="1" ht="15.6" customHeight="1" outlineLevel="1" x14ac:dyDescent="0.25">
      <c r="A243" s="391"/>
      <c r="B243" s="47" t="s">
        <v>1380</v>
      </c>
      <c r="C243" s="41" t="s">
        <v>9</v>
      </c>
      <c r="D243" s="2">
        <f>Д2!D190+Ек!D203+Д!D181+Е!D192</f>
        <v>0.48120000000000002</v>
      </c>
      <c r="E243" s="353"/>
      <c r="F243" s="363">
        <v>40000</v>
      </c>
      <c r="G243" s="2">
        <f t="shared" si="17"/>
        <v>0</v>
      </c>
      <c r="H243" s="2">
        <f t="shared" si="18"/>
        <v>19248</v>
      </c>
      <c r="I243" s="11">
        <f>H243</f>
        <v>19248</v>
      </c>
    </row>
    <row r="244" spans="1:13" s="5" customFormat="1" ht="15.6" customHeight="1" outlineLevel="1" x14ac:dyDescent="0.25">
      <c r="A244" s="391"/>
      <c r="B244" s="47" t="s">
        <v>806</v>
      </c>
      <c r="C244" s="41" t="s">
        <v>9</v>
      </c>
      <c r="D244" s="2">
        <f>Д2!D191+Ек!D204+Д!D182+Е!D193</f>
        <v>8.4400000000000003E-2</v>
      </c>
      <c r="E244" s="353"/>
      <c r="F244" s="363">
        <v>40000</v>
      </c>
      <c r="G244" s="2">
        <f t="shared" si="17"/>
        <v>0</v>
      </c>
      <c r="H244" s="2">
        <f t="shared" si="18"/>
        <v>3376</v>
      </c>
      <c r="I244" s="11">
        <f>H244</f>
        <v>3376</v>
      </c>
    </row>
    <row r="245" spans="1:13" s="5" customFormat="1" ht="15.6" customHeight="1" outlineLevel="1" x14ac:dyDescent="0.25">
      <c r="A245" s="107" t="s">
        <v>1405</v>
      </c>
      <c r="B245" s="49" t="s">
        <v>1398</v>
      </c>
      <c r="C245" s="41" t="s">
        <v>12</v>
      </c>
      <c r="D245" s="2">
        <f>Ек!D205+Е!D194</f>
        <v>2</v>
      </c>
      <c r="E245" s="353">
        <v>1500</v>
      </c>
      <c r="F245" s="363"/>
      <c r="G245" s="2">
        <f t="shared" si="17"/>
        <v>3000</v>
      </c>
      <c r="H245" s="2">
        <f t="shared" si="18"/>
        <v>0</v>
      </c>
      <c r="I245" s="11">
        <f>G245</f>
        <v>3000</v>
      </c>
    </row>
    <row r="246" spans="1:13" s="5" customFormat="1" ht="15.6" customHeight="1" outlineLevel="1" x14ac:dyDescent="0.25">
      <c r="A246" s="391"/>
      <c r="B246" s="47" t="s">
        <v>91</v>
      </c>
      <c r="C246" s="41" t="s">
        <v>9</v>
      </c>
      <c r="D246" s="42">
        <f>Ек!D206+Е!D195</f>
        <v>0.108</v>
      </c>
      <c r="E246" s="282"/>
      <c r="F246" s="364">
        <v>40000</v>
      </c>
      <c r="G246" s="2">
        <f t="shared" si="17"/>
        <v>0</v>
      </c>
      <c r="H246" s="2">
        <f t="shared" si="18"/>
        <v>4320</v>
      </c>
      <c r="I246" s="11">
        <f>G246+H246</f>
        <v>4320</v>
      </c>
    </row>
    <row r="247" spans="1:13" s="5" customFormat="1" ht="15.6" customHeight="1" outlineLevel="1" x14ac:dyDescent="0.3">
      <c r="A247" s="107" t="s">
        <v>1406</v>
      </c>
      <c r="B247" s="49" t="s">
        <v>807</v>
      </c>
      <c r="C247" s="41" t="s">
        <v>14</v>
      </c>
      <c r="D247" s="31">
        <f>(D235+D242+D243+D244+D246+D237)*27</f>
        <v>104.10319800000002</v>
      </c>
      <c r="E247" s="256">
        <v>150</v>
      </c>
      <c r="F247" s="484"/>
      <c r="G247" s="2">
        <f t="shared" si="17"/>
        <v>15615.479700000004</v>
      </c>
      <c r="H247" s="2">
        <f t="shared" si="18"/>
        <v>0</v>
      </c>
      <c r="I247" s="11">
        <f>G247</f>
        <v>15615.479700000004</v>
      </c>
    </row>
    <row r="248" spans="1:13" s="5" customFormat="1" ht="15.6" customHeight="1" outlineLevel="1" x14ac:dyDescent="0.3">
      <c r="A248" s="391"/>
      <c r="B248" s="47" t="s">
        <v>1166</v>
      </c>
      <c r="C248" s="41" t="s">
        <v>15</v>
      </c>
      <c r="D248" s="2">
        <f>D247*0.2</f>
        <v>20.820639600000007</v>
      </c>
      <c r="E248" s="484"/>
      <c r="F248" s="362">
        <v>85</v>
      </c>
      <c r="G248" s="484"/>
      <c r="H248" s="2">
        <f t="shared" si="18"/>
        <v>1769.7543660000006</v>
      </c>
      <c r="I248" s="11">
        <f>H248</f>
        <v>1769.7543660000006</v>
      </c>
    </row>
    <row r="249" spans="1:13" s="5" customFormat="1" ht="15.6" customHeight="1" outlineLevel="1" x14ac:dyDescent="0.3">
      <c r="A249" s="391"/>
      <c r="B249" s="47" t="s">
        <v>1162</v>
      </c>
      <c r="C249" s="41" t="s">
        <v>15</v>
      </c>
      <c r="D249" s="2">
        <f>D247*0.3</f>
        <v>31.230959400000003</v>
      </c>
      <c r="E249" s="484"/>
      <c r="F249" s="362">
        <v>115</v>
      </c>
      <c r="G249" s="484"/>
      <c r="H249" s="2">
        <f t="shared" si="18"/>
        <v>3591.5603310000006</v>
      </c>
      <c r="I249" s="11">
        <f>H249</f>
        <v>3591.5603310000006</v>
      </c>
    </row>
    <row r="250" spans="1:13" s="36" customFormat="1" outlineLevel="1" x14ac:dyDescent="0.25">
      <c r="A250" s="92"/>
      <c r="B250" s="748" t="s">
        <v>1543</v>
      </c>
      <c r="C250" s="744"/>
      <c r="D250" s="745"/>
      <c r="E250" s="746"/>
      <c r="F250" s="747"/>
      <c r="G250" s="474">
        <f>SUM(G231:G249)</f>
        <v>155817.0797</v>
      </c>
      <c r="H250" s="2">
        <f t="shared" si="18"/>
        <v>0</v>
      </c>
      <c r="I250" s="749">
        <f>G250</f>
        <v>155817.0797</v>
      </c>
      <c r="K250" s="162"/>
      <c r="L250" s="162"/>
      <c r="M250" s="162"/>
    </row>
    <row r="251" spans="1:13" s="36" customFormat="1" outlineLevel="1" x14ac:dyDescent="0.25">
      <c r="A251" s="92"/>
      <c r="B251" s="748" t="s">
        <v>1546</v>
      </c>
      <c r="C251" s="744"/>
      <c r="D251" s="745"/>
      <c r="E251" s="746"/>
      <c r="F251" s="747"/>
      <c r="G251" s="474"/>
      <c r="H251" s="473">
        <f>SUM(H231:H249)</f>
        <v>282530.16069700004</v>
      </c>
      <c r="I251" s="749">
        <f>H251</f>
        <v>282530.16069700004</v>
      </c>
      <c r="K251" s="162"/>
      <c r="L251" s="162"/>
      <c r="M251" s="162"/>
    </row>
    <row r="252" spans="1:13" s="36" customFormat="1" outlineLevel="1" x14ac:dyDescent="0.25">
      <c r="A252" s="92"/>
      <c r="B252" s="748" t="s">
        <v>1544</v>
      </c>
      <c r="C252" s="744"/>
      <c r="D252" s="745"/>
      <c r="E252" s="746"/>
      <c r="F252" s="747"/>
      <c r="G252" s="474"/>
      <c r="H252" s="746"/>
      <c r="I252" s="749">
        <f>G252</f>
        <v>0</v>
      </c>
      <c r="K252" s="162"/>
      <c r="L252" s="162"/>
      <c r="M252" s="162"/>
    </row>
    <row r="253" spans="1:13" s="36" customFormat="1" outlineLevel="1" x14ac:dyDescent="0.25">
      <c r="A253" s="92"/>
      <c r="B253" s="748" t="s">
        <v>1545</v>
      </c>
      <c r="C253" s="744"/>
      <c r="D253" s="745"/>
      <c r="E253" s="746"/>
      <c r="F253" s="747"/>
      <c r="G253" s="474"/>
      <c r="H253" s="746"/>
      <c r="I253" s="749">
        <f>G253</f>
        <v>0</v>
      </c>
      <c r="K253" s="162"/>
      <c r="L253" s="162"/>
      <c r="M253" s="162"/>
    </row>
    <row r="254" spans="1:13" s="5" customFormat="1" ht="15.6" customHeight="1" x14ac:dyDescent="0.25">
      <c r="A254" s="391"/>
      <c r="B254" s="232" t="s">
        <v>811</v>
      </c>
      <c r="C254" s="225"/>
      <c r="D254" s="239"/>
      <c r="E254" s="230"/>
      <c r="F254" s="240"/>
      <c r="G254" s="230">
        <f>G250+G252+G253</f>
        <v>155817.0797</v>
      </c>
      <c r="H254" s="230">
        <f>H251</f>
        <v>282530.16069700004</v>
      </c>
      <c r="I254" s="230">
        <f>I250+I251+I252+I253</f>
        <v>438347.24039700005</v>
      </c>
      <c r="J254" s="691"/>
    </row>
    <row r="255" spans="1:13" s="5" customFormat="1" ht="15.6" customHeight="1" x14ac:dyDescent="0.25">
      <c r="A255" s="391"/>
      <c r="B255" s="58" t="s">
        <v>624</v>
      </c>
      <c r="C255" s="9"/>
      <c r="D255" s="31"/>
      <c r="E255" s="10"/>
      <c r="F255" s="57"/>
      <c r="G255" s="10"/>
      <c r="H255" s="10"/>
      <c r="I255" s="31">
        <f>ROUND(I254/1.18*0.18,2)</f>
        <v>66866.53</v>
      </c>
    </row>
    <row r="256" spans="1:13" s="5" customFormat="1" ht="21" hidden="1" customHeight="1" x14ac:dyDescent="0.25">
      <c r="A256" s="108"/>
      <c r="B256" s="742" t="s">
        <v>812</v>
      </c>
      <c r="C256" s="105"/>
      <c r="D256" s="105"/>
      <c r="E256" s="105"/>
      <c r="F256" s="138"/>
      <c r="G256" s="105"/>
      <c r="H256" s="105"/>
      <c r="I256" s="106"/>
    </row>
    <row r="257" spans="1:9" s="5" customFormat="1" ht="15.6" hidden="1" customHeight="1" x14ac:dyDescent="0.25">
      <c r="A257" s="391"/>
      <c r="B257" s="383" t="s">
        <v>813</v>
      </c>
      <c r="C257" s="41" t="s">
        <v>12</v>
      </c>
      <c r="D257" s="282">
        <v>0</v>
      </c>
      <c r="E257" s="390">
        <v>500</v>
      </c>
      <c r="F257" s="363">
        <v>24000</v>
      </c>
      <c r="G257" s="2">
        <f>D257*E257</f>
        <v>0</v>
      </c>
      <c r="H257" s="2">
        <f>D257*F257</f>
        <v>0</v>
      </c>
      <c r="I257" s="11">
        <f>H257+G257</f>
        <v>0</v>
      </c>
    </row>
    <row r="258" spans="1:9" s="5" customFormat="1" ht="15.6" hidden="1" customHeight="1" x14ac:dyDescent="0.25">
      <c r="A258" s="391"/>
      <c r="B258" s="383" t="s">
        <v>814</v>
      </c>
      <c r="C258" s="41" t="s">
        <v>8</v>
      </c>
      <c r="D258" s="282">
        <v>0</v>
      </c>
      <c r="E258" s="390">
        <v>2500</v>
      </c>
      <c r="F258" s="363"/>
      <c r="G258" s="2">
        <f>D258*E258</f>
        <v>0</v>
      </c>
      <c r="H258" s="2"/>
      <c r="I258" s="11">
        <f>G258</f>
        <v>0</v>
      </c>
    </row>
    <row r="259" spans="1:9" s="5" customFormat="1" ht="15.6" hidden="1" customHeight="1" x14ac:dyDescent="0.3">
      <c r="A259" s="391"/>
      <c r="B259" s="394" t="s">
        <v>815</v>
      </c>
      <c r="C259" s="41" t="s">
        <v>8</v>
      </c>
      <c r="D259" s="282">
        <f>D258*1.05</f>
        <v>0</v>
      </c>
      <c r="E259" s="390"/>
      <c r="F259" s="363">
        <f>F108</f>
        <v>0</v>
      </c>
      <c r="G259" s="2"/>
      <c r="H259" s="2">
        <f>F259*D259</f>
        <v>0</v>
      </c>
      <c r="I259" s="11">
        <f>G259+H259</f>
        <v>0</v>
      </c>
    </row>
    <row r="260" spans="1:9" s="5" customFormat="1" ht="15.6" hidden="1" customHeight="1" x14ac:dyDescent="0.3">
      <c r="A260" s="391"/>
      <c r="B260" s="395" t="s">
        <v>816</v>
      </c>
      <c r="C260" s="41" t="s">
        <v>9</v>
      </c>
      <c r="D260" s="282">
        <v>0</v>
      </c>
      <c r="E260" s="390"/>
      <c r="F260" s="363">
        <v>31000</v>
      </c>
      <c r="G260" s="2"/>
      <c r="H260" s="2">
        <f>F260*D260</f>
        <v>0</v>
      </c>
      <c r="I260" s="11">
        <f>G260+H260</f>
        <v>0</v>
      </c>
    </row>
    <row r="261" spans="1:9" s="5" customFormat="1" ht="15.6" hidden="1" customHeight="1" x14ac:dyDescent="0.3">
      <c r="A261" s="391"/>
      <c r="B261" s="395" t="s">
        <v>817</v>
      </c>
      <c r="C261" s="41" t="s">
        <v>9</v>
      </c>
      <c r="D261" s="282">
        <v>0</v>
      </c>
      <c r="E261" s="390"/>
      <c r="F261" s="363">
        <v>31000</v>
      </c>
      <c r="G261" s="2"/>
      <c r="H261" s="2">
        <f>F261*D261</f>
        <v>0</v>
      </c>
      <c r="I261" s="11">
        <f>G261+H261</f>
        <v>0</v>
      </c>
    </row>
    <row r="262" spans="1:9" s="5" customFormat="1" ht="15.6" hidden="1" customHeight="1" x14ac:dyDescent="0.3">
      <c r="A262" s="391"/>
      <c r="B262" s="396" t="s">
        <v>818</v>
      </c>
      <c r="C262" s="41" t="s">
        <v>9</v>
      </c>
      <c r="D262" s="282">
        <v>0</v>
      </c>
      <c r="E262" s="390"/>
      <c r="F262" s="363">
        <v>31000</v>
      </c>
      <c r="G262" s="2"/>
      <c r="H262" s="2">
        <f>F262*D262</f>
        <v>0</v>
      </c>
      <c r="I262" s="11">
        <f>G262+H262</f>
        <v>0</v>
      </c>
    </row>
    <row r="263" spans="1:9" s="5" customFormat="1" ht="15.6" hidden="1" customHeight="1" x14ac:dyDescent="0.25">
      <c r="A263" s="391"/>
      <c r="B263" s="383" t="s">
        <v>819</v>
      </c>
      <c r="C263" s="41" t="s">
        <v>853</v>
      </c>
      <c r="D263" s="282">
        <v>0</v>
      </c>
      <c r="E263" s="390">
        <v>25000</v>
      </c>
      <c r="F263" s="363"/>
      <c r="G263" s="2">
        <f>D263*E263</f>
        <v>0</v>
      </c>
      <c r="H263" s="2">
        <f>D263*F263</f>
        <v>0</v>
      </c>
      <c r="I263" s="11">
        <f>H263+G263</f>
        <v>0</v>
      </c>
    </row>
    <row r="264" spans="1:9" s="5" customFormat="1" ht="15.6" hidden="1" customHeight="1" x14ac:dyDescent="0.3">
      <c r="A264" s="391"/>
      <c r="B264" s="393" t="s">
        <v>820</v>
      </c>
      <c r="C264" s="41" t="s">
        <v>853</v>
      </c>
      <c r="D264" s="282">
        <v>0</v>
      </c>
      <c r="E264" s="390"/>
      <c r="F264" s="363">
        <v>33000</v>
      </c>
      <c r="G264" s="2"/>
      <c r="H264" s="2">
        <f>D264*F264</f>
        <v>0</v>
      </c>
      <c r="I264" s="11">
        <f>H264</f>
        <v>0</v>
      </c>
    </row>
    <row r="265" spans="1:9" s="5" customFormat="1" ht="15.6" hidden="1" customHeight="1" x14ac:dyDescent="0.3">
      <c r="A265" s="391"/>
      <c r="B265" s="393" t="s">
        <v>821</v>
      </c>
      <c r="C265" s="41" t="s">
        <v>853</v>
      </c>
      <c r="D265" s="282">
        <v>0</v>
      </c>
      <c r="E265" s="390"/>
      <c r="F265" s="363">
        <v>33000</v>
      </c>
      <c r="G265" s="2"/>
      <c r="H265" s="2">
        <f>D265*F265</f>
        <v>0</v>
      </c>
      <c r="I265" s="11">
        <f>H265</f>
        <v>0</v>
      </c>
    </row>
    <row r="266" spans="1:9" s="5" customFormat="1" ht="15.6" hidden="1" customHeight="1" x14ac:dyDescent="0.3">
      <c r="A266" s="391"/>
      <c r="B266" s="393" t="s">
        <v>822</v>
      </c>
      <c r="C266" s="41" t="s">
        <v>14</v>
      </c>
      <c r="D266" s="282">
        <v>0</v>
      </c>
      <c r="E266" s="390"/>
      <c r="F266" s="363">
        <v>250</v>
      </c>
      <c r="G266" s="2"/>
      <c r="H266" s="2">
        <f>D266*F266</f>
        <v>0</v>
      </c>
      <c r="I266" s="11">
        <f>H266</f>
        <v>0</v>
      </c>
    </row>
    <row r="267" spans="1:9" s="5" customFormat="1" ht="15.6" hidden="1" customHeight="1" x14ac:dyDescent="0.3">
      <c r="A267" s="391"/>
      <c r="B267" s="397" t="s">
        <v>823</v>
      </c>
      <c r="C267" s="41"/>
      <c r="D267" s="282"/>
      <c r="E267" s="390"/>
      <c r="F267" s="363"/>
      <c r="G267" s="2"/>
      <c r="H267" s="2"/>
      <c r="I267" s="11"/>
    </row>
    <row r="268" spans="1:9" s="5" customFormat="1" ht="15.6" hidden="1" customHeight="1" x14ac:dyDescent="0.25">
      <c r="A268" s="391"/>
      <c r="B268" s="383" t="s">
        <v>824</v>
      </c>
      <c r="C268" s="41" t="s">
        <v>853</v>
      </c>
      <c r="D268" s="282">
        <v>0</v>
      </c>
      <c r="E268" s="390">
        <v>25000</v>
      </c>
      <c r="F268" s="363"/>
      <c r="G268" s="2">
        <f>D268*E268</f>
        <v>0</v>
      </c>
      <c r="H268" s="2">
        <f t="shared" ref="H268:H277" si="19">D268*F268</f>
        <v>0</v>
      </c>
      <c r="I268" s="11">
        <f>H268+G268</f>
        <v>0</v>
      </c>
    </row>
    <row r="269" spans="1:9" s="5" customFormat="1" ht="15.6" hidden="1" customHeight="1" x14ac:dyDescent="0.3">
      <c r="A269" s="391"/>
      <c r="B269" s="393" t="s">
        <v>825</v>
      </c>
      <c r="C269" s="41" t="s">
        <v>853</v>
      </c>
      <c r="D269" s="282">
        <v>0</v>
      </c>
      <c r="E269" s="390"/>
      <c r="F269" s="363">
        <v>33000</v>
      </c>
      <c r="G269" s="2"/>
      <c r="H269" s="2">
        <f t="shared" si="19"/>
        <v>0</v>
      </c>
      <c r="I269" s="11">
        <f>H269</f>
        <v>0</v>
      </c>
    </row>
    <row r="270" spans="1:9" s="5" customFormat="1" ht="15.6" hidden="1" customHeight="1" x14ac:dyDescent="0.3">
      <c r="A270" s="391"/>
      <c r="B270" s="393" t="s">
        <v>826</v>
      </c>
      <c r="C270" s="41" t="s">
        <v>853</v>
      </c>
      <c r="D270" s="282">
        <v>0</v>
      </c>
      <c r="E270" s="390"/>
      <c r="F270" s="363">
        <v>33000</v>
      </c>
      <c r="G270" s="2"/>
      <c r="H270" s="2">
        <f t="shared" si="19"/>
        <v>0</v>
      </c>
      <c r="I270" s="11">
        <f t="shared" ref="I270:I277" si="20">H270</f>
        <v>0</v>
      </c>
    </row>
    <row r="271" spans="1:9" s="5" customFormat="1" ht="15.6" hidden="1" customHeight="1" x14ac:dyDescent="0.3">
      <c r="A271" s="391"/>
      <c r="B271" s="393" t="s">
        <v>827</v>
      </c>
      <c r="C271" s="41" t="s">
        <v>853</v>
      </c>
      <c r="D271" s="282">
        <v>0</v>
      </c>
      <c r="E271" s="390"/>
      <c r="F271" s="363">
        <v>33000</v>
      </c>
      <c r="G271" s="2"/>
      <c r="H271" s="2">
        <f t="shared" si="19"/>
        <v>0</v>
      </c>
      <c r="I271" s="11">
        <f>H271</f>
        <v>0</v>
      </c>
    </row>
    <row r="272" spans="1:9" s="5" customFormat="1" ht="15.6" hidden="1" customHeight="1" x14ac:dyDescent="0.3">
      <c r="A272" s="391"/>
      <c r="B272" s="393" t="s">
        <v>828</v>
      </c>
      <c r="C272" s="41" t="s">
        <v>853</v>
      </c>
      <c r="D272" s="282">
        <v>0</v>
      </c>
      <c r="E272" s="390"/>
      <c r="F272" s="363">
        <v>33000</v>
      </c>
      <c r="G272" s="2"/>
      <c r="H272" s="2">
        <f t="shared" si="19"/>
        <v>0</v>
      </c>
      <c r="I272" s="11">
        <f t="shared" si="20"/>
        <v>0</v>
      </c>
    </row>
    <row r="273" spans="1:9" s="5" customFormat="1" ht="15.6" hidden="1" customHeight="1" x14ac:dyDescent="0.3">
      <c r="A273" s="391"/>
      <c r="B273" s="393" t="s">
        <v>822</v>
      </c>
      <c r="C273" s="41" t="s">
        <v>14</v>
      </c>
      <c r="D273" s="282">
        <v>0</v>
      </c>
      <c r="E273" s="390"/>
      <c r="F273" s="363">
        <v>250</v>
      </c>
      <c r="G273" s="2"/>
      <c r="H273" s="2">
        <f t="shared" si="19"/>
        <v>0</v>
      </c>
      <c r="I273" s="11">
        <f t="shared" si="20"/>
        <v>0</v>
      </c>
    </row>
    <row r="274" spans="1:9" s="5" customFormat="1" ht="15.6" hidden="1" customHeight="1" x14ac:dyDescent="0.3">
      <c r="A274" s="391"/>
      <c r="B274" s="393" t="s">
        <v>829</v>
      </c>
      <c r="C274" s="41" t="s">
        <v>14</v>
      </c>
      <c r="D274" s="282">
        <v>0</v>
      </c>
      <c r="E274" s="390"/>
      <c r="F274" s="363">
        <v>250</v>
      </c>
      <c r="G274" s="2"/>
      <c r="H274" s="2">
        <f t="shared" si="19"/>
        <v>0</v>
      </c>
      <c r="I274" s="11">
        <f t="shared" si="20"/>
        <v>0</v>
      </c>
    </row>
    <row r="275" spans="1:9" s="5" customFormat="1" ht="15.6" hidden="1" customHeight="1" x14ac:dyDescent="0.3">
      <c r="A275" s="391"/>
      <c r="B275" s="393" t="s">
        <v>830</v>
      </c>
      <c r="C275" s="41" t="s">
        <v>14</v>
      </c>
      <c r="D275" s="282">
        <v>0</v>
      </c>
      <c r="E275" s="390"/>
      <c r="F275" s="363">
        <v>250</v>
      </c>
      <c r="G275" s="2"/>
      <c r="H275" s="2">
        <f t="shared" si="19"/>
        <v>0</v>
      </c>
      <c r="I275" s="11">
        <f t="shared" si="20"/>
        <v>0</v>
      </c>
    </row>
    <row r="276" spans="1:9" s="5" customFormat="1" ht="15.6" hidden="1" customHeight="1" x14ac:dyDescent="0.3">
      <c r="A276" s="391"/>
      <c r="B276" s="393" t="s">
        <v>831</v>
      </c>
      <c r="C276" s="41" t="s">
        <v>12</v>
      </c>
      <c r="D276" s="282">
        <v>0</v>
      </c>
      <c r="E276" s="390"/>
      <c r="F276" s="363">
        <v>250</v>
      </c>
      <c r="G276" s="2"/>
      <c r="H276" s="2">
        <f t="shared" si="19"/>
        <v>0</v>
      </c>
      <c r="I276" s="11">
        <f t="shared" si="20"/>
        <v>0</v>
      </c>
    </row>
    <row r="277" spans="1:9" s="5" customFormat="1" ht="15.6" hidden="1" customHeight="1" x14ac:dyDescent="0.3">
      <c r="A277" s="391"/>
      <c r="B277" s="393" t="s">
        <v>832</v>
      </c>
      <c r="C277" s="41" t="s">
        <v>14</v>
      </c>
      <c r="D277" s="282">
        <v>0</v>
      </c>
      <c r="E277" s="390"/>
      <c r="F277" s="363">
        <v>200</v>
      </c>
      <c r="G277" s="2"/>
      <c r="H277" s="2">
        <f t="shared" si="19"/>
        <v>0</v>
      </c>
      <c r="I277" s="11">
        <f t="shared" si="20"/>
        <v>0</v>
      </c>
    </row>
    <row r="278" spans="1:9" s="5" customFormat="1" ht="15.6" hidden="1" customHeight="1" x14ac:dyDescent="0.25">
      <c r="A278" s="391"/>
      <c r="B278" s="383" t="s">
        <v>807</v>
      </c>
      <c r="C278" s="41" t="s">
        <v>14</v>
      </c>
      <c r="D278" s="282">
        <f>(D263+D268)*27</f>
        <v>0</v>
      </c>
      <c r="E278" s="390">
        <v>150</v>
      </c>
      <c r="F278" s="363"/>
      <c r="G278" s="2">
        <f>D278*E278</f>
        <v>0</v>
      </c>
      <c r="H278" s="2"/>
      <c r="I278" s="11">
        <f>G278</f>
        <v>0</v>
      </c>
    </row>
    <row r="279" spans="1:9" s="5" customFormat="1" ht="15.6" hidden="1" customHeight="1" x14ac:dyDescent="0.3">
      <c r="A279" s="391"/>
      <c r="B279" s="393" t="s">
        <v>808</v>
      </c>
      <c r="C279" s="41" t="s">
        <v>15</v>
      </c>
      <c r="D279" s="282">
        <f>D278*0.2</f>
        <v>0</v>
      </c>
      <c r="E279" s="390"/>
      <c r="F279" s="363">
        <v>85</v>
      </c>
      <c r="G279" s="2"/>
      <c r="H279" s="2">
        <f>F279*D279</f>
        <v>0</v>
      </c>
      <c r="I279" s="11">
        <f>H279</f>
        <v>0</v>
      </c>
    </row>
    <row r="280" spans="1:9" s="5" customFormat="1" ht="15.6" hidden="1" customHeight="1" x14ac:dyDescent="0.3">
      <c r="A280" s="391"/>
      <c r="B280" s="393" t="s">
        <v>809</v>
      </c>
      <c r="C280" s="41" t="s">
        <v>15</v>
      </c>
      <c r="D280" s="282">
        <f>D278*0.3</f>
        <v>0</v>
      </c>
      <c r="E280" s="390"/>
      <c r="F280" s="363">
        <v>115</v>
      </c>
      <c r="G280" s="2"/>
      <c r="H280" s="2">
        <f>F280*D280</f>
        <v>0</v>
      </c>
      <c r="I280" s="11">
        <f>H280</f>
        <v>0</v>
      </c>
    </row>
    <row r="281" spans="1:9" s="5" customFormat="1" ht="15.6" hidden="1" customHeight="1" x14ac:dyDescent="0.3">
      <c r="A281" s="391"/>
      <c r="B281" s="398" t="s">
        <v>833</v>
      </c>
      <c r="C281" s="41"/>
      <c r="D281" s="282"/>
      <c r="E281" s="390"/>
      <c r="F281" s="363"/>
      <c r="G281" s="2"/>
      <c r="H281" s="2"/>
      <c r="I281" s="11"/>
    </row>
    <row r="282" spans="1:9" s="5" customFormat="1" ht="15.6" hidden="1" customHeight="1" x14ac:dyDescent="0.25">
      <c r="A282" s="391"/>
      <c r="B282" s="383" t="s">
        <v>824</v>
      </c>
      <c r="C282" s="41" t="s">
        <v>853</v>
      </c>
      <c r="D282" s="282">
        <v>0</v>
      </c>
      <c r="E282" s="390">
        <v>25000</v>
      </c>
      <c r="F282" s="363"/>
      <c r="G282" s="2">
        <f>D282*E282</f>
        <v>0</v>
      </c>
      <c r="H282" s="2">
        <f t="shared" ref="H282:H295" si="21">D282*F282</f>
        <v>0</v>
      </c>
      <c r="I282" s="11">
        <f t="shared" ref="I282:I296" si="22">H282+G282</f>
        <v>0</v>
      </c>
    </row>
    <row r="283" spans="1:9" s="5" customFormat="1" ht="15.6" hidden="1" customHeight="1" x14ac:dyDescent="0.3">
      <c r="A283" s="391"/>
      <c r="B283" s="399" t="s">
        <v>834</v>
      </c>
      <c r="C283" s="41" t="s">
        <v>853</v>
      </c>
      <c r="D283" s="282">
        <v>0</v>
      </c>
      <c r="E283" s="390"/>
      <c r="F283" s="363">
        <v>33000</v>
      </c>
      <c r="G283" s="2"/>
      <c r="H283" s="2">
        <f t="shared" si="21"/>
        <v>0</v>
      </c>
      <c r="I283" s="11">
        <f t="shared" si="22"/>
        <v>0</v>
      </c>
    </row>
    <row r="284" spans="1:9" s="5" customFormat="1" ht="15.6" hidden="1" customHeight="1" x14ac:dyDescent="0.3">
      <c r="A284" s="391"/>
      <c r="B284" s="400" t="s">
        <v>835</v>
      </c>
      <c r="C284" s="41" t="s">
        <v>853</v>
      </c>
      <c r="D284" s="282">
        <v>0</v>
      </c>
      <c r="E284" s="390"/>
      <c r="F284" s="363">
        <v>33000</v>
      </c>
      <c r="G284" s="2"/>
      <c r="H284" s="2">
        <f t="shared" si="21"/>
        <v>0</v>
      </c>
      <c r="I284" s="11">
        <f t="shared" si="22"/>
        <v>0</v>
      </c>
    </row>
    <row r="285" spans="1:9" s="5" customFormat="1" ht="15.6" hidden="1" customHeight="1" x14ac:dyDescent="0.3">
      <c r="A285" s="391"/>
      <c r="B285" s="400" t="s">
        <v>836</v>
      </c>
      <c r="C285" s="41" t="s">
        <v>853</v>
      </c>
      <c r="D285" s="282">
        <v>0</v>
      </c>
      <c r="E285" s="390"/>
      <c r="F285" s="363">
        <v>33000</v>
      </c>
      <c r="G285" s="2"/>
      <c r="H285" s="2">
        <f t="shared" si="21"/>
        <v>0</v>
      </c>
      <c r="I285" s="11">
        <f t="shared" si="22"/>
        <v>0</v>
      </c>
    </row>
    <row r="286" spans="1:9" s="5" customFormat="1" ht="15.6" hidden="1" customHeight="1" x14ac:dyDescent="0.3">
      <c r="A286" s="391"/>
      <c r="B286" s="400" t="s">
        <v>837</v>
      </c>
      <c r="C286" s="41" t="s">
        <v>853</v>
      </c>
      <c r="D286" s="282">
        <v>0</v>
      </c>
      <c r="E286" s="390"/>
      <c r="F286" s="363">
        <v>33000</v>
      </c>
      <c r="G286" s="2"/>
      <c r="H286" s="2">
        <f t="shared" si="21"/>
        <v>0</v>
      </c>
      <c r="I286" s="11">
        <f t="shared" si="22"/>
        <v>0</v>
      </c>
    </row>
    <row r="287" spans="1:9" s="5" customFormat="1" ht="15.6" hidden="1" customHeight="1" x14ac:dyDescent="0.3">
      <c r="A287" s="391"/>
      <c r="B287" s="400" t="s">
        <v>838</v>
      </c>
      <c r="C287" s="41" t="s">
        <v>853</v>
      </c>
      <c r="D287" s="282">
        <v>0</v>
      </c>
      <c r="E287" s="390"/>
      <c r="F287" s="363">
        <v>33000</v>
      </c>
      <c r="G287" s="2"/>
      <c r="H287" s="2">
        <f t="shared" si="21"/>
        <v>0</v>
      </c>
      <c r="I287" s="11">
        <f t="shared" si="22"/>
        <v>0</v>
      </c>
    </row>
    <row r="288" spans="1:9" s="5" customFormat="1" ht="15.6" hidden="1" customHeight="1" x14ac:dyDescent="0.3">
      <c r="A288" s="391"/>
      <c r="B288" s="400" t="s">
        <v>839</v>
      </c>
      <c r="C288" s="41" t="s">
        <v>853</v>
      </c>
      <c r="D288" s="282">
        <v>0</v>
      </c>
      <c r="E288" s="390"/>
      <c r="F288" s="363">
        <v>33000</v>
      </c>
      <c r="G288" s="2"/>
      <c r="H288" s="2">
        <f t="shared" si="21"/>
        <v>0</v>
      </c>
      <c r="I288" s="11">
        <f t="shared" si="22"/>
        <v>0</v>
      </c>
    </row>
    <row r="289" spans="1:9" s="5" customFormat="1" ht="15.6" hidden="1" customHeight="1" x14ac:dyDescent="0.3">
      <c r="A289" s="391"/>
      <c r="B289" s="400" t="s">
        <v>840</v>
      </c>
      <c r="C289" s="41" t="s">
        <v>853</v>
      </c>
      <c r="D289" s="282">
        <v>0</v>
      </c>
      <c r="E289" s="390"/>
      <c r="F289" s="363">
        <v>33000</v>
      </c>
      <c r="G289" s="2"/>
      <c r="H289" s="2">
        <f t="shared" si="21"/>
        <v>0</v>
      </c>
      <c r="I289" s="11">
        <f t="shared" si="22"/>
        <v>0</v>
      </c>
    </row>
    <row r="290" spans="1:9" s="5" customFormat="1" ht="15.6" hidden="1" customHeight="1" x14ac:dyDescent="0.3">
      <c r="A290" s="391"/>
      <c r="B290" s="400" t="s">
        <v>841</v>
      </c>
      <c r="C290" s="41" t="s">
        <v>853</v>
      </c>
      <c r="D290" s="282">
        <v>0</v>
      </c>
      <c r="E290" s="390"/>
      <c r="F290" s="363">
        <v>33000</v>
      </c>
      <c r="G290" s="2"/>
      <c r="H290" s="2">
        <f t="shared" si="21"/>
        <v>0</v>
      </c>
      <c r="I290" s="11">
        <f t="shared" si="22"/>
        <v>0</v>
      </c>
    </row>
    <row r="291" spans="1:9" s="5" customFormat="1" ht="15.6" hidden="1" customHeight="1" x14ac:dyDescent="0.3">
      <c r="A291" s="391"/>
      <c r="B291" s="400" t="s">
        <v>842</v>
      </c>
      <c r="C291" s="41" t="s">
        <v>853</v>
      </c>
      <c r="D291" s="282">
        <v>0</v>
      </c>
      <c r="E291" s="390"/>
      <c r="F291" s="363">
        <v>33000</v>
      </c>
      <c r="G291" s="2"/>
      <c r="H291" s="2">
        <f t="shared" si="21"/>
        <v>0</v>
      </c>
      <c r="I291" s="11">
        <f t="shared" si="22"/>
        <v>0</v>
      </c>
    </row>
    <row r="292" spans="1:9" s="5" customFormat="1" ht="15.6" hidden="1" customHeight="1" x14ac:dyDescent="0.3">
      <c r="A292" s="391"/>
      <c r="B292" s="400" t="s">
        <v>843</v>
      </c>
      <c r="C292" s="41" t="s">
        <v>853</v>
      </c>
      <c r="D292" s="282">
        <v>0</v>
      </c>
      <c r="E292" s="390"/>
      <c r="F292" s="363">
        <v>31000</v>
      </c>
      <c r="G292" s="2"/>
      <c r="H292" s="2">
        <f t="shared" si="21"/>
        <v>0</v>
      </c>
      <c r="I292" s="11">
        <f t="shared" si="22"/>
        <v>0</v>
      </c>
    </row>
    <row r="293" spans="1:9" s="5" customFormat="1" ht="15.6" hidden="1" customHeight="1" x14ac:dyDescent="0.3">
      <c r="A293" s="391"/>
      <c r="B293" s="400" t="s">
        <v>844</v>
      </c>
      <c r="C293" s="41" t="s">
        <v>853</v>
      </c>
      <c r="D293" s="282">
        <v>0</v>
      </c>
      <c r="E293" s="390"/>
      <c r="F293" s="363">
        <v>33000</v>
      </c>
      <c r="G293" s="2"/>
      <c r="H293" s="2">
        <f t="shared" si="21"/>
        <v>0</v>
      </c>
      <c r="I293" s="11">
        <f t="shared" si="22"/>
        <v>0</v>
      </c>
    </row>
    <row r="294" spans="1:9" s="5" customFormat="1" ht="15.6" hidden="1" customHeight="1" x14ac:dyDescent="0.3">
      <c r="A294" s="391"/>
      <c r="B294" s="393" t="s">
        <v>845</v>
      </c>
      <c r="C294" s="41" t="s">
        <v>14</v>
      </c>
      <c r="D294" s="282">
        <v>0</v>
      </c>
      <c r="E294" s="390"/>
      <c r="F294" s="363">
        <v>250</v>
      </c>
      <c r="G294" s="2"/>
      <c r="H294" s="2">
        <f t="shared" si="21"/>
        <v>0</v>
      </c>
      <c r="I294" s="11">
        <f t="shared" si="22"/>
        <v>0</v>
      </c>
    </row>
    <row r="295" spans="1:9" s="5" customFormat="1" ht="15.6" hidden="1" customHeight="1" x14ac:dyDescent="0.3">
      <c r="A295" s="391"/>
      <c r="B295" s="393" t="s">
        <v>846</v>
      </c>
      <c r="C295" s="41" t="s">
        <v>14</v>
      </c>
      <c r="D295" s="282">
        <v>0</v>
      </c>
      <c r="E295" s="390"/>
      <c r="F295" s="363">
        <v>250</v>
      </c>
      <c r="G295" s="2"/>
      <c r="H295" s="2">
        <f t="shared" si="21"/>
        <v>0</v>
      </c>
      <c r="I295" s="11">
        <f t="shared" si="22"/>
        <v>0</v>
      </c>
    </row>
    <row r="296" spans="1:9" s="5" customFormat="1" ht="15.6" hidden="1" customHeight="1" x14ac:dyDescent="0.3">
      <c r="A296" s="391"/>
      <c r="B296" s="393" t="s">
        <v>847</v>
      </c>
      <c r="C296" s="41"/>
      <c r="D296" s="282"/>
      <c r="E296" s="390"/>
      <c r="F296" s="363"/>
      <c r="G296" s="2"/>
      <c r="H296" s="2">
        <v>0</v>
      </c>
      <c r="I296" s="11">
        <f t="shared" si="22"/>
        <v>0</v>
      </c>
    </row>
    <row r="297" spans="1:9" s="5" customFormat="1" ht="15.6" hidden="1" customHeight="1" x14ac:dyDescent="0.25">
      <c r="A297" s="391"/>
      <c r="B297" s="383" t="s">
        <v>848</v>
      </c>
      <c r="C297" s="41" t="s">
        <v>8</v>
      </c>
      <c r="D297" s="282">
        <v>0</v>
      </c>
      <c r="E297" s="390">
        <v>2500</v>
      </c>
      <c r="F297" s="363"/>
      <c r="G297" s="2">
        <f>D297*E297</f>
        <v>0</v>
      </c>
      <c r="H297" s="2"/>
      <c r="I297" s="11">
        <f>G297</f>
        <v>0</v>
      </c>
    </row>
    <row r="298" spans="1:9" s="5" customFormat="1" ht="15.6" hidden="1" customHeight="1" x14ac:dyDescent="0.3">
      <c r="A298" s="391"/>
      <c r="B298" s="393" t="s">
        <v>849</v>
      </c>
      <c r="C298" s="41" t="s">
        <v>8</v>
      </c>
      <c r="D298" s="282">
        <v>0</v>
      </c>
      <c r="E298" s="390"/>
      <c r="F298" s="363">
        <v>4975</v>
      </c>
      <c r="G298" s="2"/>
      <c r="H298" s="2">
        <f>F298*D298</f>
        <v>0</v>
      </c>
      <c r="I298" s="11">
        <f>H298</f>
        <v>0</v>
      </c>
    </row>
    <row r="299" spans="1:9" s="5" customFormat="1" ht="15.6" hidden="1" customHeight="1" x14ac:dyDescent="0.3">
      <c r="A299" s="391"/>
      <c r="B299" s="393" t="s">
        <v>850</v>
      </c>
      <c r="C299" s="41" t="s">
        <v>8</v>
      </c>
      <c r="D299" s="282">
        <v>0</v>
      </c>
      <c r="E299" s="390"/>
      <c r="F299" s="363">
        <f>F210</f>
        <v>4100</v>
      </c>
      <c r="G299" s="2"/>
      <c r="H299" s="2">
        <f>F299*D299</f>
        <v>0</v>
      </c>
      <c r="I299" s="11">
        <f>H299</f>
        <v>0</v>
      </c>
    </row>
    <row r="300" spans="1:9" s="5" customFormat="1" ht="15.6" hidden="1" customHeight="1" x14ac:dyDescent="0.3">
      <c r="A300" s="391"/>
      <c r="B300" s="393" t="s">
        <v>851</v>
      </c>
      <c r="C300" s="41" t="s">
        <v>853</v>
      </c>
      <c r="D300" s="282">
        <v>0</v>
      </c>
      <c r="E300" s="390"/>
      <c r="F300" s="363">
        <v>42000</v>
      </c>
      <c r="G300" s="2"/>
      <c r="H300" s="2">
        <f>F300*D300</f>
        <v>0</v>
      </c>
      <c r="I300" s="11">
        <f>H300</f>
        <v>0</v>
      </c>
    </row>
    <row r="301" spans="1:9" s="5" customFormat="1" ht="15.6" hidden="1" customHeight="1" x14ac:dyDescent="0.3">
      <c r="A301" s="391"/>
      <c r="B301" s="393" t="s">
        <v>852</v>
      </c>
      <c r="C301" s="41" t="s">
        <v>853</v>
      </c>
      <c r="D301" s="282">
        <v>0</v>
      </c>
      <c r="E301" s="390"/>
      <c r="F301" s="363">
        <v>35000</v>
      </c>
      <c r="G301" s="2"/>
      <c r="H301" s="2">
        <f>F301*D301</f>
        <v>0</v>
      </c>
      <c r="I301" s="11">
        <f>H301</f>
        <v>0</v>
      </c>
    </row>
    <row r="302" spans="1:9" s="5" customFormat="1" ht="15.6" hidden="1" customHeight="1" x14ac:dyDescent="0.25">
      <c r="A302" s="391"/>
      <c r="B302" s="383" t="s">
        <v>807</v>
      </c>
      <c r="C302" s="41" t="s">
        <v>14</v>
      </c>
      <c r="D302" s="282">
        <f>D282*27</f>
        <v>0</v>
      </c>
      <c r="E302" s="390">
        <v>150</v>
      </c>
      <c r="F302" s="363"/>
      <c r="G302" s="2">
        <f>D302*E302</f>
        <v>0</v>
      </c>
      <c r="H302" s="2"/>
      <c r="I302" s="11">
        <f>G302</f>
        <v>0</v>
      </c>
    </row>
    <row r="303" spans="1:9" s="5" customFormat="1" ht="15.6" hidden="1" customHeight="1" x14ac:dyDescent="0.3">
      <c r="A303" s="391"/>
      <c r="B303" s="393" t="s">
        <v>808</v>
      </c>
      <c r="C303" s="41" t="s">
        <v>15</v>
      </c>
      <c r="D303" s="282">
        <f>D302*0.2</f>
        <v>0</v>
      </c>
      <c r="E303" s="390"/>
      <c r="F303" s="363">
        <v>85</v>
      </c>
      <c r="G303" s="2"/>
      <c r="H303" s="2">
        <f>F303*D303</f>
        <v>0</v>
      </c>
      <c r="I303" s="11">
        <f>H303</f>
        <v>0</v>
      </c>
    </row>
    <row r="304" spans="1:9" s="5" customFormat="1" ht="15.6" hidden="1" customHeight="1" x14ac:dyDescent="0.3">
      <c r="A304" s="391"/>
      <c r="B304" s="393" t="s">
        <v>809</v>
      </c>
      <c r="C304" s="41" t="s">
        <v>15</v>
      </c>
      <c r="D304" s="282">
        <f>D302*0.3</f>
        <v>0</v>
      </c>
      <c r="E304" s="390"/>
      <c r="F304" s="363">
        <v>115</v>
      </c>
      <c r="G304" s="2"/>
      <c r="H304" s="2">
        <f>F304*D304</f>
        <v>0</v>
      </c>
      <c r="I304" s="11">
        <f>H304</f>
        <v>0</v>
      </c>
    </row>
    <row r="305" spans="1:9" s="5" customFormat="1" ht="15.6" hidden="1" customHeight="1" x14ac:dyDescent="0.25">
      <c r="A305" s="391"/>
      <c r="B305" s="232" t="s">
        <v>854</v>
      </c>
      <c r="C305" s="225"/>
      <c r="D305" s="239"/>
      <c r="E305" s="230"/>
      <c r="F305" s="240"/>
      <c r="G305" s="230">
        <f>SUM(G257:G304)</f>
        <v>0</v>
      </c>
      <c r="H305" s="230">
        <f>SUM(H257:H304)</f>
        <v>0</v>
      </c>
      <c r="I305" s="230">
        <f>ROUND(SUM(I257:I304),2)</f>
        <v>0</v>
      </c>
    </row>
    <row r="306" spans="1:9" s="5" customFormat="1" ht="15.6" hidden="1" customHeight="1" x14ac:dyDescent="0.25">
      <c r="A306" s="391"/>
      <c r="B306" s="58" t="s">
        <v>624</v>
      </c>
      <c r="C306" s="9"/>
      <c r="D306" s="31"/>
      <c r="E306" s="10"/>
      <c r="F306" s="57"/>
      <c r="G306" s="10"/>
      <c r="H306" s="10"/>
      <c r="I306" s="31">
        <f>ROUND(I305/1.18*0.18,2)</f>
        <v>0</v>
      </c>
    </row>
    <row r="307" spans="1:9" s="5" customFormat="1" ht="23.25" customHeight="1" x14ac:dyDescent="0.25">
      <c r="A307" s="742"/>
      <c r="B307" s="737" t="s">
        <v>812</v>
      </c>
      <c r="C307" s="742"/>
      <c r="D307" s="742"/>
      <c r="E307" s="742"/>
      <c r="F307" s="742"/>
      <c r="G307" s="742"/>
      <c r="H307" s="742"/>
      <c r="I307" s="742"/>
    </row>
    <row r="308" spans="1:9" s="5" customFormat="1" ht="15.6" customHeight="1" outlineLevel="1" x14ac:dyDescent="0.25">
      <c r="A308" s="107" t="s">
        <v>313</v>
      </c>
      <c r="B308" s="49" t="s">
        <v>1163</v>
      </c>
      <c r="C308" s="46" t="s">
        <v>12</v>
      </c>
      <c r="D308" s="31">
        <v>90</v>
      </c>
      <c r="E308" s="256">
        <v>2400</v>
      </c>
      <c r="F308" s="56"/>
      <c r="G308" s="2">
        <f>E308*D308</f>
        <v>216000</v>
      </c>
      <c r="H308" s="11"/>
      <c r="I308" s="11">
        <f>G308+H308</f>
        <v>216000</v>
      </c>
    </row>
    <row r="309" spans="1:9" s="5" customFormat="1" ht="15.6" customHeight="1" outlineLevel="1" x14ac:dyDescent="0.25">
      <c r="A309" s="90"/>
      <c r="B309" s="47" t="s">
        <v>1443</v>
      </c>
      <c r="C309" s="41" t="s">
        <v>9</v>
      </c>
      <c r="D309" s="2">
        <f>Д2!D250+Ек!D265+Д!D241+Е!D254</f>
        <v>13.648199999999999</v>
      </c>
      <c r="E309" s="166"/>
      <c r="F309" s="362">
        <v>37000</v>
      </c>
      <c r="G309" s="2">
        <f t="shared" ref="G309:G320" si="23">E309*D309</f>
        <v>0</v>
      </c>
      <c r="H309" s="2">
        <f>F309*D309</f>
        <v>504983.39999999997</v>
      </c>
      <c r="I309" s="11">
        <f>H309</f>
        <v>504983.39999999997</v>
      </c>
    </row>
    <row r="310" spans="1:9" s="5" customFormat="1" ht="15.6" customHeight="1" outlineLevel="1" x14ac:dyDescent="0.25">
      <c r="A310" s="90"/>
      <c r="B310" s="47" t="s">
        <v>1161</v>
      </c>
      <c r="C310" s="41" t="s">
        <v>14</v>
      </c>
      <c r="D310" s="2">
        <f>Д2!D251+Ек!D266+Д!D242+Е!D255</f>
        <v>508.37</v>
      </c>
      <c r="E310" s="166"/>
      <c r="F310" s="362">
        <v>280</v>
      </c>
      <c r="G310" s="2">
        <f t="shared" si="23"/>
        <v>0</v>
      </c>
      <c r="H310" s="2">
        <f t="shared" ref="H310:H320" si="24">F310*D310</f>
        <v>142343.6</v>
      </c>
      <c r="I310" s="11">
        <f>H310</f>
        <v>142343.6</v>
      </c>
    </row>
    <row r="311" spans="1:9" s="5" customFormat="1" ht="15.6" customHeight="1" outlineLevel="1" x14ac:dyDescent="0.25">
      <c r="A311" s="90"/>
      <c r="B311" s="47" t="s">
        <v>1551</v>
      </c>
      <c r="C311" s="41" t="s">
        <v>12</v>
      </c>
      <c r="D311" s="2">
        <v>90</v>
      </c>
      <c r="E311" s="166">
        <v>600</v>
      </c>
      <c r="F311" s="362"/>
      <c r="G311" s="2">
        <f t="shared" si="23"/>
        <v>54000</v>
      </c>
      <c r="H311" s="2">
        <f t="shared" si="24"/>
        <v>0</v>
      </c>
      <c r="I311" s="11">
        <f>G311+H311</f>
        <v>54000</v>
      </c>
    </row>
    <row r="312" spans="1:9" s="5" customFormat="1" ht="15.6" customHeight="1" outlineLevel="1" x14ac:dyDescent="0.25">
      <c r="A312" s="107" t="s">
        <v>314</v>
      </c>
      <c r="B312" s="49" t="s">
        <v>1176</v>
      </c>
      <c r="C312" s="46" t="s">
        <v>12</v>
      </c>
      <c r="D312" s="31">
        <v>30</v>
      </c>
      <c r="E312" s="256">
        <v>2000</v>
      </c>
      <c r="F312" s="56"/>
      <c r="G312" s="2">
        <f t="shared" si="23"/>
        <v>60000</v>
      </c>
      <c r="H312" s="2">
        <f t="shared" si="24"/>
        <v>0</v>
      </c>
      <c r="I312" s="11">
        <f>G312+H312</f>
        <v>60000</v>
      </c>
    </row>
    <row r="313" spans="1:9" s="5" customFormat="1" ht="15.6" customHeight="1" outlineLevel="1" x14ac:dyDescent="0.25">
      <c r="A313" s="90"/>
      <c r="B313" s="732" t="s">
        <v>1443</v>
      </c>
      <c r="C313" s="41" t="s">
        <v>9</v>
      </c>
      <c r="D313" s="2">
        <f>Д2!D253+Ек!D268+Д!D244+Е!D257</f>
        <v>2.1160999999999999</v>
      </c>
      <c r="E313" s="166"/>
      <c r="F313" s="362">
        <v>36000</v>
      </c>
      <c r="G313" s="2">
        <f t="shared" si="23"/>
        <v>0</v>
      </c>
      <c r="H313" s="2">
        <f t="shared" si="24"/>
        <v>76179.599999999991</v>
      </c>
      <c r="I313" s="11">
        <f>H313</f>
        <v>76179.599999999991</v>
      </c>
    </row>
    <row r="314" spans="1:9" s="5" customFormat="1" ht="15.6" customHeight="1" outlineLevel="1" x14ac:dyDescent="0.25">
      <c r="A314" s="107" t="s">
        <v>347</v>
      </c>
      <c r="B314" s="49" t="s">
        <v>1444</v>
      </c>
      <c r="C314" s="46" t="s">
        <v>12</v>
      </c>
      <c r="D314" s="31">
        <f>Д2!D254+Ек!D269+Д!D245+Е!D258</f>
        <v>33</v>
      </c>
      <c r="E314" s="256">
        <v>3000</v>
      </c>
      <c r="F314" s="56"/>
      <c r="G314" s="2">
        <f t="shared" si="23"/>
        <v>99000</v>
      </c>
      <c r="H314" s="2">
        <f t="shared" si="24"/>
        <v>0</v>
      </c>
      <c r="I314" s="11">
        <f>G314+H314</f>
        <v>99000</v>
      </c>
    </row>
    <row r="315" spans="1:9" s="5" customFormat="1" ht="15.6" customHeight="1" outlineLevel="1" x14ac:dyDescent="0.25">
      <c r="A315" s="90"/>
      <c r="B315" s="47" t="s">
        <v>1451</v>
      </c>
      <c r="C315" s="41" t="s">
        <v>14</v>
      </c>
      <c r="D315" s="2">
        <f>Д2!D255+Ек!D270+Д!D246+Е!D259</f>
        <v>246.81999999999996</v>
      </c>
      <c r="E315" s="166"/>
      <c r="F315" s="362">
        <v>280</v>
      </c>
      <c r="G315" s="2">
        <f t="shared" si="23"/>
        <v>0</v>
      </c>
      <c r="H315" s="2">
        <f t="shared" si="24"/>
        <v>69109.599999999991</v>
      </c>
      <c r="I315" s="11">
        <f>H315</f>
        <v>69109.599999999991</v>
      </c>
    </row>
    <row r="316" spans="1:9" s="5" customFormat="1" ht="15.6" customHeight="1" outlineLevel="1" x14ac:dyDescent="0.25">
      <c r="A316" s="90"/>
      <c r="B316" s="47" t="s">
        <v>1117</v>
      </c>
      <c r="C316" s="41" t="s">
        <v>12</v>
      </c>
      <c r="D316" s="2">
        <f>Д2!D256+Ек!D271+Д!D247+Е!D260</f>
        <v>28</v>
      </c>
      <c r="E316" s="10"/>
      <c r="F316" s="362">
        <v>1200</v>
      </c>
      <c r="G316" s="2">
        <f t="shared" si="23"/>
        <v>0</v>
      </c>
      <c r="H316" s="2">
        <f t="shared" si="24"/>
        <v>33600</v>
      </c>
      <c r="I316" s="11">
        <f>H316</f>
        <v>33600</v>
      </c>
    </row>
    <row r="317" spans="1:9" s="5" customFormat="1" ht="15.6" customHeight="1" outlineLevel="1" x14ac:dyDescent="0.25">
      <c r="A317" s="90"/>
      <c r="B317" s="47" t="s">
        <v>1118</v>
      </c>
      <c r="C317" s="41" t="s">
        <v>14</v>
      </c>
      <c r="D317" s="2">
        <f>Д2!D257+Ек!D272+Д!D248+Е!D261</f>
        <v>39.81</v>
      </c>
      <c r="E317" s="10"/>
      <c r="F317" s="362">
        <v>250</v>
      </c>
      <c r="G317" s="2">
        <f t="shared" si="23"/>
        <v>0</v>
      </c>
      <c r="H317" s="2">
        <f t="shared" si="24"/>
        <v>9952.5</v>
      </c>
      <c r="I317" s="11">
        <f>H317</f>
        <v>9952.5</v>
      </c>
    </row>
    <row r="318" spans="1:9" s="5" customFormat="1" ht="15.6" customHeight="1" outlineLevel="1" x14ac:dyDescent="0.3">
      <c r="A318" s="107" t="s">
        <v>1452</v>
      </c>
      <c r="B318" s="49" t="s">
        <v>807</v>
      </c>
      <c r="C318" s="41" t="s">
        <v>14</v>
      </c>
      <c r="D318" s="2">
        <v>425</v>
      </c>
      <c r="E318" s="256">
        <v>150</v>
      </c>
      <c r="F318" s="484"/>
      <c r="G318" s="2">
        <f t="shared" si="23"/>
        <v>63750</v>
      </c>
      <c r="H318" s="2">
        <f t="shared" si="24"/>
        <v>0</v>
      </c>
      <c r="I318" s="11">
        <f>G318</f>
        <v>63750</v>
      </c>
    </row>
    <row r="319" spans="1:9" s="5" customFormat="1" ht="15.6" customHeight="1" outlineLevel="1" x14ac:dyDescent="0.3">
      <c r="A319" s="90"/>
      <c r="B319" s="47" t="s">
        <v>1166</v>
      </c>
      <c r="C319" s="41" t="s">
        <v>15</v>
      </c>
      <c r="D319" s="2">
        <f>D318*0.2</f>
        <v>85</v>
      </c>
      <c r="E319" s="484"/>
      <c r="F319" s="362">
        <v>85</v>
      </c>
      <c r="G319" s="2">
        <f t="shared" si="23"/>
        <v>0</v>
      </c>
      <c r="H319" s="2">
        <f t="shared" si="24"/>
        <v>7225</v>
      </c>
      <c r="I319" s="11">
        <f>H319</f>
        <v>7225</v>
      </c>
    </row>
    <row r="320" spans="1:9" s="5" customFormat="1" ht="15.6" customHeight="1" outlineLevel="1" x14ac:dyDescent="0.3">
      <c r="A320" s="90"/>
      <c r="B320" s="47" t="s">
        <v>1162</v>
      </c>
      <c r="C320" s="41" t="s">
        <v>15</v>
      </c>
      <c r="D320" s="2">
        <f>D318*0.4</f>
        <v>170</v>
      </c>
      <c r="E320" s="484"/>
      <c r="F320" s="362">
        <v>115</v>
      </c>
      <c r="G320" s="2">
        <f t="shared" si="23"/>
        <v>0</v>
      </c>
      <c r="H320" s="2">
        <f t="shared" si="24"/>
        <v>19550</v>
      </c>
      <c r="I320" s="11">
        <f>H320</f>
        <v>19550</v>
      </c>
    </row>
    <row r="321" spans="1:10" s="5" customFormat="1" ht="15.6" customHeight="1" x14ac:dyDescent="0.25">
      <c r="A321" s="90"/>
      <c r="B321" s="232" t="s">
        <v>854</v>
      </c>
      <c r="C321" s="225"/>
      <c r="D321" s="239"/>
      <c r="E321" s="230"/>
      <c r="F321" s="240"/>
      <c r="G321" s="230">
        <f>SUM(G308:G320)</f>
        <v>492750</v>
      </c>
      <c r="H321" s="230">
        <f>SUM(H308:H320)</f>
        <v>862943.7</v>
      </c>
      <c r="I321" s="230">
        <f>ROUND(SUM(I308:I320),2)</f>
        <v>1355693.7</v>
      </c>
      <c r="J321" s="691"/>
    </row>
    <row r="322" spans="1:10" s="5" customFormat="1" ht="15.6" customHeight="1" x14ac:dyDescent="0.25">
      <c r="A322" s="90"/>
      <c r="B322" s="58" t="s">
        <v>624</v>
      </c>
      <c r="C322" s="9"/>
      <c r="D322" s="31"/>
      <c r="E322" s="10"/>
      <c r="F322" s="57"/>
      <c r="G322" s="10"/>
      <c r="H322" s="10"/>
      <c r="I322" s="31">
        <f>ROUND(I321/1.18*0.18,2)</f>
        <v>206800.73</v>
      </c>
    </row>
    <row r="323" spans="1:10" ht="21" customHeight="1" x14ac:dyDescent="0.25">
      <c r="A323" s="108"/>
      <c r="B323" s="737" t="s">
        <v>1160</v>
      </c>
      <c r="C323" s="105"/>
      <c r="D323" s="105"/>
      <c r="E323" s="105"/>
      <c r="F323" s="138"/>
      <c r="G323" s="105"/>
      <c r="H323" s="105"/>
      <c r="I323" s="106"/>
    </row>
    <row r="324" spans="1:10" outlineLevel="1" x14ac:dyDescent="0.25">
      <c r="A324" s="107" t="s">
        <v>315</v>
      </c>
      <c r="B324" s="29" t="s">
        <v>473</v>
      </c>
      <c r="C324" s="2" t="s">
        <v>14</v>
      </c>
      <c r="D324" s="65">
        <f>Д2!D264+Ек!D279+Д!D255+Е!D268</f>
        <v>1422.6811999999998</v>
      </c>
      <c r="E324" s="264">
        <v>420</v>
      </c>
      <c r="F324" s="140"/>
      <c r="G324" s="2">
        <f>E324*D324</f>
        <v>597526.10399999993</v>
      </c>
      <c r="H324" s="51"/>
      <c r="I324" s="140">
        <f>H324+G324</f>
        <v>597526.10399999993</v>
      </c>
    </row>
    <row r="325" spans="1:10" ht="15" customHeight="1" outlineLevel="1" x14ac:dyDescent="0.25">
      <c r="A325" s="84"/>
      <c r="B325" s="22" t="s">
        <v>1086</v>
      </c>
      <c r="C325" s="23" t="s">
        <v>14</v>
      </c>
      <c r="D325" s="66">
        <f>ROUND(D324*1.1,2)</f>
        <v>1564.95</v>
      </c>
      <c r="E325" s="51"/>
      <c r="F325" s="365">
        <f>ROUND(10.1*1.1,2)</f>
        <v>11.11</v>
      </c>
      <c r="G325" s="2">
        <f t="shared" ref="G325:G378" si="25">E325*D325</f>
        <v>0</v>
      </c>
      <c r="H325" s="2">
        <f>F325*D325</f>
        <v>17386.594499999999</v>
      </c>
      <c r="I325" s="140">
        <f t="shared" ref="I325:I339" si="26">H325+G325</f>
        <v>17386.594499999999</v>
      </c>
    </row>
    <row r="326" spans="1:10" outlineLevel="1" x14ac:dyDescent="0.25">
      <c r="A326" s="84"/>
      <c r="B326" s="28" t="s">
        <v>32</v>
      </c>
      <c r="C326" s="23" t="s">
        <v>8</v>
      </c>
      <c r="D326" s="66">
        <f>Д2!D266+Ек!D281+Д!D257+Е!D270</f>
        <v>119.52000000000001</v>
      </c>
      <c r="E326" s="51"/>
      <c r="F326" s="365">
        <v>1300</v>
      </c>
      <c r="G326" s="2">
        <f t="shared" si="25"/>
        <v>0</v>
      </c>
      <c r="H326" s="2">
        <f t="shared" ref="H326:H379" si="27">F326*D326</f>
        <v>155376</v>
      </c>
      <c r="I326" s="140">
        <f t="shared" si="26"/>
        <v>155376</v>
      </c>
    </row>
    <row r="327" spans="1:10" ht="31.2" outlineLevel="1" x14ac:dyDescent="0.25">
      <c r="A327" s="84"/>
      <c r="B327" s="28" t="s">
        <v>1087</v>
      </c>
      <c r="C327" s="21" t="s">
        <v>8</v>
      </c>
      <c r="D327" s="66">
        <f>ROUND(D324*0.15,2)</f>
        <v>213.4</v>
      </c>
      <c r="E327" s="51"/>
      <c r="F327" s="365">
        <v>4400</v>
      </c>
      <c r="G327" s="2">
        <f t="shared" si="25"/>
        <v>0</v>
      </c>
      <c r="H327" s="2">
        <f t="shared" si="27"/>
        <v>938960</v>
      </c>
      <c r="I327" s="140">
        <f t="shared" si="26"/>
        <v>938960</v>
      </c>
    </row>
    <row r="328" spans="1:10" outlineLevel="1" x14ac:dyDescent="0.25">
      <c r="A328" s="84"/>
      <c r="B328" s="372" t="s">
        <v>1552</v>
      </c>
      <c r="C328" s="21" t="s">
        <v>14</v>
      </c>
      <c r="D328" s="66">
        <f>D324</f>
        <v>1422.6811999999998</v>
      </c>
      <c r="E328" s="51"/>
      <c r="F328" s="365">
        <v>340</v>
      </c>
      <c r="G328" s="2">
        <f t="shared" si="25"/>
        <v>0</v>
      </c>
      <c r="H328" s="2">
        <f t="shared" si="27"/>
        <v>483711.60799999989</v>
      </c>
      <c r="I328" s="140">
        <f t="shared" si="26"/>
        <v>483711.60799999989</v>
      </c>
    </row>
    <row r="329" spans="1:10" outlineLevel="1" x14ac:dyDescent="0.25">
      <c r="A329" s="84"/>
      <c r="B329" s="28" t="s">
        <v>1088</v>
      </c>
      <c r="C329" s="21" t="s">
        <v>15</v>
      </c>
      <c r="D329" s="66">
        <f>ROUND(D324*1.4,2)</f>
        <v>1991.75</v>
      </c>
      <c r="E329" s="51"/>
      <c r="F329" s="361">
        <v>45.4</v>
      </c>
      <c r="G329" s="2">
        <f t="shared" si="25"/>
        <v>0</v>
      </c>
      <c r="H329" s="2">
        <f t="shared" si="27"/>
        <v>90425.45</v>
      </c>
      <c r="I329" s="140">
        <f t="shared" si="26"/>
        <v>90425.45</v>
      </c>
    </row>
    <row r="330" spans="1:10" outlineLevel="1" x14ac:dyDescent="0.25">
      <c r="A330" s="84"/>
      <c r="B330" s="28" t="s">
        <v>400</v>
      </c>
      <c r="C330" s="21" t="s">
        <v>14</v>
      </c>
      <c r="D330" s="66">
        <f>ROUND(D324*1.015,2)</f>
        <v>1444.02</v>
      </c>
      <c r="E330" s="51"/>
      <c r="F330" s="365">
        <v>109.41</v>
      </c>
      <c r="G330" s="2">
        <f t="shared" si="25"/>
        <v>0</v>
      </c>
      <c r="H330" s="2">
        <f t="shared" si="27"/>
        <v>157990.22819999998</v>
      </c>
      <c r="I330" s="140">
        <f t="shared" si="26"/>
        <v>157990.22819999998</v>
      </c>
    </row>
    <row r="331" spans="1:10" outlineLevel="1" x14ac:dyDescent="0.25">
      <c r="A331" s="84"/>
      <c r="B331" s="28" t="s">
        <v>401</v>
      </c>
      <c r="C331" s="2" t="s">
        <v>14</v>
      </c>
      <c r="D331" s="66">
        <f>ROUND(D324*1.01,2)</f>
        <v>1436.91</v>
      </c>
      <c r="E331" s="51"/>
      <c r="F331" s="365">
        <v>154.75</v>
      </c>
      <c r="G331" s="2">
        <f t="shared" si="25"/>
        <v>0</v>
      </c>
      <c r="H331" s="2">
        <f t="shared" si="27"/>
        <v>222361.82250000001</v>
      </c>
      <c r="I331" s="140">
        <f t="shared" si="26"/>
        <v>222361.82250000001</v>
      </c>
    </row>
    <row r="332" spans="1:10" ht="31.2" outlineLevel="1" x14ac:dyDescent="0.25">
      <c r="A332" s="107" t="s">
        <v>513</v>
      </c>
      <c r="B332" s="29" t="s">
        <v>188</v>
      </c>
      <c r="C332" s="31" t="s">
        <v>14</v>
      </c>
      <c r="D332" s="65">
        <f>Д2!D272+Ек!D287+Д!D263+Е!D276</f>
        <v>329.63279999999997</v>
      </c>
      <c r="E332" s="264">
        <v>200</v>
      </c>
      <c r="F332" s="140"/>
      <c r="G332" s="2">
        <f t="shared" si="25"/>
        <v>65926.559999999998</v>
      </c>
      <c r="H332" s="2">
        <f t="shared" si="27"/>
        <v>0</v>
      </c>
      <c r="I332" s="140">
        <f>H332+G332</f>
        <v>65926.559999999998</v>
      </c>
    </row>
    <row r="333" spans="1:10" outlineLevel="1" x14ac:dyDescent="0.25">
      <c r="A333" s="84"/>
      <c r="B333" s="22" t="s">
        <v>400</v>
      </c>
      <c r="C333" s="21" t="s">
        <v>14</v>
      </c>
      <c r="D333" s="66">
        <f>ROUND(D332*1.015,2)</f>
        <v>334.58</v>
      </c>
      <c r="E333" s="51"/>
      <c r="F333" s="365">
        <v>109.41</v>
      </c>
      <c r="G333" s="2">
        <f t="shared" si="25"/>
        <v>0</v>
      </c>
      <c r="H333" s="2">
        <f t="shared" si="27"/>
        <v>36606.397799999999</v>
      </c>
      <c r="I333" s="140">
        <f>H333+G333</f>
        <v>36606.397799999999</v>
      </c>
    </row>
    <row r="334" spans="1:10" outlineLevel="1" x14ac:dyDescent="0.25">
      <c r="A334" s="84"/>
      <c r="B334" s="22" t="s">
        <v>401</v>
      </c>
      <c r="C334" s="2" t="s">
        <v>14</v>
      </c>
      <c r="D334" s="66">
        <f>ROUND(D332*1.01,2)</f>
        <v>332.93</v>
      </c>
      <c r="E334" s="51"/>
      <c r="F334" s="365">
        <v>154.75</v>
      </c>
      <c r="G334" s="2">
        <f t="shared" si="25"/>
        <v>0</v>
      </c>
      <c r="H334" s="2">
        <f t="shared" si="27"/>
        <v>51520.917500000003</v>
      </c>
      <c r="I334" s="140">
        <f>H334+G334</f>
        <v>51520.917500000003</v>
      </c>
    </row>
    <row r="335" spans="1:10" outlineLevel="1" x14ac:dyDescent="0.25">
      <c r="B335" s="22" t="s">
        <v>1384</v>
      </c>
      <c r="C335" s="2" t="s">
        <v>12</v>
      </c>
      <c r="D335" s="184">
        <f>32</f>
        <v>32</v>
      </c>
      <c r="E335" s="51"/>
      <c r="F335" s="365">
        <v>650</v>
      </c>
      <c r="G335" s="2">
        <f t="shared" si="25"/>
        <v>0</v>
      </c>
      <c r="H335" s="2">
        <f t="shared" si="27"/>
        <v>20800</v>
      </c>
      <c r="I335" s="140">
        <f>H335+G335</f>
        <v>20800</v>
      </c>
    </row>
    <row r="336" spans="1:10" outlineLevel="1" x14ac:dyDescent="0.25">
      <c r="A336" s="84"/>
      <c r="B336" s="22" t="s">
        <v>1385</v>
      </c>
      <c r="C336" s="2" t="s">
        <v>12</v>
      </c>
      <c r="D336" s="66">
        <f>54</f>
        <v>54</v>
      </c>
      <c r="E336" s="51"/>
      <c r="F336" s="328">
        <v>650</v>
      </c>
      <c r="G336" s="2">
        <f t="shared" si="25"/>
        <v>0</v>
      </c>
      <c r="H336" s="2">
        <f t="shared" si="27"/>
        <v>35100</v>
      </c>
      <c r="I336" s="140">
        <f>H336+G336</f>
        <v>35100</v>
      </c>
    </row>
    <row r="337" spans="1:9" outlineLevel="1" x14ac:dyDescent="0.25">
      <c r="A337" s="107" t="s">
        <v>514</v>
      </c>
      <c r="B337" s="29" t="s">
        <v>1232</v>
      </c>
      <c r="C337" s="2" t="s">
        <v>14</v>
      </c>
      <c r="D337" s="65">
        <f>Д2!D278+Ек!D292+Д!D269+Е!D281</f>
        <v>201.81599999999997</v>
      </c>
      <c r="E337" s="264">
        <v>150</v>
      </c>
      <c r="F337" s="140"/>
      <c r="G337" s="2">
        <f t="shared" si="25"/>
        <v>30272.399999999998</v>
      </c>
      <c r="H337" s="2">
        <f t="shared" si="27"/>
        <v>0</v>
      </c>
      <c r="I337" s="140">
        <f t="shared" si="26"/>
        <v>30272.399999999998</v>
      </c>
    </row>
    <row r="338" spans="1:9" outlineLevel="1" x14ac:dyDescent="0.25">
      <c r="A338" s="84"/>
      <c r="B338" s="22" t="s">
        <v>1386</v>
      </c>
      <c r="C338" s="21" t="s">
        <v>15</v>
      </c>
      <c r="D338" s="66">
        <f>250*6.48</f>
        <v>1620</v>
      </c>
      <c r="E338" s="51"/>
      <c r="F338" s="328">
        <v>32</v>
      </c>
      <c r="G338" s="2">
        <f t="shared" si="25"/>
        <v>0</v>
      </c>
      <c r="H338" s="2">
        <f t="shared" si="27"/>
        <v>51840</v>
      </c>
      <c r="I338" s="140">
        <f t="shared" si="26"/>
        <v>51840</v>
      </c>
    </row>
    <row r="339" spans="1:9" outlineLevel="1" x14ac:dyDescent="0.25">
      <c r="A339" s="84"/>
      <c r="B339" s="22" t="s">
        <v>1383</v>
      </c>
      <c r="C339" s="2" t="s">
        <v>15</v>
      </c>
      <c r="D339" s="66">
        <f>620*0.82</f>
        <v>508.4</v>
      </c>
      <c r="E339" s="51"/>
      <c r="F339" s="328">
        <v>32</v>
      </c>
      <c r="G339" s="2">
        <f t="shared" si="25"/>
        <v>0</v>
      </c>
      <c r="H339" s="2">
        <f t="shared" si="27"/>
        <v>16268.8</v>
      </c>
      <c r="I339" s="140">
        <f t="shared" si="26"/>
        <v>16268.8</v>
      </c>
    </row>
    <row r="340" spans="1:9" outlineLevel="1" x14ac:dyDescent="0.25">
      <c r="A340" s="84"/>
      <c r="B340" s="22" t="s">
        <v>1387</v>
      </c>
      <c r="C340" s="2" t="s">
        <v>9</v>
      </c>
      <c r="D340" s="66">
        <f>1405*0.92/1000</f>
        <v>1.2926000000000002</v>
      </c>
      <c r="E340" s="51"/>
      <c r="F340" s="365">
        <v>42000</v>
      </c>
      <c r="G340" s="2">
        <f t="shared" si="25"/>
        <v>0</v>
      </c>
      <c r="H340" s="2">
        <f t="shared" si="27"/>
        <v>54289.200000000012</v>
      </c>
      <c r="I340" s="140">
        <f>H340+G340</f>
        <v>54289.200000000012</v>
      </c>
    </row>
    <row r="341" spans="1:9" outlineLevel="1" x14ac:dyDescent="0.25">
      <c r="A341" s="107" t="s">
        <v>1196</v>
      </c>
      <c r="B341" s="29" t="s">
        <v>397</v>
      </c>
      <c r="C341" s="31" t="s">
        <v>33</v>
      </c>
      <c r="D341" s="65">
        <f>Д2!D282+Ек!D296+Д!D273+Е!D285</f>
        <v>302.60000000000002</v>
      </c>
      <c r="E341" s="264">
        <v>400</v>
      </c>
      <c r="F341" s="140"/>
      <c r="G341" s="2">
        <f t="shared" si="25"/>
        <v>121040.00000000001</v>
      </c>
      <c r="H341" s="2">
        <f t="shared" si="27"/>
        <v>0</v>
      </c>
      <c r="I341" s="140">
        <f>H341+G341</f>
        <v>121040.00000000001</v>
      </c>
    </row>
    <row r="342" spans="1:9" outlineLevel="1" x14ac:dyDescent="0.25">
      <c r="A342" s="84"/>
      <c r="B342" s="47" t="s">
        <v>1226</v>
      </c>
      <c r="C342" s="21" t="s">
        <v>9</v>
      </c>
      <c r="D342" s="66">
        <f>Д2!D283+Ек!D297+Д!D274+Е!D286</f>
        <v>1.1370199999999999</v>
      </c>
      <c r="E342" s="51"/>
      <c r="F342" s="365">
        <v>32000</v>
      </c>
      <c r="G342" s="2">
        <f t="shared" si="25"/>
        <v>0</v>
      </c>
      <c r="H342" s="2">
        <f t="shared" si="27"/>
        <v>36384.639999999999</v>
      </c>
      <c r="I342" s="140">
        <f>H342+G342</f>
        <v>36384.639999999999</v>
      </c>
    </row>
    <row r="343" spans="1:9" outlineLevel="1" x14ac:dyDescent="0.25">
      <c r="A343" s="107" t="s">
        <v>1197</v>
      </c>
      <c r="B343" s="49" t="s">
        <v>1389</v>
      </c>
      <c r="C343" s="41" t="s">
        <v>12</v>
      </c>
      <c r="D343" s="2">
        <f>Ек!D298+Е!D287</f>
        <v>2</v>
      </c>
      <c r="E343" s="390">
        <v>1500</v>
      </c>
      <c r="F343" s="363"/>
      <c r="G343" s="2">
        <f t="shared" si="25"/>
        <v>3000</v>
      </c>
      <c r="H343" s="2">
        <f t="shared" si="27"/>
        <v>0</v>
      </c>
      <c r="I343" s="11">
        <f>G343</f>
        <v>3000</v>
      </c>
    </row>
    <row r="344" spans="1:9" outlineLevel="1" x14ac:dyDescent="0.25">
      <c r="A344" s="84"/>
      <c r="B344" s="47" t="s">
        <v>91</v>
      </c>
      <c r="C344" s="41" t="s">
        <v>15</v>
      </c>
      <c r="D344" s="42">
        <f>Ек!D299+Е!D288</f>
        <v>279.83</v>
      </c>
      <c r="E344" s="2"/>
      <c r="F344" s="364">
        <v>40</v>
      </c>
      <c r="G344" s="2">
        <f t="shared" si="25"/>
        <v>0</v>
      </c>
      <c r="H344" s="2">
        <f t="shared" si="27"/>
        <v>11193.199999999999</v>
      </c>
      <c r="I344" s="11">
        <f>G344+H344</f>
        <v>11193.199999999999</v>
      </c>
    </row>
    <row r="345" spans="1:9" outlineLevel="1" x14ac:dyDescent="0.25">
      <c r="A345" s="107" t="s">
        <v>1198</v>
      </c>
      <c r="B345" s="29" t="s">
        <v>1227</v>
      </c>
      <c r="C345" s="21" t="s">
        <v>12</v>
      </c>
      <c r="D345" s="66">
        <f>Ек!D300+Е!D289</f>
        <v>2</v>
      </c>
      <c r="E345" s="390">
        <v>1500</v>
      </c>
      <c r="F345" s="363"/>
      <c r="G345" s="2">
        <f t="shared" si="25"/>
        <v>3000</v>
      </c>
      <c r="H345" s="2">
        <f t="shared" si="27"/>
        <v>0</v>
      </c>
      <c r="I345" s="11">
        <f>G345</f>
        <v>3000</v>
      </c>
    </row>
    <row r="346" spans="1:9" outlineLevel="1" x14ac:dyDescent="0.25">
      <c r="A346" s="84"/>
      <c r="B346" s="47" t="s">
        <v>1228</v>
      </c>
      <c r="C346" s="21" t="s">
        <v>12</v>
      </c>
      <c r="D346" s="66">
        <f>Ек!D301+Е!D290</f>
        <v>6</v>
      </c>
      <c r="E346" s="51"/>
      <c r="F346" s="363">
        <v>10000</v>
      </c>
      <c r="G346" s="2">
        <f t="shared" si="25"/>
        <v>0</v>
      </c>
      <c r="H346" s="2">
        <f t="shared" si="27"/>
        <v>60000</v>
      </c>
      <c r="I346" s="11">
        <f>H346</f>
        <v>60000</v>
      </c>
    </row>
    <row r="347" spans="1:9" outlineLevel="1" x14ac:dyDescent="0.25">
      <c r="A347" s="84"/>
      <c r="B347" s="47" t="s">
        <v>875</v>
      </c>
      <c r="C347" s="21" t="s">
        <v>15</v>
      </c>
      <c r="D347" s="66">
        <f>Ек!D302+Е!D291</f>
        <v>23.2</v>
      </c>
      <c r="E347" s="51"/>
      <c r="F347" s="365"/>
      <c r="G347" s="2">
        <f t="shared" si="25"/>
        <v>0</v>
      </c>
      <c r="H347" s="2">
        <f t="shared" si="27"/>
        <v>0</v>
      </c>
      <c r="I347" s="140"/>
    </row>
    <row r="348" spans="1:9" ht="31.2" outlineLevel="1" x14ac:dyDescent="0.25">
      <c r="A348" s="107" t="s">
        <v>1199</v>
      </c>
      <c r="B348" s="29" t="s">
        <v>1236</v>
      </c>
      <c r="C348" s="203" t="s">
        <v>8</v>
      </c>
      <c r="D348" s="46">
        <f>Ек!D305+Е!D292</f>
        <v>1.8</v>
      </c>
      <c r="E348" s="390">
        <v>700</v>
      </c>
      <c r="F348" s="139"/>
      <c r="G348" s="2">
        <f t="shared" si="25"/>
        <v>1260</v>
      </c>
      <c r="H348" s="2">
        <f t="shared" si="27"/>
        <v>0</v>
      </c>
      <c r="I348" s="11">
        <f>G348+H348</f>
        <v>1260</v>
      </c>
    </row>
    <row r="349" spans="1:9" outlineLevel="1" x14ac:dyDescent="0.25">
      <c r="A349" s="84"/>
      <c r="B349" s="22" t="s">
        <v>1237</v>
      </c>
      <c r="C349" s="41" t="s">
        <v>15</v>
      </c>
      <c r="D349" s="42">
        <f>Ек!D306+Е!D293</f>
        <v>2374.4</v>
      </c>
      <c r="E349" s="2"/>
      <c r="F349" s="364">
        <v>46</v>
      </c>
      <c r="G349" s="2">
        <f t="shared" si="25"/>
        <v>0</v>
      </c>
      <c r="H349" s="2">
        <f t="shared" si="27"/>
        <v>109222.40000000001</v>
      </c>
      <c r="I349" s="11">
        <f>G349+H349</f>
        <v>109222.40000000001</v>
      </c>
    </row>
    <row r="350" spans="1:9" outlineLevel="1" x14ac:dyDescent="0.25">
      <c r="A350" s="84"/>
      <c r="B350" s="47" t="s">
        <v>1175</v>
      </c>
      <c r="C350" s="41" t="s">
        <v>15</v>
      </c>
      <c r="D350" s="42">
        <f>Ек!D307+Е!D294</f>
        <v>111.08</v>
      </c>
      <c r="E350" s="2"/>
      <c r="F350" s="361">
        <v>42</v>
      </c>
      <c r="G350" s="2">
        <f t="shared" si="25"/>
        <v>0</v>
      </c>
      <c r="H350" s="2">
        <f t="shared" si="27"/>
        <v>4665.3599999999997</v>
      </c>
      <c r="I350" s="11">
        <f>G350+H350</f>
        <v>4665.3599999999997</v>
      </c>
    </row>
    <row r="351" spans="1:9" s="6" customFormat="1" outlineLevel="1" x14ac:dyDescent="0.25">
      <c r="A351" s="84"/>
      <c r="B351" s="47" t="s">
        <v>1238</v>
      </c>
      <c r="C351" s="21" t="s">
        <v>15</v>
      </c>
      <c r="D351" s="66">
        <f>Ек!D308+Е!D295</f>
        <v>11.12</v>
      </c>
      <c r="E351" s="51"/>
      <c r="F351" s="361">
        <v>42</v>
      </c>
      <c r="G351" s="2">
        <f t="shared" si="25"/>
        <v>0</v>
      </c>
      <c r="H351" s="2">
        <f t="shared" si="27"/>
        <v>467.03999999999996</v>
      </c>
      <c r="I351" s="11">
        <f>G351+H351</f>
        <v>467.03999999999996</v>
      </c>
    </row>
    <row r="352" spans="1:9" outlineLevel="1" x14ac:dyDescent="0.25">
      <c r="A352" s="84"/>
      <c r="B352" s="47" t="s">
        <v>997</v>
      </c>
      <c r="C352" s="41" t="s">
        <v>8</v>
      </c>
      <c r="D352" s="42">
        <f>D348*1.015</f>
        <v>1.827</v>
      </c>
      <c r="E352" s="2"/>
      <c r="F352" s="164">
        <v>5000</v>
      </c>
      <c r="G352" s="2">
        <f t="shared" si="25"/>
        <v>0</v>
      </c>
      <c r="H352" s="2">
        <f t="shared" si="27"/>
        <v>9135</v>
      </c>
      <c r="I352" s="11">
        <f>G352+H352</f>
        <v>9135</v>
      </c>
    </row>
    <row r="353" spans="1:9" outlineLevel="1" x14ac:dyDescent="0.25">
      <c r="A353" s="84"/>
      <c r="B353" s="53" t="s">
        <v>1174</v>
      </c>
      <c r="C353" s="31"/>
      <c r="D353" s="65"/>
      <c r="E353" s="54"/>
      <c r="F353" s="141"/>
      <c r="G353" s="2">
        <f t="shared" si="25"/>
        <v>0</v>
      </c>
      <c r="H353" s="2">
        <f t="shared" si="27"/>
        <v>0</v>
      </c>
      <c r="I353" s="141"/>
    </row>
    <row r="354" spans="1:9" outlineLevel="1" x14ac:dyDescent="0.3">
      <c r="A354" s="107" t="s">
        <v>1200</v>
      </c>
      <c r="B354" s="49" t="s">
        <v>1399</v>
      </c>
      <c r="C354" s="41" t="s">
        <v>12</v>
      </c>
      <c r="D354" s="31">
        <f>Ек!D311</f>
        <v>4</v>
      </c>
      <c r="E354" s="353">
        <v>600</v>
      </c>
      <c r="F354" s="392"/>
      <c r="G354" s="2">
        <f t="shared" si="25"/>
        <v>2400</v>
      </c>
      <c r="H354" s="2">
        <f t="shared" si="27"/>
        <v>0</v>
      </c>
      <c r="I354" s="11">
        <f>G354+H354</f>
        <v>2400</v>
      </c>
    </row>
    <row r="355" spans="1:9" outlineLevel="1" x14ac:dyDescent="0.25">
      <c r="A355" s="84"/>
      <c r="B355" s="47" t="s">
        <v>1400</v>
      </c>
      <c r="C355" s="41" t="s">
        <v>15</v>
      </c>
      <c r="D355" s="2">
        <f>Ек!D312</f>
        <v>118.36000000000001</v>
      </c>
      <c r="E355" s="390"/>
      <c r="F355" s="363">
        <v>120</v>
      </c>
      <c r="G355" s="2">
        <f t="shared" si="25"/>
        <v>0</v>
      </c>
      <c r="H355" s="2">
        <f t="shared" si="27"/>
        <v>14203.2</v>
      </c>
      <c r="I355" s="11">
        <f>H355</f>
        <v>14203.2</v>
      </c>
    </row>
    <row r="356" spans="1:9" outlineLevel="1" x14ac:dyDescent="0.25">
      <c r="A356" s="107" t="s">
        <v>1201</v>
      </c>
      <c r="B356" s="49" t="s">
        <v>1170</v>
      </c>
      <c r="C356" s="41" t="s">
        <v>8</v>
      </c>
      <c r="D356" s="2">
        <f>Д2!D287+Ек!D313+Д!D276+Е!D298</f>
        <v>38.4</v>
      </c>
      <c r="E356" s="353">
        <v>2800</v>
      </c>
      <c r="F356" s="363"/>
      <c r="G356" s="2">
        <f t="shared" si="25"/>
        <v>107520</v>
      </c>
      <c r="H356" s="2">
        <f t="shared" si="27"/>
        <v>0</v>
      </c>
      <c r="I356" s="11">
        <f>G356</f>
        <v>107520</v>
      </c>
    </row>
    <row r="357" spans="1:9" outlineLevel="1" x14ac:dyDescent="0.25">
      <c r="A357" s="84"/>
      <c r="B357" s="47" t="s">
        <v>1144</v>
      </c>
      <c r="C357" s="41" t="s">
        <v>8</v>
      </c>
      <c r="D357" s="42">
        <f>Д2!D288+Ек!D314+Д!D277+Е!D299</f>
        <v>38.975999999999992</v>
      </c>
      <c r="E357" s="390"/>
      <c r="F357" s="361">
        <v>3450</v>
      </c>
      <c r="G357" s="2">
        <f t="shared" si="25"/>
        <v>0</v>
      </c>
      <c r="H357" s="2">
        <f t="shared" si="27"/>
        <v>134467.19999999998</v>
      </c>
      <c r="I357" s="11">
        <f>G357+H357</f>
        <v>134467.19999999998</v>
      </c>
    </row>
    <row r="358" spans="1:9" outlineLevel="1" x14ac:dyDescent="0.25">
      <c r="A358" s="84"/>
      <c r="B358" s="47" t="s">
        <v>850</v>
      </c>
      <c r="C358" s="41" t="s">
        <v>8</v>
      </c>
      <c r="D358" s="2">
        <f>Д2!D289+Ек!D315+Д!D278+Е!D300</f>
        <v>13.440000000000001</v>
      </c>
      <c r="E358" s="390"/>
      <c r="F358" s="361">
        <v>2800</v>
      </c>
      <c r="G358" s="2">
        <f t="shared" si="25"/>
        <v>0</v>
      </c>
      <c r="H358" s="2">
        <f t="shared" si="27"/>
        <v>37632</v>
      </c>
      <c r="I358" s="11">
        <f>H358</f>
        <v>37632</v>
      </c>
    </row>
    <row r="359" spans="1:9" outlineLevel="1" x14ac:dyDescent="0.25">
      <c r="A359" s="84"/>
      <c r="B359" s="47" t="s">
        <v>1171</v>
      </c>
      <c r="C359" s="41" t="s">
        <v>15</v>
      </c>
      <c r="D359" s="2">
        <f>Д2!D290+Ек!D316+Д!D279+Е!D301</f>
        <v>380.16</v>
      </c>
      <c r="E359" s="51"/>
      <c r="F359" s="365">
        <v>31</v>
      </c>
      <c r="G359" s="2">
        <f t="shared" si="25"/>
        <v>0</v>
      </c>
      <c r="H359" s="2">
        <f t="shared" si="27"/>
        <v>11784.960000000001</v>
      </c>
      <c r="I359" s="140">
        <f>H359+G359</f>
        <v>11784.960000000001</v>
      </c>
    </row>
    <row r="360" spans="1:9" outlineLevel="1" x14ac:dyDescent="0.25">
      <c r="A360" s="84"/>
      <c r="B360" s="47" t="s">
        <v>1172</v>
      </c>
      <c r="C360" s="41" t="s">
        <v>15</v>
      </c>
      <c r="D360" s="2">
        <f>Д2!D291+Ек!D317+Д!D280+Е!D302</f>
        <v>98.88</v>
      </c>
      <c r="E360" s="51"/>
      <c r="F360" s="365">
        <v>42</v>
      </c>
      <c r="G360" s="2">
        <f t="shared" si="25"/>
        <v>0</v>
      </c>
      <c r="H360" s="2">
        <f t="shared" si="27"/>
        <v>4152.96</v>
      </c>
      <c r="I360" s="140">
        <f>H360+G360</f>
        <v>4152.96</v>
      </c>
    </row>
    <row r="361" spans="1:9" outlineLevel="1" x14ac:dyDescent="0.25">
      <c r="A361" s="107" t="s">
        <v>1239</v>
      </c>
      <c r="B361" s="49" t="s">
        <v>1525</v>
      </c>
      <c r="C361" s="46" t="s">
        <v>12</v>
      </c>
      <c r="D361" s="50">
        <f>Д2!D292+Ек!D318+Ек!D320+Д!D281+Е!D303+Е!D305</f>
        <v>8</v>
      </c>
      <c r="E361" s="373">
        <v>700</v>
      </c>
      <c r="F361" s="43"/>
      <c r="G361" s="2">
        <f t="shared" si="25"/>
        <v>5600</v>
      </c>
      <c r="H361" s="2">
        <f t="shared" si="27"/>
        <v>0</v>
      </c>
      <c r="I361" s="11">
        <f>G361+H361</f>
        <v>5600</v>
      </c>
    </row>
    <row r="362" spans="1:9" outlineLevel="1" x14ac:dyDescent="0.25">
      <c r="A362" s="84"/>
      <c r="B362" s="47" t="s">
        <v>1542</v>
      </c>
      <c r="C362" s="41" t="s">
        <v>15</v>
      </c>
      <c r="D362" s="2">
        <f>Д2!D293+Ек!D319+Ек!D321+Д!D282+Е!D304+Е!D306</f>
        <v>331.44</v>
      </c>
      <c r="E362" s="51"/>
      <c r="F362" s="365">
        <v>42</v>
      </c>
      <c r="G362" s="2">
        <f t="shared" si="25"/>
        <v>0</v>
      </c>
      <c r="H362" s="2">
        <f t="shared" si="27"/>
        <v>13920.48</v>
      </c>
      <c r="I362" s="140">
        <f>H362+G362</f>
        <v>13920.48</v>
      </c>
    </row>
    <row r="363" spans="1:9" outlineLevel="1" x14ac:dyDescent="0.25">
      <c r="A363" s="107" t="s">
        <v>1240</v>
      </c>
      <c r="B363" s="49" t="s">
        <v>1177</v>
      </c>
      <c r="C363" s="46" t="s">
        <v>9</v>
      </c>
      <c r="D363" s="31">
        <f>SUM(D364:D372)*0.04/1000</f>
        <v>0.13174399999999994</v>
      </c>
      <c r="E363" s="256">
        <v>40000</v>
      </c>
      <c r="F363" s="56"/>
      <c r="G363" s="2">
        <f t="shared" si="25"/>
        <v>5269.7599999999975</v>
      </c>
      <c r="H363" s="2">
        <f t="shared" si="27"/>
        <v>0</v>
      </c>
      <c r="I363" s="11">
        <f>G363+H363</f>
        <v>5269.7599999999975</v>
      </c>
    </row>
    <row r="364" spans="1:9" outlineLevel="1" x14ac:dyDescent="0.25">
      <c r="A364" s="84"/>
      <c r="B364" s="731" t="s">
        <v>1178</v>
      </c>
      <c r="C364" s="41" t="s">
        <v>15</v>
      </c>
      <c r="D364" s="2">
        <f>Д2!D295+Ек!D323+Д!D284+Е!D308</f>
        <v>1550.56</v>
      </c>
      <c r="E364" s="51"/>
      <c r="F364" s="365">
        <v>33</v>
      </c>
      <c r="G364" s="2">
        <f t="shared" si="25"/>
        <v>0</v>
      </c>
      <c r="H364" s="2">
        <f t="shared" si="27"/>
        <v>51168.479999999996</v>
      </c>
      <c r="I364" s="140">
        <f t="shared" ref="I364:I372" si="28">H364+G364</f>
        <v>51168.479999999996</v>
      </c>
    </row>
    <row r="365" spans="1:9" outlineLevel="1" x14ac:dyDescent="0.25">
      <c r="A365" s="84"/>
      <c r="B365" s="731" t="s">
        <v>1195</v>
      </c>
      <c r="C365" s="41" t="s">
        <v>15</v>
      </c>
      <c r="D365" s="2">
        <f>Д2!D296+Ек!D324+Д!D285+Е!D309</f>
        <v>435.14</v>
      </c>
      <c r="E365" s="51"/>
      <c r="F365" s="365">
        <v>39</v>
      </c>
      <c r="G365" s="2">
        <f t="shared" si="25"/>
        <v>0</v>
      </c>
      <c r="H365" s="2">
        <f t="shared" si="27"/>
        <v>16970.46</v>
      </c>
      <c r="I365" s="140">
        <f t="shared" si="28"/>
        <v>16970.46</v>
      </c>
    </row>
    <row r="366" spans="1:9" outlineLevel="1" x14ac:dyDescent="0.25">
      <c r="A366" s="84"/>
      <c r="B366" s="47" t="s">
        <v>1179</v>
      </c>
      <c r="C366" s="41" t="s">
        <v>15</v>
      </c>
      <c r="D366" s="2">
        <f>Д2!D297+Ек!D325+Д!D286+Е!D310</f>
        <v>316.31999999999994</v>
      </c>
      <c r="E366" s="51"/>
      <c r="F366" s="365">
        <v>33</v>
      </c>
      <c r="G366" s="2">
        <f t="shared" si="25"/>
        <v>0</v>
      </c>
      <c r="H366" s="2">
        <f t="shared" si="27"/>
        <v>10438.559999999998</v>
      </c>
      <c r="I366" s="140">
        <f t="shared" si="28"/>
        <v>10438.559999999998</v>
      </c>
    </row>
    <row r="367" spans="1:9" outlineLevel="1" x14ac:dyDescent="0.25">
      <c r="A367" s="84"/>
      <c r="B367" s="47" t="s">
        <v>1180</v>
      </c>
      <c r="C367" s="41" t="s">
        <v>15</v>
      </c>
      <c r="D367" s="2">
        <f>Д2!D298+Ек!D326+Д!D287+Е!D311</f>
        <v>319.24</v>
      </c>
      <c r="E367" s="51"/>
      <c r="F367" s="365">
        <v>33</v>
      </c>
      <c r="G367" s="2">
        <f t="shared" si="25"/>
        <v>0</v>
      </c>
      <c r="H367" s="2">
        <f t="shared" si="27"/>
        <v>10534.92</v>
      </c>
      <c r="I367" s="140">
        <f t="shared" si="28"/>
        <v>10534.92</v>
      </c>
    </row>
    <row r="368" spans="1:9" outlineLevel="1" x14ac:dyDescent="0.25">
      <c r="A368" s="84"/>
      <c r="B368" s="47" t="s">
        <v>1181</v>
      </c>
      <c r="C368" s="41" t="s">
        <v>15</v>
      </c>
      <c r="D368" s="2">
        <f>Д2!D299+Ек!D327+Д!D288+Е!D312</f>
        <v>598.53</v>
      </c>
      <c r="E368" s="51"/>
      <c r="F368" s="365">
        <v>33</v>
      </c>
      <c r="G368" s="2">
        <f t="shared" si="25"/>
        <v>0</v>
      </c>
      <c r="H368" s="2">
        <f t="shared" si="27"/>
        <v>19751.489999999998</v>
      </c>
      <c r="I368" s="140">
        <f t="shared" si="28"/>
        <v>19751.489999999998</v>
      </c>
    </row>
    <row r="369" spans="1:13" outlineLevel="1" x14ac:dyDescent="0.25">
      <c r="A369" s="84"/>
      <c r="B369" s="47" t="s">
        <v>1182</v>
      </c>
      <c r="C369" s="41" t="s">
        <v>15</v>
      </c>
      <c r="D369" s="2">
        <f>Д2!D300+Ек!D328+Д!D289+Е!D313</f>
        <v>16.64</v>
      </c>
      <c r="E369" s="51"/>
      <c r="F369" s="365">
        <v>33</v>
      </c>
      <c r="G369" s="2">
        <f t="shared" si="25"/>
        <v>0</v>
      </c>
      <c r="H369" s="2">
        <f t="shared" si="27"/>
        <v>549.12</v>
      </c>
      <c r="I369" s="140">
        <f t="shared" si="28"/>
        <v>549.12</v>
      </c>
    </row>
    <row r="370" spans="1:13" outlineLevel="1" x14ac:dyDescent="0.25">
      <c r="A370" s="84"/>
      <c r="B370" s="731" t="s">
        <v>1183</v>
      </c>
      <c r="C370" s="41" t="s">
        <v>15</v>
      </c>
      <c r="D370" s="2">
        <f>Д2!D301+Ек!D329+Д!D290+Е!D314</f>
        <v>7.89</v>
      </c>
      <c r="E370" s="51"/>
      <c r="F370" s="365">
        <v>31</v>
      </c>
      <c r="G370" s="2">
        <f t="shared" si="25"/>
        <v>0</v>
      </c>
      <c r="H370" s="2">
        <f t="shared" si="27"/>
        <v>244.59</v>
      </c>
      <c r="I370" s="140">
        <f t="shared" si="28"/>
        <v>244.59</v>
      </c>
    </row>
    <row r="371" spans="1:13" outlineLevel="1" x14ac:dyDescent="0.25">
      <c r="A371" s="84"/>
      <c r="B371" s="47" t="s">
        <v>1184</v>
      </c>
      <c r="C371" s="41" t="s">
        <v>15</v>
      </c>
      <c r="D371" s="2">
        <f>Д2!D302+Ек!D330+Д!D291+Е!D315</f>
        <v>14.080000000000002</v>
      </c>
      <c r="E371" s="51"/>
      <c r="F371" s="365">
        <v>33</v>
      </c>
      <c r="G371" s="2">
        <f t="shared" si="25"/>
        <v>0</v>
      </c>
      <c r="H371" s="2">
        <f t="shared" si="27"/>
        <v>464.64000000000004</v>
      </c>
      <c r="I371" s="140">
        <f t="shared" si="28"/>
        <v>464.64000000000004</v>
      </c>
    </row>
    <row r="372" spans="1:13" outlineLevel="1" x14ac:dyDescent="0.25">
      <c r="A372" s="84"/>
      <c r="B372" s="47" t="s">
        <v>1185</v>
      </c>
      <c r="C372" s="41" t="s">
        <v>15</v>
      </c>
      <c r="D372" s="2">
        <f>Д2!D303+Ек!D331+Д!D292+Е!D316</f>
        <v>35.200000000000003</v>
      </c>
      <c r="E372" s="51"/>
      <c r="F372" s="365">
        <v>33</v>
      </c>
      <c r="G372" s="2">
        <f t="shared" si="25"/>
        <v>0</v>
      </c>
      <c r="H372" s="2">
        <f t="shared" si="27"/>
        <v>1161.6000000000001</v>
      </c>
      <c r="I372" s="140">
        <f t="shared" si="28"/>
        <v>1161.6000000000001</v>
      </c>
    </row>
    <row r="373" spans="1:13" outlineLevel="1" x14ac:dyDescent="0.25">
      <c r="A373" s="84"/>
      <c r="B373" s="47" t="s">
        <v>1135</v>
      </c>
      <c r="C373" s="41" t="s">
        <v>14</v>
      </c>
      <c r="D373" s="2">
        <f>Д2!D304+Ек!D332+Д!D293+Е!D317</f>
        <v>71.44</v>
      </c>
      <c r="E373" s="51"/>
      <c r="F373" s="362">
        <v>280</v>
      </c>
      <c r="G373" s="2">
        <f t="shared" si="25"/>
        <v>0</v>
      </c>
      <c r="H373" s="2">
        <f t="shared" si="27"/>
        <v>20003.2</v>
      </c>
      <c r="I373" s="11">
        <f>H373</f>
        <v>20003.2</v>
      </c>
    </row>
    <row r="374" spans="1:13" outlineLevel="1" x14ac:dyDescent="0.25">
      <c r="A374" s="84"/>
      <c r="B374" s="47" t="s">
        <v>1186</v>
      </c>
      <c r="C374" s="41" t="s">
        <v>14</v>
      </c>
      <c r="D374" s="2">
        <f>Д2!D305+Ек!D333+Д!D294+Е!D318</f>
        <v>341.88</v>
      </c>
      <c r="E374" s="51"/>
      <c r="F374" s="362">
        <v>280</v>
      </c>
      <c r="G374" s="2">
        <f t="shared" si="25"/>
        <v>0</v>
      </c>
      <c r="H374" s="2">
        <f t="shared" si="27"/>
        <v>95726.399999999994</v>
      </c>
      <c r="I374" s="11">
        <f>H374</f>
        <v>95726.399999999994</v>
      </c>
    </row>
    <row r="375" spans="1:13" outlineLevel="1" x14ac:dyDescent="0.25">
      <c r="A375" s="84"/>
      <c r="B375" s="45" t="s">
        <v>1462</v>
      </c>
      <c r="C375" s="41" t="s">
        <v>12</v>
      </c>
      <c r="D375" s="2">
        <f>Д2!D306+Ек!D334+Д!D295+Е!D319</f>
        <v>6</v>
      </c>
      <c r="E375" s="51"/>
      <c r="F375" s="328">
        <v>10000</v>
      </c>
      <c r="G375" s="2">
        <f t="shared" si="25"/>
        <v>0</v>
      </c>
      <c r="H375" s="2">
        <f t="shared" si="27"/>
        <v>60000</v>
      </c>
      <c r="I375" s="140">
        <f>H375+G375</f>
        <v>60000</v>
      </c>
    </row>
    <row r="376" spans="1:13" outlineLevel="1" x14ac:dyDescent="0.3">
      <c r="A376" s="107" t="s">
        <v>1241</v>
      </c>
      <c r="B376" s="49" t="s">
        <v>807</v>
      </c>
      <c r="C376" s="41" t="s">
        <v>14</v>
      </c>
      <c r="D376" s="31">
        <f>D363*27</f>
        <v>3.5570879999999985</v>
      </c>
      <c r="E376" s="256">
        <v>150</v>
      </c>
      <c r="F376" s="484"/>
      <c r="G376" s="2">
        <f t="shared" si="25"/>
        <v>533.56319999999982</v>
      </c>
      <c r="H376" s="2">
        <f t="shared" si="27"/>
        <v>0</v>
      </c>
      <c r="I376" s="11">
        <f>G376</f>
        <v>533.56319999999982</v>
      </c>
    </row>
    <row r="377" spans="1:13" outlineLevel="1" x14ac:dyDescent="0.3">
      <c r="A377" s="84"/>
      <c r="B377" s="47" t="s">
        <v>1166</v>
      </c>
      <c r="C377" s="41" t="s">
        <v>15</v>
      </c>
      <c r="D377" s="2">
        <f>D376*0.2</f>
        <v>0.71141759999999976</v>
      </c>
      <c r="E377" s="484"/>
      <c r="F377" s="362">
        <v>85</v>
      </c>
      <c r="G377" s="2">
        <f t="shared" si="25"/>
        <v>0</v>
      </c>
      <c r="H377" s="2">
        <f t="shared" si="27"/>
        <v>60.470495999999983</v>
      </c>
      <c r="I377" s="11">
        <f>H377</f>
        <v>60.470495999999983</v>
      </c>
    </row>
    <row r="378" spans="1:13" outlineLevel="1" x14ac:dyDescent="0.3">
      <c r="A378" s="84"/>
      <c r="B378" s="47" t="s">
        <v>1162</v>
      </c>
      <c r="C378" s="41" t="s">
        <v>15</v>
      </c>
      <c r="D378" s="2">
        <f>D376*0.3</f>
        <v>1.0671263999999996</v>
      </c>
      <c r="E378" s="484"/>
      <c r="F378" s="362">
        <v>115</v>
      </c>
      <c r="G378" s="2">
        <f t="shared" si="25"/>
        <v>0</v>
      </c>
      <c r="H378" s="2">
        <f t="shared" si="27"/>
        <v>122.71953599999995</v>
      </c>
      <c r="I378" s="11">
        <f>H378</f>
        <v>122.71953599999995</v>
      </c>
    </row>
    <row r="379" spans="1:13" s="36" customFormat="1" outlineLevel="1" x14ac:dyDescent="0.25">
      <c r="A379" s="92"/>
      <c r="B379" s="748" t="s">
        <v>1543</v>
      </c>
      <c r="C379" s="744"/>
      <c r="D379" s="745"/>
      <c r="E379" s="746"/>
      <c r="F379" s="747"/>
      <c r="G379" s="474">
        <f>SUM(G324:G378)</f>
        <v>943348.38719999988</v>
      </c>
      <c r="H379" s="2">
        <f t="shared" si="27"/>
        <v>0</v>
      </c>
      <c r="I379" s="749">
        <f>G379</f>
        <v>943348.38719999988</v>
      </c>
      <c r="K379" s="162"/>
      <c r="L379" s="162"/>
      <c r="M379" s="162"/>
    </row>
    <row r="380" spans="1:13" s="36" customFormat="1" outlineLevel="1" x14ac:dyDescent="0.25">
      <c r="A380" s="92"/>
      <c r="B380" s="748" t="s">
        <v>1546</v>
      </c>
      <c r="C380" s="744"/>
      <c r="D380" s="745"/>
      <c r="E380" s="746"/>
      <c r="F380" s="747"/>
      <c r="G380" s="474"/>
      <c r="H380" s="473">
        <f>SUM(H324:H378)</f>
        <v>3067062.1085320008</v>
      </c>
      <c r="I380" s="749">
        <f>H380</f>
        <v>3067062.1085320008</v>
      </c>
      <c r="K380" s="162"/>
      <c r="L380" s="162"/>
      <c r="M380" s="162"/>
    </row>
    <row r="381" spans="1:13" s="36" customFormat="1" outlineLevel="1" x14ac:dyDescent="0.25">
      <c r="A381" s="92"/>
      <c r="B381" s="748" t="s">
        <v>1544</v>
      </c>
      <c r="C381" s="744"/>
      <c r="D381" s="745"/>
      <c r="E381" s="746"/>
      <c r="F381" s="747"/>
      <c r="G381" s="474"/>
      <c r="H381" s="746"/>
      <c r="I381" s="749">
        <f>G381</f>
        <v>0</v>
      </c>
      <c r="K381" s="162"/>
      <c r="L381" s="162"/>
      <c r="M381" s="162"/>
    </row>
    <row r="382" spans="1:13" s="36" customFormat="1" outlineLevel="1" x14ac:dyDescent="0.25">
      <c r="A382" s="92"/>
      <c r="B382" s="748" t="s">
        <v>1545</v>
      </c>
      <c r="C382" s="744"/>
      <c r="D382" s="745"/>
      <c r="E382" s="746"/>
      <c r="F382" s="747"/>
      <c r="G382" s="474"/>
      <c r="H382" s="746"/>
      <c r="I382" s="749">
        <f>G382</f>
        <v>0</v>
      </c>
      <c r="K382" s="162"/>
      <c r="L382" s="162"/>
      <c r="M382" s="162"/>
    </row>
    <row r="383" spans="1:13" x14ac:dyDescent="0.25">
      <c r="A383" s="223"/>
      <c r="B383" s="232" t="s">
        <v>55</v>
      </c>
      <c r="C383" s="225"/>
      <c r="D383" s="239"/>
      <c r="E383" s="230"/>
      <c r="F383" s="240"/>
      <c r="G383" s="230">
        <f>G379+G381+G382</f>
        <v>943348.38719999988</v>
      </c>
      <c r="H383" s="230">
        <f>H380</f>
        <v>3067062.1085320008</v>
      </c>
      <c r="I383" s="230">
        <f>I379+I380+I381+I382</f>
        <v>4010410.4957320006</v>
      </c>
      <c r="J383" s="693"/>
      <c r="K383" s="133"/>
    </row>
    <row r="384" spans="1:13" ht="15" customHeight="1" x14ac:dyDescent="0.25">
      <c r="A384" s="90"/>
      <c r="B384" s="471" t="s">
        <v>624</v>
      </c>
      <c r="C384" s="9"/>
      <c r="D384" s="31"/>
      <c r="E384" s="10"/>
      <c r="F384" s="57"/>
      <c r="G384" s="10"/>
      <c r="H384" s="10"/>
      <c r="I384" s="31">
        <f>ROUND(I383/1.18*0.18,2)</f>
        <v>611757.53</v>
      </c>
    </row>
    <row r="385" spans="1:252" ht="18.75" customHeight="1" x14ac:dyDescent="0.25">
      <c r="A385" s="104"/>
      <c r="B385" s="737" t="s">
        <v>1202</v>
      </c>
      <c r="C385" s="105"/>
      <c r="D385" s="105"/>
      <c r="E385" s="105"/>
      <c r="F385" s="138"/>
      <c r="G385" s="105"/>
      <c r="H385" s="105"/>
      <c r="I385" s="106"/>
    </row>
    <row r="386" spans="1:252" s="38" customFormat="1" ht="31.2" outlineLevel="1" x14ac:dyDescent="0.25">
      <c r="A386" s="271" t="s">
        <v>239</v>
      </c>
      <c r="B386" s="730" t="s">
        <v>1013</v>
      </c>
      <c r="C386" s="202" t="s">
        <v>14</v>
      </c>
      <c r="D386" s="202">
        <f>Д2!D320+Ек!D341+Д!D302+Е!D326</f>
        <v>549.28440000000001</v>
      </c>
      <c r="E386" s="353">
        <v>1200</v>
      </c>
      <c r="F386" s="207">
        <v>2900</v>
      </c>
      <c r="G386" s="2">
        <f>E386*D386</f>
        <v>659141.28</v>
      </c>
      <c r="H386" s="2">
        <f>F386*D386</f>
        <v>1592924.76</v>
      </c>
      <c r="I386" s="3">
        <f>H386+G386</f>
        <v>2252066.04</v>
      </c>
      <c r="J386" s="430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N386" s="15"/>
      <c r="EO386" s="15"/>
      <c r="EP386" s="15"/>
      <c r="EQ386" s="15"/>
      <c r="ER386" s="15"/>
      <c r="ES386" s="15"/>
      <c r="ET386" s="15"/>
      <c r="EU386" s="15"/>
      <c r="EV386" s="15"/>
      <c r="EW386" s="15"/>
      <c r="EX386" s="15"/>
      <c r="EY386" s="15"/>
      <c r="EZ386" s="15"/>
      <c r="FA386" s="15"/>
      <c r="FB386" s="15"/>
      <c r="FC386" s="15"/>
      <c r="FD386" s="15"/>
      <c r="FE386" s="15"/>
      <c r="FF386" s="15"/>
      <c r="FG386" s="15"/>
      <c r="FH386" s="15"/>
      <c r="FI386" s="15"/>
      <c r="FJ386" s="15"/>
      <c r="FK386" s="15"/>
      <c r="FL386" s="15"/>
      <c r="FM386" s="15"/>
      <c r="FN386" s="15"/>
      <c r="FO386" s="15"/>
      <c r="FP386" s="15"/>
      <c r="FQ386" s="15"/>
      <c r="FR386" s="15"/>
      <c r="FS386" s="15"/>
      <c r="FT386" s="15"/>
      <c r="FU386" s="15"/>
      <c r="FV386" s="15"/>
      <c r="FW386" s="15"/>
      <c r="FX386" s="15"/>
      <c r="FY386" s="15"/>
      <c r="FZ386" s="15"/>
      <c r="GA386" s="15"/>
      <c r="GB386" s="15"/>
      <c r="GC386" s="15"/>
      <c r="GD386" s="15"/>
      <c r="GE386" s="15"/>
      <c r="GF386" s="15"/>
      <c r="GG386" s="15"/>
      <c r="GH386" s="15"/>
      <c r="GI386" s="15"/>
      <c r="GJ386" s="15"/>
      <c r="GK386" s="15"/>
      <c r="GL386" s="15"/>
      <c r="GM386" s="15"/>
      <c r="GN386" s="15"/>
      <c r="GO386" s="15"/>
      <c r="GP386" s="15"/>
      <c r="GQ386" s="15"/>
      <c r="GR386" s="15"/>
      <c r="GS386" s="15"/>
      <c r="GT386" s="15"/>
      <c r="GU386" s="15"/>
      <c r="GV386" s="15"/>
      <c r="GW386" s="15"/>
      <c r="GX386" s="15"/>
      <c r="GY386" s="15"/>
      <c r="GZ386" s="15"/>
      <c r="HA386" s="15"/>
      <c r="HB386" s="15"/>
      <c r="HC386" s="15"/>
      <c r="HD386" s="15"/>
      <c r="HE386" s="15"/>
      <c r="HF386" s="15"/>
      <c r="HG386" s="15"/>
      <c r="HH386" s="15"/>
      <c r="HI386" s="15"/>
      <c r="HJ386" s="15"/>
      <c r="HK386" s="15"/>
      <c r="HL386" s="15"/>
      <c r="HM386" s="15"/>
      <c r="HN386" s="15"/>
      <c r="HO386" s="15"/>
      <c r="HP386" s="15"/>
      <c r="HQ386" s="15"/>
      <c r="HR386" s="15"/>
      <c r="HS386" s="15"/>
      <c r="HT386" s="15"/>
      <c r="HU386" s="15"/>
      <c r="HV386" s="15"/>
      <c r="HW386" s="15"/>
      <c r="HX386" s="15"/>
      <c r="HY386" s="15"/>
      <c r="HZ386" s="15"/>
      <c r="IA386" s="15"/>
      <c r="IB386" s="15"/>
      <c r="IC386" s="15"/>
      <c r="ID386" s="15"/>
      <c r="IE386" s="15"/>
      <c r="IF386" s="15"/>
      <c r="IG386" s="15"/>
      <c r="IH386" s="15"/>
      <c r="II386" s="15"/>
      <c r="IJ386" s="15"/>
      <c r="IK386" s="15"/>
      <c r="IL386" s="15"/>
      <c r="IM386" s="15"/>
      <c r="IN386" s="15"/>
      <c r="IO386" s="15"/>
      <c r="IP386" s="15"/>
      <c r="IQ386" s="15"/>
      <c r="IR386" s="15"/>
    </row>
    <row r="387" spans="1:252" s="38" customFormat="1" outlineLevel="1" x14ac:dyDescent="0.25">
      <c r="A387" s="90"/>
      <c r="B387" s="52" t="s">
        <v>1322</v>
      </c>
      <c r="C387" s="202" t="s">
        <v>14</v>
      </c>
      <c r="D387" s="202">
        <f>Д2!D321+Ек!D342+Д!D303</f>
        <v>38.135999999999996</v>
      </c>
      <c r="E387" s="353">
        <v>1600</v>
      </c>
      <c r="F387" s="207">
        <v>4200</v>
      </c>
      <c r="G387" s="2">
        <f>E387*D387</f>
        <v>61017.599999999991</v>
      </c>
      <c r="H387" s="2">
        <f>F387*D387</f>
        <v>160171.19999999998</v>
      </c>
      <c r="I387" s="3">
        <f>H387+G387</f>
        <v>221188.8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  <c r="EP387" s="15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  <c r="FL387" s="15"/>
      <c r="FM387" s="15"/>
      <c r="FN387" s="15"/>
      <c r="FO387" s="15"/>
      <c r="FP387" s="15"/>
      <c r="FQ387" s="15"/>
      <c r="FR387" s="15"/>
      <c r="FS387" s="15"/>
      <c r="FT387" s="15"/>
      <c r="FU387" s="15"/>
      <c r="FV387" s="15"/>
      <c r="FW387" s="15"/>
      <c r="FX387" s="15"/>
      <c r="FY387" s="15"/>
      <c r="FZ387" s="15"/>
      <c r="GA387" s="15"/>
      <c r="GB387" s="15"/>
      <c r="GC387" s="15"/>
      <c r="GD387" s="15"/>
      <c r="GE387" s="15"/>
      <c r="GF387" s="15"/>
      <c r="GG387" s="15"/>
      <c r="GH387" s="15"/>
      <c r="GI387" s="15"/>
      <c r="GJ387" s="15"/>
      <c r="GK387" s="15"/>
      <c r="GL387" s="15"/>
      <c r="GM387" s="15"/>
      <c r="GN387" s="15"/>
      <c r="GO387" s="15"/>
      <c r="GP387" s="15"/>
      <c r="GQ387" s="15"/>
      <c r="GR387" s="15"/>
      <c r="GS387" s="15"/>
      <c r="GT387" s="15"/>
      <c r="GU387" s="15"/>
      <c r="GV387" s="15"/>
      <c r="GW387" s="15"/>
      <c r="GX387" s="15"/>
      <c r="GY387" s="15"/>
      <c r="GZ387" s="15"/>
      <c r="HA387" s="15"/>
      <c r="HB387" s="15"/>
      <c r="HC387" s="15"/>
      <c r="HD387" s="15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5"/>
      <c r="HT387" s="15"/>
      <c r="HU387" s="15"/>
      <c r="HV387" s="15"/>
      <c r="HW387" s="15"/>
      <c r="HX387" s="15"/>
      <c r="HY387" s="15"/>
      <c r="HZ387" s="15"/>
      <c r="IA387" s="15"/>
      <c r="IB387" s="15"/>
      <c r="IC387" s="15"/>
      <c r="ID387" s="15"/>
      <c r="IE387" s="15"/>
      <c r="IF387" s="15"/>
      <c r="IG387" s="15"/>
      <c r="IH387" s="15"/>
      <c r="II387" s="15"/>
      <c r="IJ387" s="15"/>
      <c r="IK387" s="15"/>
      <c r="IL387" s="15"/>
      <c r="IM387" s="15"/>
      <c r="IN387" s="15"/>
      <c r="IO387" s="15"/>
      <c r="IP387" s="15"/>
      <c r="IQ387" s="15"/>
      <c r="IR387" s="15"/>
    </row>
    <row r="388" spans="1:252" s="38" customFormat="1" outlineLevel="1" x14ac:dyDescent="0.25">
      <c r="A388" s="271" t="s">
        <v>1203</v>
      </c>
      <c r="B388" s="52" t="s">
        <v>1014</v>
      </c>
      <c r="C388" s="202" t="s">
        <v>1323</v>
      </c>
      <c r="D388" s="729">
        <f>Д2!D322+Ек!D343+Д!D304+Е!D327</f>
        <v>281.12</v>
      </c>
      <c r="E388" s="353">
        <v>150</v>
      </c>
      <c r="F388" s="207"/>
      <c r="G388" s="2">
        <f>E388*D388</f>
        <v>42168</v>
      </c>
      <c r="H388" s="2">
        <f>F388*D388</f>
        <v>0</v>
      </c>
      <c r="I388" s="3">
        <f>H388+G388</f>
        <v>42168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  <c r="EP388" s="15"/>
      <c r="EQ388" s="15"/>
      <c r="ER388" s="15"/>
      <c r="ES388" s="15"/>
      <c r="ET388" s="15"/>
      <c r="EU388" s="15"/>
      <c r="EV388" s="15"/>
      <c r="EW388" s="15"/>
      <c r="EX388" s="15"/>
      <c r="EY388" s="15"/>
      <c r="EZ388" s="15"/>
      <c r="FA388" s="15"/>
      <c r="FB388" s="15"/>
      <c r="FC388" s="15"/>
      <c r="FD388" s="15"/>
      <c r="FE388" s="15"/>
      <c r="FF388" s="15"/>
      <c r="FG388" s="15"/>
      <c r="FH388" s="15"/>
      <c r="FI388" s="15"/>
      <c r="FJ388" s="15"/>
      <c r="FK388" s="15"/>
      <c r="FL388" s="15"/>
      <c r="FM388" s="15"/>
      <c r="FN388" s="15"/>
      <c r="FO388" s="15"/>
      <c r="FP388" s="15"/>
      <c r="FQ388" s="15"/>
      <c r="FR388" s="15"/>
      <c r="FS388" s="15"/>
      <c r="FT388" s="15"/>
      <c r="FU388" s="15"/>
      <c r="FV388" s="15"/>
      <c r="FW388" s="15"/>
      <c r="FX388" s="15"/>
      <c r="FY388" s="15"/>
      <c r="FZ388" s="15"/>
      <c r="GA388" s="15"/>
      <c r="GB388" s="15"/>
      <c r="GC388" s="15"/>
      <c r="GD388" s="15"/>
      <c r="GE388" s="15"/>
      <c r="GF388" s="15"/>
      <c r="GG388" s="15"/>
      <c r="GH388" s="15"/>
      <c r="GI388" s="15"/>
      <c r="GJ388" s="15"/>
      <c r="GK388" s="15"/>
      <c r="GL388" s="15"/>
      <c r="GM388" s="15"/>
      <c r="GN388" s="15"/>
      <c r="GO388" s="15"/>
      <c r="GP388" s="15"/>
      <c r="GQ388" s="15"/>
      <c r="GR388" s="15"/>
      <c r="GS388" s="15"/>
      <c r="GT388" s="15"/>
      <c r="GU388" s="15"/>
      <c r="GV388" s="15"/>
      <c r="GW388" s="15"/>
      <c r="GX388" s="15"/>
      <c r="GY388" s="15"/>
      <c r="GZ388" s="15"/>
      <c r="HA388" s="15"/>
      <c r="HB388" s="15"/>
      <c r="HC388" s="15"/>
      <c r="HD388" s="15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5"/>
      <c r="HT388" s="15"/>
      <c r="HU388" s="15"/>
      <c r="HV388" s="15"/>
      <c r="HW388" s="15"/>
      <c r="HX388" s="15"/>
      <c r="HY388" s="15"/>
      <c r="HZ388" s="15"/>
      <c r="IA388" s="15"/>
      <c r="IB388" s="15"/>
      <c r="IC388" s="15"/>
      <c r="ID388" s="15"/>
      <c r="IE388" s="15"/>
      <c r="IF388" s="15"/>
      <c r="IG388" s="15"/>
      <c r="IH388" s="15"/>
      <c r="II388" s="15"/>
      <c r="IJ388" s="15"/>
      <c r="IK388" s="15"/>
      <c r="IL388" s="15"/>
      <c r="IM388" s="15"/>
      <c r="IN388" s="15"/>
      <c r="IO388" s="15"/>
      <c r="IP388" s="15"/>
      <c r="IQ388" s="15"/>
      <c r="IR388" s="15"/>
    </row>
    <row r="389" spans="1:252" x14ac:dyDescent="0.25">
      <c r="A389" s="223"/>
      <c r="B389" s="224" t="s">
        <v>59</v>
      </c>
      <c r="C389" s="225"/>
      <c r="D389" s="226"/>
      <c r="E389" s="227"/>
      <c r="F389" s="228"/>
      <c r="G389" s="227">
        <f>SUM(G386:G388)</f>
        <v>762326.88</v>
      </c>
      <c r="H389" s="227">
        <f>SUM(H386:H388)</f>
        <v>1753095.96</v>
      </c>
      <c r="I389" s="227">
        <f>SUM(I386:I388)</f>
        <v>2515422.84</v>
      </c>
      <c r="J389" s="693"/>
      <c r="K389" s="734"/>
    </row>
    <row r="390" spans="1:252" ht="16.2" customHeight="1" x14ac:dyDescent="0.25">
      <c r="A390" s="90"/>
      <c r="B390" s="471" t="s">
        <v>624</v>
      </c>
      <c r="C390" s="9"/>
      <c r="D390" s="31"/>
      <c r="E390" s="10"/>
      <c r="F390" s="57"/>
      <c r="G390" s="10"/>
      <c r="H390" s="10"/>
      <c r="I390" s="31">
        <f>ROUND(I389/1.18*0.18,2)</f>
        <v>383708.57</v>
      </c>
    </row>
    <row r="391" spans="1:252" ht="18.75" customHeight="1" x14ac:dyDescent="0.25">
      <c r="A391" s="109"/>
      <c r="B391" s="737" t="s">
        <v>1204</v>
      </c>
      <c r="C391" s="105"/>
      <c r="D391" s="105"/>
      <c r="E391" s="105"/>
      <c r="F391" s="138"/>
      <c r="G391" s="105"/>
      <c r="H391" s="105"/>
      <c r="I391" s="106"/>
    </row>
    <row r="392" spans="1:252" outlineLevel="1" x14ac:dyDescent="0.25">
      <c r="A392" s="271" t="s">
        <v>316</v>
      </c>
      <c r="B392" s="71" t="s">
        <v>37</v>
      </c>
      <c r="C392" s="2" t="s">
        <v>12</v>
      </c>
      <c r="D392" s="160">
        <v>86</v>
      </c>
      <c r="E392" s="256">
        <v>300</v>
      </c>
      <c r="F392" s="60"/>
      <c r="G392" s="2">
        <f>E392*D392</f>
        <v>25800</v>
      </c>
      <c r="H392" s="18"/>
      <c r="I392" s="18">
        <f>G392+H392</f>
        <v>25800</v>
      </c>
    </row>
    <row r="393" spans="1:252" ht="31.2" outlineLevel="1" x14ac:dyDescent="0.25">
      <c r="A393" s="84"/>
      <c r="B393" s="28" t="s">
        <v>225</v>
      </c>
      <c r="C393" s="21" t="s">
        <v>12</v>
      </c>
      <c r="D393" s="726">
        <f>Д2!D327+Ек!D348+Д!D309+Е!D332</f>
        <v>86</v>
      </c>
      <c r="E393" s="2"/>
      <c r="F393" s="361">
        <v>1700</v>
      </c>
      <c r="G393" s="2">
        <f t="shared" ref="G393:G409" si="29">E393*D393</f>
        <v>0</v>
      </c>
      <c r="H393" s="2">
        <f>F393*D393</f>
        <v>146200</v>
      </c>
      <c r="I393" s="18">
        <f t="shared" ref="I393:I402" si="30">G393+H393</f>
        <v>146200</v>
      </c>
    </row>
    <row r="394" spans="1:252" outlineLevel="1" x14ac:dyDescent="0.25">
      <c r="A394" s="84"/>
      <c r="B394" s="28" t="s">
        <v>1468</v>
      </c>
      <c r="C394" s="21" t="s">
        <v>12</v>
      </c>
      <c r="D394" s="726">
        <f>Д2!D328+Ек!D349+Д!D310+Е!D333</f>
        <v>20</v>
      </c>
      <c r="E394" s="2">
        <v>600</v>
      </c>
      <c r="F394" s="361">
        <v>1400</v>
      </c>
      <c r="G394" s="2">
        <f t="shared" si="29"/>
        <v>12000</v>
      </c>
      <c r="H394" s="2">
        <f t="shared" ref="H394:H409" si="31">F394*D394</f>
        <v>28000</v>
      </c>
      <c r="I394" s="18">
        <f>G394+H394</f>
        <v>40000</v>
      </c>
    </row>
    <row r="395" spans="1:252" ht="31.2" outlineLevel="1" x14ac:dyDescent="0.25">
      <c r="A395" s="84"/>
      <c r="B395" s="28" t="s">
        <v>1217</v>
      </c>
      <c r="C395" s="21" t="s">
        <v>12</v>
      </c>
      <c r="D395" s="726">
        <f>Ек!D350+Е!D334</f>
        <v>2</v>
      </c>
      <c r="E395" s="2"/>
      <c r="F395" s="361">
        <v>24500</v>
      </c>
      <c r="G395" s="2">
        <f t="shared" si="29"/>
        <v>0</v>
      </c>
      <c r="H395" s="2">
        <f t="shared" si="31"/>
        <v>49000</v>
      </c>
      <c r="I395" s="18">
        <f>G395+H395</f>
        <v>49000</v>
      </c>
    </row>
    <row r="396" spans="1:252" ht="31.2" outlineLevel="1" x14ac:dyDescent="0.25">
      <c r="A396" s="84"/>
      <c r="B396" s="28" t="s">
        <v>1430</v>
      </c>
      <c r="C396" s="21" t="s">
        <v>12</v>
      </c>
      <c r="D396" s="726">
        <f>Д2!D329+Ек!D351+Д!D311+Е!D335</f>
        <v>4</v>
      </c>
      <c r="E396" s="2"/>
      <c r="F396" s="361">
        <v>24500</v>
      </c>
      <c r="G396" s="2">
        <f t="shared" si="29"/>
        <v>0</v>
      </c>
      <c r="H396" s="2">
        <f t="shared" si="31"/>
        <v>98000</v>
      </c>
      <c r="I396" s="18">
        <f t="shared" si="30"/>
        <v>98000</v>
      </c>
    </row>
    <row r="397" spans="1:252" ht="31.2" outlineLevel="1" x14ac:dyDescent="0.25">
      <c r="A397" s="84"/>
      <c r="B397" s="28" t="s">
        <v>1218</v>
      </c>
      <c r="C397" s="21" t="s">
        <v>12</v>
      </c>
      <c r="D397" s="726">
        <f>Е!D336</f>
        <v>1</v>
      </c>
      <c r="E397" s="2"/>
      <c r="F397" s="361">
        <v>24500</v>
      </c>
      <c r="G397" s="2">
        <f t="shared" si="29"/>
        <v>0</v>
      </c>
      <c r="H397" s="2">
        <f t="shared" si="31"/>
        <v>24500</v>
      </c>
      <c r="I397" s="18">
        <f>G397+H397</f>
        <v>24500</v>
      </c>
    </row>
    <row r="398" spans="1:252" outlineLevel="1" x14ac:dyDescent="0.25">
      <c r="A398" s="84"/>
      <c r="B398" s="28" t="s">
        <v>1463</v>
      </c>
      <c r="C398" s="21" t="s">
        <v>12</v>
      </c>
      <c r="D398" s="726">
        <f>Д2!D330+Ек!D352+Д!D312+Е!D337</f>
        <v>4</v>
      </c>
      <c r="E398" s="2"/>
      <c r="F398" s="164">
        <v>10000</v>
      </c>
      <c r="G398" s="2">
        <f t="shared" si="29"/>
        <v>0</v>
      </c>
      <c r="H398" s="2">
        <f t="shared" si="31"/>
        <v>40000</v>
      </c>
      <c r="I398" s="18">
        <f>G398+H398</f>
        <v>40000</v>
      </c>
    </row>
    <row r="399" spans="1:252" ht="31.5" customHeight="1" outlineLevel="1" x14ac:dyDescent="0.25">
      <c r="A399" s="271" t="s">
        <v>469</v>
      </c>
      <c r="B399" s="9" t="s">
        <v>38</v>
      </c>
      <c r="C399" s="2" t="s">
        <v>12</v>
      </c>
      <c r="D399" s="160">
        <f>SUM(D400:D402)</f>
        <v>9</v>
      </c>
      <c r="E399" s="256"/>
      <c r="F399" s="164"/>
      <c r="G399" s="2">
        <f t="shared" si="29"/>
        <v>0</v>
      </c>
      <c r="H399" s="2">
        <f t="shared" si="31"/>
        <v>0</v>
      </c>
      <c r="I399" s="18">
        <f t="shared" si="30"/>
        <v>0</v>
      </c>
    </row>
    <row r="400" spans="1:252" ht="31.2" outlineLevel="1" x14ac:dyDescent="0.25">
      <c r="A400" s="84"/>
      <c r="B400" s="28" t="s">
        <v>1216</v>
      </c>
      <c r="C400" s="21" t="s">
        <v>12</v>
      </c>
      <c r="D400" s="726">
        <f>Д2!D332+Ек!D354+Д!D315+Е!D339</f>
        <v>4</v>
      </c>
      <c r="E400" s="2"/>
      <c r="F400" s="361">
        <f>10915*1.18</f>
        <v>12879.699999999999</v>
      </c>
      <c r="G400" s="2">
        <f t="shared" si="29"/>
        <v>0</v>
      </c>
      <c r="H400" s="2">
        <f t="shared" si="31"/>
        <v>51518.799999999996</v>
      </c>
      <c r="I400" s="18">
        <f t="shared" si="30"/>
        <v>51518.799999999996</v>
      </c>
    </row>
    <row r="401" spans="1:12" ht="31.2" outlineLevel="1" x14ac:dyDescent="0.25">
      <c r="A401" s="84"/>
      <c r="B401" s="28" t="s">
        <v>1215</v>
      </c>
      <c r="C401" s="21" t="s">
        <v>12</v>
      </c>
      <c r="D401" s="726">
        <f>Д!D314</f>
        <v>1</v>
      </c>
      <c r="E401" s="2"/>
      <c r="F401" s="361">
        <f>10200*1.18</f>
        <v>12036</v>
      </c>
      <c r="G401" s="2">
        <f t="shared" si="29"/>
        <v>0</v>
      </c>
      <c r="H401" s="2">
        <f t="shared" si="31"/>
        <v>12036</v>
      </c>
      <c r="I401" s="18">
        <f t="shared" si="30"/>
        <v>12036</v>
      </c>
    </row>
    <row r="402" spans="1:12" outlineLevel="1" x14ac:dyDescent="0.25">
      <c r="A402" s="84"/>
      <c r="B402" s="28" t="s">
        <v>1464</v>
      </c>
      <c r="C402" s="21" t="s">
        <v>12</v>
      </c>
      <c r="D402" s="726">
        <f>Д2!D333+Ек!D355+Д!D316+Е!D340</f>
        <v>4</v>
      </c>
      <c r="E402" s="2"/>
      <c r="F402" s="361">
        <f>10915*1.18</f>
        <v>12879.699999999999</v>
      </c>
      <c r="G402" s="2">
        <f t="shared" si="29"/>
        <v>0</v>
      </c>
      <c r="H402" s="2">
        <f t="shared" si="31"/>
        <v>51518.799999999996</v>
      </c>
      <c r="I402" s="18">
        <f t="shared" si="30"/>
        <v>51518.799999999996</v>
      </c>
    </row>
    <row r="403" spans="1:12" outlineLevel="1" x14ac:dyDescent="0.25">
      <c r="A403" s="271" t="s">
        <v>522</v>
      </c>
      <c r="B403" s="9" t="s">
        <v>664</v>
      </c>
      <c r="C403" s="2" t="s">
        <v>12</v>
      </c>
      <c r="D403" s="160">
        <f>SUM(D404:D406)</f>
        <v>8</v>
      </c>
      <c r="E403" s="256">
        <v>1300</v>
      </c>
      <c r="F403" s="485">
        <v>10800</v>
      </c>
      <c r="G403" s="2">
        <f t="shared" si="29"/>
        <v>10400</v>
      </c>
      <c r="H403" s="2">
        <f t="shared" si="31"/>
        <v>86400</v>
      </c>
      <c r="I403" s="18">
        <f>G403+H403</f>
        <v>96800</v>
      </c>
    </row>
    <row r="404" spans="1:12" outlineLevel="1" x14ac:dyDescent="0.25">
      <c r="A404" s="84"/>
      <c r="B404" s="22" t="s">
        <v>1465</v>
      </c>
      <c r="C404" s="2" t="s">
        <v>12</v>
      </c>
      <c r="D404" s="727">
        <f>Д2!D335+Ек!D357+Д!D318+Е!D342</f>
        <v>4</v>
      </c>
      <c r="E404" s="158"/>
      <c r="F404" s="60"/>
      <c r="G404" s="2">
        <f t="shared" si="29"/>
        <v>0</v>
      </c>
      <c r="H404" s="2">
        <f t="shared" si="31"/>
        <v>0</v>
      </c>
      <c r="I404" s="18"/>
    </row>
    <row r="405" spans="1:12" outlineLevel="1" x14ac:dyDescent="0.25">
      <c r="A405" s="84"/>
      <c r="B405" s="22" t="s">
        <v>1466</v>
      </c>
      <c r="C405" s="2" t="s">
        <v>12</v>
      </c>
      <c r="D405" s="727">
        <f>Ек!D358+Е!D343</f>
        <v>2</v>
      </c>
      <c r="E405" s="158"/>
      <c r="F405" s="60"/>
      <c r="G405" s="2">
        <f t="shared" si="29"/>
        <v>0</v>
      </c>
      <c r="H405" s="2">
        <f t="shared" si="31"/>
        <v>0</v>
      </c>
      <c r="I405" s="18"/>
    </row>
    <row r="406" spans="1:12" outlineLevel="1" x14ac:dyDescent="0.25">
      <c r="A406" s="84"/>
      <c r="B406" s="22" t="s">
        <v>1467</v>
      </c>
      <c r="C406" s="2" t="s">
        <v>12</v>
      </c>
      <c r="D406" s="727">
        <f>Ек!D359+Е!D344</f>
        <v>2</v>
      </c>
      <c r="E406" s="158"/>
      <c r="F406" s="60"/>
      <c r="G406" s="2">
        <f t="shared" si="29"/>
        <v>0</v>
      </c>
      <c r="H406" s="2">
        <f t="shared" si="31"/>
        <v>0</v>
      </c>
      <c r="I406" s="18"/>
    </row>
    <row r="407" spans="1:12" outlineLevel="1" x14ac:dyDescent="0.25">
      <c r="A407" s="271" t="s">
        <v>523</v>
      </c>
      <c r="B407" s="9" t="s">
        <v>665</v>
      </c>
      <c r="C407" s="2" t="s">
        <v>12</v>
      </c>
      <c r="D407" s="728">
        <f>D408+D409</f>
        <v>44</v>
      </c>
      <c r="E407" s="256">
        <v>1300</v>
      </c>
      <c r="F407" s="60"/>
      <c r="G407" s="2">
        <f t="shared" si="29"/>
        <v>57200</v>
      </c>
      <c r="H407" s="2">
        <f t="shared" si="31"/>
        <v>0</v>
      </c>
      <c r="I407" s="18">
        <f>G407+H407</f>
        <v>57200</v>
      </c>
    </row>
    <row r="408" spans="1:12" outlineLevel="1" x14ac:dyDescent="0.25">
      <c r="A408" s="84"/>
      <c r="B408" s="22" t="s">
        <v>1219</v>
      </c>
      <c r="C408" s="2" t="s">
        <v>12</v>
      </c>
      <c r="D408" s="727">
        <f>Д2!D337+Ек!D361+Д!D320+Е!D346</f>
        <v>22</v>
      </c>
      <c r="E408" s="2"/>
      <c r="F408" s="164">
        <v>700</v>
      </c>
      <c r="G408" s="2">
        <f t="shared" si="29"/>
        <v>0</v>
      </c>
      <c r="H408" s="2">
        <f t="shared" si="31"/>
        <v>15400</v>
      </c>
      <c r="I408" s="18">
        <f>G408+H408</f>
        <v>15400</v>
      </c>
    </row>
    <row r="409" spans="1:12" ht="31.2" outlineLevel="1" x14ac:dyDescent="0.25">
      <c r="A409" s="84"/>
      <c r="B409" s="22" t="s">
        <v>1220</v>
      </c>
      <c r="C409" s="2" t="s">
        <v>12</v>
      </c>
      <c r="D409" s="727">
        <f>Д2!D338+Ек!D362+Д!D321+Е!D347</f>
        <v>22</v>
      </c>
      <c r="E409" s="2"/>
      <c r="F409" s="164">
        <v>2000</v>
      </c>
      <c r="G409" s="2">
        <f t="shared" si="29"/>
        <v>0</v>
      </c>
      <c r="H409" s="2">
        <f t="shared" si="31"/>
        <v>44000</v>
      </c>
      <c r="I409" s="18">
        <f>G409+H409</f>
        <v>44000</v>
      </c>
    </row>
    <row r="410" spans="1:12" x14ac:dyDescent="0.25">
      <c r="A410" s="223"/>
      <c r="B410" s="232" t="s">
        <v>58</v>
      </c>
      <c r="C410" s="225"/>
      <c r="D410" s="226"/>
      <c r="E410" s="227"/>
      <c r="F410" s="228"/>
      <c r="G410" s="227">
        <f>SUM(G392:G409)</f>
        <v>105400</v>
      </c>
      <c r="H410" s="227">
        <f>SUM(H392:H409)</f>
        <v>646573.6</v>
      </c>
      <c r="I410" s="227">
        <f>SUM(I392:I409)</f>
        <v>751973.6</v>
      </c>
      <c r="J410" s="693"/>
    </row>
    <row r="411" spans="1:12" ht="16.95" customHeight="1" x14ac:dyDescent="0.25">
      <c r="A411" s="90"/>
      <c r="B411" s="471" t="s">
        <v>624</v>
      </c>
      <c r="C411" s="9"/>
      <c r="D411" s="31"/>
      <c r="E411" s="10"/>
      <c r="F411" s="57"/>
      <c r="G411" s="10"/>
      <c r="H411" s="10"/>
      <c r="I411" s="31">
        <f>ROUND(I410/1.18*0.18,2)</f>
        <v>114707.84</v>
      </c>
    </row>
    <row r="412" spans="1:12" ht="18.75" customHeight="1" x14ac:dyDescent="0.25">
      <c r="A412" s="108"/>
      <c r="B412" s="737" t="s">
        <v>1205</v>
      </c>
      <c r="C412" s="105"/>
      <c r="D412" s="105"/>
      <c r="E412" s="105"/>
      <c r="F412" s="138"/>
      <c r="G412" s="105"/>
      <c r="H412" s="105"/>
      <c r="I412" s="106"/>
    </row>
    <row r="413" spans="1:12" s="6" customFormat="1" ht="31.5" customHeight="1" outlineLevel="1" x14ac:dyDescent="0.25">
      <c r="A413" s="107" t="s">
        <v>317</v>
      </c>
      <c r="B413" s="494" t="s">
        <v>1005</v>
      </c>
      <c r="C413" s="31" t="s">
        <v>14</v>
      </c>
      <c r="D413" s="160">
        <f>Д2!D342+Ек!D366+Д!D325+Е!D351</f>
        <v>2515.7415999999998</v>
      </c>
      <c r="E413" s="256">
        <v>800</v>
      </c>
      <c r="F413" s="60">
        <v>600</v>
      </c>
      <c r="G413" s="2">
        <f>E413*D413</f>
        <v>2012593.2799999998</v>
      </c>
      <c r="H413" s="2">
        <f>F413*D413</f>
        <v>1509444.96</v>
      </c>
      <c r="I413" s="18">
        <f>G413+H413</f>
        <v>3522038.2399999998</v>
      </c>
      <c r="J413" s="499"/>
      <c r="K413" s="25"/>
      <c r="L413" s="25"/>
    </row>
    <row r="414" spans="1:12" outlineLevel="1" x14ac:dyDescent="0.25">
      <c r="A414" s="107" t="s">
        <v>318</v>
      </c>
      <c r="B414" s="29" t="s">
        <v>1391</v>
      </c>
      <c r="C414" s="31" t="s">
        <v>14</v>
      </c>
      <c r="D414" s="160">
        <f>Д2!D351+Ек!D371+Д!D330+Е!D356</f>
        <v>329.63279999999997</v>
      </c>
      <c r="E414" s="256">
        <v>350</v>
      </c>
      <c r="F414" s="60"/>
      <c r="G414" s="2">
        <f>E414*D414</f>
        <v>115371.48</v>
      </c>
      <c r="H414" s="2">
        <f>F414*D414</f>
        <v>0</v>
      </c>
      <c r="I414" s="18">
        <f>G414+H414</f>
        <v>115371.48</v>
      </c>
      <c r="K414" s="430"/>
    </row>
    <row r="415" spans="1:12" ht="31.2" outlineLevel="1" x14ac:dyDescent="0.25">
      <c r="A415" s="84"/>
      <c r="B415" s="11" t="s">
        <v>1390</v>
      </c>
      <c r="C415" s="55" t="s">
        <v>8</v>
      </c>
      <c r="D415" s="42">
        <f>Д2!D352+Ек!D372+Д!D331+Е!D357</f>
        <v>39.54</v>
      </c>
      <c r="E415" s="18"/>
      <c r="F415" s="366">
        <v>4200</v>
      </c>
      <c r="G415" s="18"/>
      <c r="H415" s="2">
        <f>F415*D415</f>
        <v>166068</v>
      </c>
      <c r="I415" s="18">
        <f>G415+H415</f>
        <v>166068</v>
      </c>
    </row>
    <row r="416" spans="1:12" outlineLevel="1" x14ac:dyDescent="0.25">
      <c r="A416" s="84"/>
      <c r="B416" s="725" t="s">
        <v>230</v>
      </c>
      <c r="C416" s="55" t="s">
        <v>12</v>
      </c>
      <c r="D416" s="42">
        <f>ROUND(D414*12,2)</f>
        <v>3955.59</v>
      </c>
      <c r="E416" s="18"/>
      <c r="F416" s="142">
        <v>12</v>
      </c>
      <c r="G416" s="18"/>
      <c r="H416" s="2">
        <f>F416*D416</f>
        <v>47467.08</v>
      </c>
      <c r="I416" s="18">
        <f>G416+H416</f>
        <v>47467.08</v>
      </c>
    </row>
    <row r="417" spans="1:12" ht="19.5" customHeight="1" x14ac:dyDescent="0.25">
      <c r="A417" s="223"/>
      <c r="B417" s="232" t="s">
        <v>57</v>
      </c>
      <c r="C417" s="225"/>
      <c r="D417" s="226"/>
      <c r="E417" s="227"/>
      <c r="F417" s="228"/>
      <c r="G417" s="227">
        <f>SUM(G413:G416)</f>
        <v>2127964.7599999998</v>
      </c>
      <c r="H417" s="227">
        <f>SUM(H413:H416)</f>
        <v>1722980.04</v>
      </c>
      <c r="I417" s="227">
        <f>SUM(I413:I416)</f>
        <v>3850944.8</v>
      </c>
      <c r="J417" s="693"/>
      <c r="L417" s="133"/>
    </row>
    <row r="418" spans="1:12" ht="17.399999999999999" customHeight="1" x14ac:dyDescent="0.25">
      <c r="A418" s="90"/>
      <c r="B418" s="471" t="s">
        <v>624</v>
      </c>
      <c r="C418" s="472"/>
      <c r="D418" s="473"/>
      <c r="E418" s="474"/>
      <c r="F418" s="475"/>
      <c r="G418" s="10"/>
      <c r="H418" s="10"/>
      <c r="I418" s="31">
        <f>ROUND(I417/1.18*0.18,2)</f>
        <v>587432.26</v>
      </c>
    </row>
    <row r="419" spans="1:12" ht="20.25" customHeight="1" x14ac:dyDescent="0.25">
      <c r="A419" s="109"/>
      <c r="B419" s="771" t="s">
        <v>1206</v>
      </c>
      <c r="C419" s="771"/>
      <c r="D419" s="771"/>
      <c r="E419" s="771"/>
      <c r="F419" s="771"/>
      <c r="G419" s="105"/>
      <c r="H419" s="105"/>
      <c r="I419" s="106"/>
    </row>
    <row r="420" spans="1:12" ht="19.5" customHeight="1" outlineLevel="1" x14ac:dyDescent="0.25">
      <c r="A420" s="84"/>
      <c r="B420" s="191" t="s">
        <v>1074</v>
      </c>
      <c r="C420" s="481"/>
      <c r="D420" s="482"/>
      <c r="E420" s="486"/>
      <c r="F420" s="487"/>
      <c r="G420" s="77"/>
      <c r="H420" s="77"/>
      <c r="I420" s="77"/>
      <c r="K420" s="670"/>
    </row>
    <row r="421" spans="1:12" ht="16.95" customHeight="1" outlineLevel="1" x14ac:dyDescent="0.25">
      <c r="A421" s="107" t="s">
        <v>319</v>
      </c>
      <c r="B421" s="29" t="s">
        <v>1058</v>
      </c>
      <c r="C421" s="31" t="s">
        <v>14</v>
      </c>
      <c r="D421" s="2">
        <f>97+207.4</f>
        <v>304.39999999999998</v>
      </c>
      <c r="E421" s="256">
        <v>120</v>
      </c>
      <c r="F421" s="60"/>
      <c r="G421" s="2">
        <f>E421*D421</f>
        <v>36528</v>
      </c>
      <c r="H421" s="18"/>
      <c r="I421" s="18">
        <f t="shared" ref="I421:I431" si="32">H421+G421</f>
        <v>36528</v>
      </c>
      <c r="K421" s="161"/>
    </row>
    <row r="422" spans="1:12" outlineLevel="1" x14ac:dyDescent="0.25">
      <c r="A422" s="84"/>
      <c r="B422" s="28" t="s">
        <v>1055</v>
      </c>
      <c r="C422" s="21" t="s">
        <v>14</v>
      </c>
      <c r="D422" s="2">
        <f>ROUND(D421*1.1,2)</f>
        <v>334.84</v>
      </c>
      <c r="E422" s="18"/>
      <c r="F422" s="164">
        <f>ROUND(88.7*1.1,2)</f>
        <v>97.57</v>
      </c>
      <c r="G422" s="2">
        <f t="shared" ref="G422:G441" si="33">E422*D422</f>
        <v>0</v>
      </c>
      <c r="H422" s="2">
        <f>F422*D422</f>
        <v>32670.338799999994</v>
      </c>
      <c r="I422" s="18">
        <f t="shared" si="32"/>
        <v>32670.338799999994</v>
      </c>
    </row>
    <row r="423" spans="1:12" outlineLevel="1" x14ac:dyDescent="0.25">
      <c r="A423" s="107" t="s">
        <v>320</v>
      </c>
      <c r="B423" s="29" t="s">
        <v>1059</v>
      </c>
      <c r="C423" s="31" t="s">
        <v>14</v>
      </c>
      <c r="D423" s="31">
        <f>1019.1+97+89.2+19.8</f>
        <v>1225.0999999999999</v>
      </c>
      <c r="E423" s="256">
        <v>150</v>
      </c>
      <c r="F423" s="60"/>
      <c r="G423" s="2">
        <f t="shared" si="33"/>
        <v>183765</v>
      </c>
      <c r="H423" s="2">
        <f t="shared" ref="H423:H442" si="34">F423*D423</f>
        <v>0</v>
      </c>
      <c r="I423" s="18">
        <f t="shared" si="32"/>
        <v>183765</v>
      </c>
    </row>
    <row r="424" spans="1:12" outlineLevel="1" x14ac:dyDescent="0.25">
      <c r="A424" s="84"/>
      <c r="B424" s="22" t="s">
        <v>1418</v>
      </c>
      <c r="C424" s="21" t="s">
        <v>8</v>
      </c>
      <c r="D424" s="2">
        <f>ROUND(D423*0.1,2)</f>
        <v>122.51</v>
      </c>
      <c r="E424" s="18"/>
      <c r="F424" s="328">
        <v>4200</v>
      </c>
      <c r="G424" s="2">
        <f t="shared" si="33"/>
        <v>0</v>
      </c>
      <c r="H424" s="2">
        <f t="shared" si="34"/>
        <v>514542</v>
      </c>
      <c r="I424" s="18">
        <f t="shared" si="32"/>
        <v>514542</v>
      </c>
    </row>
    <row r="425" spans="1:12" outlineLevel="1" x14ac:dyDescent="0.25">
      <c r="A425" s="84"/>
      <c r="B425" s="22" t="s">
        <v>1419</v>
      </c>
      <c r="C425" s="21" t="s">
        <v>14</v>
      </c>
      <c r="D425" s="2">
        <f>1019.1+89.2+19.8</f>
        <v>1128.0999999999999</v>
      </c>
      <c r="E425" s="18"/>
      <c r="F425" s="328"/>
      <c r="G425" s="2">
        <f t="shared" si="33"/>
        <v>0</v>
      </c>
      <c r="H425" s="2">
        <f t="shared" si="34"/>
        <v>0</v>
      </c>
      <c r="I425" s="18"/>
    </row>
    <row r="426" spans="1:12" ht="32.25" customHeight="1" outlineLevel="1" x14ac:dyDescent="0.25">
      <c r="A426" s="107" t="s">
        <v>321</v>
      </c>
      <c r="B426" s="9" t="s">
        <v>1057</v>
      </c>
      <c r="C426" s="31" t="s">
        <v>14</v>
      </c>
      <c r="D426" s="31">
        <f>1019.1+97+89.2+19.8+2040.8+207.4+178.4</f>
        <v>3651.7</v>
      </c>
      <c r="E426" s="256">
        <v>340</v>
      </c>
      <c r="F426" s="60"/>
      <c r="G426" s="2">
        <f t="shared" si="33"/>
        <v>1241578</v>
      </c>
      <c r="H426" s="2">
        <f t="shared" si="34"/>
        <v>0</v>
      </c>
      <c r="I426" s="18">
        <f t="shared" si="32"/>
        <v>1241578</v>
      </c>
    </row>
    <row r="427" spans="1:12" outlineLevel="1" x14ac:dyDescent="0.25">
      <c r="A427" s="84"/>
      <c r="B427" s="22" t="s">
        <v>47</v>
      </c>
      <c r="C427" s="21" t="s">
        <v>8</v>
      </c>
      <c r="D427" s="2">
        <f>ROUND(D426*0.04,2)</f>
        <v>146.07</v>
      </c>
      <c r="E427" s="282"/>
      <c r="F427" s="11"/>
      <c r="G427" s="2">
        <f t="shared" si="33"/>
        <v>0</v>
      </c>
      <c r="H427" s="2">
        <f t="shared" si="34"/>
        <v>0</v>
      </c>
      <c r="I427" s="18">
        <f t="shared" si="32"/>
        <v>0</v>
      </c>
    </row>
    <row r="428" spans="1:12" outlineLevel="1" x14ac:dyDescent="0.25">
      <c r="A428" s="84"/>
      <c r="B428" s="28" t="s">
        <v>1056</v>
      </c>
      <c r="C428" s="21" t="s">
        <v>14</v>
      </c>
      <c r="D428" s="2">
        <f>D426</f>
        <v>3651.7</v>
      </c>
      <c r="E428" s="282"/>
      <c r="F428" s="361">
        <v>31.34</v>
      </c>
      <c r="G428" s="2">
        <f t="shared" si="33"/>
        <v>0</v>
      </c>
      <c r="H428" s="2">
        <f t="shared" si="34"/>
        <v>114444.27799999999</v>
      </c>
      <c r="I428" s="18">
        <f t="shared" si="32"/>
        <v>114444.27799999999</v>
      </c>
    </row>
    <row r="429" spans="1:12" ht="31.2" outlineLevel="1" x14ac:dyDescent="0.25">
      <c r="A429" s="107" t="s">
        <v>322</v>
      </c>
      <c r="B429" s="9" t="s">
        <v>1420</v>
      </c>
      <c r="C429" s="31" t="s">
        <v>14</v>
      </c>
      <c r="D429" s="31">
        <f>9.8+35.7+79.6</f>
        <v>125.1</v>
      </c>
      <c r="E429" s="256">
        <v>340</v>
      </c>
      <c r="F429" s="60"/>
      <c r="G429" s="2">
        <f t="shared" si="33"/>
        <v>42534</v>
      </c>
      <c r="H429" s="2">
        <f t="shared" si="34"/>
        <v>0</v>
      </c>
      <c r="I429" s="18">
        <f t="shared" si="32"/>
        <v>42534</v>
      </c>
    </row>
    <row r="430" spans="1:12" outlineLevel="1" x14ac:dyDescent="0.25">
      <c r="A430" s="84"/>
      <c r="B430" s="22" t="s">
        <v>47</v>
      </c>
      <c r="C430" s="21" t="s">
        <v>8</v>
      </c>
      <c r="D430" s="2">
        <f>ROUND(D429*0.07,2)</f>
        <v>8.76</v>
      </c>
      <c r="E430" s="282"/>
      <c r="F430" s="11"/>
      <c r="G430" s="2">
        <f t="shared" si="33"/>
        <v>0</v>
      </c>
      <c r="H430" s="2">
        <f t="shared" si="34"/>
        <v>0</v>
      </c>
      <c r="I430" s="18">
        <f t="shared" si="32"/>
        <v>0</v>
      </c>
    </row>
    <row r="431" spans="1:12" outlineLevel="1" x14ac:dyDescent="0.25">
      <c r="A431" s="84"/>
      <c r="B431" s="28" t="s">
        <v>1056</v>
      </c>
      <c r="C431" s="21" t="s">
        <v>14</v>
      </c>
      <c r="D431" s="2">
        <f>D429</f>
        <v>125.1</v>
      </c>
      <c r="E431" s="282"/>
      <c r="F431" s="361">
        <v>31.34</v>
      </c>
      <c r="G431" s="2">
        <f t="shared" si="33"/>
        <v>0</v>
      </c>
      <c r="H431" s="2">
        <f t="shared" si="34"/>
        <v>3920.634</v>
      </c>
      <c r="I431" s="18">
        <f t="shared" si="32"/>
        <v>3920.634</v>
      </c>
    </row>
    <row r="432" spans="1:12" ht="31.2" outlineLevel="1" x14ac:dyDescent="0.25">
      <c r="A432" s="107" t="s">
        <v>323</v>
      </c>
      <c r="B432" s="9" t="s">
        <v>407</v>
      </c>
      <c r="C432" s="31" t="s">
        <v>14</v>
      </c>
      <c r="D432" s="31">
        <f>Д2!D369+Ек!D389+Д!D348+Е!D374</f>
        <v>351.5</v>
      </c>
      <c r="E432" s="256">
        <v>350</v>
      </c>
      <c r="F432" s="60"/>
      <c r="G432" s="2">
        <f t="shared" si="33"/>
        <v>123025</v>
      </c>
      <c r="H432" s="2">
        <f t="shared" si="34"/>
        <v>0</v>
      </c>
      <c r="I432" s="18">
        <f>H432+G432</f>
        <v>123025</v>
      </c>
    </row>
    <row r="433" spans="1:13" outlineLevel="1" x14ac:dyDescent="0.25">
      <c r="A433" s="84"/>
      <c r="B433" s="22" t="s">
        <v>1061</v>
      </c>
      <c r="C433" s="21" t="s">
        <v>14</v>
      </c>
      <c r="D433" s="2">
        <f>+ROUND(D432*1.1,2)</f>
        <v>386.65</v>
      </c>
      <c r="E433" s="18"/>
      <c r="F433" s="361">
        <v>250</v>
      </c>
      <c r="G433" s="2">
        <f t="shared" si="33"/>
        <v>0</v>
      </c>
      <c r="H433" s="2">
        <f t="shared" si="34"/>
        <v>96662.5</v>
      </c>
      <c r="I433" s="18">
        <f>H433+G433</f>
        <v>96662.5</v>
      </c>
    </row>
    <row r="434" spans="1:13" outlineLevel="1" x14ac:dyDescent="0.25">
      <c r="A434" s="84"/>
      <c r="B434" s="22" t="s">
        <v>49</v>
      </c>
      <c r="C434" s="21" t="s">
        <v>15</v>
      </c>
      <c r="D434" s="2">
        <f>+ROUND(D433*6,2)</f>
        <v>2319.9</v>
      </c>
      <c r="E434" s="18"/>
      <c r="F434" s="361">
        <f>+ROUND(7.5*1.1,2)</f>
        <v>8.25</v>
      </c>
      <c r="G434" s="2">
        <f t="shared" si="33"/>
        <v>0</v>
      </c>
      <c r="H434" s="2">
        <f t="shared" si="34"/>
        <v>19139.174999999999</v>
      </c>
      <c r="I434" s="18">
        <f>H434+G434</f>
        <v>19139.174999999999</v>
      </c>
    </row>
    <row r="435" spans="1:13" outlineLevel="1" x14ac:dyDescent="0.25">
      <c r="A435" s="84"/>
      <c r="B435" s="22" t="s">
        <v>1060</v>
      </c>
      <c r="C435" s="21" t="s">
        <v>15</v>
      </c>
      <c r="D435" s="2">
        <f>+ROUND(D433*0.19,2)</f>
        <v>73.459999999999994</v>
      </c>
      <c r="E435" s="18"/>
      <c r="F435" s="361">
        <v>9</v>
      </c>
      <c r="G435" s="2">
        <f t="shared" si="33"/>
        <v>0</v>
      </c>
      <c r="H435" s="2">
        <f t="shared" si="34"/>
        <v>661.14</v>
      </c>
      <c r="I435" s="18">
        <f>H435+G435</f>
        <v>661.14</v>
      </c>
    </row>
    <row r="436" spans="1:13" ht="22.5" customHeight="1" outlineLevel="1" x14ac:dyDescent="0.25">
      <c r="A436" s="84"/>
      <c r="B436" s="10" t="s">
        <v>1073</v>
      </c>
      <c r="C436" s="21"/>
      <c r="D436" s="2"/>
      <c r="E436" s="18"/>
      <c r="F436" s="361"/>
      <c r="G436" s="2">
        <f t="shared" si="33"/>
        <v>0</v>
      </c>
      <c r="H436" s="2">
        <f t="shared" si="34"/>
        <v>0</v>
      </c>
      <c r="I436" s="18"/>
    </row>
    <row r="437" spans="1:13" outlineLevel="1" x14ac:dyDescent="0.25">
      <c r="A437" s="107" t="s">
        <v>532</v>
      </c>
      <c r="B437" s="9" t="s">
        <v>1549</v>
      </c>
      <c r="C437" s="31" t="s">
        <v>14</v>
      </c>
      <c r="D437" s="31">
        <v>3925.23</v>
      </c>
      <c r="E437" s="256">
        <v>250</v>
      </c>
      <c r="F437" s="60"/>
      <c r="G437" s="2">
        <f t="shared" si="33"/>
        <v>981307.5</v>
      </c>
      <c r="H437" s="2">
        <f t="shared" si="34"/>
        <v>0</v>
      </c>
      <c r="I437" s="18">
        <f>H437+G437</f>
        <v>981307.5</v>
      </c>
    </row>
    <row r="438" spans="1:13" outlineLevel="1" x14ac:dyDescent="0.25">
      <c r="A438" s="86"/>
      <c r="B438" s="22" t="s">
        <v>1072</v>
      </c>
      <c r="C438" s="21" t="s">
        <v>15</v>
      </c>
      <c r="D438" s="70">
        <f>D437*6</f>
        <v>23551.38</v>
      </c>
      <c r="E438" s="282"/>
      <c r="F438" s="361"/>
      <c r="G438" s="2">
        <f t="shared" si="33"/>
        <v>0</v>
      </c>
      <c r="H438" s="2">
        <f t="shared" si="34"/>
        <v>0</v>
      </c>
      <c r="I438" s="18">
        <f>H438+G438</f>
        <v>0</v>
      </c>
    </row>
    <row r="439" spans="1:13" outlineLevel="1" x14ac:dyDescent="0.25">
      <c r="A439" s="107" t="s">
        <v>533</v>
      </c>
      <c r="B439" s="9" t="s">
        <v>1075</v>
      </c>
      <c r="C439" s="31" t="s">
        <v>1561</v>
      </c>
      <c r="D439" s="31">
        <v>3800</v>
      </c>
      <c r="E439" s="256">
        <v>25</v>
      </c>
      <c r="F439" s="60"/>
      <c r="G439" s="2">
        <f t="shared" si="33"/>
        <v>95000</v>
      </c>
      <c r="H439" s="2">
        <f t="shared" si="34"/>
        <v>0</v>
      </c>
      <c r="I439" s="18">
        <f>H439+G439</f>
        <v>95000</v>
      </c>
      <c r="J439" s="735"/>
    </row>
    <row r="440" spans="1:13" outlineLevel="1" x14ac:dyDescent="0.25">
      <c r="A440" s="86"/>
      <c r="B440" s="22" t="s">
        <v>1077</v>
      </c>
      <c r="C440" s="21" t="s">
        <v>15</v>
      </c>
      <c r="D440" s="2">
        <f>D439*0.2</f>
        <v>760</v>
      </c>
      <c r="E440" s="18"/>
      <c r="F440" s="361"/>
      <c r="G440" s="2">
        <f t="shared" si="33"/>
        <v>0</v>
      </c>
      <c r="H440" s="2">
        <f t="shared" si="34"/>
        <v>0</v>
      </c>
      <c r="I440" s="18">
        <f>H440+G440</f>
        <v>0</v>
      </c>
    </row>
    <row r="441" spans="1:13" outlineLevel="1" x14ac:dyDescent="0.25">
      <c r="A441" s="86"/>
      <c r="B441" s="22" t="s">
        <v>715</v>
      </c>
      <c r="C441" s="21" t="s">
        <v>15</v>
      </c>
      <c r="D441" s="70">
        <v>1000</v>
      </c>
      <c r="E441" s="18"/>
      <c r="F441" s="361">
        <v>8</v>
      </c>
      <c r="G441" s="2">
        <f t="shared" si="33"/>
        <v>0</v>
      </c>
      <c r="H441" s="2">
        <f t="shared" si="34"/>
        <v>8000</v>
      </c>
      <c r="I441" s="18">
        <f>H441+G441</f>
        <v>8000</v>
      </c>
    </row>
    <row r="442" spans="1:13" s="36" customFormat="1" outlineLevel="1" x14ac:dyDescent="0.25">
      <c r="A442" s="92"/>
      <c r="B442" s="748" t="s">
        <v>1543</v>
      </c>
      <c r="C442" s="744"/>
      <c r="D442" s="745"/>
      <c r="E442" s="746"/>
      <c r="F442" s="747"/>
      <c r="G442" s="474">
        <f>SUM(G420:G441)</f>
        <v>2703737.5</v>
      </c>
      <c r="H442" s="2">
        <f t="shared" si="34"/>
        <v>0</v>
      </c>
      <c r="I442" s="749">
        <f>G442</f>
        <v>2703737.5</v>
      </c>
      <c r="K442" s="162"/>
      <c r="L442" s="162"/>
      <c r="M442" s="162"/>
    </row>
    <row r="443" spans="1:13" s="36" customFormat="1" outlineLevel="1" x14ac:dyDescent="0.25">
      <c r="A443" s="92"/>
      <c r="B443" s="748" t="s">
        <v>1546</v>
      </c>
      <c r="C443" s="744"/>
      <c r="D443" s="745"/>
      <c r="E443" s="746"/>
      <c r="F443" s="747"/>
      <c r="G443" s="474"/>
      <c r="H443" s="473">
        <f>SUM(H420:H442)</f>
        <v>790040.06579999998</v>
      </c>
      <c r="I443" s="749">
        <f>H443</f>
        <v>790040.06579999998</v>
      </c>
      <c r="K443" s="162"/>
      <c r="L443" s="162"/>
      <c r="M443" s="162"/>
    </row>
    <row r="444" spans="1:13" s="36" customFormat="1" outlineLevel="1" x14ac:dyDescent="0.25">
      <c r="A444" s="92"/>
      <c r="B444" s="748" t="s">
        <v>1544</v>
      </c>
      <c r="C444" s="744"/>
      <c r="D444" s="745"/>
      <c r="E444" s="746"/>
      <c r="F444" s="747"/>
      <c r="G444" s="474"/>
      <c r="H444" s="746"/>
      <c r="I444" s="749">
        <f>G444</f>
        <v>0</v>
      </c>
      <c r="K444" s="162"/>
      <c r="L444" s="162"/>
      <c r="M444" s="162"/>
    </row>
    <row r="445" spans="1:13" s="36" customFormat="1" outlineLevel="1" x14ac:dyDescent="0.25">
      <c r="A445" s="92"/>
      <c r="B445" s="748" t="s">
        <v>1545</v>
      </c>
      <c r="C445" s="744"/>
      <c r="D445" s="745"/>
      <c r="E445" s="746"/>
      <c r="F445" s="747"/>
      <c r="G445" s="474"/>
      <c r="H445" s="746"/>
      <c r="I445" s="749">
        <f>G445</f>
        <v>0</v>
      </c>
      <c r="K445" s="162"/>
      <c r="L445" s="162"/>
      <c r="M445" s="162"/>
    </row>
    <row r="446" spans="1:13" ht="27.6" x14ac:dyDescent="0.25">
      <c r="A446" s="223"/>
      <c r="B446" s="231" t="s">
        <v>56</v>
      </c>
      <c r="C446" s="225"/>
      <c r="D446" s="226"/>
      <c r="E446" s="227"/>
      <c r="F446" s="228"/>
      <c r="G446" s="227">
        <f>G442+G444+G445</f>
        <v>2703737.5</v>
      </c>
      <c r="H446" s="227">
        <f>H443</f>
        <v>790040.06579999998</v>
      </c>
      <c r="I446" s="227">
        <f>I442+I443+I444+I445</f>
        <v>3493777.5658</v>
      </c>
      <c r="J446" s="693"/>
    </row>
    <row r="447" spans="1:13" x14ac:dyDescent="0.25">
      <c r="A447" s="90"/>
      <c r="B447" s="471" t="s">
        <v>624</v>
      </c>
      <c r="C447" s="472"/>
      <c r="D447" s="473"/>
      <c r="E447" s="474"/>
      <c r="F447" s="475"/>
      <c r="G447" s="474"/>
      <c r="H447" s="474"/>
      <c r="I447" s="31">
        <f>ROUND(I446/1.18*0.18,2)</f>
        <v>532949.12</v>
      </c>
    </row>
    <row r="448" spans="1:13" ht="62.4" x14ac:dyDescent="0.25">
      <c r="A448" s="741"/>
      <c r="B448" s="737" t="s">
        <v>1408</v>
      </c>
      <c r="C448" s="742"/>
      <c r="D448" s="742"/>
      <c r="E448" s="742"/>
      <c r="F448" s="742"/>
      <c r="G448" s="742"/>
      <c r="H448" s="742"/>
      <c r="I448" s="743"/>
    </row>
    <row r="449" spans="1:9" ht="33.75" customHeight="1" outlineLevel="1" x14ac:dyDescent="0.25">
      <c r="A449" s="107" t="s">
        <v>325</v>
      </c>
      <c r="B449" s="9" t="s">
        <v>1409</v>
      </c>
      <c r="C449" s="31" t="s">
        <v>14</v>
      </c>
      <c r="D449" s="65">
        <f>Д2!D385+Ек!D405+Д!D364+Е!D390</f>
        <v>1302.9000000000001</v>
      </c>
      <c r="E449" s="166">
        <v>100</v>
      </c>
      <c r="F449" s="60"/>
      <c r="G449" s="2">
        <f>E449*D449</f>
        <v>130290.00000000001</v>
      </c>
      <c r="H449" s="18"/>
      <c r="I449" s="18">
        <f>H449+G449</f>
        <v>130290.00000000001</v>
      </c>
    </row>
    <row r="450" spans="1:9" outlineLevel="1" x14ac:dyDescent="0.25">
      <c r="A450" s="84"/>
      <c r="B450" s="28" t="s">
        <v>1410</v>
      </c>
      <c r="C450" s="21" t="s">
        <v>8</v>
      </c>
      <c r="D450" s="2">
        <v>40</v>
      </c>
      <c r="E450" s="18"/>
      <c r="F450" s="164">
        <v>700</v>
      </c>
      <c r="G450" s="2">
        <f t="shared" ref="G450:G474" si="35">E450*D450</f>
        <v>0</v>
      </c>
      <c r="H450" s="18">
        <f>F450*D450</f>
        <v>28000</v>
      </c>
      <c r="I450" s="18">
        <f>H450+G450</f>
        <v>28000</v>
      </c>
    </row>
    <row r="451" spans="1:9" ht="31.2" outlineLevel="1" x14ac:dyDescent="0.25">
      <c r="A451" s="107" t="s">
        <v>325</v>
      </c>
      <c r="B451" s="9" t="s">
        <v>1412</v>
      </c>
      <c r="C451" s="31" t="s">
        <v>14</v>
      </c>
      <c r="D451" s="65">
        <v>10</v>
      </c>
      <c r="E451" s="256">
        <v>1000</v>
      </c>
      <c r="F451" s="60"/>
      <c r="G451" s="2">
        <f t="shared" si="35"/>
        <v>10000</v>
      </c>
      <c r="H451" s="18">
        <f t="shared" ref="H451:H474" si="36">F451*D451</f>
        <v>0</v>
      </c>
      <c r="I451" s="18">
        <f>H451+G451</f>
        <v>10000</v>
      </c>
    </row>
    <row r="452" spans="1:9" outlineLevel="1" x14ac:dyDescent="0.25">
      <c r="A452" s="84"/>
      <c r="B452" s="28" t="s">
        <v>1062</v>
      </c>
      <c r="C452" s="21" t="s">
        <v>8</v>
      </c>
      <c r="D452" s="2">
        <f>ROUND(D451*0.1,2)</f>
        <v>1</v>
      </c>
      <c r="E452" s="18"/>
      <c r="F452" s="664">
        <v>3450</v>
      </c>
      <c r="G452" s="2">
        <f t="shared" si="35"/>
        <v>0</v>
      </c>
      <c r="H452" s="18">
        <f t="shared" si="36"/>
        <v>3450</v>
      </c>
      <c r="I452" s="18">
        <f>H452+G452</f>
        <v>3450</v>
      </c>
    </row>
    <row r="453" spans="1:9" outlineLevel="1" x14ac:dyDescent="0.25">
      <c r="A453" s="84"/>
      <c r="B453" s="28" t="s">
        <v>1413</v>
      </c>
      <c r="C453" s="21" t="s">
        <v>8</v>
      </c>
      <c r="D453" s="2">
        <f>ROUND(D452*0.05,2)</f>
        <v>0.05</v>
      </c>
      <c r="E453" s="18"/>
      <c r="F453" s="164">
        <v>850</v>
      </c>
      <c r="G453" s="2">
        <f t="shared" si="35"/>
        <v>0</v>
      </c>
      <c r="H453" s="18">
        <f t="shared" si="36"/>
        <v>42.5</v>
      </c>
      <c r="I453" s="18">
        <f>H453+G453</f>
        <v>42.5</v>
      </c>
    </row>
    <row r="454" spans="1:9" outlineLevel="1" x14ac:dyDescent="0.25">
      <c r="A454" s="107" t="s">
        <v>326</v>
      </c>
      <c r="B454" s="29" t="s">
        <v>1064</v>
      </c>
      <c r="C454" s="31" t="s">
        <v>14</v>
      </c>
      <c r="D454" s="2">
        <v>10</v>
      </c>
      <c r="E454" s="256">
        <v>120</v>
      </c>
      <c r="F454" s="60"/>
      <c r="G454" s="2">
        <f t="shared" si="35"/>
        <v>1200</v>
      </c>
      <c r="H454" s="18">
        <f t="shared" si="36"/>
        <v>0</v>
      </c>
      <c r="I454" s="18">
        <f t="shared" ref="I454:I469" si="37">H454+G454</f>
        <v>1200</v>
      </c>
    </row>
    <row r="455" spans="1:9" outlineLevel="1" x14ac:dyDescent="0.25">
      <c r="A455" s="84"/>
      <c r="B455" s="28" t="s">
        <v>1063</v>
      </c>
      <c r="C455" s="21" t="s">
        <v>14</v>
      </c>
      <c r="D455" s="2">
        <f>ROUND(D454*1.1*2,2)</f>
        <v>22</v>
      </c>
      <c r="E455" s="18"/>
      <c r="F455" s="164">
        <f>ROUND(88.7*1.1,2)</f>
        <v>97.57</v>
      </c>
      <c r="G455" s="2">
        <f t="shared" si="35"/>
        <v>0</v>
      </c>
      <c r="H455" s="18">
        <f t="shared" si="36"/>
        <v>2146.54</v>
      </c>
      <c r="I455" s="18">
        <f t="shared" si="37"/>
        <v>2146.54</v>
      </c>
    </row>
    <row r="456" spans="1:9" ht="31.2" outlineLevel="1" x14ac:dyDescent="0.25">
      <c r="A456" s="107" t="s">
        <v>327</v>
      </c>
      <c r="B456" s="29" t="s">
        <v>1069</v>
      </c>
      <c r="C456" s="31" t="s">
        <v>14</v>
      </c>
      <c r="D456" s="31">
        <f>1.7*2</f>
        <v>3.4</v>
      </c>
      <c r="E456" s="18"/>
      <c r="F456" s="60"/>
      <c r="G456" s="2">
        <f t="shared" si="35"/>
        <v>0</v>
      </c>
      <c r="H456" s="18">
        <f t="shared" si="36"/>
        <v>0</v>
      </c>
      <c r="I456" s="18">
        <f t="shared" si="37"/>
        <v>0</v>
      </c>
    </row>
    <row r="457" spans="1:9" ht="27.6" outlineLevel="1" x14ac:dyDescent="0.25">
      <c r="A457" s="84"/>
      <c r="B457" s="372" t="s">
        <v>1068</v>
      </c>
      <c r="C457" s="21" t="s">
        <v>14</v>
      </c>
      <c r="D457" s="66">
        <f>ROUND(D456*2*1.03,2)</f>
        <v>7</v>
      </c>
      <c r="E457" s="51"/>
      <c r="F457" s="328">
        <f>ROUND(261.9*1.1,2)</f>
        <v>288.08999999999997</v>
      </c>
      <c r="G457" s="2">
        <f t="shared" si="35"/>
        <v>0</v>
      </c>
      <c r="H457" s="18">
        <f t="shared" si="36"/>
        <v>2016.6299999999999</v>
      </c>
      <c r="I457" s="51">
        <f t="shared" si="37"/>
        <v>2016.6299999999999</v>
      </c>
    </row>
    <row r="458" spans="1:9" outlineLevel="1" x14ac:dyDescent="0.25">
      <c r="A458" s="84"/>
      <c r="B458" s="28" t="s">
        <v>400</v>
      </c>
      <c r="C458" s="21" t="s">
        <v>14</v>
      </c>
      <c r="D458" s="66">
        <f>ROUND(D456*1.015,2)</f>
        <v>3.45</v>
      </c>
      <c r="E458" s="51"/>
      <c r="F458" s="365">
        <v>109.41</v>
      </c>
      <c r="G458" s="2">
        <f t="shared" si="35"/>
        <v>0</v>
      </c>
      <c r="H458" s="18">
        <f t="shared" si="36"/>
        <v>377.46449999999999</v>
      </c>
      <c r="I458" s="51">
        <f t="shared" si="37"/>
        <v>377.46449999999999</v>
      </c>
    </row>
    <row r="459" spans="1:9" outlineLevel="1" x14ac:dyDescent="0.25">
      <c r="A459" s="84"/>
      <c r="B459" s="28" t="s">
        <v>401</v>
      </c>
      <c r="C459" s="2" t="s">
        <v>14</v>
      </c>
      <c r="D459" s="66">
        <f>ROUND(D456*1.01,2)</f>
        <v>3.43</v>
      </c>
      <c r="E459" s="51"/>
      <c r="F459" s="365">
        <v>154.75</v>
      </c>
      <c r="G459" s="2">
        <f t="shared" si="35"/>
        <v>0</v>
      </c>
      <c r="H459" s="18">
        <f t="shared" si="36"/>
        <v>530.79250000000002</v>
      </c>
      <c r="I459" s="51">
        <f t="shared" si="37"/>
        <v>530.79250000000002</v>
      </c>
    </row>
    <row r="460" spans="1:9" ht="31.2" outlineLevel="1" x14ac:dyDescent="0.25">
      <c r="A460" s="84"/>
      <c r="B460" s="22" t="s">
        <v>1070</v>
      </c>
      <c r="C460" s="21" t="s">
        <v>8</v>
      </c>
      <c r="D460" s="2">
        <f>ROUND(D456*0.15,2)</f>
        <v>0.51</v>
      </c>
      <c r="E460" s="18"/>
      <c r="F460" s="365">
        <v>4400</v>
      </c>
      <c r="G460" s="2">
        <f t="shared" si="35"/>
        <v>0</v>
      </c>
      <c r="H460" s="18">
        <f t="shared" si="36"/>
        <v>2244</v>
      </c>
      <c r="I460" s="18">
        <f t="shared" si="37"/>
        <v>2244</v>
      </c>
    </row>
    <row r="461" spans="1:9" outlineLevel="1" x14ac:dyDescent="0.25">
      <c r="A461" s="84"/>
      <c r="B461" s="22" t="s">
        <v>1067</v>
      </c>
      <c r="C461" s="21" t="s">
        <v>14</v>
      </c>
      <c r="D461" s="2">
        <f>+ROUND(D456*1.1,2)</f>
        <v>3.74</v>
      </c>
      <c r="E461" s="18"/>
      <c r="F461" s="365">
        <f>10.1*1.1</f>
        <v>11.110000000000001</v>
      </c>
      <c r="G461" s="2">
        <f t="shared" si="35"/>
        <v>0</v>
      </c>
      <c r="H461" s="18">
        <f t="shared" si="36"/>
        <v>41.551400000000008</v>
      </c>
      <c r="I461" s="18">
        <f t="shared" si="37"/>
        <v>41.551400000000008</v>
      </c>
    </row>
    <row r="462" spans="1:9" ht="31.2" outlineLevel="1" x14ac:dyDescent="0.25">
      <c r="A462" s="107" t="s">
        <v>536</v>
      </c>
      <c r="B462" s="9" t="s">
        <v>1411</v>
      </c>
      <c r="C462" s="31" t="s">
        <v>14</v>
      </c>
      <c r="D462" s="31">
        <f>4.8+4.8</f>
        <v>9.6</v>
      </c>
      <c r="E462" s="256">
        <v>280</v>
      </c>
      <c r="F462" s="60"/>
      <c r="G462" s="2">
        <f t="shared" si="35"/>
        <v>2688</v>
      </c>
      <c r="H462" s="18">
        <f t="shared" si="36"/>
        <v>0</v>
      </c>
      <c r="I462" s="18">
        <f t="shared" si="37"/>
        <v>2688</v>
      </c>
    </row>
    <row r="463" spans="1:9" outlineLevel="1" x14ac:dyDescent="0.25">
      <c r="A463" s="84"/>
      <c r="B463" s="22" t="s">
        <v>1065</v>
      </c>
      <c r="C463" s="21" t="s">
        <v>8</v>
      </c>
      <c r="D463" s="2">
        <f>D462*0.04</f>
        <v>0.38400000000000001</v>
      </c>
      <c r="E463" s="18"/>
      <c r="F463" s="11"/>
      <c r="G463" s="2">
        <f t="shared" si="35"/>
        <v>0</v>
      </c>
      <c r="H463" s="18">
        <f t="shared" si="36"/>
        <v>0</v>
      </c>
      <c r="I463" s="18">
        <f t="shared" si="37"/>
        <v>0</v>
      </c>
    </row>
    <row r="464" spans="1:9" outlineLevel="1" x14ac:dyDescent="0.25">
      <c r="A464" s="84"/>
      <c r="B464" s="28" t="s">
        <v>1056</v>
      </c>
      <c r="C464" s="21" t="s">
        <v>14</v>
      </c>
      <c r="D464" s="2">
        <f>D462</f>
        <v>9.6</v>
      </c>
      <c r="E464" s="18"/>
      <c r="F464" s="361">
        <v>31.34</v>
      </c>
      <c r="G464" s="2">
        <f t="shared" si="35"/>
        <v>0</v>
      </c>
      <c r="H464" s="18">
        <f t="shared" si="36"/>
        <v>300.86399999999998</v>
      </c>
      <c r="I464" s="18">
        <f t="shared" si="37"/>
        <v>300.86399999999998</v>
      </c>
    </row>
    <row r="465" spans="1:12" ht="31.2" outlineLevel="1" x14ac:dyDescent="0.25">
      <c r="A465" s="107" t="s">
        <v>537</v>
      </c>
      <c r="B465" s="9" t="s">
        <v>1421</v>
      </c>
      <c r="C465" s="31" t="s">
        <v>14</v>
      </c>
      <c r="D465" s="31">
        <f>13.6+15.4+10.1*2</f>
        <v>49.2</v>
      </c>
      <c r="E465" s="256">
        <v>170</v>
      </c>
      <c r="F465" s="60"/>
      <c r="G465" s="2">
        <f t="shared" si="35"/>
        <v>8364</v>
      </c>
      <c r="H465" s="18">
        <f t="shared" si="36"/>
        <v>0</v>
      </c>
      <c r="I465" s="18">
        <f t="shared" si="37"/>
        <v>8364</v>
      </c>
    </row>
    <row r="466" spans="1:12" outlineLevel="1" x14ac:dyDescent="0.25">
      <c r="A466" s="84"/>
      <c r="B466" s="22" t="s">
        <v>1072</v>
      </c>
      <c r="C466" s="21" t="s">
        <v>15</v>
      </c>
      <c r="D466" s="70">
        <f>D465*6</f>
        <v>295.20000000000005</v>
      </c>
      <c r="E466" s="282"/>
      <c r="F466" s="361">
        <v>7</v>
      </c>
      <c r="G466" s="2">
        <f t="shared" si="35"/>
        <v>0</v>
      </c>
      <c r="H466" s="18">
        <f t="shared" si="36"/>
        <v>2066.4000000000005</v>
      </c>
      <c r="I466" s="18">
        <f t="shared" si="37"/>
        <v>2066.4000000000005</v>
      </c>
    </row>
    <row r="467" spans="1:12" outlineLevel="1" x14ac:dyDescent="0.25">
      <c r="A467" s="84"/>
      <c r="B467" s="22" t="s">
        <v>41</v>
      </c>
      <c r="C467" s="21" t="s">
        <v>15</v>
      </c>
      <c r="D467" s="2">
        <f>D465*0.2</f>
        <v>9.8400000000000016</v>
      </c>
      <c r="E467" s="18"/>
      <c r="F467" s="361">
        <v>20</v>
      </c>
      <c r="G467" s="2">
        <f t="shared" si="35"/>
        <v>0</v>
      </c>
      <c r="H467" s="18">
        <f t="shared" si="36"/>
        <v>196.80000000000004</v>
      </c>
      <c r="I467" s="18">
        <f t="shared" si="37"/>
        <v>196.80000000000004</v>
      </c>
    </row>
    <row r="468" spans="1:12" outlineLevel="1" x14ac:dyDescent="0.25">
      <c r="A468" s="84"/>
      <c r="B468" s="22" t="s">
        <v>715</v>
      </c>
      <c r="C468" s="21" t="s">
        <v>15</v>
      </c>
      <c r="D468" s="70">
        <f>D465*4</f>
        <v>196.8</v>
      </c>
      <c r="E468" s="18"/>
      <c r="F468" s="361">
        <v>10</v>
      </c>
      <c r="G468" s="2">
        <f t="shared" si="35"/>
        <v>0</v>
      </c>
      <c r="H468" s="18">
        <f t="shared" si="36"/>
        <v>1968</v>
      </c>
      <c r="I468" s="18">
        <f t="shared" si="37"/>
        <v>1968</v>
      </c>
    </row>
    <row r="469" spans="1:12" outlineLevel="1" x14ac:dyDescent="0.25">
      <c r="A469" s="84"/>
      <c r="B469" s="28" t="s">
        <v>1071</v>
      </c>
      <c r="C469" s="21" t="s">
        <v>30</v>
      </c>
      <c r="D469" s="64">
        <f>D465*0.4</f>
        <v>19.680000000000003</v>
      </c>
      <c r="E469" s="18"/>
      <c r="F469" s="361">
        <v>120</v>
      </c>
      <c r="G469" s="2">
        <f t="shared" si="35"/>
        <v>0</v>
      </c>
      <c r="H469" s="18">
        <f t="shared" si="36"/>
        <v>2361.6000000000004</v>
      </c>
      <c r="I469" s="18">
        <f t="shared" si="37"/>
        <v>2361.6000000000004</v>
      </c>
    </row>
    <row r="470" spans="1:12" ht="31.2" outlineLevel="1" x14ac:dyDescent="0.25">
      <c r="A470" s="107" t="s">
        <v>538</v>
      </c>
      <c r="B470" s="9" t="s">
        <v>1076</v>
      </c>
      <c r="C470" s="31" t="s">
        <v>14</v>
      </c>
      <c r="D470" s="724">
        <f>5+5+2.2*2</f>
        <v>14.4</v>
      </c>
      <c r="E470" s="256">
        <v>180</v>
      </c>
      <c r="F470" s="60"/>
      <c r="G470" s="2">
        <f t="shared" si="35"/>
        <v>2592</v>
      </c>
      <c r="H470" s="18">
        <f t="shared" si="36"/>
        <v>0</v>
      </c>
      <c r="I470" s="18">
        <f>H470+G470</f>
        <v>2592</v>
      </c>
    </row>
    <row r="471" spans="1:12" outlineLevel="1" x14ac:dyDescent="0.25">
      <c r="A471" s="84"/>
      <c r="B471" s="22" t="s">
        <v>1072</v>
      </c>
      <c r="C471" s="21" t="s">
        <v>15</v>
      </c>
      <c r="D471" s="70">
        <f>D470*6</f>
        <v>86.4</v>
      </c>
      <c r="E471" s="282"/>
      <c r="F471" s="361">
        <v>7</v>
      </c>
      <c r="G471" s="2">
        <f t="shared" si="35"/>
        <v>0</v>
      </c>
      <c r="H471" s="18">
        <f t="shared" si="36"/>
        <v>604.80000000000007</v>
      </c>
      <c r="I471" s="18">
        <f>H471+G471</f>
        <v>604.80000000000007</v>
      </c>
    </row>
    <row r="472" spans="1:12" outlineLevel="1" x14ac:dyDescent="0.25">
      <c r="A472" s="84"/>
      <c r="B472" s="22" t="s">
        <v>1077</v>
      </c>
      <c r="C472" s="21" t="s">
        <v>15</v>
      </c>
      <c r="D472" s="2">
        <f>D470*0.2</f>
        <v>2.8800000000000003</v>
      </c>
      <c r="E472" s="18"/>
      <c r="F472" s="361">
        <v>20</v>
      </c>
      <c r="G472" s="2">
        <f t="shared" si="35"/>
        <v>0</v>
      </c>
      <c r="H472" s="18">
        <f t="shared" si="36"/>
        <v>57.600000000000009</v>
      </c>
      <c r="I472" s="18">
        <f>H472+G472</f>
        <v>57.600000000000009</v>
      </c>
    </row>
    <row r="473" spans="1:12" outlineLevel="1" x14ac:dyDescent="0.25">
      <c r="A473" s="84"/>
      <c r="B473" s="22" t="s">
        <v>715</v>
      </c>
      <c r="C473" s="21" t="s">
        <v>15</v>
      </c>
      <c r="D473" s="70">
        <f>D470*4</f>
        <v>57.6</v>
      </c>
      <c r="E473" s="18"/>
      <c r="F473" s="361">
        <v>10</v>
      </c>
      <c r="G473" s="2">
        <f t="shared" si="35"/>
        <v>0</v>
      </c>
      <c r="H473" s="18">
        <f t="shared" si="36"/>
        <v>576</v>
      </c>
      <c r="I473" s="18">
        <f>H473+G473</f>
        <v>576</v>
      </c>
    </row>
    <row r="474" spans="1:12" outlineLevel="1" x14ac:dyDescent="0.25">
      <c r="A474" s="84"/>
      <c r="B474" s="28" t="s">
        <v>1071</v>
      </c>
      <c r="C474" s="21" t="s">
        <v>30</v>
      </c>
      <c r="D474" s="64">
        <f>D470*0.4</f>
        <v>5.7600000000000007</v>
      </c>
      <c r="E474" s="18"/>
      <c r="F474" s="361">
        <v>120</v>
      </c>
      <c r="G474" s="2">
        <f t="shared" si="35"/>
        <v>0</v>
      </c>
      <c r="H474" s="18">
        <f t="shared" si="36"/>
        <v>691.2</v>
      </c>
      <c r="I474" s="18">
        <f>H474+G474</f>
        <v>691.2</v>
      </c>
    </row>
    <row r="475" spans="1:12" ht="41.4" x14ac:dyDescent="0.25">
      <c r="A475" s="223"/>
      <c r="B475" s="231" t="s">
        <v>1078</v>
      </c>
      <c r="C475" s="225"/>
      <c r="D475" s="226"/>
      <c r="E475" s="227"/>
      <c r="F475" s="228"/>
      <c r="G475" s="227">
        <f>SUM(G449:G474)</f>
        <v>155134</v>
      </c>
      <c r="H475" s="227">
        <f>SUM(H449:H474)</f>
        <v>47672.742400000003</v>
      </c>
      <c r="I475" s="227">
        <f>SUM(I449:I474)</f>
        <v>202806.74240000002</v>
      </c>
      <c r="J475" s="693"/>
      <c r="L475" s="133"/>
    </row>
    <row r="476" spans="1:12" ht="18.600000000000001" customHeight="1" x14ac:dyDescent="0.25">
      <c r="A476" s="90"/>
      <c r="B476" s="471" t="s">
        <v>624</v>
      </c>
      <c r="C476" s="472"/>
      <c r="D476" s="473"/>
      <c r="E476" s="474"/>
      <c r="F476" s="475"/>
      <c r="G476" s="474"/>
      <c r="H476" s="474"/>
      <c r="I476" s="473">
        <f>ROUND(I475/1.18*0.18,2)</f>
        <v>30936.62</v>
      </c>
    </row>
    <row r="477" spans="1:12" ht="39" customHeight="1" x14ac:dyDescent="0.25">
      <c r="A477" s="109"/>
      <c r="B477" s="737" t="s">
        <v>1207</v>
      </c>
      <c r="C477" s="477"/>
      <c r="D477" s="477"/>
      <c r="E477" s="478"/>
      <c r="F477" s="479"/>
      <c r="G477" s="480"/>
      <c r="H477" s="480"/>
      <c r="I477" s="483"/>
    </row>
    <row r="478" spans="1:12" ht="31.5" customHeight="1" outlineLevel="1" x14ac:dyDescent="0.25">
      <c r="A478" s="107" t="s">
        <v>154</v>
      </c>
      <c r="B478" s="71" t="s">
        <v>1550</v>
      </c>
      <c r="C478" s="72" t="s">
        <v>14</v>
      </c>
      <c r="D478" s="72">
        <f>Д2!D390+Ек!D426+Д!D387+Е!D419</f>
        <v>1437.9</v>
      </c>
      <c r="E478" s="355">
        <v>320</v>
      </c>
      <c r="F478" s="146"/>
      <c r="G478" s="476">
        <f>E478*D478</f>
        <v>460128</v>
      </c>
      <c r="H478" s="73"/>
      <c r="I478" s="73">
        <f t="shared" ref="I478:I492" si="38">H478+G478</f>
        <v>460128</v>
      </c>
    </row>
    <row r="479" spans="1:12" outlineLevel="1" x14ac:dyDescent="0.25">
      <c r="A479" s="84"/>
      <c r="B479" s="22" t="s">
        <v>1072</v>
      </c>
      <c r="C479" s="21" t="s">
        <v>15</v>
      </c>
      <c r="D479" s="70">
        <f>D478*6</f>
        <v>8627.4000000000015</v>
      </c>
      <c r="E479" s="282"/>
      <c r="F479" s="361"/>
      <c r="G479" s="476">
        <f t="shared" ref="G479:G492" si="39">E479*D479</f>
        <v>0</v>
      </c>
      <c r="H479" s="2">
        <f>ROUND(D479*F479,2)</f>
        <v>0</v>
      </c>
      <c r="I479" s="18">
        <f t="shared" si="38"/>
        <v>0</v>
      </c>
    </row>
    <row r="480" spans="1:12" outlineLevel="1" x14ac:dyDescent="0.25">
      <c r="A480" s="84"/>
      <c r="B480" s="22" t="s">
        <v>1077</v>
      </c>
      <c r="C480" s="21" t="s">
        <v>15</v>
      </c>
      <c r="D480" s="2">
        <f>D479*0.2</f>
        <v>1725.4800000000005</v>
      </c>
      <c r="E480" s="18"/>
      <c r="F480" s="361"/>
      <c r="G480" s="476">
        <f t="shared" si="39"/>
        <v>0</v>
      </c>
      <c r="H480" s="2">
        <f>ROUND(D480*F480,2)</f>
        <v>0</v>
      </c>
      <c r="I480" s="18">
        <f>H480+G480</f>
        <v>0</v>
      </c>
    </row>
    <row r="481" spans="1:12" outlineLevel="1" x14ac:dyDescent="0.25">
      <c r="A481" s="84"/>
      <c r="B481" s="22" t="s">
        <v>715</v>
      </c>
      <c r="C481" s="21" t="s">
        <v>15</v>
      </c>
      <c r="D481" s="70">
        <f>D478*3</f>
        <v>4313.7000000000007</v>
      </c>
      <c r="E481" s="18"/>
      <c r="F481" s="361"/>
      <c r="G481" s="476">
        <f t="shared" si="39"/>
        <v>0</v>
      </c>
      <c r="H481" s="2">
        <f>ROUND(D481*F481,2)</f>
        <v>0</v>
      </c>
      <c r="I481" s="18">
        <f>H481+G481</f>
        <v>0</v>
      </c>
    </row>
    <row r="482" spans="1:12" outlineLevel="1" x14ac:dyDescent="0.25">
      <c r="A482" s="84"/>
      <c r="B482" s="28" t="s">
        <v>1423</v>
      </c>
      <c r="C482" s="21" t="s">
        <v>30</v>
      </c>
      <c r="D482" s="64">
        <f>D478*0.4</f>
        <v>575.16000000000008</v>
      </c>
      <c r="E482" s="18"/>
      <c r="F482" s="361"/>
      <c r="G482" s="476">
        <f t="shared" si="39"/>
        <v>0</v>
      </c>
      <c r="H482" s="2">
        <f>ROUND(D482*F482,2)</f>
        <v>0</v>
      </c>
      <c r="I482" s="18">
        <f>H482+G482</f>
        <v>0</v>
      </c>
    </row>
    <row r="483" spans="1:12" ht="32.25" customHeight="1" outlineLevel="1" x14ac:dyDescent="0.25">
      <c r="A483" s="107" t="s">
        <v>157</v>
      </c>
      <c r="B483" s="9" t="s">
        <v>1424</v>
      </c>
      <c r="C483" s="31" t="s">
        <v>14</v>
      </c>
      <c r="D483" s="724">
        <f>Д2!D395+Ек!D431+Д!D392+Е!D424</f>
        <v>23.6</v>
      </c>
      <c r="E483" s="256">
        <v>180</v>
      </c>
      <c r="F483" s="60"/>
      <c r="G483" s="476">
        <f t="shared" si="39"/>
        <v>4248</v>
      </c>
      <c r="H483" s="18"/>
      <c r="I483" s="18">
        <f>H483+G483</f>
        <v>4248</v>
      </c>
    </row>
    <row r="484" spans="1:12" outlineLevel="1" x14ac:dyDescent="0.25">
      <c r="A484" s="84"/>
      <c r="B484" s="22" t="s">
        <v>1077</v>
      </c>
      <c r="C484" s="21" t="s">
        <v>15</v>
      </c>
      <c r="D484" s="2">
        <f>D483*0.2</f>
        <v>4.7200000000000006</v>
      </c>
      <c r="E484" s="18"/>
      <c r="F484" s="361">
        <v>20</v>
      </c>
      <c r="G484" s="476">
        <f t="shared" si="39"/>
        <v>0</v>
      </c>
      <c r="H484" s="2">
        <f>ROUND(D484*F484,2)</f>
        <v>94.4</v>
      </c>
      <c r="I484" s="18">
        <f t="shared" si="38"/>
        <v>94.4</v>
      </c>
    </row>
    <row r="485" spans="1:12" outlineLevel="1" x14ac:dyDescent="0.25">
      <c r="A485" s="84"/>
      <c r="B485" s="22" t="s">
        <v>715</v>
      </c>
      <c r="C485" s="21" t="s">
        <v>15</v>
      </c>
      <c r="D485" s="70">
        <f>D483*9*2</f>
        <v>424.8</v>
      </c>
      <c r="E485" s="18"/>
      <c r="F485" s="361">
        <v>10</v>
      </c>
      <c r="G485" s="476">
        <f t="shared" si="39"/>
        <v>0</v>
      </c>
      <c r="H485" s="2">
        <f>ROUND(D485*F485,2)</f>
        <v>4248</v>
      </c>
      <c r="I485" s="18">
        <f t="shared" si="38"/>
        <v>4248</v>
      </c>
    </row>
    <row r="486" spans="1:12" outlineLevel="1" x14ac:dyDescent="0.25">
      <c r="A486" s="84"/>
      <c r="B486" s="28" t="s">
        <v>1423</v>
      </c>
      <c r="C486" s="21" t="s">
        <v>30</v>
      </c>
      <c r="D486" s="64">
        <f>D483*0.4</f>
        <v>9.4400000000000013</v>
      </c>
      <c r="E486" s="18"/>
      <c r="F486" s="361">
        <v>120</v>
      </c>
      <c r="G486" s="476">
        <f t="shared" si="39"/>
        <v>0</v>
      </c>
      <c r="H486" s="2">
        <f>ROUND(D486*F486,2)</f>
        <v>1132.8</v>
      </c>
      <c r="I486" s="18">
        <f t="shared" si="38"/>
        <v>1132.8</v>
      </c>
    </row>
    <row r="487" spans="1:12" ht="33" customHeight="1" outlineLevel="1" x14ac:dyDescent="0.25">
      <c r="A487" s="107" t="s">
        <v>158</v>
      </c>
      <c r="B487" s="9" t="s">
        <v>1076</v>
      </c>
      <c r="C487" s="31" t="s">
        <v>14</v>
      </c>
      <c r="D487" s="724">
        <f>Д2!D399+Ек!D435+Д!D396+Е!D428</f>
        <v>443.58000000000004</v>
      </c>
      <c r="E487" s="256">
        <v>180</v>
      </c>
      <c r="F487" s="60"/>
      <c r="G487" s="476">
        <f t="shared" si="39"/>
        <v>79844.400000000009</v>
      </c>
      <c r="H487" s="18"/>
      <c r="I487" s="18">
        <f t="shared" si="38"/>
        <v>79844.400000000009</v>
      </c>
    </row>
    <row r="488" spans="1:12" ht="17.25" customHeight="1" outlineLevel="1" x14ac:dyDescent="0.25">
      <c r="A488" s="86"/>
      <c r="B488" s="22" t="s">
        <v>1077</v>
      </c>
      <c r="C488" s="21" t="s">
        <v>15</v>
      </c>
      <c r="D488" s="2">
        <f>D487*0.2</f>
        <v>88.716000000000008</v>
      </c>
      <c r="E488" s="18"/>
      <c r="F488" s="361">
        <v>20</v>
      </c>
      <c r="G488" s="476">
        <f t="shared" si="39"/>
        <v>0</v>
      </c>
      <c r="H488" s="2">
        <f>F488*D488</f>
        <v>1774.3200000000002</v>
      </c>
      <c r="I488" s="18">
        <f t="shared" si="38"/>
        <v>1774.3200000000002</v>
      </c>
    </row>
    <row r="489" spans="1:12" ht="17.25" customHeight="1" outlineLevel="1" x14ac:dyDescent="0.25">
      <c r="A489" s="86"/>
      <c r="B489" s="22" t="s">
        <v>715</v>
      </c>
      <c r="C489" s="21" t="s">
        <v>15</v>
      </c>
      <c r="D489" s="70">
        <f>D487*9*2</f>
        <v>7984.4400000000005</v>
      </c>
      <c r="E489" s="18"/>
      <c r="F489" s="361">
        <v>10</v>
      </c>
      <c r="G489" s="476">
        <f t="shared" si="39"/>
        <v>0</v>
      </c>
      <c r="H489" s="2">
        <f>F489*D489</f>
        <v>79844.400000000009</v>
      </c>
      <c r="I489" s="18">
        <f t="shared" si="38"/>
        <v>79844.400000000009</v>
      </c>
    </row>
    <row r="490" spans="1:12" ht="17.25" customHeight="1" outlineLevel="1" x14ac:dyDescent="0.25">
      <c r="A490" s="86"/>
      <c r="B490" s="28" t="s">
        <v>1071</v>
      </c>
      <c r="C490" s="21" t="s">
        <v>30</v>
      </c>
      <c r="D490" s="64">
        <f>D487*0.4</f>
        <v>177.43200000000002</v>
      </c>
      <c r="E490" s="18"/>
      <c r="F490" s="361">
        <v>120</v>
      </c>
      <c r="G490" s="476">
        <f t="shared" si="39"/>
        <v>0</v>
      </c>
      <c r="H490" s="2">
        <f>F490*D490</f>
        <v>21291.840000000004</v>
      </c>
      <c r="I490" s="18">
        <f t="shared" si="38"/>
        <v>21291.840000000004</v>
      </c>
    </row>
    <row r="491" spans="1:12" ht="17.25" customHeight="1" outlineLevel="1" x14ac:dyDescent="0.25">
      <c r="A491" s="107" t="s">
        <v>1208</v>
      </c>
      <c r="B491" s="9" t="s">
        <v>74</v>
      </c>
      <c r="C491" s="176" t="s">
        <v>12</v>
      </c>
      <c r="D491" s="31">
        <f>D492</f>
        <v>90</v>
      </c>
      <c r="E491" s="256">
        <v>350</v>
      </c>
      <c r="F491" s="11"/>
      <c r="G491" s="476">
        <f t="shared" si="39"/>
        <v>31500</v>
      </c>
      <c r="H491" s="2">
        <f>F491*D491</f>
        <v>0</v>
      </c>
      <c r="I491" s="2">
        <f t="shared" si="38"/>
        <v>31500</v>
      </c>
    </row>
    <row r="492" spans="1:12" ht="17.25" customHeight="1" outlineLevel="1" x14ac:dyDescent="0.25">
      <c r="A492" s="86"/>
      <c r="B492" s="28" t="s">
        <v>75</v>
      </c>
      <c r="C492" s="21" t="s">
        <v>12</v>
      </c>
      <c r="D492" s="2">
        <f>Д2!D404+Ек!D440+Д!D401+Е!D433</f>
        <v>90</v>
      </c>
      <c r="E492" s="2"/>
      <c r="F492" s="361">
        <v>450</v>
      </c>
      <c r="G492" s="476">
        <f t="shared" si="39"/>
        <v>0</v>
      </c>
      <c r="H492" s="2">
        <f>F492*D492</f>
        <v>40500</v>
      </c>
      <c r="I492" s="2">
        <f t="shared" si="38"/>
        <v>40500</v>
      </c>
    </row>
    <row r="493" spans="1:12" ht="21.75" customHeight="1" x14ac:dyDescent="0.25">
      <c r="A493" s="223"/>
      <c r="B493" s="231" t="s">
        <v>71</v>
      </c>
      <c r="C493" s="225"/>
      <c r="D493" s="226"/>
      <c r="E493" s="227"/>
      <c r="F493" s="228"/>
      <c r="G493" s="227">
        <f>SUM(G478:G492)</f>
        <v>575720.4</v>
      </c>
      <c r="H493" s="227">
        <f>SUM(H478:H492)</f>
        <v>148885.76000000001</v>
      </c>
      <c r="I493" s="227">
        <f>SUM(I478:I492)</f>
        <v>724606.15999999992</v>
      </c>
      <c r="J493" s="693"/>
      <c r="L493" s="133"/>
    </row>
    <row r="494" spans="1:12" ht="16.95" customHeight="1" x14ac:dyDescent="0.25">
      <c r="A494" s="90"/>
      <c r="B494" s="471" t="s">
        <v>624</v>
      </c>
      <c r="C494" s="9"/>
      <c r="D494" s="31"/>
      <c r="E494" s="10"/>
      <c r="F494" s="57"/>
      <c r="G494" s="10"/>
      <c r="H494" s="10"/>
      <c r="I494" s="31">
        <f>ROUND(I493/1.18*0.18,2)</f>
        <v>110533.14</v>
      </c>
    </row>
    <row r="495" spans="1:12" ht="21" customHeight="1" x14ac:dyDescent="0.25">
      <c r="A495" s="108"/>
      <c r="B495" s="737" t="s">
        <v>1242</v>
      </c>
      <c r="C495" s="105"/>
      <c r="D495" s="105"/>
      <c r="E495" s="105"/>
      <c r="F495" s="138"/>
      <c r="G495" s="105"/>
      <c r="H495" s="105"/>
      <c r="I495" s="106"/>
    </row>
    <row r="496" spans="1:12" s="15" customFormat="1" ht="33" customHeight="1" outlineLevel="1" x14ac:dyDescent="0.25">
      <c r="A496" s="107" t="s">
        <v>76</v>
      </c>
      <c r="B496" s="723" t="s">
        <v>69</v>
      </c>
      <c r="C496" s="31" t="s">
        <v>8</v>
      </c>
      <c r="D496" s="31">
        <f>Д2!D408+Ек!D444+Д!D405+Е!D437</f>
        <v>20.743100000000002</v>
      </c>
      <c r="E496" s="256">
        <v>1400</v>
      </c>
      <c r="F496" s="11"/>
      <c r="G496" s="2">
        <f>ROUND(E496*D496,2)</f>
        <v>29040.34</v>
      </c>
      <c r="H496" s="2"/>
      <c r="I496" s="2">
        <f>H496+G496</f>
        <v>29040.34</v>
      </c>
    </row>
    <row r="497" spans="1:10" s="15" customFormat="1" outlineLevel="1" x14ac:dyDescent="0.25">
      <c r="A497" s="86"/>
      <c r="B497" s="11" t="s">
        <v>240</v>
      </c>
      <c r="C497" s="21" t="s">
        <v>8</v>
      </c>
      <c r="D497" s="2">
        <f>D496*1.1</f>
        <v>22.817410000000002</v>
      </c>
      <c r="E497" s="282"/>
      <c r="F497" s="361">
        <v>270</v>
      </c>
      <c r="G497" s="2"/>
      <c r="H497" s="2">
        <f>ROUND(D497*F497,2)</f>
        <v>6160.7</v>
      </c>
      <c r="I497" s="2">
        <f>H497+G497</f>
        <v>6160.7</v>
      </c>
    </row>
    <row r="498" spans="1:10" s="15" customFormat="1" outlineLevel="1" x14ac:dyDescent="0.25">
      <c r="A498" s="86"/>
      <c r="B498" s="22" t="s">
        <v>1329</v>
      </c>
      <c r="C498" s="21" t="s">
        <v>8</v>
      </c>
      <c r="D498" s="2">
        <f>1.02*D496</f>
        <v>21.157962000000001</v>
      </c>
      <c r="E498" s="282"/>
      <c r="F498" s="164">
        <v>4800</v>
      </c>
      <c r="G498" s="2"/>
      <c r="H498" s="2">
        <f>ROUND(D498*F498,2)</f>
        <v>101558.22</v>
      </c>
      <c r="I498" s="2">
        <f>H498+G498</f>
        <v>101558.22</v>
      </c>
    </row>
    <row r="499" spans="1:10" s="15" customFormat="1" hidden="1" outlineLevel="1" x14ac:dyDescent="0.25">
      <c r="A499" s="107" t="s">
        <v>78</v>
      </c>
      <c r="B499" s="344" t="s">
        <v>470</v>
      </c>
      <c r="C499" s="31" t="s">
        <v>8</v>
      </c>
      <c r="D499" s="306">
        <v>0</v>
      </c>
      <c r="E499" s="256">
        <v>1000</v>
      </c>
      <c r="F499" s="11"/>
      <c r="G499" s="2">
        <f>ROUND(E499*D499,2)</f>
        <v>0</v>
      </c>
      <c r="H499" s="2"/>
      <c r="I499" s="2">
        <f>H499+G499</f>
        <v>0</v>
      </c>
    </row>
    <row r="500" spans="1:10" s="15" customFormat="1" hidden="1" outlineLevel="1" x14ac:dyDescent="0.25">
      <c r="A500" s="86"/>
      <c r="B500" s="308" t="s">
        <v>471</v>
      </c>
      <c r="C500" s="2" t="s">
        <v>8</v>
      </c>
      <c r="D500" s="340">
        <f>D499*1.02</f>
        <v>0</v>
      </c>
      <c r="E500" s="2"/>
      <c r="F500" s="361">
        <v>3200</v>
      </c>
      <c r="G500" s="2"/>
      <c r="H500" s="2">
        <f>ROUND(D500*F500,2)</f>
        <v>0</v>
      </c>
      <c r="I500" s="2">
        <f>G500+H500</f>
        <v>0</v>
      </c>
    </row>
    <row r="501" spans="1:10" s="15" customFormat="1" hidden="1" outlineLevel="1" x14ac:dyDescent="0.25">
      <c r="A501" s="86"/>
      <c r="B501" s="308" t="s">
        <v>667</v>
      </c>
      <c r="C501" s="2" t="s">
        <v>9</v>
      </c>
      <c r="D501" s="340">
        <v>0</v>
      </c>
      <c r="E501" s="2"/>
      <c r="F501" s="361">
        <v>42000</v>
      </c>
      <c r="G501" s="2"/>
      <c r="H501" s="2">
        <f>ROUND(D501*F501,2)</f>
        <v>0</v>
      </c>
      <c r="I501" s="2">
        <f>G501+H501</f>
        <v>0</v>
      </c>
    </row>
    <row r="502" spans="1:10" s="15" customFormat="1" hidden="1" outlineLevel="1" x14ac:dyDescent="0.25">
      <c r="A502" s="86"/>
      <c r="B502" s="343" t="s">
        <v>70</v>
      </c>
      <c r="C502" s="21" t="s">
        <v>8</v>
      </c>
      <c r="D502" s="340">
        <v>0</v>
      </c>
      <c r="E502" s="2"/>
      <c r="F502" s="361">
        <v>2950</v>
      </c>
      <c r="G502" s="2"/>
      <c r="H502" s="2">
        <f>ROUND(D502*F502,2)</f>
        <v>0</v>
      </c>
      <c r="I502" s="2">
        <f>H502+G502</f>
        <v>0</v>
      </c>
    </row>
    <row r="503" spans="1:10" s="15" customFormat="1" hidden="1" outlineLevel="1" x14ac:dyDescent="0.25">
      <c r="A503" s="86"/>
      <c r="B503" s="343" t="s">
        <v>240</v>
      </c>
      <c r="C503" s="21" t="s">
        <v>8</v>
      </c>
      <c r="D503" s="340">
        <f>D502</f>
        <v>0</v>
      </c>
      <c r="E503" s="2"/>
      <c r="F503" s="361">
        <v>250</v>
      </c>
      <c r="G503" s="2"/>
      <c r="H503" s="2">
        <f>ROUND(D503*F503,2)</f>
        <v>0</v>
      </c>
      <c r="I503" s="2">
        <f>H503+G503</f>
        <v>0</v>
      </c>
    </row>
    <row r="504" spans="1:10" x14ac:dyDescent="0.25">
      <c r="A504" s="223"/>
      <c r="B504" s="231" t="s">
        <v>60</v>
      </c>
      <c r="C504" s="225"/>
      <c r="D504" s="226"/>
      <c r="E504" s="227"/>
      <c r="F504" s="228"/>
      <c r="G504" s="227">
        <f>SUM(G496:G503)</f>
        <v>29040.34</v>
      </c>
      <c r="H504" s="227">
        <f>SUM(H496:H503)</f>
        <v>107718.92</v>
      </c>
      <c r="I504" s="227">
        <f>ROUND(SUM(I496:I503),2)</f>
        <v>136759.26</v>
      </c>
      <c r="J504" s="693"/>
    </row>
    <row r="505" spans="1:10" ht="16.2" customHeight="1" x14ac:dyDescent="0.25">
      <c r="A505" s="90"/>
      <c r="B505" s="471" t="s">
        <v>624</v>
      </c>
      <c r="C505" s="472"/>
      <c r="D505" s="473"/>
      <c r="E505" s="10"/>
      <c r="F505" s="57"/>
      <c r="G505" s="10"/>
      <c r="H505" s="10"/>
      <c r="I505" s="31">
        <f>ROUND(I504/1.18*0.18,2)</f>
        <v>20861.580000000002</v>
      </c>
    </row>
    <row r="506" spans="1:10" s="5" customFormat="1" ht="27" customHeight="1" x14ac:dyDescent="0.25">
      <c r="A506" s="109"/>
      <c r="B506" s="771" t="s">
        <v>1209</v>
      </c>
      <c r="C506" s="771"/>
      <c r="D506" s="771"/>
      <c r="E506" s="488"/>
      <c r="F506" s="138"/>
      <c r="G506" s="102"/>
      <c r="H506" s="111"/>
      <c r="I506" s="102"/>
    </row>
    <row r="507" spans="1:10" hidden="1" outlineLevel="1" x14ac:dyDescent="0.25">
      <c r="A507" s="84" t="s">
        <v>319</v>
      </c>
      <c r="B507" s="71" t="s">
        <v>155</v>
      </c>
      <c r="C507" s="72" t="s">
        <v>12</v>
      </c>
      <c r="D507" s="356">
        <v>0</v>
      </c>
      <c r="E507" s="354">
        <v>19000</v>
      </c>
      <c r="F507" s="137"/>
      <c r="G507" s="2">
        <f>ROUND(E507*D507,2)</f>
        <v>0</v>
      </c>
      <c r="H507" s="26"/>
      <c r="I507" s="26">
        <f>G507+H507</f>
        <v>0</v>
      </c>
    </row>
    <row r="508" spans="1:10" hidden="1" outlineLevel="1" x14ac:dyDescent="0.25">
      <c r="A508" s="84"/>
      <c r="B508" s="329" t="s">
        <v>282</v>
      </c>
      <c r="C508" s="21" t="s">
        <v>12</v>
      </c>
      <c r="D508" s="340">
        <v>0</v>
      </c>
      <c r="E508" s="18"/>
      <c r="F508" s="361">
        <v>63000</v>
      </c>
      <c r="G508" s="26"/>
      <c r="H508" s="2">
        <f>ROUND(D508*F508,2)</f>
        <v>0</v>
      </c>
      <c r="I508" s="26">
        <f t="shared" ref="I508:I579" si="40">G508+H508</f>
        <v>0</v>
      </c>
    </row>
    <row r="509" spans="1:10" hidden="1" outlineLevel="1" x14ac:dyDescent="0.25">
      <c r="A509" s="84"/>
      <c r="B509" s="28" t="s">
        <v>176</v>
      </c>
      <c r="C509" s="21" t="s">
        <v>12</v>
      </c>
      <c r="D509" s="2">
        <v>0</v>
      </c>
      <c r="E509" s="18"/>
      <c r="F509" s="361">
        <v>6000</v>
      </c>
      <c r="G509" s="26"/>
      <c r="H509" s="2">
        <f>ROUND(D509*F509,2)</f>
        <v>0</v>
      </c>
      <c r="I509" s="26">
        <f t="shared" si="40"/>
        <v>0</v>
      </c>
    </row>
    <row r="510" spans="1:10" hidden="1" outlineLevel="1" x14ac:dyDescent="0.25">
      <c r="A510" s="84"/>
      <c r="B510" s="329" t="s">
        <v>283</v>
      </c>
      <c r="C510" s="21" t="s">
        <v>12</v>
      </c>
      <c r="D510" s="340">
        <v>0</v>
      </c>
      <c r="E510" s="18"/>
      <c r="F510" s="164">
        <v>380</v>
      </c>
      <c r="G510" s="26"/>
      <c r="H510" s="2">
        <f>ROUND(D510*F510,2)</f>
        <v>0</v>
      </c>
      <c r="I510" s="26">
        <f t="shared" si="40"/>
        <v>0</v>
      </c>
    </row>
    <row r="511" spans="1:10" hidden="1" outlineLevel="1" x14ac:dyDescent="0.25">
      <c r="A511" s="84" t="s">
        <v>320</v>
      </c>
      <c r="B511" s="29" t="s">
        <v>284</v>
      </c>
      <c r="C511" s="31" t="s">
        <v>12</v>
      </c>
      <c r="D511" s="31">
        <v>0</v>
      </c>
      <c r="E511" s="354">
        <v>250</v>
      </c>
      <c r="F511" s="137"/>
      <c r="G511" s="2">
        <f>ROUND(E511*D511,2)</f>
        <v>0</v>
      </c>
      <c r="H511" s="26"/>
      <c r="I511" s="26">
        <f>G511+H511</f>
        <v>0</v>
      </c>
    </row>
    <row r="512" spans="1:10" hidden="1" outlineLevel="1" x14ac:dyDescent="0.25">
      <c r="A512" s="84"/>
      <c r="B512" s="329" t="s">
        <v>285</v>
      </c>
      <c r="C512" s="21" t="s">
        <v>12</v>
      </c>
      <c r="D512" s="340">
        <v>0</v>
      </c>
      <c r="E512" s="18"/>
      <c r="F512" s="164">
        <v>4900</v>
      </c>
      <c r="G512" s="26"/>
      <c r="H512" s="2">
        <f t="shared" ref="H512:H532" si="41">ROUND(D512*F512,2)</f>
        <v>0</v>
      </c>
      <c r="I512" s="26">
        <f>G512+H512</f>
        <v>0</v>
      </c>
    </row>
    <row r="513" spans="1:10" hidden="1" outlineLevel="1" x14ac:dyDescent="0.25">
      <c r="A513" s="84"/>
      <c r="B513" s="329" t="s">
        <v>449</v>
      </c>
      <c r="C513" s="21" t="s">
        <v>12</v>
      </c>
      <c r="D513" s="340">
        <v>0</v>
      </c>
      <c r="E513" s="18"/>
      <c r="F513" s="164">
        <v>4900</v>
      </c>
      <c r="G513" s="26"/>
      <c r="H513" s="2">
        <f t="shared" si="41"/>
        <v>0</v>
      </c>
      <c r="I513" s="26">
        <f>G513+H513</f>
        <v>0</v>
      </c>
    </row>
    <row r="514" spans="1:10" hidden="1" outlineLevel="1" x14ac:dyDescent="0.25">
      <c r="A514" s="84"/>
      <c r="B514" s="329" t="s">
        <v>448</v>
      </c>
      <c r="C514" s="21" t="s">
        <v>12</v>
      </c>
      <c r="D514" s="340">
        <v>0</v>
      </c>
      <c r="E514" s="18"/>
      <c r="F514" s="361">
        <v>1400</v>
      </c>
      <c r="G514" s="26"/>
      <c r="H514" s="2">
        <f t="shared" si="41"/>
        <v>0</v>
      </c>
      <c r="I514" s="26">
        <f>G514+H514</f>
        <v>0</v>
      </c>
    </row>
    <row r="515" spans="1:10" hidden="1" outlineLevel="1" x14ac:dyDescent="0.25">
      <c r="A515" s="84" t="s">
        <v>321</v>
      </c>
      <c r="B515" s="29" t="s">
        <v>156</v>
      </c>
      <c r="C515" s="31" t="s">
        <v>12</v>
      </c>
      <c r="D515" s="31">
        <v>0</v>
      </c>
      <c r="E515" s="354">
        <v>1000</v>
      </c>
      <c r="F515" s="137"/>
      <c r="G515" s="2">
        <f>ROUND(E515*D515,2)</f>
        <v>0</v>
      </c>
      <c r="H515" s="26">
        <f>F515*D515</f>
        <v>0</v>
      </c>
      <c r="I515" s="26">
        <f t="shared" si="40"/>
        <v>0</v>
      </c>
    </row>
    <row r="516" spans="1:10" hidden="1" outlineLevel="1" x14ac:dyDescent="0.25">
      <c r="A516" s="84"/>
      <c r="B516" s="329" t="s">
        <v>674</v>
      </c>
      <c r="C516" s="21" t="s">
        <v>12</v>
      </c>
      <c r="D516" s="340">
        <v>0</v>
      </c>
      <c r="E516" s="18"/>
      <c r="F516" s="309">
        <v>5500</v>
      </c>
      <c r="G516" s="26"/>
      <c r="H516" s="2">
        <f>ROUND(D516*F516,2)</f>
        <v>0</v>
      </c>
      <c r="I516" s="26">
        <f>G516+H516</f>
        <v>0</v>
      </c>
    </row>
    <row r="517" spans="1:10" hidden="1" outlineLevel="1" x14ac:dyDescent="0.25">
      <c r="A517" s="84"/>
      <c r="B517" s="329" t="s">
        <v>675</v>
      </c>
      <c r="C517" s="21" t="s">
        <v>12</v>
      </c>
      <c r="D517" s="340">
        <v>0</v>
      </c>
      <c r="E517" s="18"/>
      <c r="F517" s="309">
        <v>6000</v>
      </c>
      <c r="G517" s="26"/>
      <c r="H517" s="2">
        <f>ROUND(D517*F517,2)</f>
        <v>0</v>
      </c>
      <c r="I517" s="26">
        <f>G517+H517</f>
        <v>0</v>
      </c>
    </row>
    <row r="518" spans="1:10" hidden="1" outlineLevel="1" x14ac:dyDescent="0.25">
      <c r="A518" s="84"/>
      <c r="B518" s="329" t="s">
        <v>453</v>
      </c>
      <c r="C518" s="21" t="s">
        <v>12</v>
      </c>
      <c r="D518" s="340">
        <v>0</v>
      </c>
      <c r="E518" s="18"/>
      <c r="F518" s="60">
        <v>2350</v>
      </c>
      <c r="G518" s="26"/>
      <c r="H518" s="2">
        <f t="shared" si="41"/>
        <v>0</v>
      </c>
      <c r="I518" s="26">
        <f t="shared" si="40"/>
        <v>0</v>
      </c>
    </row>
    <row r="519" spans="1:10" ht="32.4" hidden="1" customHeight="1" outlineLevel="1" x14ac:dyDescent="0.25">
      <c r="A519" s="84"/>
      <c r="B519" s="329" t="s">
        <v>286</v>
      </c>
      <c r="C519" s="21" t="s">
        <v>12</v>
      </c>
      <c r="D519" s="340">
        <v>0</v>
      </c>
      <c r="E519" s="18"/>
      <c r="F519" s="60">
        <v>955</v>
      </c>
      <c r="G519" s="26"/>
      <c r="H519" s="2">
        <f t="shared" si="41"/>
        <v>0</v>
      </c>
      <c r="I519" s="26">
        <f t="shared" si="40"/>
        <v>0</v>
      </c>
    </row>
    <row r="520" spans="1:10" ht="30" hidden="1" customHeight="1" outlineLevel="1" x14ac:dyDescent="0.25">
      <c r="A520" s="84"/>
      <c r="B520" s="329" t="s">
        <v>446</v>
      </c>
      <c r="C520" s="21" t="s">
        <v>12</v>
      </c>
      <c r="D520" s="340">
        <v>0</v>
      </c>
      <c r="E520" s="18"/>
      <c r="F520" s="60">
        <v>130</v>
      </c>
      <c r="G520" s="18"/>
      <c r="H520" s="2">
        <f t="shared" si="41"/>
        <v>0</v>
      </c>
      <c r="I520" s="26">
        <f>G520+H520</f>
        <v>0</v>
      </c>
    </row>
    <row r="521" spans="1:10" ht="20.399999999999999" hidden="1" customHeight="1" outlineLevel="1" x14ac:dyDescent="0.25">
      <c r="A521" s="84"/>
      <c r="B521" s="329" t="s">
        <v>447</v>
      </c>
      <c r="C521" s="21" t="s">
        <v>12</v>
      </c>
      <c r="D521" s="340">
        <v>0</v>
      </c>
      <c r="E521" s="18"/>
      <c r="F521" s="60">
        <v>610</v>
      </c>
      <c r="G521" s="18"/>
      <c r="H521" s="2">
        <f t="shared" si="41"/>
        <v>0</v>
      </c>
      <c r="I521" s="18">
        <f>G521+H521</f>
        <v>0</v>
      </c>
    </row>
    <row r="522" spans="1:10" ht="24.6" hidden="1" customHeight="1" outlineLevel="1" x14ac:dyDescent="0.25">
      <c r="A522" s="84"/>
      <c r="B522" s="329" t="s">
        <v>450</v>
      </c>
      <c r="C522" s="21" t="s">
        <v>12</v>
      </c>
      <c r="D522" s="340">
        <v>0</v>
      </c>
      <c r="E522" s="18"/>
      <c r="F522" s="60">
        <v>303</v>
      </c>
      <c r="G522" s="18"/>
      <c r="H522" s="2">
        <f t="shared" si="41"/>
        <v>0</v>
      </c>
      <c r="I522" s="18">
        <f>G522+H522</f>
        <v>0</v>
      </c>
    </row>
    <row r="523" spans="1:10" ht="27.75" hidden="1" customHeight="1" outlineLevel="1" x14ac:dyDescent="0.25">
      <c r="A523" s="84"/>
      <c r="B523" s="329" t="s">
        <v>454</v>
      </c>
      <c r="C523" s="21" t="s">
        <v>12</v>
      </c>
      <c r="D523" s="340">
        <v>0</v>
      </c>
      <c r="E523" s="18"/>
      <c r="F523" s="60">
        <v>1061</v>
      </c>
      <c r="G523" s="18"/>
      <c r="H523" s="2">
        <f t="shared" si="41"/>
        <v>0</v>
      </c>
      <c r="I523" s="18">
        <f>G523+H523</f>
        <v>0</v>
      </c>
    </row>
    <row r="524" spans="1:10" ht="24.6" hidden="1" customHeight="1" outlineLevel="1" x14ac:dyDescent="0.25">
      <c r="A524" s="84"/>
      <c r="B524" s="329" t="s">
        <v>455</v>
      </c>
      <c r="C524" s="21" t="s">
        <v>12</v>
      </c>
      <c r="D524" s="340">
        <v>0</v>
      </c>
      <c r="E524" s="18"/>
      <c r="F524" s="60">
        <v>386</v>
      </c>
      <c r="G524" s="18"/>
      <c r="H524" s="2">
        <f t="shared" si="41"/>
        <v>0</v>
      </c>
      <c r="I524" s="18">
        <f>G524+H524</f>
        <v>0</v>
      </c>
      <c r="J524" s="5"/>
    </row>
    <row r="525" spans="1:10" hidden="1" outlineLevel="1" x14ac:dyDescent="0.25">
      <c r="A525" s="84" t="s">
        <v>322</v>
      </c>
      <c r="B525" s="29" t="s">
        <v>162</v>
      </c>
      <c r="C525" s="31" t="s">
        <v>12</v>
      </c>
      <c r="D525" s="31">
        <v>0</v>
      </c>
      <c r="E525" s="256">
        <v>500</v>
      </c>
      <c r="F525" s="60"/>
      <c r="G525" s="2">
        <f>ROUND(E525*D525,2)</f>
        <v>0</v>
      </c>
      <c r="H525" s="18">
        <f>F525*D525</f>
        <v>0</v>
      </c>
      <c r="I525" s="18">
        <f t="shared" si="40"/>
        <v>0</v>
      </c>
    </row>
    <row r="526" spans="1:10" hidden="1" outlineLevel="1" x14ac:dyDescent="0.25">
      <c r="A526" s="84"/>
      <c r="B526" s="329" t="s">
        <v>163</v>
      </c>
      <c r="C526" s="21" t="s">
        <v>12</v>
      </c>
      <c r="D526" s="340">
        <v>0</v>
      </c>
      <c r="E526" s="18"/>
      <c r="F526" s="60">
        <f>950*1.1</f>
        <v>1045</v>
      </c>
      <c r="G526" s="18"/>
      <c r="H526" s="2">
        <f t="shared" si="41"/>
        <v>0</v>
      </c>
      <c r="I526" s="18">
        <f t="shared" si="40"/>
        <v>0</v>
      </c>
    </row>
    <row r="527" spans="1:10" hidden="1" outlineLevel="1" x14ac:dyDescent="0.25">
      <c r="A527" s="84" t="s">
        <v>323</v>
      </c>
      <c r="B527" s="29" t="s">
        <v>164</v>
      </c>
      <c r="C527" s="31" t="s">
        <v>12</v>
      </c>
      <c r="D527" s="31">
        <v>0</v>
      </c>
      <c r="E527" s="256">
        <v>250</v>
      </c>
      <c r="F527" s="60"/>
      <c r="G527" s="2">
        <f>ROUND(E527*D527,2)</f>
        <v>0</v>
      </c>
      <c r="H527" s="18">
        <f>F527*D527</f>
        <v>0</v>
      </c>
      <c r="I527" s="18">
        <f t="shared" si="40"/>
        <v>0</v>
      </c>
    </row>
    <row r="528" spans="1:10" hidden="1" outlineLevel="1" x14ac:dyDescent="0.25">
      <c r="A528" s="84"/>
      <c r="B528" s="329" t="s">
        <v>165</v>
      </c>
      <c r="C528" s="21" t="s">
        <v>12</v>
      </c>
      <c r="D528" s="340">
        <v>0</v>
      </c>
      <c r="E528" s="18"/>
      <c r="F528" s="60">
        <v>674.3</v>
      </c>
      <c r="G528" s="18"/>
      <c r="H528" s="2">
        <f t="shared" si="41"/>
        <v>0</v>
      </c>
      <c r="I528" s="18">
        <f t="shared" si="40"/>
        <v>0</v>
      </c>
    </row>
    <row r="529" spans="1:9" hidden="1" outlineLevel="1" x14ac:dyDescent="0.25">
      <c r="A529" s="84"/>
      <c r="B529" s="329" t="s">
        <v>309</v>
      </c>
      <c r="C529" s="21" t="s">
        <v>12</v>
      </c>
      <c r="D529" s="340">
        <v>0</v>
      </c>
      <c r="E529" s="18"/>
      <c r="F529" s="60">
        <v>850</v>
      </c>
      <c r="G529" s="18"/>
      <c r="H529" s="2">
        <f t="shared" si="41"/>
        <v>0</v>
      </c>
      <c r="I529" s="18">
        <f>G529+H529</f>
        <v>0</v>
      </c>
    </row>
    <row r="530" spans="1:9" hidden="1" outlineLevel="1" x14ac:dyDescent="0.25">
      <c r="A530" s="84"/>
      <c r="B530" s="329" t="s">
        <v>345</v>
      </c>
      <c r="C530" s="21" t="s">
        <v>12</v>
      </c>
      <c r="D530" s="340">
        <v>0</v>
      </c>
      <c r="E530" s="18"/>
      <c r="F530" s="60">
        <v>851</v>
      </c>
      <c r="G530" s="18"/>
      <c r="H530" s="2">
        <f>ROUND(D530*F530,2)</f>
        <v>0</v>
      </c>
      <c r="I530" s="18">
        <f>G530+H530</f>
        <v>0</v>
      </c>
    </row>
    <row r="531" spans="1:9" ht="17.25" hidden="1" customHeight="1" outlineLevel="1" x14ac:dyDescent="0.25">
      <c r="A531" s="84"/>
      <c r="B531" s="329" t="s">
        <v>301</v>
      </c>
      <c r="C531" s="21" t="s">
        <v>12</v>
      </c>
      <c r="D531" s="340">
        <v>0</v>
      </c>
      <c r="E531" s="18"/>
      <c r="F531" s="60">
        <v>449</v>
      </c>
      <c r="G531" s="18"/>
      <c r="H531" s="2">
        <f t="shared" si="41"/>
        <v>0</v>
      </c>
      <c r="I531" s="18">
        <f t="shared" si="40"/>
        <v>0</v>
      </c>
    </row>
    <row r="532" spans="1:9" ht="17.25" hidden="1" customHeight="1" outlineLevel="1" x14ac:dyDescent="0.25">
      <c r="A532" s="84"/>
      <c r="B532" s="329" t="s">
        <v>344</v>
      </c>
      <c r="C532" s="21" t="s">
        <v>12</v>
      </c>
      <c r="D532" s="340">
        <v>0</v>
      </c>
      <c r="E532" s="18"/>
      <c r="F532" s="60">
        <v>914</v>
      </c>
      <c r="G532" s="18"/>
      <c r="H532" s="18">
        <f t="shared" si="41"/>
        <v>0</v>
      </c>
      <c r="I532" s="18">
        <f t="shared" si="40"/>
        <v>0</v>
      </c>
    </row>
    <row r="533" spans="1:9" ht="17.25" hidden="1" customHeight="1" outlineLevel="1" x14ac:dyDescent="0.25">
      <c r="A533" s="84"/>
      <c r="B533" s="329" t="s">
        <v>670</v>
      </c>
      <c r="C533" s="21" t="s">
        <v>12</v>
      </c>
      <c r="D533" s="340">
        <v>0</v>
      </c>
      <c r="E533" s="18"/>
      <c r="F533" s="164">
        <v>914</v>
      </c>
      <c r="G533" s="18"/>
      <c r="H533" s="18">
        <f>ROUND(D533*F533,2)</f>
        <v>0</v>
      </c>
      <c r="I533" s="18">
        <f>G533+H533</f>
        <v>0</v>
      </c>
    </row>
    <row r="534" spans="1:9" ht="17.25" hidden="1" customHeight="1" outlineLevel="1" x14ac:dyDescent="0.25">
      <c r="A534" s="84"/>
      <c r="B534" s="329" t="s">
        <v>679</v>
      </c>
      <c r="C534" s="21" t="s">
        <v>12</v>
      </c>
      <c r="D534" s="340">
        <v>0</v>
      </c>
      <c r="E534" s="18"/>
      <c r="F534" s="164">
        <v>100</v>
      </c>
      <c r="G534" s="18"/>
      <c r="H534" s="18">
        <f>ROUND(D534*F534,2)</f>
        <v>0</v>
      </c>
      <c r="I534" s="18">
        <f>G534+H534</f>
        <v>0</v>
      </c>
    </row>
    <row r="535" spans="1:9" ht="17.25" hidden="1" customHeight="1" outlineLevel="1" x14ac:dyDescent="0.25">
      <c r="A535" s="84"/>
      <c r="B535" s="329" t="s">
        <v>680</v>
      </c>
      <c r="C535" s="21" t="s">
        <v>12</v>
      </c>
      <c r="D535" s="340">
        <v>0</v>
      </c>
      <c r="E535" s="18"/>
      <c r="F535" s="164">
        <v>200</v>
      </c>
      <c r="G535" s="18"/>
      <c r="H535" s="18">
        <f>ROUND(D535*F535,2)</f>
        <v>0</v>
      </c>
      <c r="I535" s="18">
        <f>G535+H535</f>
        <v>0</v>
      </c>
    </row>
    <row r="536" spans="1:9" ht="17.25" hidden="1" customHeight="1" outlineLevel="1" x14ac:dyDescent="0.25">
      <c r="A536" s="84"/>
      <c r="B536" s="28"/>
      <c r="C536" s="21"/>
      <c r="D536" s="340"/>
      <c r="E536" s="18"/>
      <c r="F536" s="164"/>
      <c r="G536" s="18"/>
      <c r="H536" s="18"/>
      <c r="I536" s="18"/>
    </row>
    <row r="537" spans="1:9" hidden="1" outlineLevel="1" x14ac:dyDescent="0.25">
      <c r="A537" s="84" t="s">
        <v>324</v>
      </c>
      <c r="B537" s="79" t="s">
        <v>166</v>
      </c>
      <c r="C537" s="31" t="s">
        <v>12</v>
      </c>
      <c r="D537" s="31">
        <v>0</v>
      </c>
      <c r="E537" s="256">
        <v>35</v>
      </c>
      <c r="F537" s="60"/>
      <c r="G537" s="2">
        <f>ROUND(E537*D537,2)</f>
        <v>0</v>
      </c>
      <c r="H537" s="18">
        <f>F537*D537</f>
        <v>0</v>
      </c>
      <c r="I537" s="18">
        <f t="shared" si="40"/>
        <v>0</v>
      </c>
    </row>
    <row r="538" spans="1:9" ht="31.2" hidden="1" outlineLevel="1" x14ac:dyDescent="0.25">
      <c r="A538" s="84"/>
      <c r="B538" s="329" t="s">
        <v>167</v>
      </c>
      <c r="C538" s="21" t="s">
        <v>12</v>
      </c>
      <c r="D538" s="340">
        <v>0</v>
      </c>
      <c r="E538" s="18"/>
      <c r="F538" s="60">
        <v>50</v>
      </c>
      <c r="G538" s="18"/>
      <c r="H538" s="2">
        <f t="shared" ref="H538:H550" si="42">ROUND(D538*F538,2)</f>
        <v>0</v>
      </c>
      <c r="I538" s="18">
        <f t="shared" si="40"/>
        <v>0</v>
      </c>
    </row>
    <row r="539" spans="1:9" ht="46.8" hidden="1" outlineLevel="1" x14ac:dyDescent="0.25">
      <c r="A539" s="84"/>
      <c r="B539" s="329" t="s">
        <v>292</v>
      </c>
      <c r="C539" s="21" t="s">
        <v>12</v>
      </c>
      <c r="D539" s="340">
        <v>0</v>
      </c>
      <c r="E539" s="18"/>
      <c r="F539" s="60">
        <v>30.46</v>
      </c>
      <c r="G539" s="18"/>
      <c r="H539" s="2">
        <f t="shared" si="42"/>
        <v>0</v>
      </c>
      <c r="I539" s="18">
        <f t="shared" si="40"/>
        <v>0</v>
      </c>
    </row>
    <row r="540" spans="1:9" ht="31.2" hidden="1" outlineLevel="1" x14ac:dyDescent="0.25">
      <c r="A540" s="84"/>
      <c r="B540" s="329" t="s">
        <v>293</v>
      </c>
      <c r="C540" s="21" t="s">
        <v>12</v>
      </c>
      <c r="D540" s="340">
        <v>0</v>
      </c>
      <c r="E540" s="18"/>
      <c r="F540" s="60">
        <v>30.46</v>
      </c>
      <c r="G540" s="18"/>
      <c r="H540" s="2">
        <f t="shared" si="42"/>
        <v>0</v>
      </c>
      <c r="I540" s="18">
        <f>G540+H540</f>
        <v>0</v>
      </c>
    </row>
    <row r="541" spans="1:9" ht="31.2" hidden="1" outlineLevel="1" x14ac:dyDescent="0.25">
      <c r="A541" s="84"/>
      <c r="B541" s="329" t="s">
        <v>294</v>
      </c>
      <c r="C541" s="21" t="s">
        <v>12</v>
      </c>
      <c r="D541" s="340">
        <v>0</v>
      </c>
      <c r="E541" s="18"/>
      <c r="F541" s="60">
        <v>41.85</v>
      </c>
      <c r="G541" s="18"/>
      <c r="H541" s="2">
        <f t="shared" si="42"/>
        <v>0</v>
      </c>
      <c r="I541" s="18">
        <f t="shared" si="40"/>
        <v>0</v>
      </c>
    </row>
    <row r="542" spans="1:9" ht="31.2" hidden="1" outlineLevel="1" x14ac:dyDescent="0.25">
      <c r="A542" s="84"/>
      <c r="B542" s="329" t="s">
        <v>289</v>
      </c>
      <c r="C542" s="21" t="s">
        <v>12</v>
      </c>
      <c r="D542" s="340">
        <v>0</v>
      </c>
      <c r="E542" s="18"/>
      <c r="F542" s="60">
        <f>59*1.1</f>
        <v>64.900000000000006</v>
      </c>
      <c r="G542" s="18"/>
      <c r="H542" s="2">
        <f t="shared" si="42"/>
        <v>0</v>
      </c>
      <c r="I542" s="18">
        <f t="shared" si="40"/>
        <v>0</v>
      </c>
    </row>
    <row r="543" spans="1:9" ht="31.2" hidden="1" outlineLevel="1" x14ac:dyDescent="0.25">
      <c r="A543" s="84"/>
      <c r="B543" s="329" t="s">
        <v>288</v>
      </c>
      <c r="C543" s="21" t="s">
        <v>12</v>
      </c>
      <c r="D543" s="340">
        <v>0</v>
      </c>
      <c r="E543" s="18"/>
      <c r="F543" s="60">
        <v>37.25</v>
      </c>
      <c r="G543" s="18"/>
      <c r="H543" s="2">
        <f t="shared" si="42"/>
        <v>0</v>
      </c>
      <c r="I543" s="18">
        <f t="shared" si="40"/>
        <v>0</v>
      </c>
    </row>
    <row r="544" spans="1:9" ht="31.2" hidden="1" outlineLevel="1" x14ac:dyDescent="0.25">
      <c r="A544" s="84"/>
      <c r="B544" s="329" t="s">
        <v>290</v>
      </c>
      <c r="C544" s="21" t="s">
        <v>12</v>
      </c>
      <c r="D544" s="340">
        <v>0</v>
      </c>
      <c r="E544" s="18"/>
      <c r="F544" s="60">
        <v>277</v>
      </c>
      <c r="G544" s="18"/>
      <c r="H544" s="2">
        <f t="shared" si="42"/>
        <v>0</v>
      </c>
      <c r="I544" s="18">
        <f t="shared" si="40"/>
        <v>0</v>
      </c>
    </row>
    <row r="545" spans="1:9" ht="31.2" hidden="1" outlineLevel="1" x14ac:dyDescent="0.25">
      <c r="A545" s="84"/>
      <c r="B545" s="329" t="s">
        <v>291</v>
      </c>
      <c r="C545" s="21" t="s">
        <v>12</v>
      </c>
      <c r="D545" s="340">
        <v>0</v>
      </c>
      <c r="E545" s="18"/>
      <c r="F545" s="60">
        <v>65.900000000000006</v>
      </c>
      <c r="G545" s="18"/>
      <c r="H545" s="2">
        <f t="shared" si="42"/>
        <v>0</v>
      </c>
      <c r="I545" s="18">
        <f t="shared" si="40"/>
        <v>0</v>
      </c>
    </row>
    <row r="546" spans="1:9" hidden="1" outlineLevel="1" x14ac:dyDescent="0.25">
      <c r="A546" s="84"/>
      <c r="B546" s="329" t="s">
        <v>168</v>
      </c>
      <c r="C546" s="21" t="s">
        <v>12</v>
      </c>
      <c r="D546" s="340">
        <v>0</v>
      </c>
      <c r="E546" s="18"/>
      <c r="F546" s="60">
        <v>127</v>
      </c>
      <c r="G546" s="18"/>
      <c r="H546" s="2">
        <f t="shared" si="42"/>
        <v>0</v>
      </c>
      <c r="I546" s="18">
        <f t="shared" si="40"/>
        <v>0</v>
      </c>
    </row>
    <row r="547" spans="1:9" hidden="1" outlineLevel="1" x14ac:dyDescent="0.25">
      <c r="A547" s="84"/>
      <c r="B547" s="329" t="s">
        <v>287</v>
      </c>
      <c r="C547" s="21" t="s">
        <v>12</v>
      </c>
      <c r="D547" s="340">
        <v>0</v>
      </c>
      <c r="E547" s="18"/>
      <c r="F547" s="60">
        <v>20</v>
      </c>
      <c r="G547" s="18"/>
      <c r="H547" s="2">
        <f t="shared" si="42"/>
        <v>0</v>
      </c>
      <c r="I547" s="18">
        <f t="shared" si="40"/>
        <v>0</v>
      </c>
    </row>
    <row r="548" spans="1:9" hidden="1" outlineLevel="1" x14ac:dyDescent="0.25">
      <c r="A548" s="84"/>
      <c r="B548" s="329" t="s">
        <v>677</v>
      </c>
      <c r="C548" s="21" t="s">
        <v>12</v>
      </c>
      <c r="D548" s="340">
        <v>0</v>
      </c>
      <c r="E548" s="18"/>
      <c r="F548" s="60">
        <v>30</v>
      </c>
      <c r="G548" s="18"/>
      <c r="H548" s="2">
        <f t="shared" si="42"/>
        <v>0</v>
      </c>
      <c r="I548" s="18">
        <f>G548+H548</f>
        <v>0</v>
      </c>
    </row>
    <row r="549" spans="1:9" ht="31.2" hidden="1" outlineLevel="1" x14ac:dyDescent="0.25">
      <c r="A549" s="84"/>
      <c r="B549" s="329" t="s">
        <v>442</v>
      </c>
      <c r="C549" s="21" t="s">
        <v>12</v>
      </c>
      <c r="D549" s="340">
        <v>0</v>
      </c>
      <c r="E549" s="18"/>
      <c r="F549" s="60">
        <v>78</v>
      </c>
      <c r="G549" s="18"/>
      <c r="H549" s="2">
        <f t="shared" si="42"/>
        <v>0</v>
      </c>
      <c r="I549" s="18">
        <f>G549+H549</f>
        <v>0</v>
      </c>
    </row>
    <row r="550" spans="1:9" ht="18.75" hidden="1" customHeight="1" outlineLevel="1" x14ac:dyDescent="0.25">
      <c r="A550" s="84"/>
      <c r="B550" s="329" t="s">
        <v>673</v>
      </c>
      <c r="C550" s="21" t="s">
        <v>12</v>
      </c>
      <c r="D550" s="340">
        <v>0</v>
      </c>
      <c r="E550" s="18"/>
      <c r="F550" s="60">
        <v>90</v>
      </c>
      <c r="G550" s="18"/>
      <c r="H550" s="2">
        <f t="shared" si="42"/>
        <v>0</v>
      </c>
      <c r="I550" s="18">
        <f>G550+H550</f>
        <v>0</v>
      </c>
    </row>
    <row r="551" spans="1:9" ht="31.2" hidden="1" outlineLevel="1" x14ac:dyDescent="0.25">
      <c r="A551" s="84"/>
      <c r="B551" s="329" t="s">
        <v>668</v>
      </c>
      <c r="C551" s="21" t="s">
        <v>12</v>
      </c>
      <c r="D551" s="340">
        <v>0</v>
      </c>
      <c r="E551" s="18"/>
      <c r="F551" s="60">
        <v>90</v>
      </c>
      <c r="G551" s="18"/>
      <c r="H551" s="2">
        <f>ROUND(D551*F551,2)</f>
        <v>0</v>
      </c>
      <c r="I551" s="18">
        <f>G551+H551</f>
        <v>0</v>
      </c>
    </row>
    <row r="552" spans="1:9" hidden="1" outlineLevel="1" x14ac:dyDescent="0.25">
      <c r="A552" s="84"/>
      <c r="B552" s="329" t="s">
        <v>678</v>
      </c>
      <c r="C552" s="21" t="s">
        <v>12</v>
      </c>
      <c r="D552" s="340">
        <v>0</v>
      </c>
      <c r="E552" s="18"/>
      <c r="F552" s="164">
        <v>100</v>
      </c>
      <c r="G552" s="18"/>
      <c r="H552" s="2">
        <f>ROUND(D552*F552,2)</f>
        <v>0</v>
      </c>
      <c r="I552" s="18">
        <f>G552+H552</f>
        <v>0</v>
      </c>
    </row>
    <row r="553" spans="1:9" hidden="1" outlineLevel="1" x14ac:dyDescent="0.25">
      <c r="A553" s="84" t="s">
        <v>532</v>
      </c>
      <c r="B553" s="29" t="s">
        <v>489</v>
      </c>
      <c r="C553" s="31" t="s">
        <v>29</v>
      </c>
      <c r="D553" s="31">
        <v>0</v>
      </c>
      <c r="E553" s="256">
        <v>35</v>
      </c>
      <c r="F553" s="60"/>
      <c r="G553" s="2">
        <f>ROUND(E553*D553,2)</f>
        <v>0</v>
      </c>
      <c r="H553" s="18">
        <f>F553*D553</f>
        <v>0</v>
      </c>
      <c r="I553" s="18">
        <f t="shared" si="40"/>
        <v>0</v>
      </c>
    </row>
    <row r="554" spans="1:9" hidden="1" outlineLevel="1" x14ac:dyDescent="0.25">
      <c r="A554" s="84"/>
      <c r="B554" s="329" t="s">
        <v>296</v>
      </c>
      <c r="C554" s="21" t="s">
        <v>29</v>
      </c>
      <c r="D554" s="340">
        <v>0</v>
      </c>
      <c r="E554" s="18"/>
      <c r="F554" s="60">
        <v>31</v>
      </c>
      <c r="G554" s="18"/>
      <c r="H554" s="2">
        <f t="shared" ref="H554:H572" si="43">ROUND(D554*F554,2)</f>
        <v>0</v>
      </c>
      <c r="I554" s="18">
        <f t="shared" si="40"/>
        <v>0</v>
      </c>
    </row>
    <row r="555" spans="1:9" hidden="1" outlineLevel="1" x14ac:dyDescent="0.25">
      <c r="A555" s="84"/>
      <c r="B555" s="329" t="s">
        <v>311</v>
      </c>
      <c r="C555" s="21" t="s">
        <v>29</v>
      </c>
      <c r="D555" s="340">
        <v>0</v>
      </c>
      <c r="E555" s="18"/>
      <c r="F555" s="60">
        <f>459.7*1.1</f>
        <v>505.67</v>
      </c>
      <c r="G555" s="18"/>
      <c r="H555" s="2">
        <f t="shared" si="43"/>
        <v>0</v>
      </c>
      <c r="I555" s="18">
        <f t="shared" si="40"/>
        <v>0</v>
      </c>
    </row>
    <row r="556" spans="1:9" hidden="1" outlineLevel="1" x14ac:dyDescent="0.25">
      <c r="A556" s="84"/>
      <c r="B556" s="329" t="s">
        <v>297</v>
      </c>
      <c r="C556" s="21" t="s">
        <v>29</v>
      </c>
      <c r="D556" s="340">
        <v>0</v>
      </c>
      <c r="E556" s="18"/>
      <c r="F556" s="60">
        <f>10.16*1.1</f>
        <v>11.176000000000002</v>
      </c>
      <c r="G556" s="18"/>
      <c r="H556" s="2">
        <f t="shared" si="43"/>
        <v>0</v>
      </c>
      <c r="I556" s="18">
        <f t="shared" si="40"/>
        <v>0</v>
      </c>
    </row>
    <row r="557" spans="1:9" hidden="1" outlineLevel="1" x14ac:dyDescent="0.25">
      <c r="A557" s="84"/>
      <c r="B557" s="329" t="s">
        <v>299</v>
      </c>
      <c r="C557" s="21" t="s">
        <v>29</v>
      </c>
      <c r="D557" s="340">
        <v>0</v>
      </c>
      <c r="E557" s="18"/>
      <c r="F557" s="60">
        <f>11.4*1.1</f>
        <v>12.540000000000001</v>
      </c>
      <c r="G557" s="18"/>
      <c r="H557" s="2">
        <f t="shared" si="43"/>
        <v>0</v>
      </c>
      <c r="I557" s="18">
        <f>G557+H557</f>
        <v>0</v>
      </c>
    </row>
    <row r="558" spans="1:9" hidden="1" outlineLevel="1" x14ac:dyDescent="0.25">
      <c r="A558" s="84"/>
      <c r="B558" s="329" t="s">
        <v>298</v>
      </c>
      <c r="C558" s="21" t="s">
        <v>29</v>
      </c>
      <c r="D558" s="340">
        <v>0</v>
      </c>
      <c r="E558" s="18"/>
      <c r="F558" s="60">
        <f>19.4*1.1</f>
        <v>21.34</v>
      </c>
      <c r="G558" s="18"/>
      <c r="H558" s="2">
        <f t="shared" si="43"/>
        <v>0</v>
      </c>
      <c r="I558" s="18">
        <f>G558+H558</f>
        <v>0</v>
      </c>
    </row>
    <row r="559" spans="1:9" hidden="1" outlineLevel="1" x14ac:dyDescent="0.25">
      <c r="A559" s="84"/>
      <c r="B559" s="329" t="s">
        <v>171</v>
      </c>
      <c r="C559" s="21" t="s">
        <v>29</v>
      </c>
      <c r="D559" s="340">
        <v>0</v>
      </c>
      <c r="E559" s="18"/>
      <c r="F559" s="60">
        <f>50.41*1.1</f>
        <v>55.451000000000001</v>
      </c>
      <c r="G559" s="18"/>
      <c r="H559" s="2">
        <f t="shared" si="43"/>
        <v>0</v>
      </c>
      <c r="I559" s="18">
        <f t="shared" si="40"/>
        <v>0</v>
      </c>
    </row>
    <row r="560" spans="1:9" hidden="1" outlineLevel="1" x14ac:dyDescent="0.25">
      <c r="A560" s="84"/>
      <c r="B560" s="329" t="s">
        <v>458</v>
      </c>
      <c r="C560" s="21" t="s">
        <v>29</v>
      </c>
      <c r="D560" s="340">
        <v>0</v>
      </c>
      <c r="E560" s="18"/>
      <c r="F560" s="60">
        <v>205</v>
      </c>
      <c r="G560" s="18"/>
      <c r="H560" s="2">
        <f t="shared" si="43"/>
        <v>0</v>
      </c>
      <c r="I560" s="18">
        <f>G560+H560</f>
        <v>0</v>
      </c>
    </row>
    <row r="561" spans="1:9" hidden="1" outlineLevel="1" x14ac:dyDescent="0.25">
      <c r="A561" s="84"/>
      <c r="B561" s="329" t="s">
        <v>169</v>
      </c>
      <c r="C561" s="21" t="s">
        <v>29</v>
      </c>
      <c r="D561" s="340">
        <v>0</v>
      </c>
      <c r="E561" s="18"/>
      <c r="F561" s="60">
        <f>22.48*1.1</f>
        <v>24.728000000000002</v>
      </c>
      <c r="G561" s="18"/>
      <c r="H561" s="2">
        <f t="shared" si="43"/>
        <v>0</v>
      </c>
      <c r="I561" s="18">
        <f t="shared" si="40"/>
        <v>0</v>
      </c>
    </row>
    <row r="562" spans="1:9" hidden="1" outlineLevel="1" x14ac:dyDescent="0.25">
      <c r="A562" s="84"/>
      <c r="B562" s="329" t="s">
        <v>457</v>
      </c>
      <c r="C562" s="21" t="s">
        <v>29</v>
      </c>
      <c r="D562" s="340">
        <v>0</v>
      </c>
      <c r="E562" s="18"/>
      <c r="F562" s="60">
        <f>15.53*1.1</f>
        <v>17.083000000000002</v>
      </c>
      <c r="G562" s="18"/>
      <c r="H562" s="2">
        <f t="shared" si="43"/>
        <v>0</v>
      </c>
      <c r="I562" s="18">
        <f t="shared" si="40"/>
        <v>0</v>
      </c>
    </row>
    <row r="563" spans="1:9" ht="17.25" hidden="1" customHeight="1" outlineLevel="1" x14ac:dyDescent="0.25">
      <c r="A563" s="84"/>
      <c r="B563" s="329" t="s">
        <v>170</v>
      </c>
      <c r="C563" s="21" t="s">
        <v>12</v>
      </c>
      <c r="D563" s="340">
        <v>0</v>
      </c>
      <c r="E563" s="18"/>
      <c r="F563" s="60">
        <v>8</v>
      </c>
      <c r="G563" s="18"/>
      <c r="H563" s="2">
        <f t="shared" si="43"/>
        <v>0</v>
      </c>
      <c r="I563" s="18">
        <f>G563+H563</f>
        <v>0</v>
      </c>
    </row>
    <row r="564" spans="1:9" hidden="1" outlineLevel="1" x14ac:dyDescent="0.25">
      <c r="A564" s="84"/>
      <c r="B564" s="329" t="s">
        <v>302</v>
      </c>
      <c r="C564" s="21" t="s">
        <v>29</v>
      </c>
      <c r="D564" s="340">
        <v>0</v>
      </c>
      <c r="E564" s="18"/>
      <c r="F564" s="60">
        <v>194</v>
      </c>
      <c r="G564" s="18"/>
      <c r="H564" s="2">
        <f t="shared" si="43"/>
        <v>0</v>
      </c>
      <c r="I564" s="18">
        <f t="shared" si="40"/>
        <v>0</v>
      </c>
    </row>
    <row r="565" spans="1:9" hidden="1" outlineLevel="1" x14ac:dyDescent="0.25">
      <c r="A565" s="84"/>
      <c r="B565" s="329" t="s">
        <v>443</v>
      </c>
      <c r="C565" s="21" t="s">
        <v>29</v>
      </c>
      <c r="D565" s="340">
        <v>0</v>
      </c>
      <c r="E565" s="18"/>
      <c r="F565" s="60">
        <v>45</v>
      </c>
      <c r="G565" s="18"/>
      <c r="H565" s="2">
        <f t="shared" si="43"/>
        <v>0</v>
      </c>
      <c r="I565" s="18">
        <f t="shared" si="40"/>
        <v>0</v>
      </c>
    </row>
    <row r="566" spans="1:9" hidden="1" outlineLevel="1" x14ac:dyDescent="0.25">
      <c r="A566" s="84"/>
      <c r="B566" s="329" t="s">
        <v>300</v>
      </c>
      <c r="C566" s="21" t="s">
        <v>29</v>
      </c>
      <c r="D566" s="340">
        <v>0</v>
      </c>
      <c r="E566" s="18"/>
      <c r="F566" s="60">
        <v>78</v>
      </c>
      <c r="G566" s="18"/>
      <c r="H566" s="2">
        <f t="shared" si="43"/>
        <v>0</v>
      </c>
      <c r="I566" s="18">
        <f t="shared" si="40"/>
        <v>0</v>
      </c>
    </row>
    <row r="567" spans="1:9" hidden="1" outlineLevel="1" x14ac:dyDescent="0.25">
      <c r="A567" s="84"/>
      <c r="B567" s="329" t="s">
        <v>91</v>
      </c>
      <c r="C567" s="21" t="s">
        <v>15</v>
      </c>
      <c r="D567" s="340">
        <v>0</v>
      </c>
      <c r="E567" s="18"/>
      <c r="F567" s="164">
        <v>42</v>
      </c>
      <c r="G567" s="18"/>
      <c r="H567" s="2">
        <f>ROUND(D567*F567,2)</f>
        <v>0</v>
      </c>
      <c r="I567" s="18">
        <f t="shared" si="40"/>
        <v>0</v>
      </c>
    </row>
    <row r="568" spans="1:9" hidden="1" outlineLevel="1" x14ac:dyDescent="0.25">
      <c r="A568" s="84"/>
      <c r="B568" s="329" t="s">
        <v>676</v>
      </c>
      <c r="C568" s="21" t="s">
        <v>29</v>
      </c>
      <c r="D568" s="340">
        <v>0</v>
      </c>
      <c r="E568" s="18"/>
      <c r="F568" s="164">
        <v>9.8699999999999992</v>
      </c>
      <c r="G568" s="18"/>
      <c r="H568" s="2">
        <f>ROUND(D568*F568,2)</f>
        <v>0</v>
      </c>
      <c r="I568" s="18">
        <f t="shared" si="40"/>
        <v>0</v>
      </c>
    </row>
    <row r="569" spans="1:9" hidden="1" outlineLevel="1" x14ac:dyDescent="0.25">
      <c r="A569" s="84"/>
      <c r="B569" s="329" t="s">
        <v>669</v>
      </c>
      <c r="C569" s="21" t="s">
        <v>29</v>
      </c>
      <c r="D569" s="340">
        <v>0</v>
      </c>
      <c r="E569" s="18"/>
      <c r="F569" s="164">
        <v>9.8699999999999992</v>
      </c>
      <c r="G569" s="18"/>
      <c r="H569" s="2">
        <f>ROUND(D569*F569,2)</f>
        <v>0</v>
      </c>
      <c r="I569" s="18">
        <f t="shared" si="40"/>
        <v>0</v>
      </c>
    </row>
    <row r="570" spans="1:9" hidden="1" outlineLevel="1" x14ac:dyDescent="0.25">
      <c r="A570" s="84"/>
      <c r="B570" s="329" t="s">
        <v>672</v>
      </c>
      <c r="C570" s="21" t="s">
        <v>29</v>
      </c>
      <c r="D570" s="340">
        <v>0</v>
      </c>
      <c r="E570" s="18"/>
      <c r="F570" s="164">
        <v>9.8699999999999992</v>
      </c>
      <c r="G570" s="18"/>
      <c r="H570" s="2">
        <f>ROUND(D570*F570,2)</f>
        <v>0</v>
      </c>
      <c r="I570" s="18">
        <f t="shared" si="40"/>
        <v>0</v>
      </c>
    </row>
    <row r="571" spans="1:9" hidden="1" outlineLevel="1" x14ac:dyDescent="0.25">
      <c r="A571" s="84"/>
      <c r="B571" s="329" t="s">
        <v>444</v>
      </c>
      <c r="C571" s="21" t="s">
        <v>29</v>
      </c>
      <c r="D571" s="340">
        <v>0</v>
      </c>
      <c r="E571" s="18"/>
      <c r="F571" s="60">
        <v>56</v>
      </c>
      <c r="G571" s="18"/>
      <c r="H571" s="2">
        <f t="shared" si="43"/>
        <v>0</v>
      </c>
      <c r="I571" s="18">
        <f t="shared" si="40"/>
        <v>0</v>
      </c>
    </row>
    <row r="572" spans="1:9" hidden="1" outlineLevel="1" x14ac:dyDescent="0.25">
      <c r="A572" s="84"/>
      <c r="B572" s="329" t="s">
        <v>445</v>
      </c>
      <c r="C572" s="21" t="s">
        <v>29</v>
      </c>
      <c r="D572" s="340">
        <v>0</v>
      </c>
      <c r="E572" s="18"/>
      <c r="F572" s="60">
        <v>70</v>
      </c>
      <c r="G572" s="18"/>
      <c r="H572" s="2">
        <f t="shared" si="43"/>
        <v>0</v>
      </c>
      <c r="I572" s="18">
        <f t="shared" si="40"/>
        <v>0</v>
      </c>
    </row>
    <row r="573" spans="1:9" hidden="1" outlineLevel="1" x14ac:dyDescent="0.25">
      <c r="A573" s="84"/>
      <c r="B573" s="329" t="s">
        <v>671</v>
      </c>
      <c r="C573" s="21" t="s">
        <v>29</v>
      </c>
      <c r="D573" s="340">
        <v>0</v>
      </c>
      <c r="E573" s="18"/>
      <c r="F573" s="164">
        <v>170</v>
      </c>
      <c r="G573" s="18"/>
      <c r="H573" s="2">
        <f>ROUND(D573*F573,2)</f>
        <v>0</v>
      </c>
      <c r="I573" s="18">
        <f t="shared" si="40"/>
        <v>0</v>
      </c>
    </row>
    <row r="574" spans="1:9" hidden="1" outlineLevel="1" x14ac:dyDescent="0.25">
      <c r="A574" s="84" t="s">
        <v>533</v>
      </c>
      <c r="B574" s="29" t="s">
        <v>303</v>
      </c>
      <c r="C574" s="31" t="s">
        <v>12</v>
      </c>
      <c r="D574" s="158"/>
      <c r="E574" s="18"/>
      <c r="F574" s="60"/>
      <c r="G574" s="18">
        <f>E574*D574</f>
        <v>0</v>
      </c>
      <c r="H574" s="18"/>
      <c r="I574" s="18">
        <f t="shared" si="40"/>
        <v>0</v>
      </c>
    </row>
    <row r="575" spans="1:9" hidden="1" outlineLevel="1" x14ac:dyDescent="0.25">
      <c r="A575" s="84"/>
      <c r="B575" s="329" t="s">
        <v>304</v>
      </c>
      <c r="C575" s="21" t="s">
        <v>12</v>
      </c>
      <c r="D575" s="340">
        <v>0</v>
      </c>
      <c r="E575" s="18"/>
      <c r="F575" s="60">
        <v>462</v>
      </c>
      <c r="G575" s="18"/>
      <c r="H575" s="2">
        <f>ROUND(D575*F575,2)</f>
        <v>0</v>
      </c>
      <c r="I575" s="18">
        <f t="shared" si="40"/>
        <v>0</v>
      </c>
    </row>
    <row r="576" spans="1:9" hidden="1" outlineLevel="1" x14ac:dyDescent="0.25">
      <c r="A576" s="84"/>
      <c r="B576" s="329" t="s">
        <v>306</v>
      </c>
      <c r="C576" s="21" t="s">
        <v>12</v>
      </c>
      <c r="D576" s="340">
        <v>0</v>
      </c>
      <c r="E576" s="18"/>
      <c r="F576" s="60">
        <v>216</v>
      </c>
      <c r="G576" s="18"/>
      <c r="H576" s="2">
        <f>ROUND(D576*F576,2)</f>
        <v>0</v>
      </c>
      <c r="I576" s="18">
        <f t="shared" si="40"/>
        <v>0</v>
      </c>
    </row>
    <row r="577" spans="1:9" hidden="1" outlineLevel="1" x14ac:dyDescent="0.25">
      <c r="A577" s="84"/>
      <c r="B577" s="329" t="s">
        <v>305</v>
      </c>
      <c r="C577" s="21" t="s">
        <v>12</v>
      </c>
      <c r="D577" s="340">
        <v>0</v>
      </c>
      <c r="E577" s="18"/>
      <c r="F577" s="60">
        <v>216</v>
      </c>
      <c r="G577" s="18"/>
      <c r="H577" s="2">
        <f>ROUND(D577*F577,2)</f>
        <v>0</v>
      </c>
      <c r="I577" s="18">
        <f t="shared" si="40"/>
        <v>0</v>
      </c>
    </row>
    <row r="578" spans="1:9" hidden="1" outlineLevel="1" x14ac:dyDescent="0.25">
      <c r="A578" s="84"/>
      <c r="B578" s="329" t="s">
        <v>307</v>
      </c>
      <c r="C578" s="21" t="s">
        <v>12</v>
      </c>
      <c r="D578" s="340">
        <v>0</v>
      </c>
      <c r="E578" s="18"/>
      <c r="F578" s="60">
        <v>300</v>
      </c>
      <c r="G578" s="18"/>
      <c r="H578" s="2">
        <f>ROUND(D578*F578,2)</f>
        <v>0</v>
      </c>
      <c r="I578" s="18">
        <f t="shared" si="40"/>
        <v>0</v>
      </c>
    </row>
    <row r="579" spans="1:9" hidden="1" outlineLevel="1" x14ac:dyDescent="0.25">
      <c r="A579" s="84" t="s">
        <v>534</v>
      </c>
      <c r="B579" s="29" t="s">
        <v>310</v>
      </c>
      <c r="C579" s="31" t="s">
        <v>173</v>
      </c>
      <c r="D579" s="31">
        <v>0</v>
      </c>
      <c r="E579" s="18"/>
      <c r="F579" s="60">
        <f>30000</f>
        <v>30000</v>
      </c>
      <c r="G579" s="18"/>
      <c r="H579" s="2">
        <f>ROUND(D579*F579,2)</f>
        <v>0</v>
      </c>
      <c r="I579" s="18">
        <f t="shared" si="40"/>
        <v>0</v>
      </c>
    </row>
    <row r="580" spans="1:9" hidden="1" outlineLevel="1" x14ac:dyDescent="0.25">
      <c r="A580" s="84" t="s">
        <v>611</v>
      </c>
      <c r="B580" s="192" t="s">
        <v>590</v>
      </c>
      <c r="C580" s="31"/>
      <c r="D580" s="18"/>
      <c r="E580" s="256">
        <v>0</v>
      </c>
      <c r="F580" s="60"/>
      <c r="G580" s="18">
        <f>E580</f>
        <v>0</v>
      </c>
      <c r="H580" s="18">
        <v>0</v>
      </c>
      <c r="I580" s="18">
        <f>G580+H580</f>
        <v>0</v>
      </c>
    </row>
    <row r="581" spans="1:9" hidden="1" outlineLevel="1" x14ac:dyDescent="0.25">
      <c r="A581" s="84"/>
      <c r="B581" s="329" t="s">
        <v>591</v>
      </c>
      <c r="C581" s="21" t="s">
        <v>12</v>
      </c>
      <c r="D581" s="340">
        <v>0</v>
      </c>
      <c r="E581" s="18"/>
      <c r="F581" s="60">
        <f>1144.07*1.1</f>
        <v>1258.4770000000001</v>
      </c>
      <c r="G581" s="18"/>
      <c r="H581" s="18">
        <f>F581*D581</f>
        <v>0</v>
      </c>
      <c r="I581" s="18">
        <f>G581+H581</f>
        <v>0</v>
      </c>
    </row>
    <row r="582" spans="1:9" hidden="1" outlineLevel="1" x14ac:dyDescent="0.25">
      <c r="A582" s="84"/>
      <c r="B582" s="329" t="s">
        <v>592</v>
      </c>
      <c r="C582" s="21" t="s">
        <v>12</v>
      </c>
      <c r="D582" s="340">
        <v>0</v>
      </c>
      <c r="E582" s="18"/>
      <c r="F582" s="60">
        <f>1144.07*1.1</f>
        <v>1258.4770000000001</v>
      </c>
      <c r="G582" s="18"/>
      <c r="H582" s="18">
        <f>F582*D582</f>
        <v>0</v>
      </c>
      <c r="I582" s="18">
        <f>G582+H582</f>
        <v>0</v>
      </c>
    </row>
    <row r="583" spans="1:9" hidden="1" outlineLevel="1" x14ac:dyDescent="0.25">
      <c r="A583" s="84"/>
      <c r="B583" s="329" t="s">
        <v>593</v>
      </c>
      <c r="C583" s="21" t="s">
        <v>12</v>
      </c>
      <c r="D583" s="340">
        <v>0</v>
      </c>
      <c r="E583" s="18"/>
      <c r="F583" s="60">
        <f>1144.07*1.1</f>
        <v>1258.4770000000001</v>
      </c>
      <c r="G583" s="18"/>
      <c r="H583" s="18">
        <f>F583*D583</f>
        <v>0</v>
      </c>
      <c r="I583" s="18">
        <f>G583+H583</f>
        <v>0</v>
      </c>
    </row>
    <row r="584" spans="1:9" hidden="1" outlineLevel="1" x14ac:dyDescent="0.25">
      <c r="A584" s="84"/>
      <c r="B584" s="329" t="s">
        <v>594</v>
      </c>
      <c r="C584" s="21" t="s">
        <v>12</v>
      </c>
      <c r="D584" s="340">
        <v>0</v>
      </c>
      <c r="E584" s="18"/>
      <c r="F584" s="60">
        <f>1101.7*1.18</f>
        <v>1300.0060000000001</v>
      </c>
      <c r="G584" s="18"/>
      <c r="H584" s="18">
        <f>F584*D584</f>
        <v>0</v>
      </c>
      <c r="I584" s="18">
        <f>G584+H584</f>
        <v>0</v>
      </c>
    </row>
    <row r="585" spans="1:9" hidden="1" outlineLevel="1" x14ac:dyDescent="0.25">
      <c r="A585" s="84"/>
      <c r="B585" s="308" t="s">
        <v>595</v>
      </c>
      <c r="C585" s="21" t="s">
        <v>12</v>
      </c>
      <c r="D585" s="340">
        <v>0</v>
      </c>
      <c r="E585" s="18"/>
      <c r="F585" s="60">
        <f>120</f>
        <v>120</v>
      </c>
      <c r="G585" s="18"/>
      <c r="H585" s="18">
        <f t="shared" ref="H585:H602" si="44">F585*D585</f>
        <v>0</v>
      </c>
      <c r="I585" s="18">
        <f t="shared" ref="I585:I602" si="45">G585+H585</f>
        <v>0</v>
      </c>
    </row>
    <row r="586" spans="1:9" hidden="1" outlineLevel="1" x14ac:dyDescent="0.25">
      <c r="A586" s="84"/>
      <c r="B586" s="308" t="s">
        <v>596</v>
      </c>
      <c r="C586" s="21" t="s">
        <v>12</v>
      </c>
      <c r="D586" s="340">
        <v>0</v>
      </c>
      <c r="E586" s="18"/>
      <c r="F586" s="60">
        <f>127.12*1.18</f>
        <v>150.0016</v>
      </c>
      <c r="G586" s="18"/>
      <c r="H586" s="18">
        <f t="shared" si="44"/>
        <v>0</v>
      </c>
      <c r="I586" s="18">
        <f t="shared" si="45"/>
        <v>0</v>
      </c>
    </row>
    <row r="587" spans="1:9" hidden="1" outlineLevel="1" x14ac:dyDescent="0.25">
      <c r="A587" s="84"/>
      <c r="B587" s="308" t="s">
        <v>597</v>
      </c>
      <c r="C587" s="21" t="s">
        <v>12</v>
      </c>
      <c r="D587" s="340">
        <v>0</v>
      </c>
      <c r="E587" s="18"/>
      <c r="F587" s="60">
        <f>127.12*1.18</f>
        <v>150.0016</v>
      </c>
      <c r="G587" s="18"/>
      <c r="H587" s="18">
        <f t="shared" si="44"/>
        <v>0</v>
      </c>
      <c r="I587" s="18">
        <f t="shared" si="45"/>
        <v>0</v>
      </c>
    </row>
    <row r="588" spans="1:9" hidden="1" outlineLevel="1" x14ac:dyDescent="0.25">
      <c r="A588" s="84"/>
      <c r="B588" s="308" t="s">
        <v>598</v>
      </c>
      <c r="C588" s="21" t="s">
        <v>12</v>
      </c>
      <c r="D588" s="340">
        <v>0</v>
      </c>
      <c r="E588" s="18"/>
      <c r="F588" s="60">
        <v>50</v>
      </c>
      <c r="G588" s="18"/>
      <c r="H588" s="18">
        <f t="shared" si="44"/>
        <v>0</v>
      </c>
      <c r="I588" s="18">
        <f t="shared" si="45"/>
        <v>0</v>
      </c>
    </row>
    <row r="589" spans="1:9" hidden="1" outlineLevel="1" x14ac:dyDescent="0.25">
      <c r="A589" s="84"/>
      <c r="B589" s="308" t="s">
        <v>599</v>
      </c>
      <c r="C589" s="21" t="s">
        <v>12</v>
      </c>
      <c r="D589" s="340">
        <v>0</v>
      </c>
      <c r="E589" s="18"/>
      <c r="F589" s="60">
        <v>200</v>
      </c>
      <c r="G589" s="18"/>
      <c r="H589" s="18">
        <f t="shared" si="44"/>
        <v>0</v>
      </c>
      <c r="I589" s="18">
        <f t="shared" si="45"/>
        <v>0</v>
      </c>
    </row>
    <row r="590" spans="1:9" hidden="1" outlineLevel="1" x14ac:dyDescent="0.25">
      <c r="A590" s="84"/>
      <c r="B590" s="308" t="s">
        <v>600</v>
      </c>
      <c r="C590" s="21" t="s">
        <v>12</v>
      </c>
      <c r="D590" s="340">
        <v>0</v>
      </c>
      <c r="E590" s="18"/>
      <c r="F590" s="60">
        <v>10</v>
      </c>
      <c r="G590" s="18"/>
      <c r="H590" s="18">
        <f t="shared" si="44"/>
        <v>0</v>
      </c>
      <c r="I590" s="18">
        <f t="shared" si="45"/>
        <v>0</v>
      </c>
    </row>
    <row r="591" spans="1:9" hidden="1" outlineLevel="1" x14ac:dyDescent="0.25">
      <c r="A591" s="84"/>
      <c r="B591" s="308" t="s">
        <v>601</v>
      </c>
      <c r="C591" s="21" t="s">
        <v>12</v>
      </c>
      <c r="D591" s="340">
        <v>0</v>
      </c>
      <c r="E591" s="18"/>
      <c r="F591" s="60">
        <v>18</v>
      </c>
      <c r="G591" s="18"/>
      <c r="H591" s="18">
        <f t="shared" si="44"/>
        <v>0</v>
      </c>
      <c r="I591" s="18">
        <f t="shared" si="45"/>
        <v>0</v>
      </c>
    </row>
    <row r="592" spans="1:9" hidden="1" outlineLevel="1" x14ac:dyDescent="0.25">
      <c r="A592" s="84"/>
      <c r="B592" s="308" t="s">
        <v>602</v>
      </c>
      <c r="C592" s="21" t="s">
        <v>12</v>
      </c>
      <c r="D592" s="340">
        <v>0</v>
      </c>
      <c r="E592" s="18"/>
      <c r="F592" s="60">
        <v>67</v>
      </c>
      <c r="G592" s="18"/>
      <c r="H592" s="18">
        <f t="shared" si="44"/>
        <v>0</v>
      </c>
      <c r="I592" s="18">
        <f t="shared" si="45"/>
        <v>0</v>
      </c>
    </row>
    <row r="593" spans="1:12" hidden="1" outlineLevel="1" x14ac:dyDescent="0.25">
      <c r="A593" s="84"/>
      <c r="B593" s="33" t="s">
        <v>603</v>
      </c>
      <c r="C593" s="21" t="s">
        <v>12</v>
      </c>
      <c r="D593" s="18"/>
      <c r="E593" s="18"/>
      <c r="F593" s="60">
        <v>65</v>
      </c>
      <c r="G593" s="18"/>
      <c r="H593" s="18">
        <f t="shared" si="44"/>
        <v>0</v>
      </c>
      <c r="I593" s="18">
        <f t="shared" si="45"/>
        <v>0</v>
      </c>
    </row>
    <row r="594" spans="1:12" hidden="1" outlineLevel="1" x14ac:dyDescent="0.25">
      <c r="A594" s="84"/>
      <c r="B594" s="308" t="s">
        <v>604</v>
      </c>
      <c r="C594" s="21" t="s">
        <v>12</v>
      </c>
      <c r="D594" s="340">
        <v>0</v>
      </c>
      <c r="E594" s="18"/>
      <c r="F594" s="60">
        <v>150</v>
      </c>
      <c r="G594" s="18"/>
      <c r="H594" s="18">
        <f t="shared" si="44"/>
        <v>0</v>
      </c>
      <c r="I594" s="18">
        <f t="shared" si="45"/>
        <v>0</v>
      </c>
    </row>
    <row r="595" spans="1:12" hidden="1" outlineLevel="1" x14ac:dyDescent="0.25">
      <c r="A595" s="84"/>
      <c r="B595" s="308" t="s">
        <v>605</v>
      </c>
      <c r="C595" s="21" t="s">
        <v>12</v>
      </c>
      <c r="D595" s="340">
        <v>0</v>
      </c>
      <c r="E595" s="18"/>
      <c r="F595" s="60">
        <v>45</v>
      </c>
      <c r="G595" s="18"/>
      <c r="H595" s="18">
        <f t="shared" si="44"/>
        <v>0</v>
      </c>
      <c r="I595" s="18">
        <f t="shared" si="45"/>
        <v>0</v>
      </c>
    </row>
    <row r="596" spans="1:12" hidden="1" outlineLevel="1" x14ac:dyDescent="0.25">
      <c r="A596" s="84"/>
      <c r="B596" s="308" t="s">
        <v>606</v>
      </c>
      <c r="C596" s="21" t="s">
        <v>12</v>
      </c>
      <c r="D596" s="340">
        <v>0</v>
      </c>
      <c r="E596" s="18"/>
      <c r="F596" s="60">
        <v>65</v>
      </c>
      <c r="G596" s="18"/>
      <c r="H596" s="18">
        <f t="shared" si="44"/>
        <v>0</v>
      </c>
      <c r="I596" s="18">
        <f t="shared" si="45"/>
        <v>0</v>
      </c>
    </row>
    <row r="597" spans="1:12" hidden="1" outlineLevel="1" x14ac:dyDescent="0.25">
      <c r="A597" s="84"/>
      <c r="B597" s="308" t="s">
        <v>716</v>
      </c>
      <c r="C597" s="21" t="s">
        <v>12</v>
      </c>
      <c r="D597" s="340">
        <v>0</v>
      </c>
      <c r="E597" s="18"/>
      <c r="F597" s="164">
        <v>100</v>
      </c>
      <c r="G597" s="18"/>
      <c r="H597" s="18">
        <f>F597*D597</f>
        <v>0</v>
      </c>
      <c r="I597" s="18">
        <f>G597+H597</f>
        <v>0</v>
      </c>
    </row>
    <row r="598" spans="1:12" hidden="1" outlineLevel="1" x14ac:dyDescent="0.25">
      <c r="A598" s="84"/>
      <c r="B598" s="308" t="s">
        <v>717</v>
      </c>
      <c r="C598" s="21" t="s">
        <v>12</v>
      </c>
      <c r="D598" s="340">
        <v>0</v>
      </c>
      <c r="E598" s="18"/>
      <c r="F598" s="164">
        <v>100</v>
      </c>
      <c r="G598" s="18"/>
      <c r="H598" s="18">
        <f>F598*D598</f>
        <v>0</v>
      </c>
      <c r="I598" s="18">
        <f>G598+H598</f>
        <v>0</v>
      </c>
    </row>
    <row r="599" spans="1:12" hidden="1" outlineLevel="1" x14ac:dyDescent="0.25">
      <c r="A599" s="84"/>
      <c r="B599" s="308" t="s">
        <v>607</v>
      </c>
      <c r="C599" s="21" t="s">
        <v>29</v>
      </c>
      <c r="D599" s="340">
        <v>0</v>
      </c>
      <c r="E599" s="18"/>
      <c r="F599" s="60">
        <v>50</v>
      </c>
      <c r="G599" s="18"/>
      <c r="H599" s="18">
        <f t="shared" si="44"/>
        <v>0</v>
      </c>
      <c r="I599" s="18">
        <f t="shared" si="45"/>
        <v>0</v>
      </c>
    </row>
    <row r="600" spans="1:12" hidden="1" outlineLevel="1" x14ac:dyDescent="0.25">
      <c r="A600" s="84"/>
      <c r="B600" s="308" t="s">
        <v>608</v>
      </c>
      <c r="C600" s="21" t="s">
        <v>29</v>
      </c>
      <c r="D600" s="340">
        <v>0</v>
      </c>
      <c r="E600" s="18"/>
      <c r="F600" s="60">
        <v>59</v>
      </c>
      <c r="G600" s="18"/>
      <c r="H600" s="18">
        <f t="shared" si="44"/>
        <v>0</v>
      </c>
      <c r="I600" s="18">
        <f t="shared" si="45"/>
        <v>0</v>
      </c>
    </row>
    <row r="601" spans="1:12" hidden="1" outlineLevel="1" x14ac:dyDescent="0.25">
      <c r="A601" s="84"/>
      <c r="B601" s="308" t="s">
        <v>90</v>
      </c>
      <c r="C601" s="2" t="s">
        <v>29</v>
      </c>
      <c r="D601" s="340">
        <v>0</v>
      </c>
      <c r="E601" s="18"/>
      <c r="F601" s="60">
        <v>20</v>
      </c>
      <c r="G601" s="18"/>
      <c r="H601" s="18">
        <f t="shared" si="44"/>
        <v>0</v>
      </c>
      <c r="I601" s="18">
        <f t="shared" si="45"/>
        <v>0</v>
      </c>
    </row>
    <row r="602" spans="1:12" hidden="1" outlineLevel="1" x14ac:dyDescent="0.25">
      <c r="A602" s="84"/>
      <c r="B602" s="308" t="s">
        <v>91</v>
      </c>
      <c r="C602" s="31" t="s">
        <v>15</v>
      </c>
      <c r="D602" s="340">
        <v>0</v>
      </c>
      <c r="E602" s="18"/>
      <c r="F602" s="60">
        <v>42</v>
      </c>
      <c r="G602" s="18"/>
      <c r="H602" s="18">
        <f t="shared" si="44"/>
        <v>0</v>
      </c>
      <c r="I602" s="18">
        <f t="shared" si="45"/>
        <v>0</v>
      </c>
    </row>
    <row r="603" spans="1:12" s="6" customFormat="1" hidden="1" outlineLevel="1" x14ac:dyDescent="0.25">
      <c r="A603" s="84" t="s">
        <v>612</v>
      </c>
      <c r="B603" s="192" t="s">
        <v>609</v>
      </c>
      <c r="C603" s="31"/>
      <c r="D603" s="18"/>
      <c r="E603" s="130"/>
      <c r="F603" s="60"/>
      <c r="G603" s="18"/>
      <c r="H603" s="18"/>
      <c r="I603" s="18"/>
    </row>
    <row r="604" spans="1:12" s="6" customFormat="1" hidden="1" outlineLevel="1" x14ac:dyDescent="0.25">
      <c r="A604" s="84"/>
      <c r="B604" s="308" t="s">
        <v>610</v>
      </c>
      <c r="C604" s="31" t="s">
        <v>12</v>
      </c>
      <c r="D604" s="306">
        <v>0</v>
      </c>
      <c r="E604" s="256">
        <v>0</v>
      </c>
      <c r="F604" s="57">
        <v>350</v>
      </c>
      <c r="G604" s="18">
        <f>E604</f>
        <v>0</v>
      </c>
      <c r="H604" s="18">
        <f>F604*D604</f>
        <v>0</v>
      </c>
      <c r="I604" s="18">
        <f>G604+H604</f>
        <v>0</v>
      </c>
    </row>
    <row r="605" spans="1:12" s="5" customFormat="1" ht="38.4" customHeight="1" collapsed="1" x14ac:dyDescent="0.25">
      <c r="A605" s="223"/>
      <c r="B605" s="233" t="s">
        <v>61</v>
      </c>
      <c r="C605" s="234"/>
      <c r="D605" s="235"/>
      <c r="E605" s="236"/>
      <c r="F605" s="237"/>
      <c r="G605" s="236">
        <v>1000000</v>
      </c>
      <c r="H605" s="236">
        <v>2100000</v>
      </c>
      <c r="I605" s="236">
        <f>G605+H605</f>
        <v>3100000</v>
      </c>
      <c r="K605" s="5">
        <f>10000*90+2200000</f>
        <v>3100000</v>
      </c>
      <c r="L605" s="5">
        <f>K605-I605</f>
        <v>0</v>
      </c>
    </row>
    <row r="606" spans="1:12" s="5" customFormat="1" ht="18.600000000000001" customHeight="1" x14ac:dyDescent="0.25">
      <c r="A606" s="92"/>
      <c r="B606" s="471" t="s">
        <v>624</v>
      </c>
      <c r="C606" s="9"/>
      <c r="D606" s="31"/>
      <c r="E606" s="10"/>
      <c r="F606" s="57"/>
      <c r="G606" s="10"/>
      <c r="H606" s="10"/>
      <c r="I606" s="31">
        <f>ROUND(I605/1.18*0.18,2)</f>
        <v>472881.36</v>
      </c>
    </row>
    <row r="607" spans="1:12" s="5" customFormat="1" ht="18.75" customHeight="1" x14ac:dyDescent="0.25">
      <c r="A607" s="489"/>
      <c r="B607" s="737" t="s">
        <v>1210</v>
      </c>
      <c r="C607" s="490"/>
      <c r="D607" s="128"/>
      <c r="E607" s="119"/>
      <c r="F607" s="145"/>
      <c r="G607" s="128"/>
      <c r="H607" s="128"/>
      <c r="I607" s="111"/>
    </row>
    <row r="608" spans="1:12" ht="31.2" hidden="1" outlineLevel="1" x14ac:dyDescent="0.25">
      <c r="A608" s="93" t="s">
        <v>325</v>
      </c>
      <c r="B608" s="357" t="s">
        <v>77</v>
      </c>
      <c r="C608" s="72" t="s">
        <v>12</v>
      </c>
      <c r="D608" s="356">
        <v>0</v>
      </c>
      <c r="E608" s="355">
        <v>1500</v>
      </c>
      <c r="F608" s="146"/>
      <c r="G608" s="2">
        <f>ROUND(E608*D608,2)</f>
        <v>0</v>
      </c>
      <c r="H608" s="73"/>
      <c r="I608" s="73">
        <f>G608+H608</f>
        <v>0</v>
      </c>
    </row>
    <row r="609" spans="1:9" hidden="1" outlineLevel="1" x14ac:dyDescent="0.25">
      <c r="A609" s="84"/>
      <c r="B609" s="329" t="s">
        <v>181</v>
      </c>
      <c r="C609" s="21" t="s">
        <v>173</v>
      </c>
      <c r="D609" s="340">
        <v>0</v>
      </c>
      <c r="E609" s="282"/>
      <c r="F609" s="361">
        <v>31000</v>
      </c>
      <c r="G609" s="18"/>
      <c r="H609" s="2">
        <f>ROUND(D609*F609,2)</f>
        <v>0</v>
      </c>
      <c r="I609" s="18">
        <f>G609+H609</f>
        <v>0</v>
      </c>
    </row>
    <row r="610" spans="1:9" hidden="1" outlineLevel="1" x14ac:dyDescent="0.25">
      <c r="A610" s="84" t="s">
        <v>326</v>
      </c>
      <c r="B610" s="9" t="s">
        <v>79</v>
      </c>
      <c r="C610" s="31" t="s">
        <v>80</v>
      </c>
      <c r="D610" s="306">
        <v>0</v>
      </c>
      <c r="E610" s="256">
        <v>75</v>
      </c>
      <c r="F610" s="60"/>
      <c r="G610" s="2">
        <f>ROUND(E610*D610,2)</f>
        <v>0</v>
      </c>
      <c r="H610" s="18"/>
      <c r="I610" s="18">
        <f t="shared" ref="I610:I654" si="46">G610+H610</f>
        <v>0</v>
      </c>
    </row>
    <row r="611" spans="1:9" hidden="1" outlineLevel="1" x14ac:dyDescent="0.25">
      <c r="A611" s="84"/>
      <c r="B611" s="343" t="s">
        <v>81</v>
      </c>
      <c r="C611" s="21" t="s">
        <v>80</v>
      </c>
      <c r="D611" s="340">
        <v>0</v>
      </c>
      <c r="E611" s="18"/>
      <c r="F611" s="361">
        <v>240</v>
      </c>
      <c r="G611" s="18"/>
      <c r="H611" s="2">
        <f>ROUND(D611*F611,2)</f>
        <v>0</v>
      </c>
      <c r="I611" s="18">
        <f t="shared" si="46"/>
        <v>0</v>
      </c>
    </row>
    <row r="612" spans="1:9" hidden="1" outlineLevel="1" x14ac:dyDescent="0.25">
      <c r="A612" s="84" t="s">
        <v>327</v>
      </c>
      <c r="B612" s="9" t="s">
        <v>83</v>
      </c>
      <c r="C612" s="31" t="s">
        <v>12</v>
      </c>
      <c r="D612" s="306">
        <v>0</v>
      </c>
      <c r="E612" s="256">
        <v>600</v>
      </c>
      <c r="F612" s="60"/>
      <c r="G612" s="2">
        <f>ROUND(E612*D612,2)</f>
        <v>0</v>
      </c>
      <c r="H612" s="18"/>
      <c r="I612" s="18">
        <f t="shared" si="46"/>
        <v>0</v>
      </c>
    </row>
    <row r="613" spans="1:9" ht="31.2" hidden="1" outlineLevel="1" x14ac:dyDescent="0.25">
      <c r="A613" s="84"/>
      <c r="B613" s="329" t="s">
        <v>266</v>
      </c>
      <c r="C613" s="21" t="s">
        <v>12</v>
      </c>
      <c r="D613" s="340">
        <v>0</v>
      </c>
      <c r="E613" s="18"/>
      <c r="F613" s="361">
        <v>950</v>
      </c>
      <c r="G613" s="18"/>
      <c r="H613" s="2">
        <f>ROUND(D613*F613,2)</f>
        <v>0</v>
      </c>
      <c r="I613" s="18">
        <f t="shared" si="46"/>
        <v>0</v>
      </c>
    </row>
    <row r="614" spans="1:9" ht="31.2" hidden="1" outlineLevel="1" x14ac:dyDescent="0.25">
      <c r="A614" s="84" t="s">
        <v>536</v>
      </c>
      <c r="B614" s="9" t="s">
        <v>85</v>
      </c>
      <c r="C614" s="31" t="s">
        <v>29</v>
      </c>
      <c r="D614" s="31">
        <v>0</v>
      </c>
      <c r="E614" s="256">
        <v>60</v>
      </c>
      <c r="F614" s="60"/>
      <c r="G614" s="2">
        <f>ROUND(E614*D614,2)</f>
        <v>0</v>
      </c>
      <c r="H614" s="18"/>
      <c r="I614" s="18">
        <f t="shared" si="46"/>
        <v>0</v>
      </c>
    </row>
    <row r="615" spans="1:9" ht="31.2" hidden="1" outlineLevel="1" x14ac:dyDescent="0.25">
      <c r="A615" s="84"/>
      <c r="B615" s="329" t="s">
        <v>412</v>
      </c>
      <c r="C615" s="21" t="s">
        <v>29</v>
      </c>
      <c r="D615" s="340">
        <v>0</v>
      </c>
      <c r="E615" s="18"/>
      <c r="F615" s="60">
        <v>40</v>
      </c>
      <c r="G615" s="18"/>
      <c r="H615" s="2">
        <f t="shared" ref="H615:H621" si="47">ROUND(D615*F615,2)</f>
        <v>0</v>
      </c>
      <c r="I615" s="18">
        <f t="shared" si="46"/>
        <v>0</v>
      </c>
    </row>
    <row r="616" spans="1:9" hidden="1" outlineLevel="1" x14ac:dyDescent="0.25">
      <c r="A616" s="84"/>
      <c r="B616" s="343" t="s">
        <v>86</v>
      </c>
      <c r="C616" s="21" t="s">
        <v>12</v>
      </c>
      <c r="D616" s="340">
        <v>0</v>
      </c>
      <c r="E616" s="18"/>
      <c r="F616" s="60">
        <v>98.64</v>
      </c>
      <c r="G616" s="18"/>
      <c r="H616" s="2">
        <f t="shared" si="47"/>
        <v>0</v>
      </c>
      <c r="I616" s="18">
        <f t="shared" si="46"/>
        <v>0</v>
      </c>
    </row>
    <row r="617" spans="1:9" ht="31.2" hidden="1" outlineLevel="1" x14ac:dyDescent="0.25">
      <c r="A617" s="84"/>
      <c r="B617" s="343" t="s">
        <v>263</v>
      </c>
      <c r="C617" s="21" t="s">
        <v>12</v>
      </c>
      <c r="D617" s="340">
        <v>0</v>
      </c>
      <c r="E617" s="18"/>
      <c r="F617" s="60">
        <v>145.03</v>
      </c>
      <c r="G617" s="18"/>
      <c r="H617" s="2">
        <f t="shared" si="47"/>
        <v>0</v>
      </c>
      <c r="I617" s="18">
        <f t="shared" si="46"/>
        <v>0</v>
      </c>
    </row>
    <row r="618" spans="1:9" ht="31.2" hidden="1" outlineLevel="1" x14ac:dyDescent="0.25">
      <c r="A618" s="84"/>
      <c r="B618" s="329" t="s">
        <v>264</v>
      </c>
      <c r="C618" s="21" t="s">
        <v>12</v>
      </c>
      <c r="D618" s="340">
        <v>0</v>
      </c>
      <c r="E618" s="18"/>
      <c r="F618" s="60">
        <v>450</v>
      </c>
      <c r="G618" s="18"/>
      <c r="H618" s="2">
        <f t="shared" si="47"/>
        <v>0</v>
      </c>
      <c r="I618" s="18">
        <f>G618+H618</f>
        <v>0</v>
      </c>
    </row>
    <row r="619" spans="1:9" ht="31.2" hidden="1" outlineLevel="1" x14ac:dyDescent="0.25">
      <c r="A619" s="84"/>
      <c r="B619" s="329" t="s">
        <v>265</v>
      </c>
      <c r="C619" s="21" t="s">
        <v>12</v>
      </c>
      <c r="D619" s="340">
        <v>0</v>
      </c>
      <c r="E619" s="18"/>
      <c r="F619" s="60">
        <v>450</v>
      </c>
      <c r="G619" s="18"/>
      <c r="H619" s="2">
        <f t="shared" si="47"/>
        <v>0</v>
      </c>
      <c r="I619" s="18">
        <f>G619+H619</f>
        <v>0</v>
      </c>
    </row>
    <row r="620" spans="1:9" hidden="1" outlineLevel="1" x14ac:dyDescent="0.25">
      <c r="A620" s="84"/>
      <c r="B620" s="343" t="s">
        <v>87</v>
      </c>
      <c r="C620" s="21" t="s">
        <v>12</v>
      </c>
      <c r="D620" s="340">
        <v>0</v>
      </c>
      <c r="E620" s="18"/>
      <c r="F620" s="60">
        <v>470</v>
      </c>
      <c r="G620" s="18"/>
      <c r="H620" s="2">
        <f t="shared" si="47"/>
        <v>0</v>
      </c>
      <c r="I620" s="18">
        <f t="shared" si="46"/>
        <v>0</v>
      </c>
    </row>
    <row r="621" spans="1:9" hidden="1" outlineLevel="1" x14ac:dyDescent="0.25">
      <c r="A621" s="84"/>
      <c r="B621" s="343" t="s">
        <v>88</v>
      </c>
      <c r="C621" s="21" t="s">
        <v>12</v>
      </c>
      <c r="D621" s="340">
        <v>0</v>
      </c>
      <c r="E621" s="18"/>
      <c r="F621" s="60">
        <v>1.5</v>
      </c>
      <c r="G621" s="18"/>
      <c r="H621" s="2">
        <f t="shared" si="47"/>
        <v>0</v>
      </c>
      <c r="I621" s="18">
        <f t="shared" si="46"/>
        <v>0</v>
      </c>
    </row>
    <row r="622" spans="1:9" ht="31.2" hidden="1" outlineLevel="1" x14ac:dyDescent="0.25">
      <c r="A622" s="84"/>
      <c r="B622" s="343" t="s">
        <v>681</v>
      </c>
      <c r="C622" s="21" t="s">
        <v>29</v>
      </c>
      <c r="D622" s="340">
        <v>0</v>
      </c>
      <c r="E622" s="18"/>
      <c r="F622" s="164">
        <v>100</v>
      </c>
      <c r="G622" s="18"/>
      <c r="H622" s="2">
        <f>ROUND(D622*F622,2)</f>
        <v>0</v>
      </c>
      <c r="I622" s="18">
        <f>G622+H622</f>
        <v>0</v>
      </c>
    </row>
    <row r="623" spans="1:9" ht="18" hidden="1" customHeight="1" outlineLevel="1" x14ac:dyDescent="0.25">
      <c r="A623" s="84"/>
      <c r="B623" s="343" t="s">
        <v>682</v>
      </c>
      <c r="C623" s="21" t="s">
        <v>12</v>
      </c>
      <c r="D623" s="340">
        <v>0</v>
      </c>
      <c r="E623" s="18"/>
      <c r="F623" s="164">
        <v>100</v>
      </c>
      <c r="G623" s="18"/>
      <c r="H623" s="2">
        <f>ROUND(D623*F623,2)</f>
        <v>0</v>
      </c>
      <c r="I623" s="18">
        <f>G623+H623</f>
        <v>0</v>
      </c>
    </row>
    <row r="624" spans="1:9" ht="31.2" hidden="1" outlineLevel="1" x14ac:dyDescent="0.25">
      <c r="A624" s="84" t="s">
        <v>538</v>
      </c>
      <c r="B624" s="307" t="s">
        <v>267</v>
      </c>
      <c r="C624" s="31" t="s">
        <v>12</v>
      </c>
      <c r="D624" s="306">
        <f>D625</f>
        <v>0</v>
      </c>
      <c r="E624" s="256">
        <v>300</v>
      </c>
      <c r="F624" s="11"/>
      <c r="G624" s="2">
        <f>ROUND(E624*D624,2)</f>
        <v>0</v>
      </c>
      <c r="H624" s="18"/>
      <c r="I624" s="18">
        <f t="shared" si="46"/>
        <v>0</v>
      </c>
    </row>
    <row r="625" spans="1:12" hidden="1" outlineLevel="1" x14ac:dyDescent="0.25">
      <c r="A625" s="84"/>
      <c r="B625" s="308" t="s">
        <v>416</v>
      </c>
      <c r="C625" s="2" t="s">
        <v>12</v>
      </c>
      <c r="D625" s="340">
        <v>0</v>
      </c>
      <c r="E625" s="2"/>
      <c r="F625" s="11">
        <f>2500*1.1</f>
        <v>2750</v>
      </c>
      <c r="G625" s="18"/>
      <c r="H625" s="2">
        <f>ROUND(D625*F625,2)</f>
        <v>0</v>
      </c>
      <c r="I625" s="18">
        <f t="shared" si="46"/>
        <v>0</v>
      </c>
    </row>
    <row r="626" spans="1:12" collapsed="1" x14ac:dyDescent="0.25">
      <c r="A626" s="223"/>
      <c r="B626" s="238" t="s">
        <v>539</v>
      </c>
      <c r="C626" s="234"/>
      <c r="D626" s="235"/>
      <c r="E626" s="236"/>
      <c r="F626" s="237"/>
      <c r="G626" s="236">
        <v>680000</v>
      </c>
      <c r="H626" s="236">
        <v>4050000</v>
      </c>
      <c r="I626" s="236">
        <f>G626+H626</f>
        <v>4730000</v>
      </c>
      <c r="K626" s="25">
        <f>90*26000+1300000+90*6000</f>
        <v>4180000</v>
      </c>
      <c r="L626" s="5">
        <f>K626-I626</f>
        <v>-550000</v>
      </c>
    </row>
    <row r="627" spans="1:12" s="5" customFormat="1" ht="18.600000000000001" customHeight="1" x14ac:dyDescent="0.25">
      <c r="A627" s="92"/>
      <c r="B627" s="471" t="s">
        <v>624</v>
      </c>
      <c r="C627" s="9"/>
      <c r="D627" s="31"/>
      <c r="E627" s="10"/>
      <c r="F627" s="57"/>
      <c r="G627" s="10"/>
      <c r="H627" s="10"/>
      <c r="I627" s="31">
        <f>ROUND(I626/1.18*0.18,2)</f>
        <v>721525.42</v>
      </c>
    </row>
    <row r="628" spans="1:12" s="6" customFormat="1" x14ac:dyDescent="0.25">
      <c r="A628" s="492"/>
      <c r="B628" s="737" t="s">
        <v>1211</v>
      </c>
      <c r="C628" s="493"/>
      <c r="D628" s="103"/>
      <c r="E628" s="118"/>
      <c r="F628" s="112"/>
      <c r="G628" s="102"/>
      <c r="H628" s="102"/>
      <c r="I628" s="102"/>
    </row>
    <row r="629" spans="1:12" ht="31.2" hidden="1" outlineLevel="1" x14ac:dyDescent="0.25">
      <c r="A629" s="84" t="s">
        <v>154</v>
      </c>
      <c r="B629" s="494" t="s">
        <v>269</v>
      </c>
      <c r="C629" s="192" t="s">
        <v>29</v>
      </c>
      <c r="D629" s="10">
        <f>D630+D631</f>
        <v>0</v>
      </c>
      <c r="E629" s="256">
        <v>150</v>
      </c>
      <c r="F629" s="60"/>
      <c r="G629" s="2">
        <f>ROUND(E629*D629,2)</f>
        <v>0</v>
      </c>
      <c r="H629" s="18"/>
      <c r="I629" s="18">
        <f>G629+H629</f>
        <v>0</v>
      </c>
    </row>
    <row r="630" spans="1:12" ht="31.2" hidden="1" outlineLevel="1" x14ac:dyDescent="0.25">
      <c r="A630" s="84"/>
      <c r="B630" s="308" t="s">
        <v>683</v>
      </c>
      <c r="C630" s="21" t="s">
        <v>29</v>
      </c>
      <c r="D630" s="340">
        <v>0</v>
      </c>
      <c r="E630" s="282"/>
      <c r="F630" s="60">
        <f>(0.2+0.2+0.15+0.15)*500</f>
        <v>350.00000000000006</v>
      </c>
      <c r="G630" s="18"/>
      <c r="H630" s="2">
        <f>ROUND(D630*F630,2)</f>
        <v>0</v>
      </c>
      <c r="I630" s="18">
        <f>G630+H630</f>
        <v>0</v>
      </c>
    </row>
    <row r="631" spans="1:12" ht="31.2" hidden="1" outlineLevel="1" x14ac:dyDescent="0.25">
      <c r="A631" s="84"/>
      <c r="B631" s="308" t="s">
        <v>271</v>
      </c>
      <c r="C631" s="21" t="s">
        <v>29</v>
      </c>
      <c r="D631" s="340">
        <v>0</v>
      </c>
      <c r="E631" s="282"/>
      <c r="F631" s="60">
        <f>0.15*4*500</f>
        <v>300</v>
      </c>
      <c r="G631" s="18"/>
      <c r="H631" s="2">
        <f>ROUND(D631*F631,2)</f>
        <v>0</v>
      </c>
      <c r="I631" s="18">
        <f>G631+H631</f>
        <v>0</v>
      </c>
    </row>
    <row r="632" spans="1:12" ht="31.2" hidden="1" outlineLevel="1" x14ac:dyDescent="0.25">
      <c r="A632" s="84"/>
      <c r="B632" s="308" t="s">
        <v>684</v>
      </c>
      <c r="C632" s="21" t="s">
        <v>29</v>
      </c>
      <c r="D632" s="340">
        <v>0</v>
      </c>
      <c r="E632" s="282"/>
      <c r="F632" s="60">
        <f>0.15*4*500</f>
        <v>300</v>
      </c>
      <c r="G632" s="18"/>
      <c r="H632" s="2">
        <f>ROUND(D632*F632,2)</f>
        <v>0</v>
      </c>
      <c r="I632" s="18">
        <f>G632+H632</f>
        <v>0</v>
      </c>
    </row>
    <row r="633" spans="1:12" hidden="1" outlineLevel="1" x14ac:dyDescent="0.25">
      <c r="A633" s="84" t="s">
        <v>157</v>
      </c>
      <c r="B633" s="9" t="s">
        <v>89</v>
      </c>
      <c r="C633" s="31" t="s">
        <v>12</v>
      </c>
      <c r="D633" s="10">
        <f>D634+D635+D636+D639+D637+D638</f>
        <v>0</v>
      </c>
      <c r="E633" s="256">
        <v>50</v>
      </c>
      <c r="F633" s="60"/>
      <c r="G633" s="2">
        <f>ROUND(E633*D633,2)</f>
        <v>0</v>
      </c>
      <c r="H633" s="18"/>
      <c r="I633" s="18">
        <f t="shared" si="46"/>
        <v>0</v>
      </c>
    </row>
    <row r="634" spans="1:12" hidden="1" outlineLevel="1" x14ac:dyDescent="0.25">
      <c r="A634" s="84"/>
      <c r="B634" s="329" t="s">
        <v>686</v>
      </c>
      <c r="C634" s="21" t="s">
        <v>12</v>
      </c>
      <c r="D634" s="340">
        <v>0</v>
      </c>
      <c r="E634" s="18"/>
      <c r="F634" s="361">
        <v>100</v>
      </c>
      <c r="G634" s="18"/>
      <c r="H634" s="2">
        <f t="shared" ref="H634:H646" si="48">ROUND(D634*F634,2)</f>
        <v>0</v>
      </c>
      <c r="I634" s="18">
        <f t="shared" si="46"/>
        <v>0</v>
      </c>
    </row>
    <row r="635" spans="1:12" hidden="1" outlineLevel="1" x14ac:dyDescent="0.25">
      <c r="A635" s="84"/>
      <c r="B635" s="329" t="s">
        <v>685</v>
      </c>
      <c r="C635" s="21" t="s">
        <v>12</v>
      </c>
      <c r="D635" s="340">
        <v>0</v>
      </c>
      <c r="E635" s="18"/>
      <c r="F635" s="361">
        <v>100</v>
      </c>
      <c r="G635" s="18"/>
      <c r="H635" s="2">
        <f t="shared" si="48"/>
        <v>0</v>
      </c>
      <c r="I635" s="18">
        <f t="shared" si="46"/>
        <v>0</v>
      </c>
    </row>
    <row r="636" spans="1:12" hidden="1" outlineLevel="1" x14ac:dyDescent="0.25">
      <c r="A636" s="84"/>
      <c r="B636" s="329" t="s">
        <v>274</v>
      </c>
      <c r="C636" s="21" t="s">
        <v>12</v>
      </c>
      <c r="D636" s="340">
        <v>0</v>
      </c>
      <c r="E636" s="18"/>
      <c r="F636" s="361">
        <v>150</v>
      </c>
      <c r="G636" s="18"/>
      <c r="H636" s="2">
        <f t="shared" si="48"/>
        <v>0</v>
      </c>
      <c r="I636" s="18">
        <f t="shared" si="46"/>
        <v>0</v>
      </c>
    </row>
    <row r="637" spans="1:12" hidden="1" outlineLevel="1" x14ac:dyDescent="0.25">
      <c r="A637" s="84"/>
      <c r="B637" s="329" t="s">
        <v>687</v>
      </c>
      <c r="C637" s="21" t="s">
        <v>12</v>
      </c>
      <c r="D637" s="340">
        <v>0</v>
      </c>
      <c r="E637" s="18"/>
      <c r="F637" s="361">
        <v>200</v>
      </c>
      <c r="G637" s="18"/>
      <c r="H637" s="2">
        <f t="shared" si="48"/>
        <v>0</v>
      </c>
      <c r="I637" s="18">
        <f t="shared" si="46"/>
        <v>0</v>
      </c>
    </row>
    <row r="638" spans="1:12" ht="31.2" hidden="1" outlineLevel="1" x14ac:dyDescent="0.25">
      <c r="A638" s="84"/>
      <c r="B638" s="329" t="s">
        <v>420</v>
      </c>
      <c r="C638" s="21" t="s">
        <v>12</v>
      </c>
      <c r="D638" s="340">
        <v>0</v>
      </c>
      <c r="E638" s="18"/>
      <c r="F638" s="361">
        <v>100</v>
      </c>
      <c r="G638" s="18"/>
      <c r="H638" s="2">
        <f t="shared" si="48"/>
        <v>0</v>
      </c>
      <c r="I638" s="18">
        <f t="shared" si="46"/>
        <v>0</v>
      </c>
    </row>
    <row r="639" spans="1:12" hidden="1" outlineLevel="1" x14ac:dyDescent="0.25">
      <c r="A639" s="84"/>
      <c r="B639" s="329" t="s">
        <v>275</v>
      </c>
      <c r="C639" s="21" t="s">
        <v>12</v>
      </c>
      <c r="D639" s="340">
        <v>0</v>
      </c>
      <c r="E639" s="18"/>
      <c r="F639" s="361">
        <v>1800</v>
      </c>
      <c r="G639" s="18"/>
      <c r="H639" s="2">
        <f t="shared" si="48"/>
        <v>0</v>
      </c>
      <c r="I639" s="18">
        <f t="shared" si="46"/>
        <v>0</v>
      </c>
    </row>
    <row r="640" spans="1:12" hidden="1" outlineLevel="1" x14ac:dyDescent="0.25">
      <c r="A640" s="84"/>
      <c r="B640" s="329" t="s">
        <v>688</v>
      </c>
      <c r="C640" s="21" t="s">
        <v>12</v>
      </c>
      <c r="D640" s="340">
        <v>0</v>
      </c>
      <c r="E640" s="18"/>
      <c r="F640" s="164">
        <v>2000</v>
      </c>
      <c r="G640" s="18"/>
      <c r="H640" s="2">
        <f>ROUND(D640*F640,2)</f>
        <v>0</v>
      </c>
      <c r="I640" s="18">
        <f>G640+H640</f>
        <v>0</v>
      </c>
    </row>
    <row r="641" spans="1:12" hidden="1" outlineLevel="1" x14ac:dyDescent="0.25">
      <c r="A641" s="84"/>
      <c r="B641" s="329" t="s">
        <v>689</v>
      </c>
      <c r="C641" s="21" t="s">
        <v>12</v>
      </c>
      <c r="D641" s="340">
        <v>0</v>
      </c>
      <c r="E641" s="18"/>
      <c r="F641" s="164">
        <v>2000</v>
      </c>
      <c r="G641" s="18"/>
      <c r="H641" s="2">
        <f>ROUND(D641*F641,2)</f>
        <v>0</v>
      </c>
      <c r="I641" s="18">
        <f>G641+H641</f>
        <v>0</v>
      </c>
    </row>
    <row r="642" spans="1:12" hidden="1" outlineLevel="1" x14ac:dyDescent="0.25">
      <c r="A642" s="84"/>
      <c r="B642" s="9" t="s">
        <v>691</v>
      </c>
      <c r="C642" s="31" t="s">
        <v>12</v>
      </c>
      <c r="D642" s="10">
        <v>0</v>
      </c>
      <c r="E642" s="166">
        <v>300</v>
      </c>
      <c r="F642" s="60"/>
      <c r="G642" s="2">
        <f>ROUND(E642*D642,2)</f>
        <v>0</v>
      </c>
      <c r="H642" s="18"/>
      <c r="I642" s="18">
        <f>G642+H642</f>
        <v>0</v>
      </c>
    </row>
    <row r="643" spans="1:12" hidden="1" outlineLevel="1" x14ac:dyDescent="0.25">
      <c r="A643" s="84"/>
      <c r="B643" s="329" t="s">
        <v>692</v>
      </c>
      <c r="C643" s="21" t="s">
        <v>12</v>
      </c>
      <c r="D643" s="340">
        <v>0</v>
      </c>
      <c r="E643" s="18"/>
      <c r="F643" s="164">
        <v>5000</v>
      </c>
      <c r="G643" s="18"/>
      <c r="H643" s="2">
        <f>ROUND(D643*F643,2)</f>
        <v>0</v>
      </c>
      <c r="I643" s="18">
        <f>G643+H643</f>
        <v>0</v>
      </c>
    </row>
    <row r="644" spans="1:12" hidden="1" outlineLevel="1" x14ac:dyDescent="0.25">
      <c r="A644" s="84"/>
      <c r="B644" s="329" t="s">
        <v>693</v>
      </c>
      <c r="C644" s="21" t="s">
        <v>12</v>
      </c>
      <c r="D644" s="340">
        <v>0</v>
      </c>
      <c r="E644" s="18"/>
      <c r="F644" s="164">
        <v>500</v>
      </c>
      <c r="G644" s="18"/>
      <c r="H644" s="2">
        <f>ROUND(D644*F644,2)</f>
        <v>0</v>
      </c>
      <c r="I644" s="18">
        <f>G644+H644</f>
        <v>0</v>
      </c>
    </row>
    <row r="645" spans="1:12" hidden="1" outlineLevel="1" x14ac:dyDescent="0.25">
      <c r="A645" s="84"/>
      <c r="B645" s="329" t="s">
        <v>695</v>
      </c>
      <c r="C645" s="21" t="s">
        <v>12</v>
      </c>
      <c r="D645" s="340">
        <v>0</v>
      </c>
      <c r="E645" s="18"/>
      <c r="F645" s="164">
        <v>100</v>
      </c>
      <c r="G645" s="18"/>
      <c r="H645" s="2">
        <f t="shared" si="48"/>
        <v>0</v>
      </c>
      <c r="I645" s="18">
        <f t="shared" si="46"/>
        <v>0</v>
      </c>
    </row>
    <row r="646" spans="1:12" ht="31.2" hidden="1" outlineLevel="1" x14ac:dyDescent="0.25">
      <c r="A646" s="84"/>
      <c r="B646" s="329" t="s">
        <v>694</v>
      </c>
      <c r="C646" s="21" t="s">
        <v>12</v>
      </c>
      <c r="D646" s="340">
        <v>0</v>
      </c>
      <c r="E646" s="18"/>
      <c r="F646" s="164">
        <v>100</v>
      </c>
      <c r="G646" s="18"/>
      <c r="H646" s="2">
        <f t="shared" si="48"/>
        <v>0</v>
      </c>
      <c r="I646" s="18">
        <f t="shared" si="46"/>
        <v>0</v>
      </c>
    </row>
    <row r="647" spans="1:12" ht="31.2" hidden="1" outlineLevel="1" x14ac:dyDescent="0.25">
      <c r="A647" s="84"/>
      <c r="B647" s="329" t="s">
        <v>696</v>
      </c>
      <c r="C647" s="21" t="s">
        <v>12</v>
      </c>
      <c r="D647" s="340">
        <v>0</v>
      </c>
      <c r="E647" s="18"/>
      <c r="F647" s="164">
        <v>100</v>
      </c>
      <c r="G647" s="18"/>
      <c r="H647" s="2">
        <f>ROUND(D647*F647,2)</f>
        <v>0</v>
      </c>
      <c r="I647" s="18">
        <f t="shared" si="46"/>
        <v>0</v>
      </c>
    </row>
    <row r="648" spans="1:12" ht="31.2" hidden="1" outlineLevel="1" x14ac:dyDescent="0.25">
      <c r="A648" s="84"/>
      <c r="B648" s="329" t="s">
        <v>697</v>
      </c>
      <c r="C648" s="21" t="s">
        <v>12</v>
      </c>
      <c r="D648" s="340">
        <v>0</v>
      </c>
      <c r="E648" s="18"/>
      <c r="F648" s="164">
        <v>100</v>
      </c>
      <c r="G648" s="18"/>
      <c r="H648" s="2">
        <f>ROUND(D648*F648,2)</f>
        <v>0</v>
      </c>
      <c r="I648" s="18">
        <f t="shared" si="46"/>
        <v>0</v>
      </c>
    </row>
    <row r="649" spans="1:12" ht="31.2" hidden="1" outlineLevel="1" x14ac:dyDescent="0.25">
      <c r="A649" s="84"/>
      <c r="B649" s="329" t="s">
        <v>699</v>
      </c>
      <c r="C649" s="21" t="s">
        <v>12</v>
      </c>
      <c r="D649" s="340">
        <v>0</v>
      </c>
      <c r="E649" s="18"/>
      <c r="F649" s="164">
        <v>200</v>
      </c>
      <c r="G649" s="18"/>
      <c r="H649" s="2">
        <f>ROUND(D649*F649,2)</f>
        <v>0</v>
      </c>
      <c r="I649" s="18">
        <f t="shared" si="46"/>
        <v>0</v>
      </c>
    </row>
    <row r="650" spans="1:12" ht="31.2" hidden="1" outlineLevel="1" x14ac:dyDescent="0.25">
      <c r="A650" s="84"/>
      <c r="B650" s="329" t="s">
        <v>700</v>
      </c>
      <c r="C650" s="21" t="s">
        <v>12</v>
      </c>
      <c r="D650" s="340">
        <v>0</v>
      </c>
      <c r="E650" s="18"/>
      <c r="F650" s="164">
        <v>200</v>
      </c>
      <c r="G650" s="18"/>
      <c r="H650" s="2">
        <f>ROUND(D650*F650,2)</f>
        <v>0</v>
      </c>
      <c r="I650" s="18">
        <f t="shared" si="46"/>
        <v>0</v>
      </c>
    </row>
    <row r="651" spans="1:12" ht="31.2" hidden="1" outlineLevel="1" x14ac:dyDescent="0.25">
      <c r="A651" s="84"/>
      <c r="B651" s="329" t="s">
        <v>698</v>
      </c>
      <c r="C651" s="21" t="s">
        <v>12</v>
      </c>
      <c r="D651" s="340">
        <v>0</v>
      </c>
      <c r="E651" s="18"/>
      <c r="F651" s="164">
        <v>200</v>
      </c>
      <c r="G651" s="18"/>
      <c r="H651" s="2">
        <f>ROUND(D651*F651,2)</f>
        <v>0</v>
      </c>
      <c r="I651" s="18">
        <f t="shared" si="46"/>
        <v>0</v>
      </c>
    </row>
    <row r="652" spans="1:12" hidden="1" outlineLevel="1" x14ac:dyDescent="0.25">
      <c r="A652" s="84" t="s">
        <v>158</v>
      </c>
      <c r="B652" s="9" t="s">
        <v>279</v>
      </c>
      <c r="C652" s="31" t="s">
        <v>14</v>
      </c>
      <c r="D652" s="10">
        <f>D654+D653</f>
        <v>0</v>
      </c>
      <c r="E652" s="256">
        <v>150</v>
      </c>
      <c r="F652" s="60"/>
      <c r="G652" s="2">
        <f>ROUND(E652*D652,2)</f>
        <v>0</v>
      </c>
      <c r="H652" s="18"/>
      <c r="I652" s="18">
        <f t="shared" si="46"/>
        <v>0</v>
      </c>
    </row>
    <row r="653" spans="1:12" hidden="1" outlineLevel="1" x14ac:dyDescent="0.25">
      <c r="A653" s="84"/>
      <c r="B653" s="329" t="s">
        <v>422</v>
      </c>
      <c r="C653" s="21" t="s">
        <v>14</v>
      </c>
      <c r="D653" s="340">
        <v>0</v>
      </c>
      <c r="E653" s="18"/>
      <c r="F653" s="164">
        <v>350</v>
      </c>
      <c r="G653" s="18"/>
      <c r="H653" s="2">
        <f>ROUND(D653*F653,2)</f>
        <v>0</v>
      </c>
      <c r="I653" s="18">
        <f t="shared" si="46"/>
        <v>0</v>
      </c>
    </row>
    <row r="654" spans="1:12" ht="31.2" hidden="1" outlineLevel="1" x14ac:dyDescent="0.25">
      <c r="A654" s="84"/>
      <c r="B654" s="329" t="s">
        <v>690</v>
      </c>
      <c r="C654" s="21" t="s">
        <v>14</v>
      </c>
      <c r="D654" s="340">
        <v>0</v>
      </c>
      <c r="E654" s="18"/>
      <c r="F654" s="164">
        <v>350</v>
      </c>
      <c r="G654" s="18"/>
      <c r="H654" s="2">
        <f>ROUND(D654*F654,2)</f>
        <v>0</v>
      </c>
      <c r="I654" s="18">
        <f t="shared" si="46"/>
        <v>0</v>
      </c>
    </row>
    <row r="655" spans="1:12" s="5" customFormat="1" collapsed="1" x14ac:dyDescent="0.25">
      <c r="A655" s="223"/>
      <c r="B655" s="238" t="s">
        <v>328</v>
      </c>
      <c r="C655" s="234"/>
      <c r="D655" s="235"/>
      <c r="E655" s="236"/>
      <c r="F655" s="237"/>
      <c r="G655" s="236">
        <v>250000</v>
      </c>
      <c r="H655" s="236">
        <v>800000</v>
      </c>
      <c r="I655" s="236">
        <f>G655+H655</f>
        <v>1050000</v>
      </c>
      <c r="K655" s="5">
        <v>800000</v>
      </c>
      <c r="L655" s="5">
        <f>K655-I655</f>
        <v>-250000</v>
      </c>
    </row>
    <row r="656" spans="1:12" s="5" customFormat="1" ht="18.600000000000001" customHeight="1" x14ac:dyDescent="0.25">
      <c r="A656" s="84"/>
      <c r="B656" s="471" t="s">
        <v>624</v>
      </c>
      <c r="C656" s="9"/>
      <c r="D656" s="31"/>
      <c r="E656" s="10"/>
      <c r="F656" s="57"/>
      <c r="G656" s="10"/>
      <c r="H656" s="10"/>
      <c r="I656" s="31">
        <f>ROUND(I655/1.18*0.18,2)</f>
        <v>160169.49</v>
      </c>
    </row>
    <row r="657" spans="1:9" s="5" customFormat="1" ht="18.75" customHeight="1" x14ac:dyDescent="0.25">
      <c r="A657" s="109"/>
      <c r="B657" s="737" t="s">
        <v>1212</v>
      </c>
      <c r="C657" s="105"/>
      <c r="D657" s="105"/>
      <c r="E657" s="105"/>
      <c r="F657" s="138"/>
      <c r="G657" s="105"/>
      <c r="H657" s="105"/>
      <c r="I657" s="106"/>
    </row>
    <row r="658" spans="1:9" s="36" customFormat="1" ht="30" hidden="1" customHeight="1" outlineLevel="1" x14ac:dyDescent="0.25">
      <c r="A658" s="84" t="s">
        <v>76</v>
      </c>
      <c r="B658" s="495" t="s">
        <v>120</v>
      </c>
      <c r="C658" s="2"/>
      <c r="D658" s="2"/>
      <c r="E658" s="117"/>
      <c r="F658" s="11"/>
      <c r="G658" s="18"/>
      <c r="H658" s="18"/>
      <c r="I658" s="18"/>
    </row>
    <row r="659" spans="1:9" ht="31.2" hidden="1" outlineLevel="1" x14ac:dyDescent="0.25">
      <c r="A659" s="84" t="s">
        <v>542</v>
      </c>
      <c r="B659" s="29" t="s">
        <v>95</v>
      </c>
      <c r="C659" s="31" t="s">
        <v>29</v>
      </c>
      <c r="D659" s="10">
        <f>D660+D661+D662+D663+D664</f>
        <v>0</v>
      </c>
      <c r="E659" s="256">
        <v>85</v>
      </c>
      <c r="F659" s="60"/>
      <c r="G659" s="2">
        <f>ROUND(E659*D659,2)</f>
        <v>0</v>
      </c>
      <c r="H659" s="18"/>
      <c r="I659" s="18">
        <f>G659+H659</f>
        <v>0</v>
      </c>
    </row>
    <row r="660" spans="1:9" hidden="1" outlineLevel="1" x14ac:dyDescent="0.25">
      <c r="A660" s="84"/>
      <c r="B660" s="329" t="s">
        <v>96</v>
      </c>
      <c r="C660" s="21" t="s">
        <v>29</v>
      </c>
      <c r="D660" s="340">
        <v>0</v>
      </c>
      <c r="E660" s="18"/>
      <c r="F660" s="60">
        <v>42.23</v>
      </c>
      <c r="G660" s="18"/>
      <c r="H660" s="2">
        <f t="shared" ref="H660:H667" si="49">ROUND(D660*F660,2)</f>
        <v>0</v>
      </c>
      <c r="I660" s="18">
        <f>G660+H660</f>
        <v>0</v>
      </c>
    </row>
    <row r="661" spans="1:9" hidden="1" outlineLevel="1" x14ac:dyDescent="0.25">
      <c r="A661" s="84"/>
      <c r="B661" s="343" t="s">
        <v>98</v>
      </c>
      <c r="C661" s="21" t="s">
        <v>29</v>
      </c>
      <c r="D661" s="340">
        <v>0</v>
      </c>
      <c r="E661" s="18"/>
      <c r="F661" s="60">
        <v>58.9</v>
      </c>
      <c r="G661" s="18"/>
      <c r="H661" s="2">
        <f t="shared" si="49"/>
        <v>0</v>
      </c>
      <c r="I661" s="18">
        <f>G661+H661</f>
        <v>0</v>
      </c>
    </row>
    <row r="662" spans="1:9" hidden="1" outlineLevel="1" x14ac:dyDescent="0.25">
      <c r="A662" s="84"/>
      <c r="B662" s="329" t="s">
        <v>423</v>
      </c>
      <c r="C662" s="21" t="s">
        <v>29</v>
      </c>
      <c r="D662" s="340">
        <v>0</v>
      </c>
      <c r="E662" s="18"/>
      <c r="F662" s="60">
        <v>94.01</v>
      </c>
      <c r="G662" s="18"/>
      <c r="H662" s="2">
        <f t="shared" si="49"/>
        <v>0</v>
      </c>
      <c r="I662" s="18">
        <f>G662+H662</f>
        <v>0</v>
      </c>
    </row>
    <row r="663" spans="1:9" hidden="1" outlineLevel="1" x14ac:dyDescent="0.25">
      <c r="A663" s="84"/>
      <c r="B663" s="329" t="s">
        <v>424</v>
      </c>
      <c r="C663" s="21" t="s">
        <v>29</v>
      </c>
      <c r="D663" s="340">
        <v>0</v>
      </c>
      <c r="E663" s="18"/>
      <c r="F663" s="60">
        <v>135.80000000000001</v>
      </c>
      <c r="G663" s="18"/>
      <c r="H663" s="2">
        <f t="shared" si="49"/>
        <v>0</v>
      </c>
      <c r="I663" s="18">
        <f>G663+H663</f>
        <v>0</v>
      </c>
    </row>
    <row r="664" spans="1:9" hidden="1" outlineLevel="1" x14ac:dyDescent="0.25">
      <c r="A664" s="84"/>
      <c r="B664" s="329" t="s">
        <v>119</v>
      </c>
      <c r="C664" s="21" t="s">
        <v>29</v>
      </c>
      <c r="D664" s="340">
        <v>0</v>
      </c>
      <c r="E664" s="18"/>
      <c r="F664" s="60">
        <v>226</v>
      </c>
      <c r="G664" s="18"/>
      <c r="H664" s="2">
        <f t="shared" si="49"/>
        <v>0</v>
      </c>
      <c r="I664" s="18">
        <f t="shared" ref="I664:I736" si="50">G664+H664</f>
        <v>0</v>
      </c>
    </row>
    <row r="665" spans="1:9" hidden="1" outlineLevel="1" x14ac:dyDescent="0.25">
      <c r="A665" s="84"/>
      <c r="B665" s="329" t="s">
        <v>121</v>
      </c>
      <c r="C665" s="21" t="s">
        <v>12</v>
      </c>
      <c r="D665" s="340">
        <v>0</v>
      </c>
      <c r="E665" s="18"/>
      <c r="F665" s="60">
        <v>77.25</v>
      </c>
      <c r="G665" s="18"/>
      <c r="H665" s="2">
        <f t="shared" si="49"/>
        <v>0</v>
      </c>
      <c r="I665" s="18">
        <f t="shared" si="50"/>
        <v>0</v>
      </c>
    </row>
    <row r="666" spans="1:9" hidden="1" outlineLevel="1" x14ac:dyDescent="0.25">
      <c r="A666" s="84"/>
      <c r="B666" s="329" t="s">
        <v>426</v>
      </c>
      <c r="C666" s="21" t="s">
        <v>12</v>
      </c>
      <c r="D666" s="340">
        <v>0</v>
      </c>
      <c r="E666" s="18"/>
      <c r="F666" s="60">
        <v>77.25</v>
      </c>
      <c r="G666" s="18"/>
      <c r="H666" s="2">
        <f t="shared" si="49"/>
        <v>0</v>
      </c>
      <c r="I666" s="18">
        <f>G666+H666</f>
        <v>0</v>
      </c>
    </row>
    <row r="667" spans="1:9" ht="31.2" hidden="1" outlineLevel="1" x14ac:dyDescent="0.25">
      <c r="A667" s="84"/>
      <c r="B667" s="329" t="s">
        <v>107</v>
      </c>
      <c r="C667" s="21" t="s">
        <v>12</v>
      </c>
      <c r="D667" s="340">
        <v>0</v>
      </c>
      <c r="E667" s="18"/>
      <c r="F667" s="60">
        <v>40</v>
      </c>
      <c r="G667" s="18"/>
      <c r="H667" s="2">
        <f t="shared" si="49"/>
        <v>0</v>
      </c>
      <c r="I667" s="18">
        <f t="shared" si="50"/>
        <v>0</v>
      </c>
    </row>
    <row r="668" spans="1:9" hidden="1" outlineLevel="1" x14ac:dyDescent="0.25">
      <c r="A668" s="84"/>
      <c r="B668" s="329" t="s">
        <v>703</v>
      </c>
      <c r="C668" s="21" t="s">
        <v>14</v>
      </c>
      <c r="D668" s="340">
        <v>0</v>
      </c>
      <c r="E668" s="18"/>
      <c r="F668" s="164">
        <v>100</v>
      </c>
      <c r="G668" s="18"/>
      <c r="H668" s="2">
        <f>ROUND(D668*F668,2)</f>
        <v>0</v>
      </c>
      <c r="I668" s="18">
        <f>G668+H668</f>
        <v>0</v>
      </c>
    </row>
    <row r="669" spans="1:9" hidden="1" outlineLevel="1" x14ac:dyDescent="0.25">
      <c r="A669" s="84" t="s">
        <v>543</v>
      </c>
      <c r="B669" s="358" t="s">
        <v>427</v>
      </c>
      <c r="C669" s="176" t="s">
        <v>12</v>
      </c>
      <c r="D669" s="306">
        <v>0</v>
      </c>
      <c r="E669" s="18"/>
      <c r="F669" s="60"/>
      <c r="G669" s="18"/>
      <c r="H669" s="18"/>
      <c r="I669" s="18"/>
    </row>
    <row r="670" spans="1:9" hidden="1" outlineLevel="1" x14ac:dyDescent="0.25">
      <c r="A670" s="84"/>
      <c r="B670" s="329" t="s">
        <v>702</v>
      </c>
      <c r="C670" s="21" t="s">
        <v>12</v>
      </c>
      <c r="D670" s="340">
        <v>0</v>
      </c>
      <c r="E670" s="18"/>
      <c r="F670" s="60">
        <v>283</v>
      </c>
      <c r="G670" s="18"/>
      <c r="H670" s="2">
        <f>ROUND(D670*F670,2)</f>
        <v>0</v>
      </c>
      <c r="I670" s="18">
        <f t="shared" si="50"/>
        <v>0</v>
      </c>
    </row>
    <row r="671" spans="1:9" hidden="1" outlineLevel="1" x14ac:dyDescent="0.25">
      <c r="A671" s="84"/>
      <c r="B671" s="329" t="s">
        <v>467</v>
      </c>
      <c r="C671" s="21" t="s">
        <v>12</v>
      </c>
      <c r="D671" s="340">
        <v>0</v>
      </c>
      <c r="E671" s="18"/>
      <c r="F671" s="60">
        <v>322.2</v>
      </c>
      <c r="G671" s="18"/>
      <c r="H671" s="2">
        <f>ROUND(D671*F671,2)</f>
        <v>0</v>
      </c>
      <c r="I671" s="18">
        <f t="shared" si="50"/>
        <v>0</v>
      </c>
    </row>
    <row r="672" spans="1:9" hidden="1" outlineLevel="1" x14ac:dyDescent="0.25">
      <c r="A672" s="84" t="s">
        <v>544</v>
      </c>
      <c r="B672" s="307" t="s">
        <v>101</v>
      </c>
      <c r="C672" s="31" t="s">
        <v>29</v>
      </c>
      <c r="D672" s="306">
        <f>D659</f>
        <v>0</v>
      </c>
      <c r="E672" s="256">
        <v>30</v>
      </c>
      <c r="F672" s="60"/>
      <c r="G672" s="2">
        <f>ROUND(E672*D672,2)</f>
        <v>0</v>
      </c>
      <c r="H672" s="18"/>
      <c r="I672" s="18">
        <f t="shared" si="50"/>
        <v>0</v>
      </c>
    </row>
    <row r="673" spans="1:9" hidden="1" outlineLevel="1" x14ac:dyDescent="0.25">
      <c r="A673" s="84"/>
      <c r="B673" s="329" t="s">
        <v>122</v>
      </c>
      <c r="C673" s="21" t="s">
        <v>29</v>
      </c>
      <c r="D673" s="340">
        <v>0</v>
      </c>
      <c r="E673" s="282"/>
      <c r="F673" s="60">
        <v>62</v>
      </c>
      <c r="G673" s="18"/>
      <c r="H673" s="2">
        <f>ROUND(D673*F673,2)</f>
        <v>0</v>
      </c>
      <c r="I673" s="18">
        <f t="shared" si="50"/>
        <v>0</v>
      </c>
    </row>
    <row r="674" spans="1:9" hidden="1" outlineLevel="1" x14ac:dyDescent="0.25">
      <c r="A674" s="84" t="s">
        <v>545</v>
      </c>
      <c r="B674" s="307" t="s">
        <v>123</v>
      </c>
      <c r="C674" s="31" t="s">
        <v>12</v>
      </c>
      <c r="D674" s="306">
        <v>0</v>
      </c>
      <c r="E674" s="256">
        <v>500</v>
      </c>
      <c r="F674" s="60"/>
      <c r="G674" s="2">
        <f>ROUND(E674*D674,2)</f>
        <v>0</v>
      </c>
      <c r="H674" s="18"/>
      <c r="I674" s="18">
        <f t="shared" si="50"/>
        <v>0</v>
      </c>
    </row>
    <row r="675" spans="1:9" hidden="1" outlineLevel="1" x14ac:dyDescent="0.25">
      <c r="A675" s="84"/>
      <c r="B675" s="329" t="s">
        <v>124</v>
      </c>
      <c r="C675" s="21" t="s">
        <v>12</v>
      </c>
      <c r="D675" s="340">
        <v>0</v>
      </c>
      <c r="E675" s="282"/>
      <c r="F675" s="60">
        <v>100</v>
      </c>
      <c r="G675" s="18"/>
      <c r="H675" s="2">
        <f>ROUND(D675*F675,2)</f>
        <v>0</v>
      </c>
      <c r="I675" s="18">
        <f t="shared" si="50"/>
        <v>0</v>
      </c>
    </row>
    <row r="676" spans="1:9" hidden="1" outlineLevel="1" x14ac:dyDescent="0.25">
      <c r="A676" s="84"/>
      <c r="B676" s="343" t="s">
        <v>125</v>
      </c>
      <c r="C676" s="21" t="s">
        <v>12</v>
      </c>
      <c r="D676" s="340">
        <v>0</v>
      </c>
      <c r="E676" s="282"/>
      <c r="F676" s="60">
        <f>30*20</f>
        <v>600</v>
      </c>
      <c r="G676" s="18"/>
      <c r="H676" s="2">
        <f>ROUND(D676*F676,2)</f>
        <v>0</v>
      </c>
      <c r="I676" s="18">
        <f t="shared" si="50"/>
        <v>0</v>
      </c>
    </row>
    <row r="677" spans="1:9" hidden="1" outlineLevel="1" x14ac:dyDescent="0.25">
      <c r="A677" s="84" t="s">
        <v>78</v>
      </c>
      <c r="B677" s="75" t="s">
        <v>126</v>
      </c>
      <c r="C677" s="2"/>
      <c r="D677" s="2"/>
      <c r="E677" s="282"/>
      <c r="F677" s="11"/>
      <c r="G677" s="18"/>
      <c r="H677" s="18"/>
      <c r="I677" s="18">
        <f t="shared" si="50"/>
        <v>0</v>
      </c>
    </row>
    <row r="678" spans="1:9" hidden="1" outlineLevel="1" x14ac:dyDescent="0.25">
      <c r="A678" s="84" t="s">
        <v>546</v>
      </c>
      <c r="B678" s="29" t="s">
        <v>127</v>
      </c>
      <c r="C678" s="31" t="s">
        <v>12</v>
      </c>
      <c r="D678" s="31">
        <v>0</v>
      </c>
      <c r="E678" s="256">
        <v>10000</v>
      </c>
      <c r="F678" s="60"/>
      <c r="G678" s="2">
        <f>ROUND(E678*D678,2)</f>
        <v>0</v>
      </c>
      <c r="H678" s="18"/>
      <c r="I678" s="18">
        <f t="shared" si="50"/>
        <v>0</v>
      </c>
    </row>
    <row r="679" spans="1:9" hidden="1" outlineLevel="1" x14ac:dyDescent="0.25">
      <c r="A679" s="84"/>
      <c r="B679" s="343" t="s">
        <v>128</v>
      </c>
      <c r="C679" s="21" t="s">
        <v>12</v>
      </c>
      <c r="D679" s="340">
        <v>0</v>
      </c>
      <c r="E679" s="18"/>
      <c r="F679" s="60">
        <v>1033.78</v>
      </c>
      <c r="G679" s="18"/>
      <c r="H679" s="2">
        <f t="shared" ref="H679:H689" si="51">ROUND(D679*F679,2)</f>
        <v>0</v>
      </c>
      <c r="I679" s="18">
        <f t="shared" si="50"/>
        <v>0</v>
      </c>
    </row>
    <row r="680" spans="1:9" hidden="1" outlineLevel="1" x14ac:dyDescent="0.25">
      <c r="A680" s="84"/>
      <c r="B680" s="343" t="s">
        <v>129</v>
      </c>
      <c r="C680" s="21" t="s">
        <v>12</v>
      </c>
      <c r="D680" s="340">
        <v>0</v>
      </c>
      <c r="E680" s="18"/>
      <c r="F680" s="60">
        <v>2018.83</v>
      </c>
      <c r="G680" s="18"/>
      <c r="H680" s="2">
        <f t="shared" si="51"/>
        <v>0</v>
      </c>
      <c r="I680" s="18">
        <f t="shared" si="50"/>
        <v>0</v>
      </c>
    </row>
    <row r="681" spans="1:9" hidden="1" outlineLevel="1" x14ac:dyDescent="0.25">
      <c r="A681" s="84"/>
      <c r="B681" s="329" t="s">
        <v>130</v>
      </c>
      <c r="C681" s="21" t="s">
        <v>12</v>
      </c>
      <c r="D681" s="340">
        <v>0</v>
      </c>
      <c r="E681" s="18"/>
      <c r="F681" s="60">
        <v>109.44</v>
      </c>
      <c r="G681" s="18"/>
      <c r="H681" s="2">
        <f t="shared" si="51"/>
        <v>0</v>
      </c>
      <c r="I681" s="18">
        <f t="shared" si="50"/>
        <v>0</v>
      </c>
    </row>
    <row r="682" spans="1:9" hidden="1" outlineLevel="1" x14ac:dyDescent="0.25">
      <c r="A682" s="84"/>
      <c r="B682" s="329" t="s">
        <v>131</v>
      </c>
      <c r="C682" s="21" t="s">
        <v>12</v>
      </c>
      <c r="D682" s="340">
        <v>0</v>
      </c>
      <c r="E682" s="18"/>
      <c r="F682" s="60">
        <v>228.92</v>
      </c>
      <c r="G682" s="18"/>
      <c r="H682" s="2">
        <f t="shared" si="51"/>
        <v>0</v>
      </c>
      <c r="I682" s="18">
        <f t="shared" si="50"/>
        <v>0</v>
      </c>
    </row>
    <row r="683" spans="1:9" hidden="1" outlineLevel="1" x14ac:dyDescent="0.25">
      <c r="A683" s="84"/>
      <c r="B683" s="329" t="s">
        <v>132</v>
      </c>
      <c r="C683" s="21" t="s">
        <v>12</v>
      </c>
      <c r="D683" s="340">
        <v>0</v>
      </c>
      <c r="E683" s="18"/>
      <c r="F683" s="60">
        <v>198</v>
      </c>
      <c r="G683" s="18"/>
      <c r="H683" s="2">
        <f t="shared" si="51"/>
        <v>0</v>
      </c>
      <c r="I683" s="18">
        <f t="shared" si="50"/>
        <v>0</v>
      </c>
    </row>
    <row r="684" spans="1:9" hidden="1" outlineLevel="1" x14ac:dyDescent="0.25">
      <c r="A684" s="84"/>
      <c r="B684" s="329" t="s">
        <v>704</v>
      </c>
      <c r="C684" s="21" t="s">
        <v>12</v>
      </c>
      <c r="D684" s="340">
        <v>0</v>
      </c>
      <c r="E684" s="18"/>
      <c r="F684" s="164">
        <v>100</v>
      </c>
      <c r="G684" s="18"/>
      <c r="H684" s="2">
        <f>ROUND(D684*F684,2)</f>
        <v>0</v>
      </c>
      <c r="I684" s="18">
        <f>G684+H684</f>
        <v>0</v>
      </c>
    </row>
    <row r="685" spans="1:9" ht="19.95" hidden="1" customHeight="1" outlineLevel="1" x14ac:dyDescent="0.25">
      <c r="A685" s="84"/>
      <c r="B685" s="329" t="s">
        <v>706</v>
      </c>
      <c r="C685" s="21" t="s">
        <v>12</v>
      </c>
      <c r="D685" s="340">
        <v>0</v>
      </c>
      <c r="E685" s="18"/>
      <c r="F685" s="60">
        <v>43</v>
      </c>
      <c r="G685" s="18"/>
      <c r="H685" s="2">
        <f t="shared" si="51"/>
        <v>0</v>
      </c>
      <c r="I685" s="18">
        <f t="shared" si="50"/>
        <v>0</v>
      </c>
    </row>
    <row r="686" spans="1:9" ht="31.2" hidden="1" customHeight="1" outlineLevel="1" x14ac:dyDescent="0.25">
      <c r="A686" s="84"/>
      <c r="B686" s="329" t="s">
        <v>707</v>
      </c>
      <c r="C686" s="21" t="s">
        <v>12</v>
      </c>
      <c r="D686" s="340">
        <v>0</v>
      </c>
      <c r="E686" s="18"/>
      <c r="F686" s="60">
        <v>448</v>
      </c>
      <c r="G686" s="18"/>
      <c r="H686" s="2">
        <f t="shared" si="51"/>
        <v>0</v>
      </c>
      <c r="I686" s="18">
        <f t="shared" si="50"/>
        <v>0</v>
      </c>
    </row>
    <row r="687" spans="1:9" hidden="1" outlineLevel="1" x14ac:dyDescent="0.25">
      <c r="A687" s="84"/>
      <c r="B687" s="329" t="s">
        <v>133</v>
      </c>
      <c r="C687" s="21" t="s">
        <v>12</v>
      </c>
      <c r="D687" s="340">
        <v>0</v>
      </c>
      <c r="E687" s="18"/>
      <c r="F687" s="60">
        <v>5922.3</v>
      </c>
      <c r="G687" s="18"/>
      <c r="H687" s="2">
        <f t="shared" si="51"/>
        <v>0</v>
      </c>
      <c r="I687" s="18">
        <f>G687+H687</f>
        <v>0</v>
      </c>
    </row>
    <row r="688" spans="1:9" hidden="1" outlineLevel="1" x14ac:dyDescent="0.25">
      <c r="A688" s="84"/>
      <c r="B688" s="329" t="s">
        <v>705</v>
      </c>
      <c r="C688" s="21" t="s">
        <v>12</v>
      </c>
      <c r="D688" s="340">
        <v>0</v>
      </c>
      <c r="E688" s="18"/>
      <c r="F688" s="60">
        <v>127</v>
      </c>
      <c r="G688" s="18"/>
      <c r="H688" s="2">
        <f t="shared" si="51"/>
        <v>0</v>
      </c>
      <c r="I688" s="18">
        <f t="shared" si="50"/>
        <v>0</v>
      </c>
    </row>
    <row r="689" spans="1:9" hidden="1" outlineLevel="1" x14ac:dyDescent="0.25">
      <c r="A689" s="84"/>
      <c r="B689" s="329" t="s">
        <v>91</v>
      </c>
      <c r="C689" s="21" t="s">
        <v>15</v>
      </c>
      <c r="D689" s="340">
        <v>0</v>
      </c>
      <c r="E689" s="18"/>
      <c r="F689" s="60">
        <f>37500/1000</f>
        <v>37.5</v>
      </c>
      <c r="G689" s="18"/>
      <c r="H689" s="2">
        <f t="shared" si="51"/>
        <v>0</v>
      </c>
      <c r="I689" s="18">
        <f t="shared" si="50"/>
        <v>0</v>
      </c>
    </row>
    <row r="690" spans="1:9" hidden="1" outlineLevel="1" x14ac:dyDescent="0.25">
      <c r="A690" s="84" t="s">
        <v>82</v>
      </c>
      <c r="B690" s="75" t="s">
        <v>134</v>
      </c>
      <c r="C690" s="2"/>
      <c r="D690" s="158"/>
      <c r="E690" s="2"/>
      <c r="F690" s="11"/>
      <c r="G690" s="18"/>
      <c r="H690" s="18"/>
      <c r="I690" s="18">
        <f t="shared" si="50"/>
        <v>0</v>
      </c>
    </row>
    <row r="691" spans="1:9" ht="31.2" hidden="1" outlineLevel="1" x14ac:dyDescent="0.25">
      <c r="A691" s="84" t="s">
        <v>547</v>
      </c>
      <c r="B691" s="307" t="s">
        <v>112</v>
      </c>
      <c r="C691" s="31" t="s">
        <v>29</v>
      </c>
      <c r="D691" s="31">
        <f>D692</f>
        <v>0</v>
      </c>
      <c r="E691" s="256">
        <v>85</v>
      </c>
      <c r="F691" s="60"/>
      <c r="G691" s="2">
        <f>ROUND(E691*D691,2)</f>
        <v>0</v>
      </c>
      <c r="H691" s="18"/>
      <c r="I691" s="18">
        <f t="shared" si="50"/>
        <v>0</v>
      </c>
    </row>
    <row r="692" spans="1:9" hidden="1" outlineLevel="1" x14ac:dyDescent="0.25">
      <c r="A692" s="84"/>
      <c r="B692" s="329" t="s">
        <v>114</v>
      </c>
      <c r="C692" s="21" t="s">
        <v>29</v>
      </c>
      <c r="D692" s="340">
        <v>0</v>
      </c>
      <c r="E692" s="282"/>
      <c r="F692" s="60">
        <f>311.85/3</f>
        <v>103.95</v>
      </c>
      <c r="G692" s="18"/>
      <c r="H692" s="2">
        <f>ROUND(D692*F692,2)</f>
        <v>0</v>
      </c>
      <c r="I692" s="18">
        <f t="shared" si="50"/>
        <v>0</v>
      </c>
    </row>
    <row r="693" spans="1:9" hidden="1" outlineLevel="1" x14ac:dyDescent="0.25">
      <c r="A693" s="84"/>
      <c r="B693" s="329" t="s">
        <v>329</v>
      </c>
      <c r="C693" s="21" t="s">
        <v>12</v>
      </c>
      <c r="D693" s="340">
        <v>0</v>
      </c>
      <c r="E693" s="282"/>
      <c r="F693" s="60">
        <v>200</v>
      </c>
      <c r="G693" s="18"/>
      <c r="H693" s="2">
        <f>ROUND(D693*F693,2)</f>
        <v>0</v>
      </c>
      <c r="I693" s="18">
        <f t="shared" si="50"/>
        <v>0</v>
      </c>
    </row>
    <row r="694" spans="1:9" hidden="1" outlineLevel="1" x14ac:dyDescent="0.25">
      <c r="A694" s="84"/>
      <c r="B694" s="329" t="s">
        <v>135</v>
      </c>
      <c r="C694" s="21" t="s">
        <v>12</v>
      </c>
      <c r="D694" s="340">
        <v>0</v>
      </c>
      <c r="E694" s="282"/>
      <c r="F694" s="60">
        <v>61.27</v>
      </c>
      <c r="G694" s="18"/>
      <c r="H694" s="2">
        <f>ROUND(D694*F694,2)</f>
        <v>0</v>
      </c>
      <c r="I694" s="18">
        <f t="shared" si="50"/>
        <v>0</v>
      </c>
    </row>
    <row r="695" spans="1:9" hidden="1" outlineLevel="1" x14ac:dyDescent="0.25">
      <c r="A695" s="84"/>
      <c r="B695" s="329" t="s">
        <v>433</v>
      </c>
      <c r="C695" s="21" t="s">
        <v>12</v>
      </c>
      <c r="D695" s="340">
        <v>0</v>
      </c>
      <c r="E695" s="282"/>
      <c r="F695" s="60">
        <v>40</v>
      </c>
      <c r="G695" s="18"/>
      <c r="H695" s="2">
        <f>ROUND(D695*F695,2)</f>
        <v>0</v>
      </c>
      <c r="I695" s="18">
        <f>G695+H695</f>
        <v>0</v>
      </c>
    </row>
    <row r="696" spans="1:9" hidden="1" outlineLevel="1" x14ac:dyDescent="0.25">
      <c r="A696" s="84" t="s">
        <v>548</v>
      </c>
      <c r="B696" s="307" t="s">
        <v>136</v>
      </c>
      <c r="C696" s="31" t="s">
        <v>29</v>
      </c>
      <c r="D696" s="306">
        <f>D697</f>
        <v>0</v>
      </c>
      <c r="E696" s="256">
        <v>150</v>
      </c>
      <c r="F696" s="60"/>
      <c r="G696" s="2">
        <f>ROUND(E696*D696,2)</f>
        <v>0</v>
      </c>
      <c r="H696" s="18"/>
      <c r="I696" s="18">
        <f t="shared" si="50"/>
        <v>0</v>
      </c>
    </row>
    <row r="697" spans="1:9" hidden="1" outlineLevel="1" x14ac:dyDescent="0.25">
      <c r="A697" s="84"/>
      <c r="B697" s="329" t="s">
        <v>432</v>
      </c>
      <c r="C697" s="21" t="s">
        <v>29</v>
      </c>
      <c r="D697" s="340">
        <v>0</v>
      </c>
      <c r="E697" s="282"/>
      <c r="F697" s="60">
        <f>107*3</f>
        <v>321</v>
      </c>
      <c r="G697" s="18"/>
      <c r="H697" s="2">
        <f>ROUND(D697*F697,2)</f>
        <v>0</v>
      </c>
      <c r="I697" s="18">
        <f t="shared" si="50"/>
        <v>0</v>
      </c>
    </row>
    <row r="698" spans="1:9" hidden="1" outlineLevel="1" x14ac:dyDescent="0.25">
      <c r="A698" s="84"/>
      <c r="B698" s="329" t="s">
        <v>708</v>
      </c>
      <c r="C698" s="21" t="s">
        <v>12</v>
      </c>
      <c r="D698" s="340">
        <v>0</v>
      </c>
      <c r="E698" s="282"/>
      <c r="F698" s="60">
        <v>205</v>
      </c>
      <c r="G698" s="18"/>
      <c r="H698" s="2">
        <f>ROUND(D698*F698,2)</f>
        <v>0</v>
      </c>
      <c r="I698" s="18">
        <f t="shared" si="50"/>
        <v>0</v>
      </c>
    </row>
    <row r="699" spans="1:9" hidden="1" outlineLevel="1" x14ac:dyDescent="0.25">
      <c r="A699" s="87" t="s">
        <v>549</v>
      </c>
      <c r="B699" s="29" t="s">
        <v>101</v>
      </c>
      <c r="C699" s="31" t="s">
        <v>29</v>
      </c>
      <c r="D699" s="31">
        <f>D691</f>
        <v>0</v>
      </c>
      <c r="E699" s="256">
        <v>150</v>
      </c>
      <c r="F699" s="60"/>
      <c r="G699" s="2">
        <f>ROUND(E699*D699,2)</f>
        <v>0</v>
      </c>
      <c r="H699" s="18"/>
      <c r="I699" s="18">
        <f t="shared" si="50"/>
        <v>0</v>
      </c>
    </row>
    <row r="700" spans="1:9" hidden="1" outlineLevel="1" x14ac:dyDescent="0.25">
      <c r="A700" s="84"/>
      <c r="B700" s="329" t="s">
        <v>174</v>
      </c>
      <c r="C700" s="21" t="s">
        <v>12</v>
      </c>
      <c r="D700" s="340">
        <v>0</v>
      </c>
      <c r="E700" s="282"/>
      <c r="F700" s="60">
        <v>200</v>
      </c>
      <c r="G700" s="18"/>
      <c r="H700" s="2">
        <f>ROUND(D700*F700,2)</f>
        <v>0</v>
      </c>
      <c r="I700" s="18">
        <f t="shared" si="50"/>
        <v>0</v>
      </c>
    </row>
    <row r="701" spans="1:9" hidden="1" outlineLevel="1" x14ac:dyDescent="0.25">
      <c r="A701" s="87" t="s">
        <v>550</v>
      </c>
      <c r="B701" s="307" t="s">
        <v>138</v>
      </c>
      <c r="C701" s="31" t="s">
        <v>12</v>
      </c>
      <c r="D701" s="306">
        <v>0</v>
      </c>
      <c r="E701" s="282"/>
      <c r="F701" s="60"/>
      <c r="G701" s="18"/>
      <c r="H701" s="18"/>
      <c r="I701" s="18">
        <f t="shared" si="50"/>
        <v>0</v>
      </c>
    </row>
    <row r="702" spans="1:9" hidden="1" outlineLevel="1" x14ac:dyDescent="0.25">
      <c r="A702" s="84"/>
      <c r="B702" s="329" t="s">
        <v>709</v>
      </c>
      <c r="C702" s="21" t="s">
        <v>12</v>
      </c>
      <c r="D702" s="340">
        <v>0</v>
      </c>
      <c r="E702" s="282"/>
      <c r="F702" s="60">
        <v>5555</v>
      </c>
      <c r="G702" s="18"/>
      <c r="H702" s="2">
        <f>ROUND(D702*F702,2)</f>
        <v>0</v>
      </c>
      <c r="I702" s="18">
        <f t="shared" si="50"/>
        <v>0</v>
      </c>
    </row>
    <row r="703" spans="1:9" hidden="1" outlineLevel="1" x14ac:dyDescent="0.25">
      <c r="A703" s="84"/>
      <c r="B703" s="329" t="s">
        <v>710</v>
      </c>
      <c r="C703" s="21" t="s">
        <v>12</v>
      </c>
      <c r="D703" s="340">
        <v>0</v>
      </c>
      <c r="E703" s="282"/>
      <c r="F703" s="164">
        <v>300</v>
      </c>
      <c r="G703" s="18"/>
      <c r="H703" s="2">
        <f>ROUND(D703*F703,2)</f>
        <v>0</v>
      </c>
      <c r="I703" s="18">
        <f>G703+H703</f>
        <v>0</v>
      </c>
    </row>
    <row r="704" spans="1:9" ht="31.2" hidden="1" outlineLevel="1" x14ac:dyDescent="0.25">
      <c r="A704" s="87" t="s">
        <v>551</v>
      </c>
      <c r="B704" s="29" t="s">
        <v>434</v>
      </c>
      <c r="C704" s="31" t="s">
        <v>29</v>
      </c>
      <c r="D704" s="31">
        <f>D705</f>
        <v>0</v>
      </c>
      <c r="E704" s="256">
        <v>250</v>
      </c>
      <c r="F704" s="60"/>
      <c r="G704" s="2">
        <f>ROUND(E704*D704,2)</f>
        <v>0</v>
      </c>
      <c r="H704" s="18"/>
      <c r="I704" s="18">
        <f t="shared" si="50"/>
        <v>0</v>
      </c>
    </row>
    <row r="705" spans="1:10" hidden="1" outlineLevel="1" x14ac:dyDescent="0.25">
      <c r="A705" s="84"/>
      <c r="B705" s="329" t="s">
        <v>114</v>
      </c>
      <c r="C705" s="21" t="s">
        <v>29</v>
      </c>
      <c r="D705" s="340">
        <v>0</v>
      </c>
      <c r="E705" s="18"/>
      <c r="F705" s="60">
        <v>103.95</v>
      </c>
      <c r="G705" s="18"/>
      <c r="H705" s="2">
        <f>ROUND(D705*F705,2)</f>
        <v>0</v>
      </c>
      <c r="I705" s="18">
        <f t="shared" si="50"/>
        <v>0</v>
      </c>
    </row>
    <row r="706" spans="1:10" hidden="1" outlineLevel="1" x14ac:dyDescent="0.25">
      <c r="A706" s="84"/>
      <c r="B706" s="329" t="s">
        <v>703</v>
      </c>
      <c r="C706" s="21" t="s">
        <v>14</v>
      </c>
      <c r="D706" s="340">
        <v>0</v>
      </c>
      <c r="E706" s="18"/>
      <c r="F706" s="164">
        <v>100</v>
      </c>
      <c r="G706" s="18"/>
      <c r="H706" s="2">
        <f>ROUND(D706*F706,2)</f>
        <v>0</v>
      </c>
      <c r="I706" s="18">
        <f t="shared" si="50"/>
        <v>0</v>
      </c>
    </row>
    <row r="707" spans="1:10" hidden="1" outlineLevel="1" x14ac:dyDescent="0.25">
      <c r="A707" s="84"/>
      <c r="B707" s="192" t="s">
        <v>140</v>
      </c>
      <c r="C707" s="2"/>
      <c r="D707" s="2"/>
      <c r="E707" s="2"/>
      <c r="F707" s="11"/>
      <c r="G707" s="18"/>
      <c r="H707" s="18"/>
      <c r="I707" s="18">
        <f t="shared" si="50"/>
        <v>0</v>
      </c>
    </row>
    <row r="708" spans="1:10" ht="31.2" hidden="1" outlineLevel="1" x14ac:dyDescent="0.25">
      <c r="A708" s="84"/>
      <c r="B708" s="307" t="s">
        <v>112</v>
      </c>
      <c r="C708" s="2" t="s">
        <v>29</v>
      </c>
      <c r="D708" s="306">
        <f>D709</f>
        <v>0</v>
      </c>
      <c r="E708" s="31">
        <v>250</v>
      </c>
      <c r="F708" s="60"/>
      <c r="G708" s="2">
        <f>ROUND(E708*D708,2)</f>
        <v>0</v>
      </c>
      <c r="H708" s="18"/>
      <c r="I708" s="18">
        <f>G708+H708</f>
        <v>0</v>
      </c>
      <c r="J708" s="780"/>
    </row>
    <row r="709" spans="1:10" hidden="1" outlineLevel="1" x14ac:dyDescent="0.25">
      <c r="A709" s="84"/>
      <c r="B709" s="329" t="s">
        <v>711</v>
      </c>
      <c r="C709" s="21" t="s">
        <v>29</v>
      </c>
      <c r="D709" s="340">
        <v>0</v>
      </c>
      <c r="E709" s="2"/>
      <c r="F709" s="11">
        <v>103.95</v>
      </c>
      <c r="G709" s="158"/>
      <c r="H709" s="2">
        <f t="shared" ref="H709:H719" si="52">ROUND(D709*F709,2)</f>
        <v>0</v>
      </c>
      <c r="I709" s="18">
        <f t="shared" si="50"/>
        <v>0</v>
      </c>
      <c r="J709" s="780"/>
    </row>
    <row r="710" spans="1:10" hidden="1" outlineLevel="1" x14ac:dyDescent="0.25">
      <c r="A710" s="84"/>
      <c r="B710" s="329" t="s">
        <v>91</v>
      </c>
      <c r="C710" s="21" t="s">
        <v>15</v>
      </c>
      <c r="D710" s="340">
        <v>0</v>
      </c>
      <c r="E710" s="2"/>
      <c r="F710" s="11">
        <v>42</v>
      </c>
      <c r="G710" s="158"/>
      <c r="H710" s="2">
        <f t="shared" si="52"/>
        <v>0</v>
      </c>
      <c r="I710" s="18">
        <f t="shared" si="50"/>
        <v>0</v>
      </c>
      <c r="J710" s="780"/>
    </row>
    <row r="711" spans="1:10" hidden="1" outlineLevel="1" x14ac:dyDescent="0.25">
      <c r="A711" s="84"/>
      <c r="B711" s="307" t="s">
        <v>141</v>
      </c>
      <c r="C711" s="2" t="s">
        <v>12</v>
      </c>
      <c r="D711" s="340">
        <v>0</v>
      </c>
      <c r="E711" s="2"/>
      <c r="F711" s="11"/>
      <c r="G711" s="158"/>
      <c r="H711" s="2">
        <f t="shared" si="52"/>
        <v>0</v>
      </c>
      <c r="I711" s="18">
        <f t="shared" si="50"/>
        <v>0</v>
      </c>
      <c r="J711" s="780"/>
    </row>
    <row r="712" spans="1:10" hidden="1" outlineLevel="1" x14ac:dyDescent="0.25">
      <c r="A712" s="84"/>
      <c r="B712" s="329" t="s">
        <v>142</v>
      </c>
      <c r="C712" s="21" t="s">
        <v>12</v>
      </c>
      <c r="D712" s="340">
        <v>0</v>
      </c>
      <c r="E712" s="2"/>
      <c r="F712" s="11">
        <v>586.74</v>
      </c>
      <c r="G712" s="158"/>
      <c r="H712" s="2">
        <f t="shared" si="52"/>
        <v>0</v>
      </c>
      <c r="I712" s="18">
        <f t="shared" si="50"/>
        <v>0</v>
      </c>
      <c r="J712" s="780"/>
    </row>
    <row r="713" spans="1:10" hidden="1" outlineLevel="1" x14ac:dyDescent="0.25">
      <c r="A713" s="84"/>
      <c r="B713" s="329" t="s">
        <v>143</v>
      </c>
      <c r="C713" s="21" t="s">
        <v>12</v>
      </c>
      <c r="D713" s="340">
        <v>0</v>
      </c>
      <c r="E713" s="2"/>
      <c r="F713" s="11">
        <v>429</v>
      </c>
      <c r="G713" s="158"/>
      <c r="H713" s="2">
        <f t="shared" si="52"/>
        <v>0</v>
      </c>
      <c r="I713" s="18">
        <f t="shared" si="50"/>
        <v>0</v>
      </c>
      <c r="J713" s="780"/>
    </row>
    <row r="714" spans="1:10" hidden="1" outlineLevel="1" x14ac:dyDescent="0.25">
      <c r="A714" s="84"/>
      <c r="B714" s="329" t="s">
        <v>712</v>
      </c>
      <c r="C714" s="21" t="s">
        <v>12</v>
      </c>
      <c r="D714" s="340">
        <v>0</v>
      </c>
      <c r="E714" s="18"/>
      <c r="F714" s="164">
        <v>100</v>
      </c>
      <c r="G714" s="18"/>
      <c r="H714" s="2">
        <f t="shared" si="52"/>
        <v>0</v>
      </c>
      <c r="I714" s="18">
        <f t="shared" si="50"/>
        <v>0</v>
      </c>
      <c r="J714" s="780"/>
    </row>
    <row r="715" spans="1:10" hidden="1" outlineLevel="1" x14ac:dyDescent="0.25">
      <c r="A715" s="84"/>
      <c r="B715" s="329" t="s">
        <v>713</v>
      </c>
      <c r="C715" s="21" t="s">
        <v>12</v>
      </c>
      <c r="D715" s="340">
        <v>0</v>
      </c>
      <c r="E715" s="282"/>
      <c r="F715" s="164">
        <v>40</v>
      </c>
      <c r="G715" s="18"/>
      <c r="H715" s="2">
        <f>ROUND(D715*F715,2)</f>
        <v>0</v>
      </c>
      <c r="I715" s="18">
        <f>G715+H715</f>
        <v>0</v>
      </c>
      <c r="J715" s="780"/>
    </row>
    <row r="716" spans="1:10" hidden="1" outlineLevel="1" x14ac:dyDescent="0.25">
      <c r="A716" s="84"/>
      <c r="B716" s="307" t="s">
        <v>101</v>
      </c>
      <c r="C716" s="2" t="s">
        <v>29</v>
      </c>
      <c r="D716" s="340">
        <f>D708</f>
        <v>0</v>
      </c>
      <c r="E716" s="2"/>
      <c r="F716" s="11"/>
      <c r="G716" s="158"/>
      <c r="H716" s="2">
        <f t="shared" si="52"/>
        <v>0</v>
      </c>
      <c r="I716" s="18">
        <f t="shared" si="50"/>
        <v>0</v>
      </c>
      <c r="J716" s="780"/>
    </row>
    <row r="717" spans="1:10" hidden="1" outlineLevel="1" x14ac:dyDescent="0.25">
      <c r="A717" s="84"/>
      <c r="B717" s="329" t="s">
        <v>137</v>
      </c>
      <c r="C717" s="21" t="s">
        <v>12</v>
      </c>
      <c r="D717" s="340">
        <v>0</v>
      </c>
      <c r="E717" s="2"/>
      <c r="F717" s="11">
        <v>200</v>
      </c>
      <c r="G717" s="158"/>
      <c r="H717" s="2">
        <f t="shared" si="52"/>
        <v>0</v>
      </c>
      <c r="I717" s="18">
        <f t="shared" si="50"/>
        <v>0</v>
      </c>
      <c r="J717" s="780"/>
    </row>
    <row r="718" spans="1:10" hidden="1" outlineLevel="1" x14ac:dyDescent="0.25">
      <c r="A718" s="84"/>
      <c r="B718" s="329" t="s">
        <v>703</v>
      </c>
      <c r="C718" s="21" t="s">
        <v>14</v>
      </c>
      <c r="D718" s="340">
        <v>0</v>
      </c>
      <c r="E718" s="18"/>
      <c r="F718" s="164">
        <v>100</v>
      </c>
      <c r="G718" s="18"/>
      <c r="H718" s="2">
        <f t="shared" si="52"/>
        <v>0</v>
      </c>
      <c r="I718" s="18">
        <f>G718+H718</f>
        <v>0</v>
      </c>
      <c r="J718" s="359"/>
    </row>
    <row r="719" spans="1:10" hidden="1" outlineLevel="1" x14ac:dyDescent="0.25">
      <c r="A719" s="84" t="s">
        <v>84</v>
      </c>
      <c r="B719" s="75" t="s">
        <v>144</v>
      </c>
      <c r="C719" s="2"/>
      <c r="D719" s="2"/>
      <c r="E719" s="2"/>
      <c r="F719" s="11"/>
      <c r="G719" s="18"/>
      <c r="H719" s="2">
        <f t="shared" si="52"/>
        <v>0</v>
      </c>
      <c r="I719" s="18">
        <f t="shared" si="50"/>
        <v>0</v>
      </c>
    </row>
    <row r="720" spans="1:10" ht="31.2" hidden="1" outlineLevel="1" x14ac:dyDescent="0.25">
      <c r="A720" s="84" t="s">
        <v>552</v>
      </c>
      <c r="B720" s="177" t="s">
        <v>145</v>
      </c>
      <c r="C720" s="31" t="s">
        <v>29</v>
      </c>
      <c r="D720" s="31">
        <v>0</v>
      </c>
      <c r="E720" s="256">
        <v>30</v>
      </c>
      <c r="F720" s="60"/>
      <c r="G720" s="2"/>
      <c r="H720" s="18"/>
      <c r="I720" s="18"/>
    </row>
    <row r="721" spans="1:10" hidden="1" outlineLevel="1" x14ac:dyDescent="0.25">
      <c r="A721" s="84"/>
      <c r="B721" s="173" t="s">
        <v>146</v>
      </c>
      <c r="C721" s="21" t="s">
        <v>12</v>
      </c>
      <c r="D721" s="184">
        <v>0</v>
      </c>
      <c r="E721" s="18"/>
      <c r="F721" s="60">
        <v>9275</v>
      </c>
      <c r="G721" s="18"/>
      <c r="H721" s="2"/>
      <c r="I721" s="18"/>
    </row>
    <row r="722" spans="1:10" hidden="1" outlineLevel="1" x14ac:dyDescent="0.25">
      <c r="A722" s="84"/>
      <c r="B722" s="173" t="s">
        <v>147</v>
      </c>
      <c r="C722" s="21" t="s">
        <v>29</v>
      </c>
      <c r="D722" s="2">
        <f>D720</f>
        <v>0</v>
      </c>
      <c r="E722" s="18"/>
      <c r="F722" s="60">
        <v>3</v>
      </c>
      <c r="G722" s="18"/>
      <c r="H722" s="2"/>
      <c r="I722" s="18"/>
    </row>
    <row r="723" spans="1:10" ht="31.2" hidden="1" outlineLevel="1" x14ac:dyDescent="0.25">
      <c r="A723" s="84" t="s">
        <v>331</v>
      </c>
      <c r="B723" s="75" t="s">
        <v>148</v>
      </c>
      <c r="C723" s="2"/>
      <c r="D723" s="2"/>
      <c r="E723" s="2"/>
      <c r="F723" s="11"/>
      <c r="G723" s="18"/>
      <c r="H723" s="18"/>
      <c r="I723" s="18">
        <f t="shared" si="50"/>
        <v>0</v>
      </c>
    </row>
    <row r="724" spans="1:10" hidden="1" outlineLevel="1" x14ac:dyDescent="0.25">
      <c r="A724" s="84"/>
      <c r="B724" s="177" t="s">
        <v>149</v>
      </c>
      <c r="C724" s="158" t="s">
        <v>12</v>
      </c>
      <c r="D724" s="158">
        <v>0</v>
      </c>
      <c r="E724" s="158"/>
      <c r="F724" s="164"/>
      <c r="G724" s="158"/>
      <c r="H724" s="158"/>
      <c r="I724" s="158"/>
      <c r="J724" s="780"/>
    </row>
    <row r="725" spans="1:10" ht="31.2" hidden="1" outlineLevel="1" x14ac:dyDescent="0.25">
      <c r="A725" s="84"/>
      <c r="B725" s="173" t="s">
        <v>150</v>
      </c>
      <c r="C725" s="171" t="s">
        <v>12</v>
      </c>
      <c r="D725" s="158">
        <v>0</v>
      </c>
      <c r="E725" s="158"/>
      <c r="F725" s="164">
        <f>2352*1.18</f>
        <v>2775.3599999999997</v>
      </c>
      <c r="G725" s="158"/>
      <c r="H725" s="158"/>
      <c r="I725" s="158"/>
      <c r="J725" s="780"/>
    </row>
    <row r="726" spans="1:10" hidden="1" outlineLevel="1" x14ac:dyDescent="0.25">
      <c r="A726" s="84" t="s">
        <v>553</v>
      </c>
      <c r="B726" s="307" t="s">
        <v>151</v>
      </c>
      <c r="C726" s="31" t="s">
        <v>29</v>
      </c>
      <c r="D726" s="306">
        <f>D727</f>
        <v>0</v>
      </c>
      <c r="E726" s="256">
        <v>100</v>
      </c>
      <c r="F726" s="60"/>
      <c r="G726" s="2">
        <f>ROUND(E726*D726,2)</f>
        <v>0</v>
      </c>
      <c r="H726" s="18"/>
      <c r="I726" s="18">
        <f t="shared" si="50"/>
        <v>0</v>
      </c>
    </row>
    <row r="727" spans="1:10" hidden="1" outlineLevel="1" x14ac:dyDescent="0.25">
      <c r="A727" s="84"/>
      <c r="B727" s="329" t="s">
        <v>701</v>
      </c>
      <c r="C727" s="21" t="s">
        <v>29</v>
      </c>
      <c r="D727" s="340">
        <v>0</v>
      </c>
      <c r="E727" s="18"/>
      <c r="F727" s="60">
        <f>2779*1.18</f>
        <v>3279.22</v>
      </c>
      <c r="G727" s="18"/>
      <c r="H727" s="2">
        <f>ROUND(D727*F727,2)</f>
        <v>0</v>
      </c>
      <c r="I727" s="18">
        <f t="shared" si="50"/>
        <v>0</v>
      </c>
    </row>
    <row r="728" spans="1:10" ht="31.2" hidden="1" outlineLevel="1" x14ac:dyDescent="0.25">
      <c r="A728" s="84" t="s">
        <v>554</v>
      </c>
      <c r="B728" s="307" t="s">
        <v>152</v>
      </c>
      <c r="C728" s="31" t="s">
        <v>29</v>
      </c>
      <c r="D728" s="306">
        <f>D729</f>
        <v>0</v>
      </c>
      <c r="E728" s="256">
        <v>85</v>
      </c>
      <c r="F728" s="60"/>
      <c r="G728" s="2">
        <f>ROUND(E728*D728,2)</f>
        <v>0</v>
      </c>
      <c r="H728" s="18"/>
      <c r="I728" s="18">
        <f t="shared" si="50"/>
        <v>0</v>
      </c>
    </row>
    <row r="729" spans="1:10" hidden="1" outlineLevel="1" x14ac:dyDescent="0.25">
      <c r="A729" s="84"/>
      <c r="B729" s="329" t="s">
        <v>438</v>
      </c>
      <c r="C729" s="21" t="s">
        <v>29</v>
      </c>
      <c r="D729" s="340">
        <v>0</v>
      </c>
      <c r="E729" s="18"/>
      <c r="F729" s="60">
        <f>1626.1/5.5</f>
        <v>295.65454545454543</v>
      </c>
      <c r="G729" s="18"/>
      <c r="H729" s="2">
        <f>ROUND(D729*F729,2)</f>
        <v>0</v>
      </c>
      <c r="I729" s="18">
        <f t="shared" si="50"/>
        <v>0</v>
      </c>
    </row>
    <row r="730" spans="1:10" s="6" customFormat="1" hidden="1" outlineLevel="1" x14ac:dyDescent="0.25">
      <c r="A730" s="84" t="s">
        <v>555</v>
      </c>
      <c r="B730" s="307" t="s">
        <v>153</v>
      </c>
      <c r="C730" s="31" t="s">
        <v>12</v>
      </c>
      <c r="D730" s="306">
        <v>0</v>
      </c>
      <c r="E730" s="5"/>
      <c r="F730" s="60"/>
      <c r="G730" s="18"/>
      <c r="H730" s="18"/>
      <c r="I730" s="18">
        <f t="shared" si="50"/>
        <v>0</v>
      </c>
    </row>
    <row r="731" spans="1:10" hidden="1" outlineLevel="1" x14ac:dyDescent="0.25">
      <c r="A731" s="84"/>
      <c r="B731" s="329" t="s">
        <v>436</v>
      </c>
      <c r="C731" s="21" t="s">
        <v>12</v>
      </c>
      <c r="D731" s="340">
        <v>0</v>
      </c>
      <c r="E731" s="18"/>
      <c r="F731" s="60">
        <v>480.3</v>
      </c>
      <c r="G731" s="18"/>
      <c r="H731" s="2">
        <f>ROUND(D731*F731,2)</f>
        <v>0</v>
      </c>
      <c r="I731" s="18">
        <f t="shared" si="50"/>
        <v>0</v>
      </c>
    </row>
    <row r="732" spans="1:10" hidden="1" outlineLevel="1" x14ac:dyDescent="0.25">
      <c r="A732" s="84"/>
      <c r="B732" s="329" t="s">
        <v>435</v>
      </c>
      <c r="C732" s="21" t="s">
        <v>12</v>
      </c>
      <c r="D732" s="340">
        <v>0</v>
      </c>
      <c r="E732" s="18"/>
      <c r="F732" s="60">
        <v>322.2</v>
      </c>
      <c r="G732" s="18"/>
      <c r="H732" s="2">
        <f>ROUND(D732*F732,2)</f>
        <v>0</v>
      </c>
      <c r="I732" s="18">
        <f t="shared" si="50"/>
        <v>0</v>
      </c>
    </row>
    <row r="733" spans="1:10" hidden="1" outlineLevel="1" x14ac:dyDescent="0.25">
      <c r="A733" s="84" t="s">
        <v>556</v>
      </c>
      <c r="B733" s="75" t="s">
        <v>92</v>
      </c>
      <c r="C733" s="2"/>
      <c r="D733" s="2"/>
      <c r="E733" s="2"/>
      <c r="F733" s="11"/>
      <c r="G733" s="18"/>
      <c r="H733" s="18"/>
      <c r="I733" s="18">
        <f t="shared" si="50"/>
        <v>0</v>
      </c>
    </row>
    <row r="734" spans="1:10" ht="31.2" hidden="1" outlineLevel="1" x14ac:dyDescent="0.25">
      <c r="A734" s="84" t="s">
        <v>557</v>
      </c>
      <c r="B734" s="9" t="s">
        <v>93</v>
      </c>
      <c r="C734" s="31" t="s">
        <v>29</v>
      </c>
      <c r="D734" s="31">
        <v>0</v>
      </c>
      <c r="E734" s="256">
        <v>150</v>
      </c>
      <c r="F734" s="60"/>
      <c r="G734" s="2">
        <f>ROUND(E734*D734,2)</f>
        <v>0</v>
      </c>
      <c r="H734" s="18"/>
      <c r="I734" s="18">
        <f t="shared" si="50"/>
        <v>0</v>
      </c>
    </row>
    <row r="735" spans="1:10" hidden="1" outlineLevel="1" x14ac:dyDescent="0.25">
      <c r="A735" s="84"/>
      <c r="B735" s="343" t="s">
        <v>94</v>
      </c>
      <c r="C735" s="21" t="s">
        <v>29</v>
      </c>
      <c r="D735" s="340">
        <v>0</v>
      </c>
      <c r="E735" s="282"/>
      <c r="F735" s="60">
        <v>64.900000000000006</v>
      </c>
      <c r="G735" s="18"/>
      <c r="H735" s="2">
        <f>ROUND(D735*F735,2)</f>
        <v>0</v>
      </c>
      <c r="I735" s="18">
        <f t="shared" si="50"/>
        <v>0</v>
      </c>
    </row>
    <row r="736" spans="1:10" ht="31.2" hidden="1" outlineLevel="1" x14ac:dyDescent="0.25">
      <c r="A736" s="84" t="s">
        <v>558</v>
      </c>
      <c r="B736" s="29" t="s">
        <v>95</v>
      </c>
      <c r="C736" s="31" t="s">
        <v>29</v>
      </c>
      <c r="D736" s="31">
        <f>D737+D738+D739+D740</f>
        <v>0</v>
      </c>
      <c r="E736" s="256">
        <v>85</v>
      </c>
      <c r="F736" s="60"/>
      <c r="G736" s="2">
        <f>ROUND(E736*D736,2)</f>
        <v>0</v>
      </c>
      <c r="H736" s="18"/>
      <c r="I736" s="18">
        <f t="shared" si="50"/>
        <v>0</v>
      </c>
    </row>
    <row r="737" spans="1:9" hidden="1" outlineLevel="1" x14ac:dyDescent="0.25">
      <c r="A737" s="84"/>
      <c r="B737" s="343" t="s">
        <v>96</v>
      </c>
      <c r="C737" s="21" t="s">
        <v>29</v>
      </c>
      <c r="D737" s="340">
        <v>0</v>
      </c>
      <c r="E737" s="282"/>
      <c r="F737" s="60">
        <v>22.07</v>
      </c>
      <c r="G737" s="18"/>
      <c r="H737" s="2">
        <f t="shared" ref="H737:H744" si="53">ROUND(D737*F737,2)</f>
        <v>0</v>
      </c>
      <c r="I737" s="18">
        <f t="shared" ref="I737:I767" si="54">G737+H737</f>
        <v>0</v>
      </c>
    </row>
    <row r="738" spans="1:9" hidden="1" outlineLevel="1" x14ac:dyDescent="0.25">
      <c r="A738" s="84"/>
      <c r="B738" s="343" t="s">
        <v>97</v>
      </c>
      <c r="C738" s="21" t="s">
        <v>29</v>
      </c>
      <c r="D738" s="340">
        <v>0</v>
      </c>
      <c r="E738" s="282"/>
      <c r="F738" s="60">
        <v>25.75</v>
      </c>
      <c r="G738" s="18"/>
      <c r="H738" s="2">
        <f t="shared" si="53"/>
        <v>0</v>
      </c>
      <c r="I738" s="18">
        <f t="shared" si="54"/>
        <v>0</v>
      </c>
    </row>
    <row r="739" spans="1:9" hidden="1" outlineLevel="1" x14ac:dyDescent="0.25">
      <c r="A739" s="84"/>
      <c r="B739" s="343" t="s">
        <v>98</v>
      </c>
      <c r="C739" s="21" t="s">
        <v>29</v>
      </c>
      <c r="D739" s="340">
        <v>0</v>
      </c>
      <c r="E739" s="282"/>
      <c r="F739" s="60">
        <v>58.9</v>
      </c>
      <c r="G739" s="18"/>
      <c r="H739" s="2">
        <f t="shared" si="53"/>
        <v>0</v>
      </c>
      <c r="I739" s="18">
        <f t="shared" si="54"/>
        <v>0</v>
      </c>
    </row>
    <row r="740" spans="1:9" hidden="1" outlineLevel="1" x14ac:dyDescent="0.25">
      <c r="A740" s="84"/>
      <c r="B740" s="343" t="s">
        <v>241</v>
      </c>
      <c r="C740" s="21" t="s">
        <v>29</v>
      </c>
      <c r="D740" s="340">
        <v>0</v>
      </c>
      <c r="E740" s="282"/>
      <c r="F740" s="60">
        <v>75</v>
      </c>
      <c r="G740" s="18"/>
      <c r="H740" s="2">
        <f t="shared" si="53"/>
        <v>0</v>
      </c>
      <c r="I740" s="18">
        <f>G740+H740</f>
        <v>0</v>
      </c>
    </row>
    <row r="741" spans="1:9" hidden="1" outlineLevel="1" x14ac:dyDescent="0.25">
      <c r="A741" s="84"/>
      <c r="B741" s="329" t="s">
        <v>99</v>
      </c>
      <c r="C741" s="21" t="s">
        <v>12</v>
      </c>
      <c r="D741" s="340">
        <v>0</v>
      </c>
      <c r="E741" s="282"/>
      <c r="F741" s="60">
        <v>198</v>
      </c>
      <c r="G741" s="18"/>
      <c r="H741" s="2">
        <f t="shared" si="53"/>
        <v>0</v>
      </c>
      <c r="I741" s="18">
        <f t="shared" si="54"/>
        <v>0</v>
      </c>
    </row>
    <row r="742" spans="1:9" hidden="1" outlineLevel="1" x14ac:dyDescent="0.25">
      <c r="A742" s="84"/>
      <c r="B742" s="329" t="s">
        <v>100</v>
      </c>
      <c r="C742" s="21" t="s">
        <v>12</v>
      </c>
      <c r="D742" s="340">
        <v>0</v>
      </c>
      <c r="E742" s="282"/>
      <c r="F742" s="60">
        <v>198</v>
      </c>
      <c r="G742" s="18"/>
      <c r="H742" s="2">
        <f t="shared" si="53"/>
        <v>0</v>
      </c>
      <c r="I742" s="18">
        <f t="shared" si="54"/>
        <v>0</v>
      </c>
    </row>
    <row r="743" spans="1:9" ht="31.2" hidden="1" outlineLevel="1" x14ac:dyDescent="0.25">
      <c r="A743" s="84"/>
      <c r="B743" s="329" t="s">
        <v>107</v>
      </c>
      <c r="C743" s="21" t="s">
        <v>12</v>
      </c>
      <c r="D743" s="360">
        <v>0</v>
      </c>
      <c r="E743" s="282"/>
      <c r="F743" s="361">
        <v>70</v>
      </c>
      <c r="G743" s="18"/>
      <c r="H743" s="2">
        <f t="shared" si="53"/>
        <v>0</v>
      </c>
      <c r="I743" s="18">
        <f t="shared" si="54"/>
        <v>0</v>
      </c>
    </row>
    <row r="744" spans="1:9" ht="31.2" hidden="1" outlineLevel="1" x14ac:dyDescent="0.25">
      <c r="A744" s="84"/>
      <c r="B744" s="329" t="s">
        <v>242</v>
      </c>
      <c r="C744" s="21" t="s">
        <v>29</v>
      </c>
      <c r="D744" s="340">
        <v>0</v>
      </c>
      <c r="E744" s="282"/>
      <c r="F744" s="60">
        <v>35</v>
      </c>
      <c r="G744" s="18"/>
      <c r="H744" s="2">
        <f t="shared" si="53"/>
        <v>0</v>
      </c>
      <c r="I744" s="18">
        <f>G744+H744</f>
        <v>0</v>
      </c>
    </row>
    <row r="745" spans="1:9" hidden="1" outlineLevel="1" x14ac:dyDescent="0.25">
      <c r="A745" s="84" t="s">
        <v>559</v>
      </c>
      <c r="B745" s="29" t="s">
        <v>101</v>
      </c>
      <c r="C745" s="31" t="s">
        <v>29</v>
      </c>
      <c r="D745" s="306">
        <f>D746</f>
        <v>0</v>
      </c>
      <c r="E745" s="256">
        <v>30</v>
      </c>
      <c r="F745" s="60"/>
      <c r="G745" s="2">
        <f>ROUND(E745*D745,2)</f>
        <v>0</v>
      </c>
      <c r="H745" s="18"/>
      <c r="I745" s="18">
        <f t="shared" si="54"/>
        <v>0</v>
      </c>
    </row>
    <row r="746" spans="1:9" hidden="1" outlineLevel="1" x14ac:dyDescent="0.25">
      <c r="A746" s="84"/>
      <c r="B746" s="329" t="s">
        <v>175</v>
      </c>
      <c r="C746" s="21" t="s">
        <v>29</v>
      </c>
      <c r="D746" s="340">
        <v>0</v>
      </c>
      <c r="E746" s="18"/>
      <c r="F746" s="164">
        <v>74</v>
      </c>
      <c r="G746" s="18"/>
      <c r="H746" s="2">
        <f>ROUND(D746*F746,2)</f>
        <v>0</v>
      </c>
      <c r="I746" s="18">
        <f t="shared" si="54"/>
        <v>0</v>
      </c>
    </row>
    <row r="747" spans="1:9" hidden="1" outlineLevel="1" x14ac:dyDescent="0.25">
      <c r="A747" s="84" t="s">
        <v>560</v>
      </c>
      <c r="B747" s="29" t="s">
        <v>102</v>
      </c>
      <c r="C747" s="31" t="s">
        <v>12</v>
      </c>
      <c r="D747" s="306">
        <f>D748</f>
        <v>0</v>
      </c>
      <c r="E747" s="256">
        <v>500</v>
      </c>
      <c r="F747" s="60"/>
      <c r="G747" s="2">
        <f>ROUND(E747*D747,2)</f>
        <v>0</v>
      </c>
      <c r="H747" s="18"/>
      <c r="I747" s="18">
        <f t="shared" si="54"/>
        <v>0</v>
      </c>
    </row>
    <row r="748" spans="1:9" hidden="1" outlineLevel="1" x14ac:dyDescent="0.25">
      <c r="A748" s="84"/>
      <c r="B748" s="343" t="s">
        <v>103</v>
      </c>
      <c r="C748" s="21" t="s">
        <v>12</v>
      </c>
      <c r="D748" s="340">
        <v>0</v>
      </c>
      <c r="E748" s="282"/>
      <c r="F748" s="60">
        <v>400</v>
      </c>
      <c r="G748" s="18"/>
      <c r="H748" s="2">
        <f>ROUND(D748*F748,2)</f>
        <v>0</v>
      </c>
      <c r="I748" s="18">
        <f t="shared" si="54"/>
        <v>0</v>
      </c>
    </row>
    <row r="749" spans="1:9" hidden="1" outlineLevel="1" x14ac:dyDescent="0.25">
      <c r="A749" s="84"/>
      <c r="B749" s="343" t="s">
        <v>104</v>
      </c>
      <c r="C749" s="21" t="s">
        <v>12</v>
      </c>
      <c r="D749" s="340">
        <f>D748</f>
        <v>0</v>
      </c>
      <c r="E749" s="282"/>
      <c r="F749" s="60">
        <v>210.8</v>
      </c>
      <c r="G749" s="18"/>
      <c r="H749" s="2">
        <f>ROUND(D749*F749,2)</f>
        <v>0</v>
      </c>
      <c r="I749" s="18">
        <f t="shared" si="54"/>
        <v>0</v>
      </c>
    </row>
    <row r="750" spans="1:9" hidden="1" outlineLevel="1" x14ac:dyDescent="0.25">
      <c r="A750" s="84" t="s">
        <v>561</v>
      </c>
      <c r="B750" s="29" t="s">
        <v>105</v>
      </c>
      <c r="C750" s="31" t="s">
        <v>12</v>
      </c>
      <c r="D750" s="306">
        <f>D749</f>
        <v>0</v>
      </c>
      <c r="E750" s="256">
        <v>520</v>
      </c>
      <c r="F750" s="60"/>
      <c r="G750" s="2">
        <f>ROUND(E750*D750,2)</f>
        <v>0</v>
      </c>
      <c r="H750" s="18"/>
      <c r="I750" s="18">
        <f t="shared" si="54"/>
        <v>0</v>
      </c>
    </row>
    <row r="751" spans="1:9" ht="31.2" hidden="1" outlineLevel="1" x14ac:dyDescent="0.25">
      <c r="A751" s="84"/>
      <c r="B751" s="343" t="s">
        <v>106</v>
      </c>
      <c r="C751" s="21" t="s">
        <v>12</v>
      </c>
      <c r="D751" s="340">
        <f>D750</f>
        <v>0</v>
      </c>
      <c r="E751" s="282"/>
      <c r="F751" s="60">
        <v>900</v>
      </c>
      <c r="G751" s="18"/>
      <c r="H751" s="2">
        <f>ROUND(D751*F751,2)</f>
        <v>0</v>
      </c>
      <c r="I751" s="18">
        <f t="shared" si="54"/>
        <v>0</v>
      </c>
    </row>
    <row r="752" spans="1:9" hidden="1" outlineLevel="1" x14ac:dyDescent="0.25">
      <c r="A752" s="84" t="s">
        <v>562</v>
      </c>
      <c r="B752" s="75" t="s">
        <v>108</v>
      </c>
      <c r="C752" s="2"/>
      <c r="D752" s="158"/>
      <c r="E752" s="282"/>
      <c r="F752" s="11"/>
      <c r="G752" s="18"/>
      <c r="H752" s="18"/>
      <c r="I752" s="18">
        <f t="shared" si="54"/>
        <v>0</v>
      </c>
    </row>
    <row r="753" spans="1:10" ht="31.2" hidden="1" outlineLevel="1" x14ac:dyDescent="0.25">
      <c r="A753" s="84" t="s">
        <v>563</v>
      </c>
      <c r="B753" s="29" t="s">
        <v>110</v>
      </c>
      <c r="C753" s="31" t="s">
        <v>29</v>
      </c>
      <c r="D753" s="31">
        <f>D754</f>
        <v>0</v>
      </c>
      <c r="E753" s="256">
        <v>85</v>
      </c>
      <c r="F753" s="60"/>
      <c r="G753" s="2">
        <f>ROUND(E753*D753,2)</f>
        <v>0</v>
      </c>
      <c r="H753" s="18">
        <f>D753*F753</f>
        <v>0</v>
      </c>
      <c r="I753" s="18">
        <f t="shared" si="54"/>
        <v>0</v>
      </c>
    </row>
    <row r="754" spans="1:10" ht="31.2" hidden="1" outlineLevel="1" x14ac:dyDescent="0.25">
      <c r="A754" s="84"/>
      <c r="B754" s="343" t="s">
        <v>109</v>
      </c>
      <c r="C754" s="21" t="s">
        <v>29</v>
      </c>
      <c r="D754" s="340">
        <v>0</v>
      </c>
      <c r="E754" s="18"/>
      <c r="F754" s="361">
        <v>170</v>
      </c>
      <c r="G754" s="18"/>
      <c r="H754" s="2">
        <f>ROUND(D754*F754,2)</f>
        <v>0</v>
      </c>
      <c r="I754" s="18">
        <f t="shared" si="54"/>
        <v>0</v>
      </c>
    </row>
    <row r="755" spans="1:10" hidden="1" outlineLevel="1" x14ac:dyDescent="0.25">
      <c r="A755" s="84"/>
      <c r="B755" s="329" t="s">
        <v>100</v>
      </c>
      <c r="C755" s="21" t="s">
        <v>12</v>
      </c>
      <c r="D755" s="340">
        <v>0</v>
      </c>
      <c r="E755" s="18"/>
      <c r="F755" s="361">
        <v>198</v>
      </c>
      <c r="G755" s="18"/>
      <c r="H755" s="2">
        <f>ROUND(D755*F755,2)</f>
        <v>0</v>
      </c>
      <c r="I755" s="18">
        <f t="shared" si="54"/>
        <v>0</v>
      </c>
    </row>
    <row r="756" spans="1:10" ht="31.2" hidden="1" outlineLevel="1" x14ac:dyDescent="0.25">
      <c r="A756" s="84"/>
      <c r="B756" s="329" t="s">
        <v>107</v>
      </c>
      <c r="C756" s="21" t="s">
        <v>12</v>
      </c>
      <c r="D756" s="340">
        <v>0</v>
      </c>
      <c r="E756" s="18"/>
      <c r="F756" s="361">
        <v>120</v>
      </c>
      <c r="G756" s="18"/>
      <c r="H756" s="2">
        <f>ROUND(D756*F756,2)</f>
        <v>0</v>
      </c>
      <c r="I756" s="18">
        <f t="shared" si="54"/>
        <v>0</v>
      </c>
    </row>
    <row r="757" spans="1:10" ht="31.2" hidden="1" outlineLevel="1" x14ac:dyDescent="0.25">
      <c r="A757" s="84"/>
      <c r="B757" s="329" t="s">
        <v>439</v>
      </c>
      <c r="C757" s="21" t="s">
        <v>29</v>
      </c>
      <c r="D757" s="340">
        <v>0</v>
      </c>
      <c r="E757" s="18"/>
      <c r="F757" s="60">
        <v>35</v>
      </c>
      <c r="G757" s="18"/>
      <c r="H757" s="2">
        <f>ROUND(D757*F757,2)</f>
        <v>0</v>
      </c>
      <c r="I757" s="18">
        <f>G757+H757</f>
        <v>0</v>
      </c>
    </row>
    <row r="758" spans="1:10" hidden="1" outlineLevel="1" x14ac:dyDescent="0.25">
      <c r="A758" s="84" t="s">
        <v>564</v>
      </c>
      <c r="B758" s="75" t="s">
        <v>111</v>
      </c>
      <c r="C758" s="2"/>
      <c r="D758" s="158"/>
      <c r="E758" s="2"/>
      <c r="F758" s="11"/>
      <c r="G758" s="18"/>
      <c r="H758" s="18"/>
      <c r="I758" s="18">
        <f t="shared" si="54"/>
        <v>0</v>
      </c>
    </row>
    <row r="759" spans="1:10" ht="31.2" hidden="1" outlineLevel="1" x14ac:dyDescent="0.25">
      <c r="A759" s="84" t="s">
        <v>565</v>
      </c>
      <c r="B759" s="29" t="s">
        <v>112</v>
      </c>
      <c r="C759" s="31" t="s">
        <v>29</v>
      </c>
      <c r="D759" s="31">
        <f>D760+D761+D762</f>
        <v>0</v>
      </c>
      <c r="E759" s="256">
        <v>85</v>
      </c>
      <c r="F759" s="60"/>
      <c r="G759" s="2">
        <f>ROUND(E759*D759,2)</f>
        <v>0</v>
      </c>
      <c r="H759" s="18"/>
      <c r="I759" s="18">
        <f t="shared" si="54"/>
        <v>0</v>
      </c>
    </row>
    <row r="760" spans="1:10" hidden="1" outlineLevel="1" x14ac:dyDescent="0.25">
      <c r="A760" s="84"/>
      <c r="B760" s="329" t="s">
        <v>113</v>
      </c>
      <c r="C760" s="21" t="s">
        <v>29</v>
      </c>
      <c r="D760" s="340">
        <v>0</v>
      </c>
      <c r="E760" s="18"/>
      <c r="F760" s="60">
        <v>63.8</v>
      </c>
      <c r="G760" s="18"/>
      <c r="H760" s="2">
        <f t="shared" ref="H760:H766" si="55">ROUND(D760*F760,2)</f>
        <v>0</v>
      </c>
      <c r="I760" s="18">
        <f t="shared" si="54"/>
        <v>0</v>
      </c>
    </row>
    <row r="761" spans="1:10" hidden="1" outlineLevel="1" x14ac:dyDescent="0.25">
      <c r="A761" s="84"/>
      <c r="B761" s="329" t="s">
        <v>440</v>
      </c>
      <c r="C761" s="21" t="s">
        <v>29</v>
      </c>
      <c r="D761" s="340">
        <v>0</v>
      </c>
      <c r="E761" s="18"/>
      <c r="F761" s="11">
        <v>55</v>
      </c>
      <c r="G761" s="18"/>
      <c r="H761" s="2">
        <f t="shared" si="55"/>
        <v>0</v>
      </c>
      <c r="I761" s="18">
        <f>G761+H761</f>
        <v>0</v>
      </c>
    </row>
    <row r="762" spans="1:10" hidden="1" outlineLevel="1" x14ac:dyDescent="0.25">
      <c r="A762" s="84"/>
      <c r="B762" s="329" t="s">
        <v>114</v>
      </c>
      <c r="C762" s="21" t="s">
        <v>29</v>
      </c>
      <c r="D762" s="340">
        <v>0</v>
      </c>
      <c r="E762" s="18"/>
      <c r="F762" s="60">
        <v>103.95</v>
      </c>
      <c r="G762" s="18"/>
      <c r="H762" s="2">
        <f t="shared" si="55"/>
        <v>0</v>
      </c>
      <c r="I762" s="18">
        <f>G762+H762</f>
        <v>0</v>
      </c>
    </row>
    <row r="763" spans="1:10" hidden="1" outlineLevel="1" x14ac:dyDescent="0.25">
      <c r="A763" s="84"/>
      <c r="B763" s="329" t="s">
        <v>115</v>
      </c>
      <c r="C763" s="21" t="s">
        <v>12</v>
      </c>
      <c r="D763" s="340">
        <v>0</v>
      </c>
      <c r="E763" s="18"/>
      <c r="F763" s="60">
        <v>61.27</v>
      </c>
      <c r="G763" s="18"/>
      <c r="H763" s="2">
        <f t="shared" si="55"/>
        <v>0</v>
      </c>
      <c r="I763" s="18">
        <f t="shared" si="54"/>
        <v>0</v>
      </c>
    </row>
    <row r="764" spans="1:10" hidden="1" outlineLevel="1" x14ac:dyDescent="0.25">
      <c r="A764" s="84"/>
      <c r="B764" s="343" t="s">
        <v>91</v>
      </c>
      <c r="C764" s="21" t="s">
        <v>15</v>
      </c>
      <c r="D764" s="340">
        <v>0</v>
      </c>
      <c r="E764" s="18"/>
      <c r="F764" s="60">
        <f>37500/1000</f>
        <v>37.5</v>
      </c>
      <c r="G764" s="18"/>
      <c r="H764" s="2">
        <f t="shared" si="55"/>
        <v>0</v>
      </c>
      <c r="I764" s="18">
        <f t="shared" si="54"/>
        <v>0</v>
      </c>
    </row>
    <row r="765" spans="1:10" hidden="1" outlineLevel="1" x14ac:dyDescent="0.25">
      <c r="A765" s="84"/>
      <c r="B765" s="329" t="s">
        <v>116</v>
      </c>
      <c r="C765" s="21" t="s">
        <v>12</v>
      </c>
      <c r="D765" s="340">
        <v>0</v>
      </c>
      <c r="E765" s="18"/>
      <c r="F765" s="60">
        <v>320</v>
      </c>
      <c r="G765" s="18"/>
      <c r="H765" s="2">
        <f t="shared" si="55"/>
        <v>0</v>
      </c>
      <c r="I765" s="18">
        <f t="shared" si="54"/>
        <v>0</v>
      </c>
    </row>
    <row r="766" spans="1:10" hidden="1" outlineLevel="1" x14ac:dyDescent="0.25">
      <c r="A766" s="84"/>
      <c r="B766" s="329" t="s">
        <v>441</v>
      </c>
      <c r="C766" s="21" t="s">
        <v>12</v>
      </c>
      <c r="D766" s="340">
        <v>0</v>
      </c>
      <c r="E766" s="18"/>
      <c r="F766" s="60">
        <v>1250</v>
      </c>
      <c r="G766" s="18"/>
      <c r="H766" s="2">
        <f t="shared" si="55"/>
        <v>0</v>
      </c>
      <c r="I766" s="18">
        <f>G766+H766</f>
        <v>0</v>
      </c>
    </row>
    <row r="767" spans="1:10" hidden="1" outlineLevel="1" x14ac:dyDescent="0.25">
      <c r="A767" s="84"/>
      <c r="B767" s="75" t="s">
        <v>117</v>
      </c>
      <c r="C767" s="2"/>
      <c r="D767" s="158"/>
      <c r="E767" s="2"/>
      <c r="F767" s="11"/>
      <c r="G767" s="18"/>
      <c r="H767" s="18"/>
      <c r="I767" s="18">
        <f t="shared" si="54"/>
        <v>0</v>
      </c>
    </row>
    <row r="768" spans="1:10" ht="31.2" hidden="1" outlineLevel="1" x14ac:dyDescent="0.25">
      <c r="A768" s="87"/>
      <c r="B768" s="307" t="s">
        <v>112</v>
      </c>
      <c r="C768" s="2" t="s">
        <v>29</v>
      </c>
      <c r="D768" s="306">
        <f>D769</f>
        <v>0</v>
      </c>
      <c r="E768" s="256">
        <v>85</v>
      </c>
      <c r="F768" s="60"/>
      <c r="G768" s="2">
        <f>ROUND(E768*D768,2)</f>
        <v>0</v>
      </c>
      <c r="H768" s="18"/>
      <c r="I768" s="18">
        <f>G768+H768</f>
        <v>0</v>
      </c>
      <c r="J768" s="780"/>
    </row>
    <row r="769" spans="1:12" hidden="1" outlineLevel="1" x14ac:dyDescent="0.25">
      <c r="A769" s="84"/>
      <c r="B769" s="329" t="s">
        <v>114</v>
      </c>
      <c r="C769" s="21" t="s">
        <v>29</v>
      </c>
      <c r="D769" s="340">
        <v>0</v>
      </c>
      <c r="E769" s="158"/>
      <c r="F769" s="60">
        <v>103.95</v>
      </c>
      <c r="G769" s="158"/>
      <c r="H769" s="2">
        <f t="shared" ref="H769:H774" si="56">ROUND(D769*F769,2)</f>
        <v>0</v>
      </c>
      <c r="I769" s="18">
        <f t="shared" ref="I769:I774" si="57">G769+H769</f>
        <v>0</v>
      </c>
      <c r="J769" s="780"/>
    </row>
    <row r="770" spans="1:12" hidden="1" outlineLevel="1" x14ac:dyDescent="0.25">
      <c r="A770" s="84"/>
      <c r="B770" s="329" t="s">
        <v>115</v>
      </c>
      <c r="C770" s="21" t="s">
        <v>12</v>
      </c>
      <c r="D770" s="340">
        <v>0</v>
      </c>
      <c r="E770" s="158"/>
      <c r="F770" s="60">
        <v>61.27</v>
      </c>
      <c r="G770" s="158"/>
      <c r="H770" s="2">
        <f t="shared" si="56"/>
        <v>0</v>
      </c>
      <c r="I770" s="18">
        <f t="shared" si="57"/>
        <v>0</v>
      </c>
      <c r="J770" s="780"/>
    </row>
    <row r="771" spans="1:12" hidden="1" outlineLevel="1" x14ac:dyDescent="0.25">
      <c r="A771" s="84"/>
      <c r="B771" s="343" t="s">
        <v>91</v>
      </c>
      <c r="C771" s="21" t="s">
        <v>15</v>
      </c>
      <c r="D771" s="340">
        <v>0</v>
      </c>
      <c r="E771" s="158"/>
      <c r="F771" s="11">
        <f>37500/1000</f>
        <v>37.5</v>
      </c>
      <c r="G771" s="158"/>
      <c r="H771" s="2">
        <f t="shared" si="56"/>
        <v>0</v>
      </c>
      <c r="I771" s="18">
        <f t="shared" si="57"/>
        <v>0</v>
      </c>
      <c r="J771" s="780"/>
    </row>
    <row r="772" spans="1:12" hidden="1" outlineLevel="1" x14ac:dyDescent="0.25">
      <c r="A772" s="84"/>
      <c r="B772" s="329" t="s">
        <v>116</v>
      </c>
      <c r="C772" s="21" t="s">
        <v>12</v>
      </c>
      <c r="D772" s="340">
        <v>0</v>
      </c>
      <c r="E772" s="158"/>
      <c r="F772" s="11">
        <v>320</v>
      </c>
      <c r="G772" s="158"/>
      <c r="H772" s="2">
        <f t="shared" si="56"/>
        <v>0</v>
      </c>
      <c r="I772" s="18">
        <f t="shared" si="57"/>
        <v>0</v>
      </c>
      <c r="J772" s="780"/>
    </row>
    <row r="773" spans="1:12" hidden="1" outlineLevel="1" x14ac:dyDescent="0.25">
      <c r="A773" s="84"/>
      <c r="B773" s="329" t="s">
        <v>118</v>
      </c>
      <c r="C773" s="21" t="s">
        <v>12</v>
      </c>
      <c r="D773" s="340">
        <v>0</v>
      </c>
      <c r="E773" s="158"/>
      <c r="F773" s="164">
        <v>2435.6</v>
      </c>
      <c r="G773" s="158"/>
      <c r="H773" s="2">
        <f>ROUND(D773*F773,2)</f>
        <v>0</v>
      </c>
      <c r="I773" s="18">
        <f>G773+H773</f>
        <v>0</v>
      </c>
      <c r="J773" s="780"/>
    </row>
    <row r="774" spans="1:12" hidden="1" outlineLevel="1" x14ac:dyDescent="0.25">
      <c r="A774" s="84"/>
      <c r="B774" s="329" t="s">
        <v>714</v>
      </c>
      <c r="C774" s="21" t="s">
        <v>12</v>
      </c>
      <c r="D774" s="340">
        <v>0</v>
      </c>
      <c r="E774" s="158"/>
      <c r="F774" s="164">
        <v>100</v>
      </c>
      <c r="G774" s="158"/>
      <c r="H774" s="2">
        <f t="shared" si="56"/>
        <v>0</v>
      </c>
      <c r="I774" s="18">
        <f t="shared" si="57"/>
        <v>0</v>
      </c>
      <c r="J774" s="780"/>
    </row>
    <row r="775" spans="1:12" s="5" customFormat="1" ht="26.4" customHeight="1" collapsed="1" x14ac:dyDescent="0.25">
      <c r="A775" s="223"/>
      <c r="B775" s="233" t="s">
        <v>62</v>
      </c>
      <c r="C775" s="234"/>
      <c r="D775" s="235"/>
      <c r="E775" s="236"/>
      <c r="F775" s="237"/>
      <c r="G775" s="236">
        <v>420000</v>
      </c>
      <c r="H775" s="236">
        <v>1100000</v>
      </c>
      <c r="I775" s="236">
        <f>G775+H775</f>
        <v>1520000</v>
      </c>
      <c r="K775" s="5">
        <f>90*4000+1150000</f>
        <v>1510000</v>
      </c>
      <c r="L775" s="5">
        <f>K775-I775</f>
        <v>-10000</v>
      </c>
    </row>
    <row r="776" spans="1:12" s="5" customFormat="1" x14ac:dyDescent="0.25">
      <c r="A776" s="84"/>
      <c r="B776" s="471" t="s">
        <v>624</v>
      </c>
      <c r="C776" s="9"/>
      <c r="D776" s="31"/>
      <c r="E776" s="10"/>
      <c r="F776" s="57"/>
      <c r="G776" s="10"/>
      <c r="H776" s="10"/>
      <c r="I776" s="31">
        <f>ROUND(I775/1.18*0.18,2)</f>
        <v>231864.41</v>
      </c>
    </row>
    <row r="777" spans="1:12" s="5" customFormat="1" ht="18.75" customHeight="1" x14ac:dyDescent="0.25">
      <c r="A777" s="109"/>
      <c r="B777" s="737" t="s">
        <v>1213</v>
      </c>
      <c r="C777" s="105"/>
      <c r="D777" s="105"/>
      <c r="E777" s="105"/>
      <c r="F777" s="138"/>
      <c r="G777" s="105"/>
      <c r="H777" s="105"/>
      <c r="I777" s="106"/>
    </row>
    <row r="778" spans="1:12" hidden="1" outlineLevel="1" x14ac:dyDescent="0.25">
      <c r="A778" s="90"/>
      <c r="B778" s="496" t="s">
        <v>177</v>
      </c>
      <c r="C778" s="13"/>
      <c r="D778" s="2"/>
      <c r="E778" s="130">
        <f>H812*0.5</f>
        <v>0</v>
      </c>
      <c r="F778" s="147"/>
      <c r="G778" s="736">
        <f>E778</f>
        <v>0</v>
      </c>
      <c r="H778" s="26"/>
      <c r="I778" s="736">
        <f>G778+H778</f>
        <v>0</v>
      </c>
    </row>
    <row r="779" spans="1:12" hidden="1" outlineLevel="1" x14ac:dyDescent="0.25">
      <c r="A779" s="87" t="s">
        <v>338</v>
      </c>
      <c r="B779" s="29" t="s">
        <v>178</v>
      </c>
      <c r="C779" s="2" t="s">
        <v>12</v>
      </c>
      <c r="D779" s="340">
        <v>0</v>
      </c>
      <c r="E779" s="18"/>
      <c r="F779" s="60"/>
      <c r="G779" s="18"/>
      <c r="H779" s="18"/>
      <c r="I779" s="18">
        <f>G779+H779</f>
        <v>0</v>
      </c>
    </row>
    <row r="780" spans="1:12" hidden="1" outlineLevel="1" x14ac:dyDescent="0.25">
      <c r="A780" s="84"/>
      <c r="B780" s="28" t="s">
        <v>243</v>
      </c>
      <c r="C780" s="21" t="s">
        <v>12</v>
      </c>
      <c r="D780" s="340">
        <v>0</v>
      </c>
      <c r="E780" s="18"/>
      <c r="F780" s="60">
        <v>1530</v>
      </c>
      <c r="G780" s="18"/>
      <c r="H780" s="2">
        <f>ROUND(D780*F780,2)</f>
        <v>0</v>
      </c>
      <c r="I780" s="18">
        <f t="shared" ref="I780:I806" si="58">G780+H780</f>
        <v>0</v>
      </c>
    </row>
    <row r="781" spans="1:12" s="6" customFormat="1" hidden="1" outlineLevel="1" x14ac:dyDescent="0.25">
      <c r="A781" s="87" t="s">
        <v>567</v>
      </c>
      <c r="B781" s="63" t="s">
        <v>179</v>
      </c>
      <c r="C781" s="2" t="s">
        <v>173</v>
      </c>
      <c r="D781" s="340">
        <v>0</v>
      </c>
      <c r="E781" s="2"/>
      <c r="F781" s="11"/>
      <c r="G781" s="18"/>
      <c r="H781" s="18"/>
      <c r="I781" s="18">
        <f t="shared" si="58"/>
        <v>0</v>
      </c>
    </row>
    <row r="782" spans="1:12" hidden="1" outlineLevel="1" x14ac:dyDescent="0.25">
      <c r="A782" s="84"/>
      <c r="B782" s="60" t="s">
        <v>180</v>
      </c>
      <c r="C782" s="2" t="s">
        <v>12</v>
      </c>
      <c r="D782" s="340">
        <v>0</v>
      </c>
      <c r="E782" s="2"/>
      <c r="F782" s="11">
        <v>4200</v>
      </c>
      <c r="G782" s="18"/>
      <c r="H782" s="2">
        <f>ROUND(D782*F782,2)</f>
        <v>0</v>
      </c>
      <c r="I782" s="18">
        <f t="shared" si="58"/>
        <v>0</v>
      </c>
    </row>
    <row r="783" spans="1:12" hidden="1" outlineLevel="1" x14ac:dyDescent="0.25">
      <c r="A783" s="84"/>
      <c r="B783" s="60" t="s">
        <v>244</v>
      </c>
      <c r="C783" s="2" t="s">
        <v>12</v>
      </c>
      <c r="D783" s="340">
        <v>0</v>
      </c>
      <c r="E783" s="2"/>
      <c r="F783" s="11">
        <v>380</v>
      </c>
      <c r="G783" s="18"/>
      <c r="H783" s="2">
        <f>ROUND(D783*F783,2)</f>
        <v>0</v>
      </c>
      <c r="I783" s="18">
        <f>G783+H783</f>
        <v>0</v>
      </c>
    </row>
    <row r="784" spans="1:12" ht="31.2" hidden="1" outlineLevel="1" x14ac:dyDescent="0.25">
      <c r="A784" s="84" t="s">
        <v>568</v>
      </c>
      <c r="B784" s="63" t="s">
        <v>262</v>
      </c>
      <c r="C784" s="2" t="s">
        <v>173</v>
      </c>
      <c r="D784" s="2">
        <v>0</v>
      </c>
      <c r="E784" s="2"/>
      <c r="F784" s="11"/>
      <c r="G784" s="18"/>
      <c r="H784" s="18"/>
      <c r="I784" s="18">
        <f>G784+H784</f>
        <v>0</v>
      </c>
    </row>
    <row r="785" spans="1:12" ht="25.2" hidden="1" customHeight="1" outlineLevel="1" x14ac:dyDescent="0.25">
      <c r="A785" s="84"/>
      <c r="B785" s="152" t="s">
        <v>353</v>
      </c>
      <c r="C785" s="150" t="s">
        <v>12</v>
      </c>
      <c r="D785" s="150">
        <f>D784</f>
        <v>0</v>
      </c>
      <c r="E785" s="150"/>
      <c r="F785" s="151">
        <f>185000/3</f>
        <v>61666.666666666664</v>
      </c>
      <c r="G785" s="149"/>
      <c r="H785" s="150">
        <f>ROUND(D785*F785,2)</f>
        <v>0</v>
      </c>
      <c r="I785" s="149">
        <f>G785+H785</f>
        <v>0</v>
      </c>
      <c r="K785" s="781"/>
      <c r="L785" s="782"/>
    </row>
    <row r="786" spans="1:12" hidden="1" outlineLevel="1" x14ac:dyDescent="0.25">
      <c r="A786" s="84" t="s">
        <v>569</v>
      </c>
      <c r="B786" s="62" t="s">
        <v>245</v>
      </c>
      <c r="C786" s="2" t="s">
        <v>29</v>
      </c>
      <c r="D786" s="2">
        <f>D788+D789+D790+D791+D787</f>
        <v>0</v>
      </c>
      <c r="E786" s="2"/>
      <c r="F786" s="11"/>
      <c r="G786" s="18"/>
      <c r="H786" s="18">
        <f>E786*D786</f>
        <v>0</v>
      </c>
      <c r="I786" s="18">
        <f t="shared" si="58"/>
        <v>0</v>
      </c>
    </row>
    <row r="787" spans="1:12" hidden="1" outlineLevel="1" x14ac:dyDescent="0.25">
      <c r="A787" s="84"/>
      <c r="B787" s="74" t="s">
        <v>460</v>
      </c>
      <c r="C787" s="2" t="s">
        <v>29</v>
      </c>
      <c r="D787" s="2">
        <v>0</v>
      </c>
      <c r="E787" s="2"/>
      <c r="F787" s="11">
        <v>252.4</v>
      </c>
      <c r="G787" s="18"/>
      <c r="H787" s="2">
        <f t="shared" ref="H787:H806" si="59">ROUND(D787*F787,2)</f>
        <v>0</v>
      </c>
      <c r="I787" s="18">
        <f>G787+H787</f>
        <v>0</v>
      </c>
    </row>
    <row r="788" spans="1:12" hidden="1" outlineLevel="1" x14ac:dyDescent="0.25">
      <c r="A788" s="84"/>
      <c r="B788" s="74" t="s">
        <v>246</v>
      </c>
      <c r="C788" s="2" t="s">
        <v>29</v>
      </c>
      <c r="D788" s="2">
        <v>0</v>
      </c>
      <c r="E788" s="2"/>
      <c r="F788" s="11">
        <v>145.19999999999999</v>
      </c>
      <c r="G788" s="18"/>
      <c r="H788" s="2">
        <f t="shared" si="59"/>
        <v>0</v>
      </c>
      <c r="I788" s="18">
        <f t="shared" si="58"/>
        <v>0</v>
      </c>
    </row>
    <row r="789" spans="1:12" hidden="1" outlineLevel="1" x14ac:dyDescent="0.25">
      <c r="A789" s="84"/>
      <c r="B789" s="74" t="s">
        <v>247</v>
      </c>
      <c r="C789" s="2" t="s">
        <v>29</v>
      </c>
      <c r="D789" s="2">
        <v>0</v>
      </c>
      <c r="E789" s="2"/>
      <c r="F789" s="11">
        <f>2.91*42</f>
        <v>122.22</v>
      </c>
      <c r="G789" s="18"/>
      <c r="H789" s="2">
        <f t="shared" si="59"/>
        <v>0</v>
      </c>
      <c r="I789" s="18">
        <f t="shared" si="58"/>
        <v>0</v>
      </c>
    </row>
    <row r="790" spans="1:12" hidden="1" outlineLevel="1" x14ac:dyDescent="0.25">
      <c r="A790" s="84"/>
      <c r="B790" s="74" t="s">
        <v>248</v>
      </c>
      <c r="C790" s="2" t="s">
        <v>29</v>
      </c>
      <c r="D790" s="2">
        <v>0</v>
      </c>
      <c r="E790" s="2"/>
      <c r="F790" s="11">
        <f>2.12*42</f>
        <v>89.04</v>
      </c>
      <c r="G790" s="18"/>
      <c r="H790" s="2">
        <f t="shared" si="59"/>
        <v>0</v>
      </c>
      <c r="I790" s="18">
        <f t="shared" si="58"/>
        <v>0</v>
      </c>
    </row>
    <row r="791" spans="1:12" hidden="1" outlineLevel="1" x14ac:dyDescent="0.25">
      <c r="A791" s="84"/>
      <c r="B791" s="74" t="s">
        <v>249</v>
      </c>
      <c r="C791" s="2" t="s">
        <v>29</v>
      </c>
      <c r="D791" s="2">
        <v>0</v>
      </c>
      <c r="E791" s="2"/>
      <c r="F791" s="11">
        <v>70.900000000000006</v>
      </c>
      <c r="G791" s="18"/>
      <c r="H791" s="2">
        <f t="shared" si="59"/>
        <v>0</v>
      </c>
      <c r="I791" s="18">
        <f t="shared" si="58"/>
        <v>0</v>
      </c>
    </row>
    <row r="792" spans="1:12" hidden="1" outlineLevel="1" x14ac:dyDescent="0.25">
      <c r="A792" s="84"/>
      <c r="B792" s="74" t="s">
        <v>465</v>
      </c>
      <c r="C792" s="2" t="s">
        <v>29</v>
      </c>
      <c r="D792" s="2">
        <v>0</v>
      </c>
      <c r="E792" s="2"/>
      <c r="F792" s="11">
        <v>232</v>
      </c>
      <c r="G792" s="18"/>
      <c r="H792" s="2">
        <f t="shared" si="59"/>
        <v>0</v>
      </c>
      <c r="I792" s="18">
        <f t="shared" si="58"/>
        <v>0</v>
      </c>
    </row>
    <row r="793" spans="1:12" hidden="1" outlineLevel="1" x14ac:dyDescent="0.25">
      <c r="A793" s="84"/>
      <c r="B793" s="74" t="s">
        <v>254</v>
      </c>
      <c r="C793" s="2" t="s">
        <v>29</v>
      </c>
      <c r="D793" s="2">
        <v>0</v>
      </c>
      <c r="E793" s="2"/>
      <c r="F793" s="11">
        <v>158</v>
      </c>
      <c r="G793" s="18"/>
      <c r="H793" s="2">
        <f t="shared" si="59"/>
        <v>0</v>
      </c>
      <c r="I793" s="18">
        <f t="shared" si="58"/>
        <v>0</v>
      </c>
    </row>
    <row r="794" spans="1:12" hidden="1" outlineLevel="1" x14ac:dyDescent="0.25">
      <c r="A794" s="84"/>
      <c r="B794" s="74" t="s">
        <v>463</v>
      </c>
      <c r="C794" s="2" t="s">
        <v>15</v>
      </c>
      <c r="D794" s="2">
        <v>0</v>
      </c>
      <c r="E794" s="2"/>
      <c r="F794" s="11">
        <v>45</v>
      </c>
      <c r="G794" s="18"/>
      <c r="H794" s="18">
        <f t="shared" si="59"/>
        <v>0</v>
      </c>
      <c r="I794" s="18">
        <f t="shared" si="58"/>
        <v>0</v>
      </c>
    </row>
    <row r="795" spans="1:12" hidden="1" outlineLevel="1" x14ac:dyDescent="0.25">
      <c r="A795" s="84" t="s">
        <v>570</v>
      </c>
      <c r="B795" s="63" t="s">
        <v>250</v>
      </c>
      <c r="C795" s="2" t="s">
        <v>12</v>
      </c>
      <c r="D795" s="2">
        <f>D796+D797+D798+D800+D799+D801</f>
        <v>0</v>
      </c>
      <c r="E795" s="2"/>
      <c r="F795" s="11"/>
      <c r="G795" s="18"/>
      <c r="H795" s="18"/>
      <c r="I795" s="18">
        <f t="shared" si="58"/>
        <v>0</v>
      </c>
    </row>
    <row r="796" spans="1:12" hidden="1" outlineLevel="1" x14ac:dyDescent="0.25">
      <c r="A796" s="84"/>
      <c r="B796" s="28" t="s">
        <v>251</v>
      </c>
      <c r="C796" s="21" t="s">
        <v>12</v>
      </c>
      <c r="D796" s="2">
        <v>0</v>
      </c>
      <c r="E796" s="18"/>
      <c r="F796" s="60">
        <v>278</v>
      </c>
      <c r="G796" s="18"/>
      <c r="H796" s="18">
        <f t="shared" si="59"/>
        <v>0</v>
      </c>
      <c r="I796" s="18">
        <f t="shared" si="58"/>
        <v>0</v>
      </c>
    </row>
    <row r="797" spans="1:12" hidden="1" outlineLevel="1" x14ac:dyDescent="0.25">
      <c r="A797" s="84"/>
      <c r="B797" s="28" t="s">
        <v>252</v>
      </c>
      <c r="C797" s="21" t="s">
        <v>12</v>
      </c>
      <c r="D797" s="2">
        <v>0</v>
      </c>
      <c r="E797" s="18"/>
      <c r="F797" s="60">
        <v>143</v>
      </c>
      <c r="G797" s="18"/>
      <c r="H797" s="18">
        <f t="shared" si="59"/>
        <v>0</v>
      </c>
      <c r="I797" s="18">
        <f t="shared" si="58"/>
        <v>0</v>
      </c>
    </row>
    <row r="798" spans="1:12" hidden="1" outlineLevel="1" x14ac:dyDescent="0.25">
      <c r="A798" s="84"/>
      <c r="B798" s="28" t="s">
        <v>253</v>
      </c>
      <c r="C798" s="21" t="s">
        <v>12</v>
      </c>
      <c r="D798" s="2">
        <v>0</v>
      </c>
      <c r="E798" s="18"/>
      <c r="F798" s="60">
        <v>89.7</v>
      </c>
      <c r="G798" s="18"/>
      <c r="H798" s="18">
        <f t="shared" si="59"/>
        <v>0</v>
      </c>
      <c r="I798" s="18">
        <f t="shared" si="58"/>
        <v>0</v>
      </c>
    </row>
    <row r="799" spans="1:12" hidden="1" outlineLevel="1" x14ac:dyDescent="0.25">
      <c r="A799" s="84"/>
      <c r="B799" s="74" t="s">
        <v>488</v>
      </c>
      <c r="C799" s="2" t="s">
        <v>12</v>
      </c>
      <c r="D799" s="2">
        <v>0</v>
      </c>
      <c r="E799" s="2"/>
      <c r="F799" s="60">
        <v>1320</v>
      </c>
      <c r="G799" s="18"/>
      <c r="H799" s="18">
        <f t="shared" si="59"/>
        <v>0</v>
      </c>
      <c r="I799" s="18">
        <f t="shared" si="58"/>
        <v>0</v>
      </c>
    </row>
    <row r="800" spans="1:12" hidden="1" outlineLevel="1" x14ac:dyDescent="0.25">
      <c r="A800" s="84"/>
      <c r="B800" s="74" t="s">
        <v>487</v>
      </c>
      <c r="C800" s="2" t="s">
        <v>12</v>
      </c>
      <c r="D800" s="2">
        <v>0</v>
      </c>
      <c r="E800" s="2"/>
      <c r="F800" s="60">
        <v>1200</v>
      </c>
      <c r="G800" s="18"/>
      <c r="H800" s="18">
        <f t="shared" si="59"/>
        <v>0</v>
      </c>
      <c r="I800" s="18">
        <f t="shared" si="58"/>
        <v>0</v>
      </c>
    </row>
    <row r="801" spans="1:9" hidden="1" outlineLevel="1" x14ac:dyDescent="0.25">
      <c r="A801" s="84"/>
      <c r="B801" s="28" t="s">
        <v>459</v>
      </c>
      <c r="C801" s="21" t="s">
        <v>12</v>
      </c>
      <c r="D801" s="2">
        <v>0</v>
      </c>
      <c r="E801" s="2"/>
      <c r="F801" s="60">
        <v>490</v>
      </c>
      <c r="G801" s="18"/>
      <c r="H801" s="18">
        <f t="shared" si="59"/>
        <v>0</v>
      </c>
      <c r="I801" s="18">
        <f t="shared" si="58"/>
        <v>0</v>
      </c>
    </row>
    <row r="802" spans="1:9" hidden="1" outlineLevel="1" x14ac:dyDescent="0.25">
      <c r="A802" s="84"/>
      <c r="B802" s="74" t="s">
        <v>255</v>
      </c>
      <c r="C802" s="2" t="s">
        <v>12</v>
      </c>
      <c r="D802" s="2">
        <v>0</v>
      </c>
      <c r="E802" s="2"/>
      <c r="F802" s="11">
        <v>22.22</v>
      </c>
      <c r="G802" s="18"/>
      <c r="H802" s="18">
        <f t="shared" si="59"/>
        <v>0</v>
      </c>
      <c r="I802" s="18">
        <f t="shared" si="58"/>
        <v>0</v>
      </c>
    </row>
    <row r="803" spans="1:9" hidden="1" outlineLevel="1" x14ac:dyDescent="0.25">
      <c r="A803" s="84"/>
      <c r="B803" s="74" t="s">
        <v>256</v>
      </c>
      <c r="C803" s="2" t="s">
        <v>12</v>
      </c>
      <c r="D803" s="2">
        <v>0</v>
      </c>
      <c r="E803" s="2"/>
      <c r="F803" s="11">
        <v>16.760000000000002</v>
      </c>
      <c r="G803" s="18"/>
      <c r="H803" s="18">
        <f t="shared" si="59"/>
        <v>0</v>
      </c>
      <c r="I803" s="18">
        <f t="shared" si="58"/>
        <v>0</v>
      </c>
    </row>
    <row r="804" spans="1:9" hidden="1" outlineLevel="1" x14ac:dyDescent="0.25">
      <c r="A804" s="84"/>
      <c r="B804" s="74" t="s">
        <v>461</v>
      </c>
      <c r="C804" s="2" t="s">
        <v>12</v>
      </c>
      <c r="D804" s="2">
        <v>0</v>
      </c>
      <c r="E804" s="2"/>
      <c r="F804" s="11">
        <v>54.92</v>
      </c>
      <c r="G804" s="18"/>
      <c r="H804" s="18">
        <f t="shared" si="59"/>
        <v>0</v>
      </c>
      <c r="I804" s="18">
        <f t="shared" si="58"/>
        <v>0</v>
      </c>
    </row>
    <row r="805" spans="1:9" hidden="1" outlineLevel="1" x14ac:dyDescent="0.25">
      <c r="A805" s="84"/>
      <c r="B805" s="74" t="s">
        <v>257</v>
      </c>
      <c r="C805" s="2" t="s">
        <v>12</v>
      </c>
      <c r="D805" s="2">
        <v>0</v>
      </c>
      <c r="E805" s="2"/>
      <c r="F805" s="11">
        <v>19.12</v>
      </c>
      <c r="G805" s="18"/>
      <c r="H805" s="18">
        <f t="shared" si="59"/>
        <v>0</v>
      </c>
      <c r="I805" s="18">
        <f t="shared" si="58"/>
        <v>0</v>
      </c>
    </row>
    <row r="806" spans="1:9" hidden="1" outlineLevel="1" x14ac:dyDescent="0.25">
      <c r="A806" s="84"/>
      <c r="B806" s="74" t="s">
        <v>258</v>
      </c>
      <c r="C806" s="2" t="s">
        <v>12</v>
      </c>
      <c r="D806" s="2">
        <v>0</v>
      </c>
      <c r="E806" s="2"/>
      <c r="F806" s="11">
        <v>19.13</v>
      </c>
      <c r="G806" s="18"/>
      <c r="H806" s="18">
        <f t="shared" si="59"/>
        <v>0</v>
      </c>
      <c r="I806" s="18">
        <f t="shared" si="58"/>
        <v>0</v>
      </c>
    </row>
    <row r="807" spans="1:9" hidden="1" outlineLevel="1" x14ac:dyDescent="0.25">
      <c r="A807" s="84"/>
      <c r="B807" s="74" t="s">
        <v>462</v>
      </c>
      <c r="C807" s="2" t="s">
        <v>12</v>
      </c>
      <c r="D807" s="2">
        <v>0</v>
      </c>
      <c r="E807" s="2"/>
      <c r="F807" s="11">
        <v>32.700000000000003</v>
      </c>
      <c r="G807" s="18"/>
      <c r="H807" s="18">
        <f>ROUND(D807*F807,2)</f>
        <v>0</v>
      </c>
      <c r="I807" s="18">
        <f>G807+H807</f>
        <v>0</v>
      </c>
    </row>
    <row r="808" spans="1:9" hidden="1" outlineLevel="1" x14ac:dyDescent="0.25">
      <c r="A808" s="84" t="s">
        <v>571</v>
      </c>
      <c r="B808" s="62" t="s">
        <v>259</v>
      </c>
      <c r="C808" s="2" t="s">
        <v>14</v>
      </c>
      <c r="D808" s="2">
        <v>0</v>
      </c>
      <c r="E808" s="2"/>
      <c r="F808" s="11"/>
      <c r="G808" s="18"/>
      <c r="H808" s="18"/>
      <c r="I808" s="18"/>
    </row>
    <row r="809" spans="1:9" hidden="1" outlineLevel="1" x14ac:dyDescent="0.25">
      <c r="A809" s="84"/>
      <c r="B809" s="28" t="s">
        <v>260</v>
      </c>
      <c r="C809" s="21" t="s">
        <v>15</v>
      </c>
      <c r="D809" s="2">
        <f>D808*0.2</f>
        <v>0</v>
      </c>
      <c r="E809" s="18"/>
      <c r="F809" s="60">
        <v>100</v>
      </c>
      <c r="G809" s="18"/>
      <c r="H809" s="18">
        <f>ROUND(D809*F809,2)</f>
        <v>0</v>
      </c>
      <c r="I809" s="18">
        <f>H809+G809</f>
        <v>0</v>
      </c>
    </row>
    <row r="810" spans="1:9" hidden="1" outlineLevel="1" x14ac:dyDescent="0.25">
      <c r="A810" s="84"/>
      <c r="B810" s="28" t="s">
        <v>261</v>
      </c>
      <c r="C810" s="21" t="s">
        <v>15</v>
      </c>
      <c r="D810" s="2">
        <f>D808*0.4</f>
        <v>0</v>
      </c>
      <c r="E810" s="18"/>
      <c r="F810" s="60">
        <v>200</v>
      </c>
      <c r="G810" s="18"/>
      <c r="H810" s="18">
        <f>ROUND(D810*F810,2)</f>
        <v>0</v>
      </c>
      <c r="I810" s="18">
        <f>H810+G810</f>
        <v>0</v>
      </c>
    </row>
    <row r="811" spans="1:9" hidden="1" outlineLevel="1" x14ac:dyDescent="0.25">
      <c r="A811" s="84" t="s">
        <v>572</v>
      </c>
      <c r="B811" s="183" t="s">
        <v>464</v>
      </c>
      <c r="C811" s="178" t="s">
        <v>29</v>
      </c>
      <c r="D811" s="179">
        <f>D786</f>
        <v>0</v>
      </c>
      <c r="E811" s="180"/>
      <c r="F811" s="181"/>
      <c r="G811" s="182"/>
      <c r="H811" s="18"/>
      <c r="I811" s="18"/>
    </row>
    <row r="812" spans="1:9" s="5" customFormat="1" collapsed="1" x14ac:dyDescent="0.25">
      <c r="A812" s="223"/>
      <c r="B812" s="233" t="s">
        <v>63</v>
      </c>
      <c r="C812" s="234"/>
      <c r="D812" s="235"/>
      <c r="E812" s="236"/>
      <c r="F812" s="237"/>
      <c r="G812" s="236"/>
      <c r="H812" s="236"/>
      <c r="I812" s="236"/>
    </row>
    <row r="813" spans="1:9" s="5" customFormat="1" ht="18.600000000000001" customHeight="1" x14ac:dyDescent="0.25">
      <c r="A813" s="84"/>
      <c r="B813" s="471" t="s">
        <v>624</v>
      </c>
      <c r="C813" s="9"/>
      <c r="D813" s="31"/>
      <c r="E813" s="10"/>
      <c r="F813" s="57"/>
      <c r="G813" s="10"/>
      <c r="H813" s="10"/>
      <c r="I813" s="31">
        <f>ROUND(I812/1.18*0.18,2)</f>
        <v>0</v>
      </c>
    </row>
    <row r="814" spans="1:9" s="5" customFormat="1" ht="18.600000000000001" customHeight="1" x14ac:dyDescent="0.25">
      <c r="A814" s="84"/>
      <c r="B814" s="471" t="s">
        <v>1562</v>
      </c>
      <c r="C814" s="9"/>
      <c r="D814" s="31"/>
      <c r="E814" s="10"/>
      <c r="F814" s="57"/>
      <c r="G814" s="10"/>
      <c r="H814" s="10"/>
      <c r="I814" s="31">
        <f>(I16+I18+I22+I25+I27+I36+I38+I41+I47+I58+I65+I80+I92+I108+I132+I136+I146+I171+I174+I184+I199+I220+I241+I231+I234+I314+I312+I318+I324+I332+I356+I392+I421+I432+I437+I478+I483+I487+I496+G626+G605+G655+G775)*0.08</f>
        <v>846039.58214000007</v>
      </c>
    </row>
    <row r="815" spans="1:9" s="5" customFormat="1" ht="18.600000000000001" customHeight="1" x14ac:dyDescent="0.25">
      <c r="A815" s="84"/>
      <c r="B815" s="471" t="s">
        <v>1553</v>
      </c>
      <c r="C815" s="9"/>
      <c r="D815" s="31"/>
      <c r="E815" s="10"/>
      <c r="F815" s="57"/>
      <c r="G815" s="10">
        <f>5*4*40000</f>
        <v>800000</v>
      </c>
      <c r="H815" s="10"/>
      <c r="I815" s="31">
        <f>G815</f>
        <v>800000</v>
      </c>
    </row>
    <row r="816" spans="1:9" s="5" customFormat="1" ht="18.600000000000001" customHeight="1" x14ac:dyDescent="0.25">
      <c r="A816" s="84"/>
      <c r="B816" s="471" t="s">
        <v>1554</v>
      </c>
      <c r="C816" s="9"/>
      <c r="D816" s="31"/>
      <c r="E816" s="10"/>
      <c r="F816" s="57"/>
      <c r="G816" s="10">
        <f>4*4*30000</f>
        <v>480000</v>
      </c>
      <c r="H816" s="10"/>
      <c r="I816" s="31">
        <f t="shared" ref="I816:I822" si="60">G816</f>
        <v>480000</v>
      </c>
    </row>
    <row r="817" spans="1:9" s="5" customFormat="1" ht="18.600000000000001" customHeight="1" x14ac:dyDescent="0.25">
      <c r="A817" s="84"/>
      <c r="B817" s="471" t="s">
        <v>1544</v>
      </c>
      <c r="C817" s="9"/>
      <c r="D817" s="31"/>
      <c r="E817" s="10"/>
      <c r="F817" s="57"/>
      <c r="G817" s="10">
        <v>500000</v>
      </c>
      <c r="H817" s="10"/>
      <c r="I817" s="31">
        <f t="shared" si="60"/>
        <v>500000</v>
      </c>
    </row>
    <row r="818" spans="1:9" s="5" customFormat="1" ht="18.600000000000001" customHeight="1" x14ac:dyDescent="0.25">
      <c r="A818" s="84"/>
      <c r="B818" s="471" t="s">
        <v>1555</v>
      </c>
      <c r="C818" s="9"/>
      <c r="D818" s="31"/>
      <c r="E818" s="10"/>
      <c r="F818" s="57"/>
      <c r="G818" s="10">
        <v>700000</v>
      </c>
      <c r="H818" s="10"/>
      <c r="I818" s="31">
        <f t="shared" si="60"/>
        <v>700000</v>
      </c>
    </row>
    <row r="819" spans="1:9" s="5" customFormat="1" ht="18.600000000000001" customHeight="1" x14ac:dyDescent="0.25">
      <c r="A819" s="84"/>
      <c r="B819" s="471" t="s">
        <v>1556</v>
      </c>
      <c r="C819" s="9"/>
      <c r="D819" s="31"/>
      <c r="E819" s="10"/>
      <c r="F819" s="57"/>
      <c r="G819" s="10">
        <v>200000</v>
      </c>
      <c r="H819" s="10"/>
      <c r="I819" s="31">
        <f t="shared" si="60"/>
        <v>200000</v>
      </c>
    </row>
    <row r="820" spans="1:9" s="5" customFormat="1" ht="18.600000000000001" customHeight="1" x14ac:dyDescent="0.25">
      <c r="A820" s="84"/>
      <c r="B820" s="471" t="s">
        <v>1557</v>
      </c>
      <c r="C820" s="9"/>
      <c r="D820" s="31"/>
      <c r="E820" s="10"/>
      <c r="F820" s="57"/>
      <c r="G820" s="10">
        <v>200000</v>
      </c>
      <c r="H820" s="10"/>
      <c r="I820" s="31">
        <f t="shared" si="60"/>
        <v>200000</v>
      </c>
    </row>
    <row r="821" spans="1:9" s="5" customFormat="1" ht="18.600000000000001" customHeight="1" x14ac:dyDescent="0.25">
      <c r="A821" s="84"/>
      <c r="B821" s="471" t="s">
        <v>1558</v>
      </c>
      <c r="C821" s="9"/>
      <c r="D821" s="31"/>
      <c r="E821" s="10"/>
      <c r="F821" s="57"/>
      <c r="G821" s="10">
        <v>350000</v>
      </c>
      <c r="H821" s="10"/>
      <c r="I821" s="31">
        <f t="shared" si="60"/>
        <v>350000</v>
      </c>
    </row>
    <row r="822" spans="1:9" s="5" customFormat="1" ht="18.600000000000001" customHeight="1" x14ac:dyDescent="0.25">
      <c r="A822" s="84"/>
      <c r="B822" s="471" t="s">
        <v>1559</v>
      </c>
      <c r="C822" s="9"/>
      <c r="D822" s="31"/>
      <c r="E822" s="10"/>
      <c r="F822" s="57"/>
      <c r="G822" s="10">
        <v>750000</v>
      </c>
      <c r="H822" s="10"/>
      <c r="I822" s="31">
        <f t="shared" si="60"/>
        <v>750000</v>
      </c>
    </row>
    <row r="823" spans="1:9" s="5" customFormat="1" ht="25.5" customHeight="1" x14ac:dyDescent="0.25">
      <c r="A823" s="241"/>
      <c r="B823" s="242" t="s">
        <v>24</v>
      </c>
      <c r="C823" s="243"/>
      <c r="D823" s="244"/>
      <c r="E823" s="243"/>
      <c r="F823" s="242"/>
      <c r="G823" s="243">
        <f>G55+G123+G196+G383+G389+G410+G417+G475+G493+G504+G605+G655+G775+G812+G626+G446+G321+G228+G254+G815+G816+G817+G818+G819+G820+G821+G822</f>
        <v>21653468.919650003</v>
      </c>
      <c r="H823" s="243">
        <f>H55+H123+H196+H383+H389+H410+H417+H475+H493+H504+H605+H655+H775+H812+H626+H446+H321+H254+H228</f>
        <v>43026864.83680369</v>
      </c>
      <c r="I823" s="243">
        <f>I812+I775+I655+I626+I605+I504+I493+I475+I417+I410+I389+I383+I196+I123+I55+I228+I254+I321+I446+I815+I816+I817+I818+I819+I820+I821+I822+I814</f>
        <v>65526373.338593692</v>
      </c>
    </row>
    <row r="824" spans="1:9" s="101" customFormat="1" ht="21" customHeight="1" x14ac:dyDescent="0.25">
      <c r="A824" s="245"/>
      <c r="B824" s="246" t="s">
        <v>26</v>
      </c>
      <c r="C824" s="247"/>
      <c r="D824" s="247"/>
      <c r="E824" s="247"/>
      <c r="F824" s="246"/>
      <c r="G824" s="247"/>
      <c r="H824" s="247"/>
      <c r="I824" s="247">
        <f>I823/1.18*18/100</f>
        <v>9995548.4753786996</v>
      </c>
    </row>
    <row r="825" spans="1:9" ht="25.5" customHeight="1" x14ac:dyDescent="0.25">
      <c r="A825" s="98"/>
      <c r="B825" s="99" t="s">
        <v>342</v>
      </c>
      <c r="C825" s="100"/>
      <c r="D825" s="100"/>
      <c r="E825" s="100"/>
      <c r="F825" s="99"/>
      <c r="G825" s="100">
        <f>G823/C10</f>
        <v>6299.7407540003505</v>
      </c>
      <c r="H825" s="100">
        <f>H823/C10</f>
        <v>12517.998614221951</v>
      </c>
      <c r="I825" s="100">
        <f>I823/C10</f>
        <v>19063.881455427003</v>
      </c>
    </row>
  </sheetData>
  <mergeCells count="20">
    <mergeCell ref="J768:J774"/>
    <mergeCell ref="K785:L785"/>
    <mergeCell ref="G13:H13"/>
    <mergeCell ref="I13:I14"/>
    <mergeCell ref="B13:B14"/>
    <mergeCell ref="C13:C14"/>
    <mergeCell ref="D13:D14"/>
    <mergeCell ref="E13:F13"/>
    <mergeCell ref="J708:J717"/>
    <mergeCell ref="J724:J725"/>
    <mergeCell ref="B15:E15"/>
    <mergeCell ref="B57:F57"/>
    <mergeCell ref="B419:F419"/>
    <mergeCell ref="B506:D506"/>
    <mergeCell ref="B7:H7"/>
    <mergeCell ref="B8:H8"/>
    <mergeCell ref="G9:H9"/>
    <mergeCell ref="A10:B10"/>
    <mergeCell ref="F10:H10"/>
    <mergeCell ref="A13:A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F13" sqref="F13"/>
    </sheetView>
  </sheetViews>
  <sheetFormatPr defaultColWidth="9" defaultRowHeight="14.4" x14ac:dyDescent="0.25"/>
  <cols>
    <col min="1" max="1" width="9" style="413"/>
    <col min="2" max="2" width="39.33203125" style="413" hidden="1" customWidth="1"/>
    <col min="3" max="5" width="0" style="413" hidden="1" customWidth="1"/>
    <col min="6" max="16384" width="9" style="413"/>
  </cols>
  <sheetData>
    <row r="1" spans="1:18" ht="15" thickBot="1" x14ac:dyDescent="0.3">
      <c r="A1" s="288"/>
      <c r="B1" s="288"/>
      <c r="C1" s="288"/>
      <c r="D1" s="288"/>
      <c r="F1" s="288" t="s">
        <v>1273</v>
      </c>
      <c r="G1" s="288"/>
      <c r="H1" s="288"/>
      <c r="K1" s="288" t="s">
        <v>1277</v>
      </c>
      <c r="L1" s="288"/>
      <c r="Q1" s="288" t="s">
        <v>661</v>
      </c>
      <c r="R1" s="288" t="s">
        <v>1248</v>
      </c>
    </row>
    <row r="2" spans="1:18" ht="15" thickBot="1" x14ac:dyDescent="0.3">
      <c r="A2" s="288"/>
      <c r="B2" s="288"/>
      <c r="C2" s="288"/>
      <c r="D2" s="288"/>
      <c r="F2" s="288">
        <f>6.08+6.68-0.3</f>
        <v>12.459999999999999</v>
      </c>
      <c r="G2" s="288">
        <v>0.38</v>
      </c>
      <c r="H2" s="288">
        <v>1</v>
      </c>
      <c r="I2" s="288">
        <f>0.38+9.45</f>
        <v>9.83</v>
      </c>
      <c r="J2" s="596">
        <f t="shared" ref="J2:J10" si="0">F2*G2*H2*I2</f>
        <v>46.543084</v>
      </c>
      <c r="K2" s="288"/>
      <c r="L2" s="288"/>
      <c r="Q2" s="288"/>
      <c r="R2" s="288"/>
    </row>
    <row r="3" spans="1:18" x14ac:dyDescent="0.25">
      <c r="A3" s="288" t="s">
        <v>917</v>
      </c>
      <c r="B3" s="288" t="s">
        <v>918</v>
      </c>
      <c r="C3" s="288" t="s">
        <v>919</v>
      </c>
      <c r="D3" s="288" t="s">
        <v>920</v>
      </c>
      <c r="E3" s="288"/>
      <c r="F3" s="525">
        <f>6.4+3.2+10+0.19+0.19</f>
        <v>19.980000000000004</v>
      </c>
      <c r="G3" s="526">
        <v>0.38</v>
      </c>
      <c r="H3" s="526">
        <v>2</v>
      </c>
      <c r="I3" s="526">
        <f>9.45+0.38</f>
        <v>9.83</v>
      </c>
      <c r="J3" s="524">
        <f t="shared" si="0"/>
        <v>149.26658400000002</v>
      </c>
      <c r="K3" s="288"/>
      <c r="Q3" s="529">
        <f>окна!R16</f>
        <v>211.18614000000002</v>
      </c>
      <c r="R3" s="529">
        <f>окна!R24</f>
        <v>84.727440000000001</v>
      </c>
    </row>
    <row r="4" spans="1:18" ht="15" x14ac:dyDescent="0.3">
      <c r="A4" s="288"/>
      <c r="B4" s="290" t="s">
        <v>962</v>
      </c>
      <c r="C4" s="288"/>
      <c r="D4" s="288"/>
      <c r="E4" s="288"/>
      <c r="F4" s="522">
        <f>6.08+6.68-0.15-0.15-1.04</f>
        <v>11.419999999999998</v>
      </c>
      <c r="G4" s="523">
        <v>0.38</v>
      </c>
      <c r="H4" s="523">
        <v>1</v>
      </c>
      <c r="I4" s="523">
        <f>9.45+0.38</f>
        <v>9.83</v>
      </c>
      <c r="J4" s="524">
        <f>F4*G4*H4*I4</f>
        <v>42.658267999999993</v>
      </c>
      <c r="K4" s="411">
        <f>1.04</f>
        <v>1.04</v>
      </c>
      <c r="L4" s="411">
        <v>0.51</v>
      </c>
      <c r="M4" s="411">
        <f>9.45+0.38</f>
        <v>9.83</v>
      </c>
      <c r="N4" s="527">
        <f>K4*L4*M4</f>
        <v>5.213832</v>
      </c>
    </row>
    <row r="5" spans="1:18" x14ac:dyDescent="0.25">
      <c r="A5" s="288"/>
      <c r="B5" s="290"/>
      <c r="C5" s="288"/>
      <c r="D5" s="288"/>
      <c r="E5" s="288"/>
      <c r="F5" s="522">
        <f>6.08+6.68-0.15-0.15-1.04-1.04</f>
        <v>10.379999999999999</v>
      </c>
      <c r="G5" s="523">
        <v>0.38</v>
      </c>
      <c r="H5" s="523">
        <v>1</v>
      </c>
      <c r="I5" s="523">
        <f>9.45+0.38</f>
        <v>9.83</v>
      </c>
      <c r="J5" s="524">
        <f>F5*G5*H5*I5</f>
        <v>38.773451999999992</v>
      </c>
      <c r="K5" s="411">
        <f>1.04*2</f>
        <v>2.08</v>
      </c>
      <c r="L5" s="411">
        <v>0.51</v>
      </c>
      <c r="M5" s="411">
        <f>9.45+0.38</f>
        <v>9.83</v>
      </c>
      <c r="N5" s="527">
        <f>K5*L5*M5</f>
        <v>10.427664</v>
      </c>
    </row>
    <row r="6" spans="1:18" x14ac:dyDescent="0.25">
      <c r="A6" s="288"/>
      <c r="B6" s="288" t="s">
        <v>921</v>
      </c>
      <c r="C6" s="288"/>
      <c r="D6" s="288"/>
      <c r="E6" s="288"/>
      <c r="F6" s="522">
        <f>6.4+3.2+10-0.38</f>
        <v>19.220000000000002</v>
      </c>
      <c r="G6" s="523">
        <v>0.38</v>
      </c>
      <c r="H6" s="523">
        <v>1</v>
      </c>
      <c r="I6" s="523">
        <f>8.47+0.38</f>
        <v>8.8500000000000014</v>
      </c>
      <c r="J6" s="524">
        <f>F6*G6*H6*I6</f>
        <v>64.636860000000027</v>
      </c>
    </row>
    <row r="7" spans="1:18" x14ac:dyDescent="0.25">
      <c r="A7" s="288"/>
      <c r="B7" s="288" t="s">
        <v>922</v>
      </c>
      <c r="C7" s="288"/>
      <c r="D7" s="288"/>
      <c r="E7" s="288"/>
      <c r="F7" s="522">
        <f>6.08+6.68-0.15-0.15-1.04-1.535</f>
        <v>9.884999999999998</v>
      </c>
      <c r="G7" s="523">
        <v>0.38</v>
      </c>
      <c r="H7" s="523">
        <v>1</v>
      </c>
      <c r="I7" s="523">
        <f>8.47+0.38</f>
        <v>8.8500000000000014</v>
      </c>
      <c r="J7" s="524">
        <f t="shared" si="0"/>
        <v>33.243254999999998</v>
      </c>
      <c r="K7" s="511">
        <f>1.04+1.535</f>
        <v>2.5750000000000002</v>
      </c>
      <c r="L7" s="411">
        <v>0.51</v>
      </c>
      <c r="M7" s="411">
        <f>9.45+0.38</f>
        <v>9.83</v>
      </c>
      <c r="N7" s="527">
        <f>K7*L7*M7</f>
        <v>12.909247500000001</v>
      </c>
    </row>
    <row r="8" spans="1:18" x14ac:dyDescent="0.25">
      <c r="A8" s="288"/>
      <c r="B8" s="288"/>
      <c r="C8" s="288"/>
      <c r="D8" s="288"/>
      <c r="E8" s="288"/>
      <c r="F8" s="522">
        <f>6.68-0.15-0.19</f>
        <v>6.339999999999999</v>
      </c>
      <c r="G8" s="523">
        <v>0.38</v>
      </c>
      <c r="H8" s="523">
        <v>1</v>
      </c>
      <c r="I8" s="523">
        <f>8.47+0.38</f>
        <v>8.8500000000000014</v>
      </c>
      <c r="J8" s="524">
        <f t="shared" si="0"/>
        <v>21.32142</v>
      </c>
    </row>
    <row r="9" spans="1:18" x14ac:dyDescent="0.25">
      <c r="A9" s="288"/>
      <c r="B9" s="288" t="s">
        <v>923</v>
      </c>
      <c r="C9" s="288"/>
      <c r="D9" s="288"/>
      <c r="E9" s="288"/>
      <c r="F9" s="522">
        <v>0.51</v>
      </c>
      <c r="G9" s="523">
        <v>0.38</v>
      </c>
      <c r="H9" s="523">
        <v>2</v>
      </c>
      <c r="I9" s="523">
        <f>9.45+0.38</f>
        <v>9.83</v>
      </c>
      <c r="J9" s="524">
        <f t="shared" si="0"/>
        <v>3.8101080000000001</v>
      </c>
    </row>
    <row r="10" spans="1:18" x14ac:dyDescent="0.25">
      <c r="A10" s="288"/>
      <c r="B10" s="288" t="s">
        <v>924</v>
      </c>
      <c r="C10" s="288" t="s">
        <v>8</v>
      </c>
      <c r="D10" s="288">
        <v>643</v>
      </c>
      <c r="E10" s="288">
        <f>D10+D97+D160</f>
        <v>916.83</v>
      </c>
      <c r="F10" s="522">
        <v>1.17</v>
      </c>
      <c r="G10" s="523">
        <v>0.38</v>
      </c>
      <c r="H10" s="523">
        <v>1</v>
      </c>
      <c r="I10" s="523">
        <f>9.45+0.38</f>
        <v>9.83</v>
      </c>
      <c r="J10" s="524">
        <f t="shared" si="0"/>
        <v>4.3704179999999999</v>
      </c>
      <c r="L10" s="411"/>
    </row>
    <row r="11" spans="1:18" ht="15" thickBot="1" x14ac:dyDescent="0.3">
      <c r="A11" s="288"/>
      <c r="B11" s="288" t="s">
        <v>925</v>
      </c>
      <c r="C11" s="288"/>
      <c r="D11" s="288"/>
      <c r="E11" s="288"/>
      <c r="F11" s="511" t="s">
        <v>1274</v>
      </c>
      <c r="G11" s="411"/>
      <c r="H11" s="411"/>
      <c r="I11" s="411"/>
      <c r="J11" s="509">
        <f>SUM(J3:J10)</f>
        <v>358.08036499999997</v>
      </c>
      <c r="L11" s="411"/>
      <c r="N11" s="509">
        <f>SUM(N3:N10)</f>
        <v>28.550743500000003</v>
      </c>
    </row>
    <row r="12" spans="1:18" ht="15" thickBot="1" x14ac:dyDescent="0.3">
      <c r="A12" s="288"/>
      <c r="B12" s="288"/>
      <c r="C12" s="288"/>
      <c r="D12" s="288"/>
      <c r="E12" s="288"/>
      <c r="F12" s="511">
        <f>6.08+7.25-0.12-0.15</f>
        <v>13.06</v>
      </c>
      <c r="G12" s="288">
        <v>0.38</v>
      </c>
      <c r="H12" s="288">
        <v>1</v>
      </c>
      <c r="I12" s="288">
        <f>0.38+9.45</f>
        <v>9.83</v>
      </c>
      <c r="J12" s="596">
        <f>F12*G12*H12*I12</f>
        <v>48.784324000000005</v>
      </c>
      <c r="L12" s="411"/>
    </row>
    <row r="13" spans="1:18" x14ac:dyDescent="0.25">
      <c r="A13" s="288"/>
      <c r="B13" s="288" t="s">
        <v>926</v>
      </c>
      <c r="C13" s="288"/>
      <c r="D13" s="288"/>
      <c r="E13" s="288"/>
      <c r="F13" s="522">
        <f>3.26+9.76+1.98+1.07+2.13+2.05+8.53+6.84+0.78+0.38</f>
        <v>36.780000000000008</v>
      </c>
      <c r="G13" s="523">
        <v>0.38</v>
      </c>
      <c r="H13" s="523">
        <v>2</v>
      </c>
      <c r="I13" s="523">
        <f>9.45+0.38</f>
        <v>9.83</v>
      </c>
      <c r="J13" s="524">
        <f t="shared" ref="J13:J25" si="1">F13*G13*H13*I13</f>
        <v>274.77602400000006</v>
      </c>
      <c r="L13" s="411"/>
    </row>
    <row r="14" spans="1:18" x14ac:dyDescent="0.25">
      <c r="A14" s="288"/>
      <c r="B14" s="288"/>
      <c r="C14" s="288"/>
      <c r="D14" s="288"/>
      <c r="E14" s="288"/>
      <c r="F14" s="522">
        <f>6.08+7.25-0.12-0.15-1.04</f>
        <v>12.02</v>
      </c>
      <c r="G14" s="523">
        <v>0.38</v>
      </c>
      <c r="H14" s="523">
        <v>1</v>
      </c>
      <c r="I14" s="523">
        <f>9.45+0.38</f>
        <v>9.83</v>
      </c>
      <c r="J14" s="524">
        <f t="shared" si="1"/>
        <v>44.899507999999997</v>
      </c>
      <c r="K14" s="411">
        <v>1.04</v>
      </c>
      <c r="L14" s="411">
        <v>0.51</v>
      </c>
      <c r="M14" s="411">
        <f>9.45+0.38</f>
        <v>9.83</v>
      </c>
      <c r="N14" s="527">
        <f>K14*L14*M14</f>
        <v>5.213832</v>
      </c>
    </row>
    <row r="15" spans="1:18" x14ac:dyDescent="0.25">
      <c r="A15" s="288"/>
      <c r="B15" s="288" t="s">
        <v>927</v>
      </c>
      <c r="C15" s="288"/>
      <c r="D15" s="288"/>
      <c r="E15" s="288"/>
      <c r="F15" s="522">
        <f>6.08+7.25-0.12-0.15-0.51</f>
        <v>12.55</v>
      </c>
      <c r="G15" s="523">
        <v>0.38</v>
      </c>
      <c r="H15" s="523">
        <v>1</v>
      </c>
      <c r="I15" s="523">
        <f>9.45+0.38</f>
        <v>9.83</v>
      </c>
      <c r="J15" s="524">
        <f t="shared" si="1"/>
        <v>46.879269999999998</v>
      </c>
      <c r="K15" s="411"/>
      <c r="L15" s="411"/>
    </row>
    <row r="16" spans="1:18" x14ac:dyDescent="0.25">
      <c r="A16" s="288"/>
      <c r="B16" s="288" t="s">
        <v>924</v>
      </c>
      <c r="C16" s="288" t="s">
        <v>8</v>
      </c>
      <c r="D16" s="288">
        <v>3.29</v>
      </c>
      <c r="E16" s="288"/>
      <c r="F16" s="522">
        <f>3.26+9.76+1.98+1.07+2.13+2.05+8.53+6.84+0.78-0.38-1.04</f>
        <v>34.980000000000004</v>
      </c>
      <c r="G16" s="523">
        <v>0.38</v>
      </c>
      <c r="H16" s="523">
        <v>1</v>
      </c>
      <c r="I16" s="523">
        <f>8.47+0.38</f>
        <v>8.8500000000000014</v>
      </c>
      <c r="J16" s="524">
        <f t="shared" si="1"/>
        <v>117.63774000000004</v>
      </c>
      <c r="K16" s="411">
        <v>1.04</v>
      </c>
      <c r="L16" s="411">
        <v>0.51</v>
      </c>
      <c r="M16" s="411">
        <f t="shared" ref="M16:M21" si="2">9.45+0.38</f>
        <v>9.83</v>
      </c>
      <c r="N16" s="527">
        <f t="shared" ref="N16:N21" si="3">K16*L16*M16</f>
        <v>5.213832</v>
      </c>
    </row>
    <row r="17" spans="1:14" x14ac:dyDescent="0.25">
      <c r="A17" s="288"/>
      <c r="B17" s="288" t="s">
        <v>925</v>
      </c>
      <c r="C17" s="288"/>
      <c r="D17" s="288"/>
      <c r="E17" s="288"/>
      <c r="F17" s="522">
        <v>1.85</v>
      </c>
      <c r="G17" s="523">
        <v>0.38</v>
      </c>
      <c r="H17" s="523">
        <v>1</v>
      </c>
      <c r="I17" s="523">
        <f>8.47+0.38</f>
        <v>8.8500000000000014</v>
      </c>
      <c r="J17" s="524">
        <f t="shared" si="1"/>
        <v>6.2215500000000015</v>
      </c>
      <c r="K17" s="411">
        <f>5.74-1.85</f>
        <v>3.89</v>
      </c>
      <c r="L17" s="411">
        <v>0.51</v>
      </c>
      <c r="M17" s="411">
        <f t="shared" si="2"/>
        <v>9.83</v>
      </c>
      <c r="N17" s="527">
        <f t="shared" si="3"/>
        <v>19.501736999999999</v>
      </c>
    </row>
    <row r="18" spans="1:14" x14ac:dyDescent="0.25">
      <c r="A18" s="288"/>
      <c r="B18" s="288"/>
      <c r="C18" s="288"/>
      <c r="D18" s="288"/>
      <c r="E18" s="288"/>
      <c r="F18" s="522">
        <f>6.08-0.19-0.15-2.965</f>
        <v>2.7749999999999995</v>
      </c>
      <c r="G18" s="523">
        <v>0.38</v>
      </c>
      <c r="H18" s="523">
        <v>1</v>
      </c>
      <c r="I18" s="523">
        <f>8.47+0.38</f>
        <v>8.8500000000000014</v>
      </c>
      <c r="J18" s="524">
        <f t="shared" si="1"/>
        <v>9.3323249999999991</v>
      </c>
      <c r="K18" s="511">
        <v>2.9649999999999999</v>
      </c>
      <c r="L18" s="411">
        <v>0.51</v>
      </c>
      <c r="M18" s="411">
        <f t="shared" si="2"/>
        <v>9.83</v>
      </c>
      <c r="N18" s="527">
        <f t="shared" si="3"/>
        <v>14.8644345</v>
      </c>
    </row>
    <row r="19" spans="1:14" x14ac:dyDescent="0.25">
      <c r="A19" s="288"/>
      <c r="B19" s="288"/>
      <c r="C19" s="288"/>
      <c r="D19" s="288"/>
      <c r="E19" s="288"/>
      <c r="F19" s="522">
        <f>7.25-0.19-0.12-1.04</f>
        <v>5.8999999999999995</v>
      </c>
      <c r="G19" s="523">
        <v>0.38</v>
      </c>
      <c r="H19" s="523">
        <v>3</v>
      </c>
      <c r="I19" s="523">
        <f>8.47+0.38</f>
        <v>8.8500000000000014</v>
      </c>
      <c r="J19" s="524">
        <f t="shared" si="1"/>
        <v>59.525100000000009</v>
      </c>
      <c r="K19" s="411">
        <f>1.04*3</f>
        <v>3.12</v>
      </c>
      <c r="L19" s="411">
        <v>0.51</v>
      </c>
      <c r="M19" s="411">
        <f t="shared" si="2"/>
        <v>9.83</v>
      </c>
      <c r="N19" s="527">
        <f t="shared" si="3"/>
        <v>15.641496000000002</v>
      </c>
    </row>
    <row r="20" spans="1:14" x14ac:dyDescent="0.25">
      <c r="A20" s="288"/>
      <c r="B20" s="288"/>
      <c r="C20" s="288"/>
      <c r="D20" s="288"/>
      <c r="E20" s="288"/>
      <c r="F20" s="522">
        <f>7.25-0.19-0.12-2.49</f>
        <v>4.4499999999999993</v>
      </c>
      <c r="G20" s="523">
        <v>0.38</v>
      </c>
      <c r="H20" s="523">
        <v>1</v>
      </c>
      <c r="I20" s="523">
        <f>8.47+0.38</f>
        <v>8.8500000000000014</v>
      </c>
      <c r="J20" s="524">
        <f t="shared" si="1"/>
        <v>14.965350000000001</v>
      </c>
      <c r="K20" s="411">
        <v>2.4900000000000002</v>
      </c>
      <c r="L20" s="411">
        <v>0.51</v>
      </c>
      <c r="M20" s="411">
        <f t="shared" si="2"/>
        <v>9.83</v>
      </c>
      <c r="N20" s="527">
        <f t="shared" si="3"/>
        <v>12.483117</v>
      </c>
    </row>
    <row r="21" spans="1:14" x14ac:dyDescent="0.25">
      <c r="A21" s="288"/>
      <c r="B21" s="288"/>
      <c r="C21" s="288"/>
      <c r="D21" s="288"/>
      <c r="E21" s="288"/>
      <c r="F21" s="522">
        <f>1.79-0.19-1.16</f>
        <v>0.44000000000000017</v>
      </c>
      <c r="G21" s="523">
        <v>0.38</v>
      </c>
      <c r="H21" s="523">
        <v>1</v>
      </c>
      <c r="I21" s="523">
        <v>1.9</v>
      </c>
      <c r="J21" s="524">
        <f t="shared" si="1"/>
        <v>0.31768000000000013</v>
      </c>
      <c r="K21" s="411">
        <v>1.1599999999999999</v>
      </c>
      <c r="L21" s="411">
        <v>0.51</v>
      </c>
      <c r="M21" s="411">
        <f t="shared" si="2"/>
        <v>9.83</v>
      </c>
      <c r="N21" s="527">
        <f t="shared" si="3"/>
        <v>5.8154279999999998</v>
      </c>
    </row>
    <row r="22" spans="1:14" x14ac:dyDescent="0.25">
      <c r="A22" s="288"/>
      <c r="B22" s="288"/>
      <c r="C22" s="288"/>
      <c r="D22" s="288"/>
      <c r="E22" s="288"/>
      <c r="F22" s="522">
        <f>1.79-0.19</f>
        <v>1.6</v>
      </c>
      <c r="G22" s="523">
        <v>0.25</v>
      </c>
      <c r="H22" s="523">
        <v>1</v>
      </c>
      <c r="I22" s="523">
        <v>1.9</v>
      </c>
      <c r="J22" s="524">
        <f t="shared" si="1"/>
        <v>0.76</v>
      </c>
      <c r="K22" s="411"/>
      <c r="L22" s="411"/>
    </row>
    <row r="23" spans="1:14" x14ac:dyDescent="0.25">
      <c r="A23" s="288"/>
      <c r="B23" s="288"/>
      <c r="C23" s="288"/>
      <c r="D23" s="288"/>
      <c r="E23" s="288"/>
      <c r="F23" s="522">
        <v>4.9400000000000004</v>
      </c>
      <c r="G23" s="523">
        <v>0.25</v>
      </c>
      <c r="H23" s="523">
        <v>1</v>
      </c>
      <c r="I23" s="523">
        <v>1.9</v>
      </c>
      <c r="J23" s="524">
        <f t="shared" si="1"/>
        <v>2.3465000000000003</v>
      </c>
      <c r="K23" s="411"/>
      <c r="L23" s="411"/>
    </row>
    <row r="24" spans="1:14" x14ac:dyDescent="0.25">
      <c r="A24" s="288"/>
      <c r="B24" s="288"/>
      <c r="C24" s="288"/>
      <c r="D24" s="288"/>
      <c r="E24" s="288"/>
      <c r="F24" s="522">
        <v>1.85</v>
      </c>
      <c r="G24" s="523">
        <v>0.25</v>
      </c>
      <c r="H24" s="523">
        <v>2</v>
      </c>
      <c r="I24" s="523">
        <v>1.9</v>
      </c>
      <c r="J24" s="524">
        <f t="shared" si="1"/>
        <v>1.7575000000000001</v>
      </c>
      <c r="K24" s="411"/>
      <c r="L24" s="411"/>
    </row>
    <row r="25" spans="1:14" x14ac:dyDescent="0.25">
      <c r="A25" s="288"/>
      <c r="B25" s="288"/>
      <c r="C25" s="288"/>
      <c r="D25" s="288"/>
      <c r="E25" s="288"/>
      <c r="F25" s="522">
        <v>4.38</v>
      </c>
      <c r="G25" s="523">
        <v>0.25</v>
      </c>
      <c r="H25" s="523">
        <v>1</v>
      </c>
      <c r="I25" s="523">
        <v>1.9</v>
      </c>
      <c r="J25" s="524">
        <f t="shared" si="1"/>
        <v>2.0804999999999998</v>
      </c>
      <c r="K25" s="411"/>
      <c r="L25" s="411"/>
    </row>
    <row r="26" spans="1:14" x14ac:dyDescent="0.25">
      <c r="A26" s="288"/>
      <c r="B26" s="288"/>
      <c r="C26" s="288"/>
      <c r="D26" s="288"/>
      <c r="E26" s="288"/>
      <c r="F26" s="511"/>
      <c r="G26" s="411"/>
      <c r="H26" s="411"/>
      <c r="I26" s="411"/>
      <c r="J26" s="509">
        <f>SUM(J13:J25)</f>
        <v>581.49904700000013</v>
      </c>
      <c r="L26" s="411"/>
      <c r="N26" s="509">
        <f>SUM(N13:N25)</f>
        <v>78.733876500000008</v>
      </c>
    </row>
    <row r="27" spans="1:14" ht="15" thickBot="1" x14ac:dyDescent="0.3">
      <c r="A27" s="288"/>
      <c r="B27" s="288"/>
      <c r="C27" s="288"/>
      <c r="D27" s="288"/>
      <c r="E27" s="288"/>
      <c r="F27" s="511" t="s">
        <v>1275</v>
      </c>
      <c r="G27" s="411"/>
      <c r="H27" s="411"/>
      <c r="I27" s="411"/>
      <c r="J27" s="512"/>
      <c r="L27" s="411"/>
    </row>
    <row r="28" spans="1:14" ht="15" thickBot="1" x14ac:dyDescent="0.3">
      <c r="A28" s="288"/>
      <c r="B28" s="288"/>
      <c r="C28" s="288"/>
      <c r="D28" s="288"/>
      <c r="E28" s="288"/>
      <c r="F28" s="511">
        <f>12.76-0.15-0.15</f>
        <v>12.459999999999999</v>
      </c>
      <c r="G28" s="288">
        <v>0.38</v>
      </c>
      <c r="H28" s="288">
        <v>1</v>
      </c>
      <c r="I28" s="288">
        <f>0.38+9.45</f>
        <v>9.83</v>
      </c>
      <c r="J28" s="596">
        <f>F28*G28*H28*I28</f>
        <v>46.543084</v>
      </c>
      <c r="L28" s="411"/>
    </row>
    <row r="29" spans="1:14" x14ac:dyDescent="0.25">
      <c r="A29" s="288"/>
      <c r="B29" s="288"/>
      <c r="C29" s="288"/>
      <c r="D29" s="288"/>
      <c r="E29" s="288"/>
      <c r="F29" s="522">
        <f>6.4+3.2+10+0.38</f>
        <v>19.98</v>
      </c>
      <c r="G29" s="523">
        <v>0.38</v>
      </c>
      <c r="H29" s="523">
        <v>2</v>
      </c>
      <c r="I29" s="523">
        <f>9.45+0.38</f>
        <v>9.83</v>
      </c>
      <c r="J29" s="524">
        <f t="shared" ref="J29:J35" si="4">F29*G29*H29*I29</f>
        <v>149.26658400000002</v>
      </c>
      <c r="L29" s="411"/>
    </row>
    <row r="30" spans="1:14" x14ac:dyDescent="0.25">
      <c r="A30" s="288"/>
      <c r="B30" s="288"/>
      <c r="C30" s="288"/>
      <c r="D30" s="288"/>
      <c r="E30" s="288"/>
      <c r="F30" s="522">
        <f>12.76-0.15-0.15-1.04</f>
        <v>11.419999999999998</v>
      </c>
      <c r="G30" s="523">
        <v>0.38</v>
      </c>
      <c r="H30" s="523">
        <v>1</v>
      </c>
      <c r="I30" s="523">
        <f>9.45+0.38</f>
        <v>9.83</v>
      </c>
      <c r="J30" s="524">
        <f t="shared" si="4"/>
        <v>42.658267999999993</v>
      </c>
      <c r="K30" s="411">
        <f>1.04</f>
        <v>1.04</v>
      </c>
      <c r="L30" s="411">
        <v>0.51</v>
      </c>
      <c r="M30" s="411">
        <f>9.45+0.38</f>
        <v>9.83</v>
      </c>
      <c r="N30" s="527">
        <f>K30*L30*M30</f>
        <v>5.213832</v>
      </c>
    </row>
    <row r="31" spans="1:14" x14ac:dyDescent="0.25">
      <c r="A31" s="288"/>
      <c r="B31" s="288"/>
      <c r="C31" s="288"/>
      <c r="D31" s="288"/>
      <c r="E31" s="288"/>
      <c r="F31" s="522">
        <f>12.76-0.15-0.15-1.04</f>
        <v>11.419999999999998</v>
      </c>
      <c r="G31" s="523">
        <v>0.38</v>
      </c>
      <c r="H31" s="523">
        <v>1</v>
      </c>
      <c r="I31" s="523">
        <f>9.45+0.38</f>
        <v>9.83</v>
      </c>
      <c r="J31" s="524">
        <f t="shared" si="4"/>
        <v>42.658267999999993</v>
      </c>
      <c r="K31" s="411">
        <f>1.04*1</f>
        <v>1.04</v>
      </c>
      <c r="L31" s="411">
        <v>0.51</v>
      </c>
      <c r="M31" s="411">
        <f>9.45+0.38</f>
        <v>9.83</v>
      </c>
      <c r="N31" s="527">
        <f>K31*L31*M31</f>
        <v>5.213832</v>
      </c>
    </row>
    <row r="32" spans="1:14" x14ac:dyDescent="0.25">
      <c r="A32" s="288"/>
      <c r="B32" s="288"/>
      <c r="C32" s="288"/>
      <c r="D32" s="288"/>
      <c r="E32" s="288"/>
      <c r="F32" s="522">
        <f>12.76-0.15-0.15-2.08</f>
        <v>10.379999999999999</v>
      </c>
      <c r="G32" s="523">
        <v>0.38</v>
      </c>
      <c r="H32" s="523">
        <v>1</v>
      </c>
      <c r="I32" s="523">
        <f>8.47+0.38</f>
        <v>8.8500000000000014</v>
      </c>
      <c r="J32" s="524">
        <f t="shared" si="4"/>
        <v>34.907940000000004</v>
      </c>
      <c r="K32" s="411">
        <f>2.08*1</f>
        <v>2.08</v>
      </c>
      <c r="L32" s="411">
        <v>0.51</v>
      </c>
      <c r="M32" s="411">
        <f>9.45+0.38</f>
        <v>9.83</v>
      </c>
      <c r="N32" s="527">
        <f>K32*L32*M32</f>
        <v>10.427664</v>
      </c>
    </row>
    <row r="33" spans="1:14" x14ac:dyDescent="0.25">
      <c r="A33" s="288"/>
      <c r="B33" s="288"/>
      <c r="C33" s="288"/>
      <c r="D33" s="288"/>
      <c r="E33" s="288"/>
      <c r="F33" s="522">
        <f>6.4+3.2+10-0.38</f>
        <v>19.220000000000002</v>
      </c>
      <c r="G33" s="523">
        <v>0.38</v>
      </c>
      <c r="H33" s="523">
        <v>1</v>
      </c>
      <c r="I33" s="523">
        <f>8.47+0.38</f>
        <v>8.8500000000000014</v>
      </c>
      <c r="J33" s="524">
        <f t="shared" si="4"/>
        <v>64.636860000000027</v>
      </c>
    </row>
    <row r="34" spans="1:14" x14ac:dyDescent="0.25">
      <c r="A34" s="288"/>
      <c r="B34" s="288"/>
      <c r="C34" s="288"/>
      <c r="D34" s="288"/>
      <c r="E34" s="288"/>
      <c r="F34" s="522">
        <f>4.01+1.89+0.78-0.19-0.15</f>
        <v>6.339999999999999</v>
      </c>
      <c r="G34" s="523">
        <v>0.38</v>
      </c>
      <c r="H34" s="523">
        <v>1</v>
      </c>
      <c r="I34" s="523">
        <f>8.47+0.38</f>
        <v>8.8500000000000014</v>
      </c>
      <c r="J34" s="524">
        <f t="shared" si="4"/>
        <v>21.32142</v>
      </c>
      <c r="L34" s="411"/>
    </row>
    <row r="35" spans="1:14" x14ac:dyDescent="0.25">
      <c r="A35" s="288"/>
      <c r="B35" s="288" t="s">
        <v>928</v>
      </c>
      <c r="C35" s="288"/>
      <c r="D35" s="288"/>
      <c r="E35" s="288"/>
      <c r="F35" s="522">
        <v>0.51</v>
      </c>
      <c r="G35" s="523">
        <v>0.38</v>
      </c>
      <c r="H35" s="523">
        <v>2</v>
      </c>
      <c r="I35" s="523">
        <f>9.45+0.38</f>
        <v>9.83</v>
      </c>
      <c r="J35" s="524">
        <f t="shared" si="4"/>
        <v>3.8101080000000001</v>
      </c>
      <c r="L35" s="411"/>
    </row>
    <row r="36" spans="1:14" x14ac:dyDescent="0.25">
      <c r="A36" s="288"/>
      <c r="B36" s="288" t="s">
        <v>929</v>
      </c>
      <c r="C36" s="288"/>
      <c r="D36" s="288"/>
      <c r="E36" s="288"/>
      <c r="F36" s="511"/>
      <c r="G36" s="411"/>
      <c r="H36" s="411"/>
      <c r="I36" s="411"/>
      <c r="J36" s="509">
        <f>SUM(J29:J35)</f>
        <v>359.25944800000002</v>
      </c>
      <c r="L36" s="411"/>
      <c r="N36" s="509">
        <f>SUM(N29:N35)</f>
        <v>20.855328</v>
      </c>
    </row>
    <row r="37" spans="1:14" ht="15" thickBot="1" x14ac:dyDescent="0.3">
      <c r="A37" s="288"/>
      <c r="B37" s="288"/>
      <c r="C37" s="288"/>
      <c r="D37" s="288"/>
      <c r="E37" s="288"/>
      <c r="F37" s="511" t="s">
        <v>1276</v>
      </c>
      <c r="G37" s="411"/>
      <c r="H37" s="411"/>
      <c r="I37" s="411"/>
      <c r="J37" s="512"/>
    </row>
    <row r="38" spans="1:14" ht="15" thickBot="1" x14ac:dyDescent="0.3">
      <c r="A38" s="288"/>
      <c r="B38" s="288"/>
      <c r="C38" s="288"/>
      <c r="D38" s="288"/>
      <c r="E38" s="288"/>
      <c r="F38" s="511">
        <f>6.08+7.25-0.12-0.15</f>
        <v>13.06</v>
      </c>
      <c r="G38" s="288">
        <v>0.38</v>
      </c>
      <c r="H38" s="288">
        <v>1</v>
      </c>
      <c r="I38" s="288">
        <f>0.38+9.45</f>
        <v>9.83</v>
      </c>
      <c r="J38" s="596">
        <f>F38*G38*H38*I38</f>
        <v>48.784324000000005</v>
      </c>
    </row>
    <row r="39" spans="1:14" x14ac:dyDescent="0.25">
      <c r="A39" s="288"/>
      <c r="B39" s="288" t="s">
        <v>930</v>
      </c>
      <c r="C39" s="288" t="s">
        <v>8</v>
      </c>
      <c r="D39" s="288">
        <v>4.8639999999999999</v>
      </c>
      <c r="E39" s="288"/>
      <c r="F39" s="522">
        <f>3.26+9.76+1.98+3.2+2.05+8.53+7.62+0.38</f>
        <v>36.78</v>
      </c>
      <c r="G39" s="523">
        <v>0.38</v>
      </c>
      <c r="H39" s="523">
        <v>2</v>
      </c>
      <c r="I39" s="523">
        <f>9.45+0.38</f>
        <v>9.83</v>
      </c>
      <c r="J39" s="524">
        <f t="shared" ref="J39:J48" si="5">F39*G39*H39*I39</f>
        <v>274.77602400000001</v>
      </c>
    </row>
    <row r="40" spans="1:14" x14ac:dyDescent="0.25">
      <c r="A40" s="288"/>
      <c r="B40" s="288" t="s">
        <v>931</v>
      </c>
      <c r="C40" s="288"/>
      <c r="D40" s="288"/>
      <c r="E40" s="288"/>
      <c r="F40" s="522">
        <f>13.33-0.12-0.15-1.04</f>
        <v>12.02</v>
      </c>
      <c r="G40" s="523">
        <v>0.38</v>
      </c>
      <c r="H40" s="523">
        <v>1</v>
      </c>
      <c r="I40" s="523">
        <f>9.45+0.38</f>
        <v>9.83</v>
      </c>
      <c r="J40" s="524">
        <f t="shared" si="5"/>
        <v>44.899507999999997</v>
      </c>
      <c r="K40" s="411">
        <v>1.04</v>
      </c>
      <c r="L40" s="411">
        <v>0.51</v>
      </c>
      <c r="M40" s="411">
        <f>9.45+0.38</f>
        <v>9.83</v>
      </c>
      <c r="N40" s="527">
        <f>K40*L40*M40</f>
        <v>5.213832</v>
      </c>
    </row>
    <row r="41" spans="1:14" x14ac:dyDescent="0.25">
      <c r="A41" s="288"/>
      <c r="B41" s="288"/>
      <c r="C41" s="288"/>
      <c r="D41" s="288"/>
      <c r="E41" s="288"/>
      <c r="F41" s="522">
        <f>13.33-0.12-0.15</f>
        <v>13.06</v>
      </c>
      <c r="G41" s="523">
        <v>0.38</v>
      </c>
      <c r="H41" s="523">
        <v>1</v>
      </c>
      <c r="I41" s="523">
        <f>9.45+0.38</f>
        <v>9.83</v>
      </c>
      <c r="J41" s="524">
        <f t="shared" si="5"/>
        <v>48.784324000000005</v>
      </c>
      <c r="K41" s="411"/>
    </row>
    <row r="42" spans="1:14" x14ac:dyDescent="0.25">
      <c r="A42" s="288"/>
      <c r="B42" s="288" t="s">
        <v>922</v>
      </c>
      <c r="C42" s="288"/>
      <c r="D42" s="288"/>
      <c r="E42" s="288"/>
      <c r="F42" s="522">
        <f>3.26+9.76+1.98+3.2+2.05+8.53+7.62-0.38-1.04</f>
        <v>34.979999999999997</v>
      </c>
      <c r="G42" s="523">
        <v>0.38</v>
      </c>
      <c r="H42" s="523">
        <v>1</v>
      </c>
      <c r="I42" s="523">
        <f>8.47+0.38</f>
        <v>8.8500000000000014</v>
      </c>
      <c r="J42" s="524">
        <f t="shared" si="5"/>
        <v>117.63774000000001</v>
      </c>
      <c r="K42" s="411">
        <v>1.04</v>
      </c>
      <c r="L42" s="411">
        <v>0.51</v>
      </c>
      <c r="M42" s="411">
        <f>9.45+0.38</f>
        <v>9.83</v>
      </c>
      <c r="N42" s="527">
        <f>K42*L42*M42</f>
        <v>5.213832</v>
      </c>
    </row>
    <row r="43" spans="1:14" x14ac:dyDescent="0.25">
      <c r="A43" s="288"/>
      <c r="B43" s="288" t="s">
        <v>923</v>
      </c>
      <c r="C43" s="288"/>
      <c r="D43" s="288"/>
      <c r="E43" s="288"/>
      <c r="F43" s="522">
        <f>7.25-0.19-0.12-1.04*3</f>
        <v>3.8199999999999994</v>
      </c>
      <c r="G43" s="523">
        <v>0.38</v>
      </c>
      <c r="H43" s="523">
        <v>3</v>
      </c>
      <c r="I43" s="523">
        <f>8.47+0.38</f>
        <v>8.8500000000000014</v>
      </c>
      <c r="J43" s="524">
        <f t="shared" si="5"/>
        <v>38.53998</v>
      </c>
      <c r="K43" s="411">
        <f>1.04*3</f>
        <v>3.12</v>
      </c>
      <c r="L43" s="411">
        <v>0.51</v>
      </c>
      <c r="M43" s="411">
        <f>9.45+0.38</f>
        <v>9.83</v>
      </c>
      <c r="N43" s="527">
        <f>K43*L43*M43</f>
        <v>15.641496000000002</v>
      </c>
    </row>
    <row r="44" spans="1:14" x14ac:dyDescent="0.25">
      <c r="A44" s="288"/>
      <c r="B44" s="288"/>
      <c r="C44" s="288"/>
      <c r="D44" s="288"/>
      <c r="E44" s="288"/>
      <c r="F44" s="522">
        <f>7.25-0.19-0.12-2.49</f>
        <v>4.4499999999999993</v>
      </c>
      <c r="G44" s="523">
        <v>0.38</v>
      </c>
      <c r="H44" s="523">
        <v>1</v>
      </c>
      <c r="I44" s="523">
        <f>8.47+0.38</f>
        <v>8.8500000000000014</v>
      </c>
      <c r="J44" s="524">
        <f t="shared" si="5"/>
        <v>14.965350000000001</v>
      </c>
      <c r="K44" s="411">
        <v>2.4900000000000002</v>
      </c>
      <c r="L44" s="411">
        <v>0.51</v>
      </c>
      <c r="M44" s="411">
        <f>9.45+0.38</f>
        <v>9.83</v>
      </c>
      <c r="N44" s="527">
        <f>K44*L44*M44</f>
        <v>12.483117</v>
      </c>
    </row>
    <row r="45" spans="1:14" x14ac:dyDescent="0.25">
      <c r="A45" s="288"/>
      <c r="B45" s="288"/>
      <c r="C45" s="288"/>
      <c r="D45" s="288"/>
      <c r="E45" s="288"/>
      <c r="F45" s="522">
        <f>6.08-0.19-0.15-1.04</f>
        <v>4.6999999999999993</v>
      </c>
      <c r="G45" s="523">
        <v>0.38</v>
      </c>
      <c r="H45" s="523">
        <v>1</v>
      </c>
      <c r="I45" s="523">
        <f>8.47+0.38</f>
        <v>8.8500000000000014</v>
      </c>
      <c r="J45" s="524">
        <f t="shared" si="5"/>
        <v>15.806100000000001</v>
      </c>
      <c r="K45" s="411">
        <v>1.04</v>
      </c>
      <c r="L45" s="411">
        <v>0.51</v>
      </c>
      <c r="M45" s="411">
        <f>9.45+0.38</f>
        <v>9.83</v>
      </c>
      <c r="N45" s="527">
        <f>K45*L45*M45</f>
        <v>5.213832</v>
      </c>
    </row>
    <row r="46" spans="1:14" x14ac:dyDescent="0.25">
      <c r="A46" s="288"/>
      <c r="B46" s="288"/>
      <c r="C46" s="288"/>
      <c r="D46" s="288"/>
      <c r="E46" s="288"/>
      <c r="F46" s="522">
        <f>6.08-0.19-0.15-1.535</f>
        <v>4.2049999999999992</v>
      </c>
      <c r="G46" s="523">
        <v>0.38</v>
      </c>
      <c r="H46" s="523">
        <v>1</v>
      </c>
      <c r="I46" s="523">
        <f>8.47+0.38</f>
        <v>8.8500000000000014</v>
      </c>
      <c r="J46" s="524">
        <f t="shared" si="5"/>
        <v>14.141414999999999</v>
      </c>
      <c r="K46" s="511">
        <v>1.5349999999999999</v>
      </c>
      <c r="L46" s="411">
        <v>0.51</v>
      </c>
      <c r="M46" s="411">
        <f>9.45+0.38</f>
        <v>9.83</v>
      </c>
      <c r="N46" s="527">
        <f>K46*L46*M46</f>
        <v>7.6954154999999993</v>
      </c>
    </row>
    <row r="47" spans="1:14" x14ac:dyDescent="0.25">
      <c r="A47" s="288"/>
      <c r="B47" s="288"/>
      <c r="C47" s="288"/>
      <c r="D47" s="288"/>
      <c r="E47" s="288"/>
      <c r="F47" s="522">
        <f>6.08-0.19-0.15</f>
        <v>5.7399999999999993</v>
      </c>
      <c r="G47" s="523">
        <v>0.25</v>
      </c>
      <c r="H47" s="523">
        <v>2</v>
      </c>
      <c r="I47" s="523">
        <f>2.55*1</f>
        <v>2.5499999999999998</v>
      </c>
      <c r="J47" s="524">
        <f t="shared" si="5"/>
        <v>7.3184999999999985</v>
      </c>
    </row>
    <row r="48" spans="1:14" x14ac:dyDescent="0.25">
      <c r="A48" s="288"/>
      <c r="B48" s="288"/>
      <c r="C48" s="288"/>
      <c r="D48" s="288"/>
      <c r="E48" s="288"/>
      <c r="F48" s="522">
        <v>1.17</v>
      </c>
      <c r="G48" s="523">
        <v>0.38</v>
      </c>
      <c r="H48" s="523">
        <v>1</v>
      </c>
      <c r="I48" s="523">
        <v>9.93</v>
      </c>
      <c r="J48" s="524">
        <f t="shared" si="5"/>
        <v>4.4148779999999999</v>
      </c>
    </row>
    <row r="49" spans="1:21" x14ac:dyDescent="0.25">
      <c r="A49" s="288"/>
      <c r="B49" s="288"/>
      <c r="C49" s="288"/>
      <c r="D49" s="288"/>
      <c r="E49" s="288"/>
      <c r="F49" s="513"/>
      <c r="G49" s="514"/>
      <c r="H49" s="514"/>
      <c r="I49" s="514"/>
      <c r="J49" s="509">
        <f>SUM(J39:J48)</f>
        <v>581.28381900000011</v>
      </c>
      <c r="N49" s="509">
        <f>SUM(N39:N47)</f>
        <v>51.461524499999996</v>
      </c>
    </row>
    <row r="50" spans="1:21" x14ac:dyDescent="0.25">
      <c r="A50" s="288"/>
      <c r="B50" s="288" t="s">
        <v>924</v>
      </c>
      <c r="C50" s="288" t="s">
        <v>8</v>
      </c>
      <c r="D50" s="288">
        <v>189.01</v>
      </c>
      <c r="E50" s="288">
        <f>D50+D110+D172</f>
        <v>424.13</v>
      </c>
      <c r="F50" s="288"/>
      <c r="G50" s="288"/>
      <c r="H50" s="288"/>
    </row>
    <row r="51" spans="1:21" ht="15" thickBot="1" x14ac:dyDescent="0.3">
      <c r="A51" s="288"/>
      <c r="B51" s="288" t="s">
        <v>932</v>
      </c>
      <c r="C51" s="288"/>
      <c r="D51" s="288"/>
      <c r="E51" s="288"/>
      <c r="F51" s="288"/>
      <c r="G51" s="288"/>
      <c r="H51" s="288"/>
      <c r="J51" s="510">
        <f>J11+J26+J36+J49</f>
        <v>1880.1226790000001</v>
      </c>
      <c r="N51" s="510">
        <f>N11+N26+N36+N49</f>
        <v>179.6014725</v>
      </c>
    </row>
    <row r="52" spans="1:21" ht="15" thickBot="1" x14ac:dyDescent="0.3">
      <c r="A52" s="288"/>
      <c r="B52" s="288" t="s">
        <v>926</v>
      </c>
      <c r="C52" s="288"/>
      <c r="D52" s="288"/>
      <c r="E52" s="500">
        <f>SUM(E4:E50)</f>
        <v>1340.96</v>
      </c>
      <c r="F52" s="288"/>
      <c r="G52" s="288"/>
      <c r="H52" s="288"/>
      <c r="J52" s="528">
        <f>J51-окна!R16-окна!R24</f>
        <v>1584.2090990000002</v>
      </c>
      <c r="N52" s="528">
        <f>N49+N36+N26+N11</f>
        <v>179.6014725</v>
      </c>
    </row>
    <row r="53" spans="1:21" x14ac:dyDescent="0.25">
      <c r="A53" s="288"/>
      <c r="B53" s="288" t="s">
        <v>927</v>
      </c>
      <c r="C53" s="288"/>
      <c r="D53" s="288"/>
      <c r="E53" s="288"/>
      <c r="F53" s="288"/>
      <c r="G53" s="288"/>
      <c r="H53" s="288"/>
      <c r="Q53" s="611">
        <f>9.45-8.47-0.19-0.03</f>
        <v>0.75999999999999868</v>
      </c>
    </row>
    <row r="54" spans="1:21" x14ac:dyDescent="0.25">
      <c r="A54" s="288"/>
      <c r="B54" s="288" t="s">
        <v>924</v>
      </c>
      <c r="C54" s="288" t="s">
        <v>8</v>
      </c>
      <c r="D54" s="288">
        <v>2.3199999999999998</v>
      </c>
      <c r="E54" s="288"/>
      <c r="F54" s="288"/>
      <c r="G54" s="288"/>
      <c r="H54" s="288"/>
      <c r="K54" s="288" t="s">
        <v>1286</v>
      </c>
      <c r="N54" s="413">
        <v>8.4700000000000006</v>
      </c>
      <c r="O54" s="411" t="s">
        <v>1381</v>
      </c>
      <c r="P54" s="411" t="s">
        <v>638</v>
      </c>
      <c r="Q54" s="411">
        <f>9.45-8.47</f>
        <v>0.97999999999999865</v>
      </c>
      <c r="R54" s="411" t="s">
        <v>1290</v>
      </c>
    </row>
    <row r="55" spans="1:21" x14ac:dyDescent="0.25">
      <c r="A55" s="288"/>
      <c r="B55" s="288" t="s">
        <v>932</v>
      </c>
      <c r="C55" s="288"/>
      <c r="D55" s="288"/>
      <c r="E55" s="288"/>
      <c r="F55" s="411"/>
      <c r="G55" s="411"/>
      <c r="H55" s="411"/>
      <c r="I55" s="411"/>
      <c r="J55" s="411"/>
      <c r="K55" s="411"/>
      <c r="L55" s="411" t="s">
        <v>1289</v>
      </c>
      <c r="M55" s="411" t="s">
        <v>1292</v>
      </c>
      <c r="N55" s="411"/>
      <c r="O55" s="585">
        <f>SUM(O56:O69)</f>
        <v>13.281265999999992</v>
      </c>
      <c r="P55" s="585">
        <f>SUM(P56:P69)</f>
        <v>89.592999999999975</v>
      </c>
      <c r="Q55" s="411"/>
      <c r="R55" s="411"/>
      <c r="S55" s="411"/>
      <c r="T55" s="411"/>
      <c r="U55" s="411"/>
    </row>
    <row r="56" spans="1:21" x14ac:dyDescent="0.25">
      <c r="A56" s="288"/>
      <c r="B56" s="288" t="s">
        <v>928</v>
      </c>
      <c r="C56" s="288"/>
      <c r="D56" s="288"/>
      <c r="E56" s="288"/>
      <c r="F56" s="411"/>
      <c r="G56" s="411"/>
      <c r="H56" s="411"/>
      <c r="I56" s="411"/>
      <c r="J56" s="577" t="s">
        <v>1273</v>
      </c>
      <c r="K56" s="411" t="s">
        <v>1288</v>
      </c>
      <c r="L56" s="411">
        <f>9.7-8.47</f>
        <v>1.2299999999999986</v>
      </c>
      <c r="M56" s="411">
        <f>0.38+0.53+0.38+4.3</f>
        <v>5.59</v>
      </c>
      <c r="N56" s="411">
        <v>0.38</v>
      </c>
      <c r="O56" s="411">
        <f>L56*M56*N56</f>
        <v>2.612765999999997</v>
      </c>
      <c r="P56" s="411">
        <f>(M56+N56)*2*L56</f>
        <v>14.686199999999983</v>
      </c>
      <c r="R56" s="411"/>
      <c r="S56" s="411"/>
      <c r="T56" s="411"/>
      <c r="U56" s="411"/>
    </row>
    <row r="57" spans="1:21" x14ac:dyDescent="0.25">
      <c r="A57" s="288"/>
      <c r="B57" s="288" t="s">
        <v>929</v>
      </c>
      <c r="C57" s="288"/>
      <c r="D57" s="288"/>
      <c r="E57" s="288"/>
      <c r="F57" s="411"/>
      <c r="G57" s="411"/>
      <c r="H57" s="411"/>
      <c r="I57" s="411"/>
      <c r="J57" s="411"/>
      <c r="K57" s="411"/>
      <c r="L57" s="411">
        <f>9.7-8.47</f>
        <v>1.2299999999999986</v>
      </c>
      <c r="M57" s="411">
        <v>0.9</v>
      </c>
      <c r="N57" s="411">
        <v>0.38</v>
      </c>
      <c r="O57" s="411">
        <f t="shared" ref="O57:O103" si="6">L57*M57*N57</f>
        <v>0.42065999999999959</v>
      </c>
      <c r="P57" s="411">
        <f t="shared" ref="P57:P69" si="7">(M57+N57)*2*L57</f>
        <v>3.1487999999999965</v>
      </c>
      <c r="Q57" s="411"/>
      <c r="R57" s="411"/>
      <c r="S57" s="411"/>
      <c r="T57" s="411"/>
      <c r="U57" s="411"/>
    </row>
    <row r="58" spans="1:21" x14ac:dyDescent="0.25">
      <c r="A58" s="288"/>
      <c r="B58" s="288" t="s">
        <v>930</v>
      </c>
      <c r="C58" s="288" t="s">
        <v>8</v>
      </c>
      <c r="D58" s="288">
        <v>3.43</v>
      </c>
      <c r="E58" s="288"/>
      <c r="F58" s="411"/>
      <c r="G58" s="411"/>
      <c r="H58" s="411"/>
      <c r="I58" s="411"/>
      <c r="J58" s="411"/>
      <c r="K58" s="411"/>
      <c r="L58" s="411">
        <f>9.7-N54</f>
        <v>1.2299999999999986</v>
      </c>
      <c r="M58" s="411">
        <f>0.38+1.82</f>
        <v>2.2000000000000002</v>
      </c>
      <c r="N58" s="411">
        <v>0.38</v>
      </c>
      <c r="O58" s="411">
        <f t="shared" si="6"/>
        <v>1.028279999999999</v>
      </c>
      <c r="P58" s="411">
        <f t="shared" si="7"/>
        <v>6.3467999999999929</v>
      </c>
      <c r="Q58" s="411"/>
      <c r="R58" s="411"/>
      <c r="S58" s="411"/>
      <c r="T58" s="411"/>
      <c r="U58" s="411"/>
    </row>
    <row r="59" spans="1:21" x14ac:dyDescent="0.25">
      <c r="A59" s="288"/>
      <c r="B59" s="288" t="s">
        <v>933</v>
      </c>
      <c r="C59" s="288" t="s">
        <v>8</v>
      </c>
      <c r="D59" s="288">
        <v>2.83</v>
      </c>
      <c r="E59" s="288"/>
      <c r="F59" s="411"/>
      <c r="G59" s="411"/>
      <c r="H59" s="411"/>
      <c r="I59" s="411"/>
      <c r="J59" s="411"/>
      <c r="K59" s="411"/>
      <c r="L59" s="411">
        <f>10.9-9.7</f>
        <v>1.2000000000000011</v>
      </c>
      <c r="M59" s="411">
        <v>0.38</v>
      </c>
      <c r="N59" s="411">
        <v>0.51</v>
      </c>
      <c r="O59" s="411">
        <f t="shared" si="6"/>
        <v>0.23256000000000021</v>
      </c>
      <c r="P59" s="411">
        <f t="shared" si="7"/>
        <v>2.1360000000000019</v>
      </c>
      <c r="Q59" s="411"/>
      <c r="R59" s="411"/>
      <c r="S59" s="411"/>
      <c r="T59" s="411"/>
      <c r="U59" s="411"/>
    </row>
    <row r="60" spans="1:21" x14ac:dyDescent="0.25">
      <c r="A60" s="288"/>
      <c r="B60" s="288" t="s">
        <v>934</v>
      </c>
      <c r="C60" s="288" t="s">
        <v>8</v>
      </c>
      <c r="D60" s="288"/>
      <c r="E60" s="288"/>
      <c r="F60" s="411"/>
      <c r="G60" s="411"/>
      <c r="H60" s="411"/>
      <c r="I60" s="411"/>
      <c r="J60" s="411"/>
      <c r="K60" s="411"/>
      <c r="L60" s="411">
        <f>10.9-9.7</f>
        <v>1.2000000000000011</v>
      </c>
      <c r="M60" s="411">
        <v>0.38</v>
      </c>
      <c r="N60" s="411">
        <v>0.51</v>
      </c>
      <c r="O60" s="411">
        <f t="shared" si="6"/>
        <v>0.23256000000000021</v>
      </c>
      <c r="P60" s="411">
        <f t="shared" si="7"/>
        <v>2.1360000000000019</v>
      </c>
      <c r="Q60" s="411"/>
      <c r="R60" s="411"/>
      <c r="S60" s="411"/>
      <c r="T60" s="411"/>
      <c r="U60" s="411"/>
    </row>
    <row r="61" spans="1:21" x14ac:dyDescent="0.25">
      <c r="A61" s="288"/>
      <c r="B61" s="288" t="s">
        <v>935</v>
      </c>
      <c r="C61" s="288"/>
      <c r="D61" s="288"/>
      <c r="E61" s="288"/>
      <c r="F61" s="411"/>
      <c r="G61" s="411"/>
      <c r="H61" s="411"/>
      <c r="I61" s="411"/>
      <c r="J61" s="411"/>
      <c r="K61" s="411"/>
      <c r="L61" s="411">
        <f>10.9-9.7</f>
        <v>1.2000000000000011</v>
      </c>
      <c r="M61" s="411">
        <v>0.38</v>
      </c>
      <c r="N61" s="411">
        <v>0.51</v>
      </c>
      <c r="O61" s="411">
        <f t="shared" si="6"/>
        <v>0.23256000000000021</v>
      </c>
      <c r="P61" s="411">
        <f t="shared" si="7"/>
        <v>2.1360000000000019</v>
      </c>
      <c r="Q61" s="411"/>
      <c r="R61" s="411"/>
      <c r="S61" s="411"/>
      <c r="T61" s="411"/>
      <c r="U61" s="411"/>
    </row>
    <row r="62" spans="1:21" x14ac:dyDescent="0.25">
      <c r="A62" s="288"/>
      <c r="B62" s="288" t="s">
        <v>936</v>
      </c>
      <c r="C62" s="288" t="s">
        <v>8</v>
      </c>
      <c r="D62" s="288">
        <v>7.7</v>
      </c>
      <c r="E62" s="288">
        <f>D62+D122+D184</f>
        <v>15.760000000000002</v>
      </c>
      <c r="F62" s="411"/>
      <c r="G62" s="411"/>
      <c r="H62" s="411"/>
      <c r="I62" s="411"/>
      <c r="J62" s="411"/>
      <c r="K62" s="411" t="s">
        <v>1291</v>
      </c>
      <c r="L62" s="411">
        <f>9.7-8.47</f>
        <v>1.2299999999999986</v>
      </c>
      <c r="M62" s="411">
        <f>0.39+0.38+1.43</f>
        <v>2.2000000000000002</v>
      </c>
      <c r="N62" s="411">
        <v>0.38</v>
      </c>
      <c r="O62" s="411">
        <f t="shared" si="6"/>
        <v>1.028279999999999</v>
      </c>
      <c r="P62" s="411">
        <f t="shared" si="7"/>
        <v>6.3467999999999929</v>
      </c>
      <c r="Q62" s="411"/>
      <c r="R62" s="411"/>
      <c r="S62" s="411"/>
      <c r="T62" s="411"/>
      <c r="U62" s="411"/>
    </row>
    <row r="63" spans="1:21" x14ac:dyDescent="0.25">
      <c r="A63" s="288"/>
      <c r="B63" s="288" t="s">
        <v>937</v>
      </c>
      <c r="C63" s="288"/>
      <c r="D63" s="288"/>
      <c r="E63" s="288"/>
      <c r="F63" s="411"/>
      <c r="G63" s="411"/>
      <c r="H63" s="411"/>
      <c r="I63" s="411"/>
      <c r="J63" s="411"/>
      <c r="K63" s="411"/>
      <c r="L63" s="411">
        <f>9.7-8.47</f>
        <v>1.2299999999999986</v>
      </c>
      <c r="M63" s="411">
        <f>0.39+0.38+1.43</f>
        <v>2.2000000000000002</v>
      </c>
      <c r="N63" s="411">
        <v>0.38</v>
      </c>
      <c r="O63" s="411">
        <f t="shared" si="6"/>
        <v>1.028279999999999</v>
      </c>
      <c r="P63" s="411">
        <f t="shared" si="7"/>
        <v>6.3467999999999929</v>
      </c>
      <c r="Q63" s="411"/>
      <c r="R63" s="411"/>
      <c r="S63" s="411"/>
      <c r="T63" s="411"/>
      <c r="U63" s="411"/>
    </row>
    <row r="64" spans="1:21" x14ac:dyDescent="0.25">
      <c r="A64" s="288"/>
      <c r="B64" s="288" t="s">
        <v>938</v>
      </c>
      <c r="C64" s="288" t="s">
        <v>14</v>
      </c>
      <c r="D64" s="288">
        <v>94.07</v>
      </c>
      <c r="E64" s="288"/>
      <c r="F64" s="411"/>
      <c r="G64" s="411"/>
      <c r="H64" s="411"/>
      <c r="I64" s="411"/>
      <c r="J64" s="411"/>
      <c r="K64" s="411"/>
      <c r="L64" s="411">
        <f>9.7-8.47</f>
        <v>1.2299999999999986</v>
      </c>
      <c r="M64" s="411">
        <f>0.39+0.38+1.43</f>
        <v>2.2000000000000002</v>
      </c>
      <c r="N64" s="411">
        <v>0.38</v>
      </c>
      <c r="O64" s="411">
        <f t="shared" si="6"/>
        <v>1.028279999999999</v>
      </c>
      <c r="P64" s="411">
        <f t="shared" si="7"/>
        <v>6.3467999999999929</v>
      </c>
      <c r="Q64" s="411"/>
      <c r="R64" s="411"/>
      <c r="S64" s="411"/>
      <c r="T64" s="411"/>
      <c r="U64" s="411"/>
    </row>
    <row r="65" spans="1:21" x14ac:dyDescent="0.25">
      <c r="A65" s="288"/>
      <c r="B65" s="288" t="s">
        <v>939</v>
      </c>
      <c r="C65" s="288"/>
      <c r="D65" s="288"/>
      <c r="E65" s="288"/>
      <c r="F65" s="411"/>
      <c r="G65" s="411"/>
      <c r="H65" s="411"/>
      <c r="I65" s="411"/>
      <c r="J65" s="411"/>
      <c r="K65" s="411"/>
      <c r="L65" s="411">
        <f>10.9-9.7</f>
        <v>1.2000000000000011</v>
      </c>
      <c r="M65" s="411">
        <v>0.38</v>
      </c>
      <c r="N65" s="411">
        <v>0.51</v>
      </c>
      <c r="O65" s="411">
        <f t="shared" si="6"/>
        <v>0.23256000000000021</v>
      </c>
      <c r="P65" s="411">
        <f t="shared" si="7"/>
        <v>2.1360000000000019</v>
      </c>
      <c r="Q65" s="411"/>
      <c r="R65" s="411"/>
      <c r="S65" s="411"/>
      <c r="T65" s="411"/>
      <c r="U65" s="411"/>
    </row>
    <row r="66" spans="1:21" x14ac:dyDescent="0.25">
      <c r="A66" s="288"/>
      <c r="B66" s="288" t="s">
        <v>940</v>
      </c>
      <c r="C66" s="288"/>
      <c r="D66" s="288"/>
      <c r="E66" s="288"/>
      <c r="F66" s="411"/>
      <c r="G66" s="411"/>
      <c r="H66" s="411"/>
      <c r="I66" s="411"/>
      <c r="J66" s="411"/>
      <c r="K66" s="411"/>
      <c r="L66" s="411">
        <f>10.9-9.7</f>
        <v>1.2000000000000011</v>
      </c>
      <c r="M66" s="411">
        <v>0.38</v>
      </c>
      <c r="N66" s="411">
        <v>0.51</v>
      </c>
      <c r="O66" s="411">
        <f t="shared" si="6"/>
        <v>0.23256000000000021</v>
      </c>
      <c r="P66" s="411">
        <f t="shared" si="7"/>
        <v>2.1360000000000019</v>
      </c>
      <c r="Q66" s="411"/>
      <c r="R66" s="411"/>
      <c r="S66" s="411"/>
      <c r="T66" s="411"/>
      <c r="U66" s="411"/>
    </row>
    <row r="67" spans="1:21" x14ac:dyDescent="0.25">
      <c r="A67" s="288"/>
      <c r="B67" s="288" t="s">
        <v>941</v>
      </c>
      <c r="C67" s="288" t="s">
        <v>14</v>
      </c>
      <c r="D67" s="288">
        <v>268.12</v>
      </c>
      <c r="E67" s="288"/>
      <c r="F67" s="411"/>
      <c r="G67" s="411"/>
      <c r="H67" s="411"/>
      <c r="I67" s="411"/>
      <c r="J67" s="411"/>
      <c r="K67" s="411" t="s">
        <v>1287</v>
      </c>
      <c r="L67" s="411">
        <f>10.1-N54</f>
        <v>1.629999999999999</v>
      </c>
      <c r="M67" s="411">
        <f>2.2</f>
        <v>2.2000000000000002</v>
      </c>
      <c r="N67" s="411">
        <v>0.38</v>
      </c>
      <c r="O67" s="411">
        <f t="shared" si="6"/>
        <v>1.3626799999999992</v>
      </c>
      <c r="P67" s="411">
        <f t="shared" si="7"/>
        <v>8.4107999999999947</v>
      </c>
      <c r="Q67" s="411"/>
      <c r="R67" s="411"/>
      <c r="S67" s="411"/>
      <c r="T67" s="411"/>
      <c r="U67" s="411"/>
    </row>
    <row r="68" spans="1:21" x14ac:dyDescent="0.25">
      <c r="A68" s="288"/>
      <c r="B68" s="288" t="s">
        <v>937</v>
      </c>
      <c r="C68" s="288"/>
      <c r="D68" s="288"/>
      <c r="E68" s="288"/>
      <c r="F68" s="411"/>
      <c r="G68" s="411"/>
      <c r="H68" s="411"/>
      <c r="I68" s="411"/>
      <c r="J68" s="411"/>
      <c r="K68" s="411"/>
      <c r="L68" s="411">
        <f>10.1-N55</f>
        <v>10.1</v>
      </c>
      <c r="M68" s="411">
        <f>0.12+0.14+0.12+0.14+0.12+0.14+0.12</f>
        <v>0.9</v>
      </c>
      <c r="N68" s="411">
        <v>0.38</v>
      </c>
      <c r="O68" s="411">
        <f t="shared" si="6"/>
        <v>3.4542000000000002</v>
      </c>
      <c r="P68" s="411">
        <f t="shared" si="7"/>
        <v>25.855999999999998</v>
      </c>
      <c r="Q68" s="411"/>
      <c r="R68" s="411"/>
      <c r="S68" s="411"/>
      <c r="T68" s="411"/>
      <c r="U68" s="411"/>
    </row>
    <row r="69" spans="1:21" x14ac:dyDescent="0.25">
      <c r="A69" s="288"/>
      <c r="B69" s="288" t="s">
        <v>942</v>
      </c>
      <c r="C69" s="288" t="s">
        <v>14</v>
      </c>
      <c r="D69" s="288">
        <v>206.24</v>
      </c>
      <c r="E69" s="288"/>
      <c r="F69" s="411"/>
      <c r="G69" s="411"/>
      <c r="H69" s="411"/>
      <c r="I69" s="411"/>
      <c r="J69" s="411"/>
      <c r="K69" s="411"/>
      <c r="L69" s="411">
        <f>10.9-10.1</f>
        <v>0.80000000000000071</v>
      </c>
      <c r="M69" s="411">
        <v>0.38</v>
      </c>
      <c r="N69" s="411">
        <v>0.51</v>
      </c>
      <c r="O69" s="411">
        <f t="shared" si="6"/>
        <v>0.15504000000000015</v>
      </c>
      <c r="P69" s="411">
        <f t="shared" si="7"/>
        <v>1.4240000000000013</v>
      </c>
      <c r="Q69" s="411"/>
      <c r="R69" s="411"/>
      <c r="S69" s="411"/>
      <c r="T69" s="411"/>
      <c r="U69" s="411"/>
    </row>
    <row r="70" spans="1:21" x14ac:dyDescent="0.25">
      <c r="A70" s="288"/>
      <c r="B70" s="288"/>
      <c r="C70" s="288"/>
      <c r="D70" s="288"/>
      <c r="E70" s="288"/>
      <c r="F70" s="411"/>
      <c r="G70" s="411"/>
      <c r="H70" s="411"/>
      <c r="I70" s="411"/>
      <c r="J70" s="411"/>
      <c r="K70" s="411"/>
      <c r="L70" s="411"/>
      <c r="M70" s="411"/>
      <c r="N70" s="411"/>
      <c r="O70" s="591">
        <f>SUM(O71:O103)</f>
        <v>22.031257999999987</v>
      </c>
      <c r="P70" s="591">
        <f>SUM(P71:P103)</f>
        <v>141.28099999999989</v>
      </c>
      <c r="Q70" s="411"/>
      <c r="R70" s="411"/>
      <c r="S70" s="411"/>
      <c r="T70" s="411"/>
      <c r="U70" s="411"/>
    </row>
    <row r="71" spans="1:21" x14ac:dyDescent="0.25">
      <c r="A71" s="288"/>
      <c r="B71" s="288" t="s">
        <v>939</v>
      </c>
      <c r="C71" s="288"/>
      <c r="D71" s="288"/>
      <c r="E71" s="288"/>
      <c r="F71" s="411"/>
      <c r="G71" s="411"/>
      <c r="H71" s="411"/>
      <c r="I71" s="411"/>
      <c r="J71" s="601" t="s">
        <v>1274</v>
      </c>
      <c r="K71" s="411" t="s">
        <v>1288</v>
      </c>
      <c r="L71" s="411">
        <f>10.1-N54</f>
        <v>1.629999999999999</v>
      </c>
      <c r="M71" s="411">
        <f>0.39+0.38+1.43</f>
        <v>2.2000000000000002</v>
      </c>
      <c r="N71" s="411">
        <v>0.38</v>
      </c>
      <c r="O71" s="411">
        <f t="shared" si="6"/>
        <v>1.3626799999999992</v>
      </c>
      <c r="P71" s="411">
        <f t="shared" ref="P71:P102" si="8">(M71+N71)*2*L71</f>
        <v>8.4107999999999947</v>
      </c>
      <c r="Q71" s="411"/>
      <c r="R71" s="411"/>
      <c r="S71" s="411"/>
      <c r="T71" s="411"/>
      <c r="U71" s="411"/>
    </row>
    <row r="72" spans="1:21" x14ac:dyDescent="0.25">
      <c r="A72" s="288"/>
      <c r="B72" s="288" t="s">
        <v>940</v>
      </c>
      <c r="C72" s="288"/>
      <c r="D72" s="288"/>
      <c r="E72" s="288"/>
      <c r="F72" s="411"/>
      <c r="G72" s="411"/>
      <c r="H72" s="411"/>
      <c r="I72" s="411"/>
      <c r="J72" s="411"/>
      <c r="K72" s="411"/>
      <c r="L72" s="411">
        <f>10.9-10.1</f>
        <v>0.80000000000000071</v>
      </c>
      <c r="M72" s="411">
        <v>0.38</v>
      </c>
      <c r="N72" s="411">
        <v>0.51</v>
      </c>
      <c r="O72" s="411">
        <f t="shared" si="6"/>
        <v>0.15504000000000015</v>
      </c>
      <c r="P72" s="411">
        <f t="shared" si="8"/>
        <v>1.4240000000000013</v>
      </c>
      <c r="Q72" s="411"/>
      <c r="R72" s="411"/>
      <c r="S72" s="411"/>
      <c r="T72" s="411"/>
      <c r="U72" s="411"/>
    </row>
    <row r="73" spans="1:21" x14ac:dyDescent="0.25">
      <c r="A73" s="288"/>
      <c r="B73" s="288" t="s">
        <v>943</v>
      </c>
      <c r="C73" s="288" t="s">
        <v>14</v>
      </c>
      <c r="D73" s="288">
        <v>452</v>
      </c>
      <c r="E73" s="288"/>
      <c r="F73" s="411"/>
      <c r="G73" s="411"/>
      <c r="H73" s="411"/>
      <c r="I73" s="411"/>
      <c r="J73" s="411"/>
      <c r="K73" s="411"/>
      <c r="L73" s="411">
        <f>9.7-N54</f>
        <v>1.2299999999999986</v>
      </c>
      <c r="M73" s="411">
        <v>0.9</v>
      </c>
      <c r="N73" s="411">
        <v>0.38</v>
      </c>
      <c r="O73" s="411">
        <f t="shared" si="6"/>
        <v>0.42065999999999959</v>
      </c>
      <c r="P73" s="411">
        <f t="shared" si="8"/>
        <v>3.1487999999999965</v>
      </c>
      <c r="Q73" s="411"/>
      <c r="R73" s="411"/>
      <c r="S73" s="411"/>
      <c r="T73" s="411"/>
      <c r="U73" s="411"/>
    </row>
    <row r="74" spans="1:21" x14ac:dyDescent="0.25">
      <c r="A74" s="288">
        <v>13</v>
      </c>
      <c r="B74" s="288" t="s">
        <v>944</v>
      </c>
      <c r="C74" s="288"/>
      <c r="D74" s="288"/>
      <c r="E74" s="288"/>
      <c r="F74" s="288"/>
      <c r="G74" s="288"/>
      <c r="H74" s="288"/>
      <c r="I74" s="411"/>
      <c r="J74" s="411"/>
      <c r="K74" s="411"/>
      <c r="L74" s="411">
        <f>9.7-N54</f>
        <v>1.2299999999999986</v>
      </c>
      <c r="M74" s="411">
        <f>1.43+0.38+0.39</f>
        <v>2.2000000000000002</v>
      </c>
      <c r="N74" s="411">
        <v>0.38</v>
      </c>
      <c r="O74" s="411">
        <f t="shared" si="6"/>
        <v>1.028279999999999</v>
      </c>
      <c r="P74" s="411">
        <f t="shared" si="8"/>
        <v>6.3467999999999929</v>
      </c>
      <c r="Q74" s="411"/>
      <c r="R74" s="411"/>
      <c r="S74" s="411"/>
      <c r="T74" s="411"/>
    </row>
    <row r="75" spans="1:21" x14ac:dyDescent="0.25">
      <c r="A75" s="288"/>
      <c r="B75" s="288" t="s">
        <v>945</v>
      </c>
      <c r="C75" s="288"/>
      <c r="D75" s="288"/>
      <c r="E75" s="288"/>
      <c r="F75" s="288"/>
      <c r="G75" s="288"/>
      <c r="H75" s="288"/>
      <c r="I75" s="411"/>
      <c r="J75" s="411"/>
      <c r="K75" s="411"/>
      <c r="L75" s="411">
        <f>10.9-9.7</f>
        <v>1.2000000000000011</v>
      </c>
      <c r="M75" s="411">
        <v>0.38</v>
      </c>
      <c r="N75" s="411">
        <v>0.51</v>
      </c>
      <c r="O75" s="411">
        <f t="shared" si="6"/>
        <v>0.23256000000000021</v>
      </c>
      <c r="P75" s="411">
        <f t="shared" si="8"/>
        <v>2.1360000000000019</v>
      </c>
      <c r="Q75" s="411"/>
      <c r="R75" s="411"/>
      <c r="S75" s="411"/>
      <c r="T75" s="411"/>
    </row>
    <row r="76" spans="1:21" x14ac:dyDescent="0.25">
      <c r="A76" s="288"/>
      <c r="B76" s="288" t="s">
        <v>946</v>
      </c>
      <c r="C76" s="288"/>
      <c r="D76" s="288"/>
      <c r="E76" s="288"/>
      <c r="F76" s="288"/>
      <c r="G76" s="288"/>
      <c r="H76" s="288"/>
      <c r="I76" s="411"/>
      <c r="J76" s="411"/>
      <c r="K76" s="411" t="s">
        <v>1291</v>
      </c>
      <c r="L76" s="411">
        <f>9.7-8.47</f>
        <v>1.2299999999999986</v>
      </c>
      <c r="M76" s="411">
        <v>0.9</v>
      </c>
      <c r="N76" s="411">
        <v>0.38</v>
      </c>
      <c r="O76" s="411">
        <f t="shared" si="6"/>
        <v>0.42065999999999959</v>
      </c>
      <c r="P76" s="411">
        <f t="shared" si="8"/>
        <v>3.1487999999999965</v>
      </c>
      <c r="Q76" s="411"/>
      <c r="R76" s="411"/>
      <c r="S76" s="411"/>
      <c r="T76" s="411"/>
    </row>
    <row r="77" spans="1:21" x14ac:dyDescent="0.25">
      <c r="A77" s="288"/>
      <c r="B77" s="288" t="s">
        <v>947</v>
      </c>
      <c r="C77" s="288" t="s">
        <v>8</v>
      </c>
      <c r="D77" s="288">
        <v>41.68</v>
      </c>
      <c r="E77" s="288"/>
      <c r="F77" s="288"/>
      <c r="G77" s="288"/>
      <c r="H77" s="288"/>
      <c r="I77" s="411"/>
      <c r="J77" s="411"/>
      <c r="K77" s="411"/>
      <c r="L77" s="411">
        <f>9.7-8.47</f>
        <v>1.2299999999999986</v>
      </c>
      <c r="M77" s="411">
        <f>1.43+0.38+0.39</f>
        <v>2.2000000000000002</v>
      </c>
      <c r="N77" s="411">
        <v>0.38</v>
      </c>
      <c r="O77" s="411">
        <f t="shared" si="6"/>
        <v>1.028279999999999</v>
      </c>
      <c r="P77" s="411">
        <f t="shared" si="8"/>
        <v>6.3467999999999929</v>
      </c>
      <c r="Q77" s="411"/>
      <c r="R77" s="411"/>
      <c r="S77" s="411"/>
      <c r="T77" s="411"/>
    </row>
    <row r="78" spans="1:21" x14ac:dyDescent="0.25">
      <c r="A78" s="288">
        <v>14</v>
      </c>
      <c r="B78" s="288" t="s">
        <v>948</v>
      </c>
      <c r="C78" s="288"/>
      <c r="D78" s="288"/>
      <c r="E78" s="288"/>
      <c r="F78" s="288"/>
      <c r="G78" s="288"/>
      <c r="H78" s="288"/>
      <c r="I78" s="411"/>
      <c r="J78" s="411"/>
      <c r="K78" s="411"/>
      <c r="L78" s="411">
        <f>10.9-9.7</f>
        <v>1.2000000000000011</v>
      </c>
      <c r="M78" s="411">
        <v>0.38</v>
      </c>
      <c r="N78" s="411">
        <v>0.51</v>
      </c>
      <c r="O78" s="411">
        <f t="shared" si="6"/>
        <v>0.23256000000000021</v>
      </c>
      <c r="P78" s="411">
        <f t="shared" si="8"/>
        <v>2.1360000000000019</v>
      </c>
      <c r="Q78" s="411"/>
      <c r="R78" s="411"/>
      <c r="S78" s="411"/>
      <c r="T78" s="411"/>
    </row>
    <row r="79" spans="1:21" x14ac:dyDescent="0.25">
      <c r="A79" s="288"/>
      <c r="B79" s="288" t="s">
        <v>926</v>
      </c>
      <c r="C79" s="288"/>
      <c r="D79" s="288"/>
      <c r="E79" s="288"/>
      <c r="F79" s="288"/>
      <c r="G79" s="288"/>
      <c r="H79" s="288"/>
      <c r="I79" s="411"/>
      <c r="J79" s="411"/>
      <c r="K79" s="411" t="s">
        <v>1293</v>
      </c>
      <c r="L79" s="411">
        <f>9.7-8.47</f>
        <v>1.2299999999999986</v>
      </c>
      <c r="M79" s="411">
        <v>0.9</v>
      </c>
      <c r="N79" s="411">
        <v>0.38</v>
      </c>
      <c r="O79" s="411">
        <f t="shared" si="6"/>
        <v>0.42065999999999959</v>
      </c>
      <c r="P79" s="411">
        <f t="shared" si="8"/>
        <v>3.1487999999999965</v>
      </c>
      <c r="Q79" s="411"/>
      <c r="R79" s="411"/>
      <c r="S79" s="411"/>
      <c r="T79" s="411"/>
    </row>
    <row r="80" spans="1:21" x14ac:dyDescent="0.25">
      <c r="A80" s="288"/>
      <c r="B80" s="288" t="s">
        <v>927</v>
      </c>
      <c r="C80" s="288"/>
      <c r="D80" s="288"/>
      <c r="E80" s="288"/>
      <c r="F80" s="288"/>
      <c r="G80" s="288"/>
      <c r="H80" s="288"/>
      <c r="I80" s="411"/>
      <c r="J80" s="411"/>
      <c r="K80" s="411"/>
      <c r="L80" s="411">
        <f>9.7-8.47</f>
        <v>1.2299999999999986</v>
      </c>
      <c r="M80" s="411">
        <f>1.43+0.38+0.39</f>
        <v>2.2000000000000002</v>
      </c>
      <c r="N80" s="411">
        <v>0.38</v>
      </c>
      <c r="O80" s="411">
        <f t="shared" si="6"/>
        <v>1.028279999999999</v>
      </c>
      <c r="P80" s="411">
        <f t="shared" si="8"/>
        <v>6.3467999999999929</v>
      </c>
      <c r="Q80" s="411"/>
      <c r="R80" s="411"/>
      <c r="S80" s="411"/>
      <c r="T80" s="411"/>
    </row>
    <row r="81" spans="1:20" x14ac:dyDescent="0.25">
      <c r="A81" s="288"/>
      <c r="B81" s="288" t="s">
        <v>949</v>
      </c>
      <c r="C81" s="288" t="s">
        <v>8</v>
      </c>
      <c r="D81" s="288">
        <v>31.26</v>
      </c>
      <c r="E81" s="288"/>
      <c r="F81" s="288"/>
      <c r="G81" s="288"/>
      <c r="H81" s="288"/>
      <c r="I81" s="411"/>
      <c r="J81" s="411"/>
      <c r="K81" s="411"/>
      <c r="L81" s="411">
        <f>10.9-9.7</f>
        <v>1.2000000000000011</v>
      </c>
      <c r="M81" s="411">
        <v>0.38</v>
      </c>
      <c r="N81" s="411">
        <v>0.51</v>
      </c>
      <c r="O81" s="411">
        <f t="shared" si="6"/>
        <v>0.23256000000000021</v>
      </c>
      <c r="P81" s="411">
        <f t="shared" si="8"/>
        <v>2.1360000000000019</v>
      </c>
      <c r="Q81" s="411"/>
      <c r="R81" s="411"/>
      <c r="S81" s="411"/>
      <c r="T81" s="411"/>
    </row>
    <row r="82" spans="1:20" x14ac:dyDescent="0.25">
      <c r="A82" s="288">
        <v>15</v>
      </c>
      <c r="B82" s="288" t="s">
        <v>950</v>
      </c>
      <c r="C82" s="288"/>
      <c r="D82" s="288"/>
      <c r="E82" s="288"/>
      <c r="F82" s="288"/>
      <c r="G82" s="288"/>
      <c r="H82" s="288"/>
      <c r="I82" s="411"/>
      <c r="J82" s="411"/>
      <c r="K82" s="411" t="s">
        <v>1294</v>
      </c>
      <c r="L82" s="411">
        <f>9.7-8.47</f>
        <v>1.2299999999999986</v>
      </c>
      <c r="M82" s="411">
        <v>5.19</v>
      </c>
      <c r="N82" s="411">
        <v>0.38</v>
      </c>
      <c r="O82" s="411">
        <f t="shared" si="6"/>
        <v>2.4258059999999975</v>
      </c>
      <c r="P82" s="411">
        <f t="shared" si="8"/>
        <v>13.702199999999985</v>
      </c>
      <c r="Q82" s="411"/>
      <c r="R82" s="411"/>
      <c r="S82" s="411"/>
      <c r="T82" s="411"/>
    </row>
    <row r="83" spans="1:20" x14ac:dyDescent="0.25">
      <c r="A83" s="288"/>
      <c r="B83" s="288" t="s">
        <v>928</v>
      </c>
      <c r="C83" s="288"/>
      <c r="D83" s="288"/>
      <c r="E83" s="288"/>
      <c r="F83" s="288"/>
      <c r="G83" s="288"/>
      <c r="H83" s="288"/>
      <c r="I83" s="411"/>
      <c r="J83" s="411"/>
      <c r="K83" s="411"/>
      <c r="L83" s="411">
        <f>10.9-9.7</f>
        <v>1.2000000000000011</v>
      </c>
      <c r="M83" s="411">
        <v>0.38</v>
      </c>
      <c r="N83" s="411">
        <v>0.51</v>
      </c>
      <c r="O83" s="411">
        <f t="shared" si="6"/>
        <v>0.23256000000000021</v>
      </c>
      <c r="P83" s="411">
        <f t="shared" si="8"/>
        <v>2.1360000000000019</v>
      </c>
      <c r="Q83" s="411"/>
      <c r="R83" s="411"/>
      <c r="S83" s="411"/>
      <c r="T83" s="411"/>
    </row>
    <row r="84" spans="1:20" x14ac:dyDescent="0.25">
      <c r="A84" s="288"/>
      <c r="B84" s="288" t="s">
        <v>951</v>
      </c>
      <c r="C84" s="288"/>
      <c r="D84" s="288"/>
      <c r="E84" s="288"/>
      <c r="F84" s="288"/>
      <c r="G84" s="288"/>
      <c r="H84" s="288"/>
      <c r="I84" s="411"/>
      <c r="J84" s="411"/>
      <c r="K84" s="411"/>
      <c r="L84" s="411">
        <f>10.9-9.7</f>
        <v>1.2000000000000011</v>
      </c>
      <c r="M84" s="411">
        <v>0.38</v>
      </c>
      <c r="N84" s="411">
        <v>0.51</v>
      </c>
      <c r="O84" s="411">
        <f t="shared" si="6"/>
        <v>0.23256000000000021</v>
      </c>
      <c r="P84" s="411">
        <f t="shared" si="8"/>
        <v>2.1360000000000019</v>
      </c>
      <c r="Q84" s="411"/>
      <c r="R84" s="411"/>
      <c r="S84" s="411"/>
      <c r="T84" s="411"/>
    </row>
    <row r="85" spans="1:20" x14ac:dyDescent="0.25">
      <c r="A85" s="288"/>
      <c r="B85" s="288" t="s">
        <v>930</v>
      </c>
      <c r="C85" s="288" t="s">
        <v>8</v>
      </c>
      <c r="D85" s="288">
        <v>17.05</v>
      </c>
      <c r="E85" s="288"/>
      <c r="F85" s="288"/>
      <c r="G85" s="288"/>
      <c r="H85" s="288"/>
      <c r="I85" s="411"/>
      <c r="J85" s="411"/>
      <c r="K85" s="411" t="s">
        <v>1295</v>
      </c>
      <c r="L85" s="411">
        <f>10.1-8.47</f>
        <v>1.629999999999999</v>
      </c>
      <c r="M85" s="411">
        <f>2.34+5.19</f>
        <v>7.53</v>
      </c>
      <c r="N85" s="411">
        <v>0.38</v>
      </c>
      <c r="O85" s="411">
        <f t="shared" si="6"/>
        <v>4.664081999999997</v>
      </c>
      <c r="P85" s="411">
        <f t="shared" si="8"/>
        <v>25.786599999999986</v>
      </c>
      <c r="Q85" s="411"/>
      <c r="R85" s="411"/>
      <c r="S85" s="411"/>
      <c r="T85" s="411"/>
    </row>
    <row r="86" spans="1:20" x14ac:dyDescent="0.25">
      <c r="A86" s="288">
        <v>16</v>
      </c>
      <c r="B86" s="288" t="s">
        <v>952</v>
      </c>
      <c r="C86" s="288"/>
      <c r="D86" s="288"/>
      <c r="E86" s="288"/>
      <c r="F86" s="288"/>
      <c r="G86" s="288"/>
      <c r="H86" s="288"/>
      <c r="I86" s="411"/>
      <c r="J86" s="411"/>
      <c r="K86" s="411"/>
      <c r="L86" s="411">
        <f>10.48-10.1</f>
        <v>0.38000000000000078</v>
      </c>
      <c r="M86" s="411">
        <v>0.38</v>
      </c>
      <c r="N86" s="411">
        <v>0.51</v>
      </c>
      <c r="O86" s="411">
        <f t="shared" si="6"/>
        <v>7.3644000000000154E-2</v>
      </c>
      <c r="P86" s="411">
        <f t="shared" si="8"/>
        <v>0.67640000000000144</v>
      </c>
      <c r="Q86" s="411"/>
      <c r="R86" s="411"/>
      <c r="S86" s="411"/>
      <c r="T86" s="411"/>
    </row>
    <row r="87" spans="1:20" x14ac:dyDescent="0.25">
      <c r="A87" s="288"/>
      <c r="B87" s="288" t="s">
        <v>953</v>
      </c>
      <c r="C87" s="288"/>
      <c r="D87" s="288"/>
      <c r="E87" s="288"/>
      <c r="F87" s="288"/>
      <c r="G87" s="288"/>
      <c r="H87" s="288"/>
      <c r="I87" s="411"/>
      <c r="J87" s="411"/>
      <c r="K87" s="411"/>
      <c r="L87" s="411">
        <f>10.9-10.1</f>
        <v>0.80000000000000071</v>
      </c>
      <c r="M87" s="411">
        <f>0.12+0.14+0.12+0.14+0.12</f>
        <v>0.64</v>
      </c>
      <c r="N87" s="411">
        <v>0.51</v>
      </c>
      <c r="O87" s="411">
        <f t="shared" si="6"/>
        <v>0.26112000000000024</v>
      </c>
      <c r="P87" s="411">
        <f t="shared" si="8"/>
        <v>1.8400000000000014</v>
      </c>
      <c r="Q87" s="411"/>
      <c r="R87" s="411"/>
      <c r="S87" s="411"/>
      <c r="T87" s="411"/>
    </row>
    <row r="88" spans="1:20" x14ac:dyDescent="0.25">
      <c r="A88" s="288"/>
      <c r="B88" s="288" t="s">
        <v>927</v>
      </c>
      <c r="C88" s="288"/>
      <c r="D88" s="288"/>
      <c r="E88" s="288"/>
      <c r="F88" s="288"/>
      <c r="G88" s="288"/>
      <c r="H88" s="288"/>
      <c r="I88" s="411"/>
      <c r="J88" s="411"/>
      <c r="K88" s="411"/>
      <c r="L88" s="411">
        <f>10.9-10.1</f>
        <v>0.80000000000000071</v>
      </c>
      <c r="M88" s="411">
        <v>0.38</v>
      </c>
      <c r="N88" s="411">
        <v>0.51</v>
      </c>
      <c r="O88" s="411">
        <f t="shared" si="6"/>
        <v>0.15504000000000015</v>
      </c>
      <c r="P88" s="411">
        <f t="shared" si="8"/>
        <v>1.4240000000000013</v>
      </c>
      <c r="Q88" s="411"/>
      <c r="R88" s="411"/>
      <c r="S88" s="411"/>
      <c r="T88" s="411"/>
    </row>
    <row r="89" spans="1:20" x14ac:dyDescent="0.25">
      <c r="A89" s="288"/>
      <c r="B89" s="288" t="s">
        <v>924</v>
      </c>
      <c r="C89" s="288" t="s">
        <v>8</v>
      </c>
      <c r="D89" s="288">
        <v>31.08</v>
      </c>
      <c r="E89" s="288"/>
      <c r="F89" s="288"/>
      <c r="G89" s="288"/>
      <c r="H89" s="288"/>
      <c r="I89" s="411"/>
      <c r="J89" s="411"/>
      <c r="K89" s="411" t="s">
        <v>1296</v>
      </c>
      <c r="L89" s="411">
        <f>9.7-8.47</f>
        <v>1.2299999999999986</v>
      </c>
      <c r="M89" s="411">
        <f>5.19+0.38+0.38+0.5</f>
        <v>6.45</v>
      </c>
      <c r="N89" s="411">
        <v>0.38</v>
      </c>
      <c r="O89" s="411">
        <f t="shared" si="6"/>
        <v>3.014729999999997</v>
      </c>
      <c r="P89" s="411">
        <f t="shared" si="8"/>
        <v>16.801799999999982</v>
      </c>
      <c r="Q89" s="411"/>
      <c r="R89" s="411"/>
      <c r="S89" s="411"/>
      <c r="T89" s="411"/>
    </row>
    <row r="90" spans="1:20" x14ac:dyDescent="0.25">
      <c r="A90" s="288">
        <v>17</v>
      </c>
      <c r="B90" s="288" t="s">
        <v>954</v>
      </c>
      <c r="C90" s="288" t="s">
        <v>8</v>
      </c>
      <c r="D90" s="288">
        <v>3</v>
      </c>
      <c r="E90" s="288"/>
      <c r="F90" s="288"/>
      <c r="G90" s="288"/>
      <c r="H90" s="288"/>
      <c r="I90" s="411"/>
      <c r="J90" s="411"/>
      <c r="K90" s="411"/>
      <c r="L90" s="411">
        <f>10.48-9.7</f>
        <v>0.78000000000000114</v>
      </c>
      <c r="M90" s="411">
        <f>0.64</f>
        <v>0.64</v>
      </c>
      <c r="N90" s="411">
        <v>0.51</v>
      </c>
      <c r="O90" s="411">
        <f t="shared" si="6"/>
        <v>0.25459200000000037</v>
      </c>
      <c r="P90" s="411">
        <f t="shared" si="8"/>
        <v>1.7940000000000025</v>
      </c>
      <c r="Q90" s="411"/>
      <c r="R90" s="411"/>
      <c r="S90" s="411"/>
      <c r="T90" s="411"/>
    </row>
    <row r="91" spans="1:20" x14ac:dyDescent="0.25">
      <c r="A91" s="288"/>
      <c r="B91" s="288" t="s">
        <v>955</v>
      </c>
      <c r="C91" s="288"/>
      <c r="D91" s="288"/>
      <c r="E91" s="288"/>
      <c r="F91" s="288"/>
      <c r="G91" s="288"/>
      <c r="H91" s="288"/>
      <c r="I91" s="411"/>
      <c r="J91" s="411"/>
      <c r="K91" s="411"/>
      <c r="L91" s="411">
        <f>10.48-9.7</f>
        <v>0.78000000000000114</v>
      </c>
      <c r="M91" s="411">
        <f>0.64</f>
        <v>0.64</v>
      </c>
      <c r="N91" s="411">
        <v>0.51</v>
      </c>
      <c r="O91" s="411">
        <f t="shared" si="6"/>
        <v>0.25459200000000037</v>
      </c>
      <c r="P91" s="411">
        <f t="shared" si="8"/>
        <v>1.7940000000000025</v>
      </c>
      <c r="Q91" s="411"/>
      <c r="R91" s="411"/>
      <c r="S91" s="411"/>
      <c r="T91" s="411"/>
    </row>
    <row r="92" spans="1:20" x14ac:dyDescent="0.25">
      <c r="A92" s="288"/>
      <c r="B92" s="288"/>
      <c r="C92" s="288"/>
      <c r="D92" s="288"/>
      <c r="E92" s="288"/>
      <c r="F92" s="288"/>
      <c r="G92" s="288"/>
      <c r="H92" s="288"/>
      <c r="I92" s="411"/>
      <c r="J92" s="411"/>
      <c r="K92" s="411"/>
      <c r="L92" s="411">
        <f>10.48-9.7</f>
        <v>0.78000000000000114</v>
      </c>
      <c r="M92" s="411">
        <f>0.64</f>
        <v>0.64</v>
      </c>
      <c r="N92" s="411">
        <v>0.51</v>
      </c>
      <c r="O92" s="411">
        <f t="shared" si="6"/>
        <v>0.25459200000000037</v>
      </c>
      <c r="P92" s="411">
        <f t="shared" si="8"/>
        <v>1.7940000000000025</v>
      </c>
      <c r="Q92" s="411"/>
      <c r="R92" s="411"/>
      <c r="S92" s="411"/>
      <c r="T92" s="411"/>
    </row>
    <row r="93" spans="1:20" x14ac:dyDescent="0.25">
      <c r="A93" s="288"/>
      <c r="B93" s="290" t="s">
        <v>956</v>
      </c>
      <c r="C93" s="288"/>
      <c r="D93" s="288"/>
      <c r="E93" s="288"/>
      <c r="F93" s="288"/>
      <c r="G93" s="288"/>
      <c r="H93" s="288"/>
      <c r="I93" s="411"/>
      <c r="J93" s="411"/>
      <c r="K93" s="411"/>
      <c r="L93" s="411">
        <f>10.9-10.48</f>
        <v>0.41999999999999993</v>
      </c>
      <c r="M93" s="411">
        <v>0.38</v>
      </c>
      <c r="N93" s="411">
        <v>0.51</v>
      </c>
      <c r="O93" s="411">
        <f t="shared" si="6"/>
        <v>8.1395999999999982E-2</v>
      </c>
      <c r="P93" s="411">
        <f t="shared" si="8"/>
        <v>0.74759999999999993</v>
      </c>
      <c r="Q93" s="411"/>
      <c r="R93" s="411"/>
      <c r="S93" s="411"/>
      <c r="T93" s="411"/>
    </row>
    <row r="94" spans="1:20" x14ac:dyDescent="0.25">
      <c r="A94" s="288">
        <v>1</v>
      </c>
      <c r="B94" s="288" t="s">
        <v>921</v>
      </c>
      <c r="C94" s="288"/>
      <c r="D94" s="288"/>
      <c r="E94" s="288"/>
      <c r="F94" s="288"/>
      <c r="G94" s="288"/>
      <c r="H94" s="288"/>
      <c r="I94" s="411"/>
      <c r="J94" s="411"/>
      <c r="K94" s="411"/>
      <c r="L94" s="411">
        <f>10.9-10.48</f>
        <v>0.41999999999999993</v>
      </c>
      <c r="M94" s="411">
        <v>0.38</v>
      </c>
      <c r="N94" s="411">
        <v>0.51</v>
      </c>
      <c r="O94" s="411">
        <f t="shared" si="6"/>
        <v>8.1395999999999982E-2</v>
      </c>
      <c r="P94" s="411">
        <f t="shared" si="8"/>
        <v>0.74759999999999993</v>
      </c>
      <c r="Q94" s="411"/>
      <c r="R94" s="411"/>
      <c r="S94" s="411"/>
      <c r="T94" s="411"/>
    </row>
    <row r="95" spans="1:20" x14ac:dyDescent="0.25">
      <c r="A95" s="288"/>
      <c r="B95" s="288" t="s">
        <v>922</v>
      </c>
      <c r="C95" s="288"/>
      <c r="D95" s="288"/>
      <c r="E95" s="288"/>
      <c r="F95" s="288"/>
      <c r="G95" s="288"/>
      <c r="H95" s="288"/>
      <c r="I95" s="411"/>
      <c r="J95" s="411"/>
      <c r="K95" s="411"/>
      <c r="L95" s="411">
        <f>10.9-10.48</f>
        <v>0.41999999999999993</v>
      </c>
      <c r="M95" s="411">
        <v>0.38</v>
      </c>
      <c r="N95" s="411">
        <v>0.51</v>
      </c>
      <c r="O95" s="411">
        <f t="shared" si="6"/>
        <v>8.1395999999999982E-2</v>
      </c>
      <c r="P95" s="411">
        <f t="shared" si="8"/>
        <v>0.74759999999999993</v>
      </c>
      <c r="Q95" s="411"/>
      <c r="R95" s="411"/>
      <c r="S95" s="411"/>
      <c r="T95" s="411"/>
    </row>
    <row r="96" spans="1:20" x14ac:dyDescent="0.25">
      <c r="A96" s="288"/>
      <c r="B96" s="288" t="s">
        <v>923</v>
      </c>
      <c r="C96" s="288"/>
      <c r="D96" s="288"/>
      <c r="E96" s="288"/>
      <c r="F96" s="288"/>
      <c r="G96" s="288"/>
      <c r="H96" s="288"/>
      <c r="I96" s="411"/>
      <c r="J96" s="411"/>
      <c r="K96" s="411" t="s">
        <v>1297</v>
      </c>
      <c r="L96" s="411">
        <f>9.7-8.47</f>
        <v>1.2299999999999986</v>
      </c>
      <c r="M96" s="411">
        <v>0.38</v>
      </c>
      <c r="N96" s="411">
        <v>0.38</v>
      </c>
      <c r="O96" s="411">
        <f t="shared" si="6"/>
        <v>0.1776119999999998</v>
      </c>
      <c r="P96" s="411">
        <f t="shared" si="8"/>
        <v>1.8695999999999979</v>
      </c>
      <c r="Q96" s="411"/>
      <c r="R96" s="411"/>
      <c r="S96" s="411"/>
      <c r="T96" s="411"/>
    </row>
    <row r="97" spans="1:17" x14ac:dyDescent="0.25">
      <c r="A97" s="288"/>
      <c r="B97" s="288" t="s">
        <v>924</v>
      </c>
      <c r="C97" s="288" t="s">
        <v>8</v>
      </c>
      <c r="D97" s="288">
        <v>169.58</v>
      </c>
      <c r="E97" s="288"/>
      <c r="F97" s="288"/>
      <c r="G97" s="288"/>
      <c r="H97" s="288"/>
      <c r="L97" s="411">
        <f>9.7-8.47</f>
        <v>1.2299999999999986</v>
      </c>
      <c r="M97" s="532">
        <v>0.64</v>
      </c>
      <c r="N97" s="532">
        <v>0.38</v>
      </c>
      <c r="O97" s="411">
        <f t="shared" si="6"/>
        <v>0.29913599999999968</v>
      </c>
      <c r="P97" s="411">
        <f t="shared" si="8"/>
        <v>2.5091999999999972</v>
      </c>
    </row>
    <row r="98" spans="1:17" x14ac:dyDescent="0.25">
      <c r="A98" s="288">
        <v>2</v>
      </c>
      <c r="B98" s="288" t="s">
        <v>925</v>
      </c>
      <c r="C98" s="288"/>
      <c r="D98" s="288"/>
      <c r="E98" s="288"/>
      <c r="F98" s="288"/>
      <c r="G98" s="288"/>
      <c r="H98" s="288"/>
      <c r="J98" s="532"/>
      <c r="K98" s="532"/>
      <c r="L98" s="532">
        <f>9.7-8.47</f>
        <v>1.2299999999999986</v>
      </c>
      <c r="M98" s="532">
        <f>1.43+0.38+0.39</f>
        <v>2.2000000000000002</v>
      </c>
      <c r="N98" s="532">
        <v>0.38</v>
      </c>
      <c r="O98" s="411">
        <f t="shared" si="6"/>
        <v>1.028279999999999</v>
      </c>
      <c r="P98" s="411">
        <f t="shared" si="8"/>
        <v>6.3467999999999929</v>
      </c>
      <c r="Q98" s="532"/>
    </row>
    <row r="99" spans="1:17" x14ac:dyDescent="0.25">
      <c r="A99" s="288"/>
      <c r="B99" s="288" t="s">
        <v>926</v>
      </c>
      <c r="C99" s="288"/>
      <c r="D99" s="288"/>
      <c r="E99" s="288"/>
      <c r="F99" s="288"/>
      <c r="G99" s="288"/>
      <c r="H99" s="288"/>
      <c r="J99" s="532"/>
      <c r="K99" s="532"/>
      <c r="L99" s="532">
        <f>9.7-8.47</f>
        <v>1.2299999999999986</v>
      </c>
      <c r="M99" s="532">
        <f>0.38+0.5+0.38</f>
        <v>1.26</v>
      </c>
      <c r="N99" s="532">
        <v>0.38</v>
      </c>
      <c r="O99" s="411">
        <f t="shared" si="6"/>
        <v>0.58892399999999934</v>
      </c>
      <c r="P99" s="411">
        <f t="shared" si="8"/>
        <v>4.0343999999999962</v>
      </c>
      <c r="Q99" s="532"/>
    </row>
    <row r="100" spans="1:17" x14ac:dyDescent="0.25">
      <c r="A100" s="288"/>
      <c r="B100" s="288" t="s">
        <v>927</v>
      </c>
      <c r="C100" s="288"/>
      <c r="D100" s="288"/>
      <c r="E100" s="288"/>
      <c r="F100" s="288"/>
      <c r="G100" s="288"/>
      <c r="H100" s="288"/>
      <c r="J100" s="532"/>
      <c r="K100" s="532"/>
      <c r="L100" s="532">
        <f>10.48-9.7</f>
        <v>0.78000000000000114</v>
      </c>
      <c r="M100" s="532">
        <v>0.38</v>
      </c>
      <c r="N100" s="532">
        <v>0.51</v>
      </c>
      <c r="O100" s="411">
        <f t="shared" si="6"/>
        <v>0.15116400000000021</v>
      </c>
      <c r="P100" s="411">
        <f t="shared" si="8"/>
        <v>1.3884000000000021</v>
      </c>
      <c r="Q100" s="532"/>
    </row>
    <row r="101" spans="1:17" x14ac:dyDescent="0.25">
      <c r="A101" s="288"/>
      <c r="B101" s="288" t="s">
        <v>924</v>
      </c>
      <c r="C101" s="288" t="s">
        <v>8</v>
      </c>
      <c r="D101" s="288">
        <v>2.12</v>
      </c>
      <c r="E101" s="288"/>
      <c r="F101" s="288"/>
      <c r="G101" s="288"/>
      <c r="H101" s="288"/>
      <c r="J101" s="532"/>
      <c r="K101" s="532"/>
      <c r="L101" s="532">
        <f>10.9-10.48</f>
        <v>0.41999999999999993</v>
      </c>
      <c r="M101" s="532">
        <v>0.38</v>
      </c>
      <c r="N101" s="532">
        <v>0.51</v>
      </c>
      <c r="O101" s="411">
        <f t="shared" si="6"/>
        <v>8.1395999999999982E-2</v>
      </c>
      <c r="P101" s="411">
        <f t="shared" si="8"/>
        <v>0.74759999999999993</v>
      </c>
      <c r="Q101" s="532"/>
    </row>
    <row r="102" spans="1:17" x14ac:dyDescent="0.25">
      <c r="A102" s="288">
        <v>3</v>
      </c>
      <c r="B102" s="288" t="s">
        <v>925</v>
      </c>
      <c r="C102" s="288"/>
      <c r="D102" s="288"/>
      <c r="E102" s="288"/>
      <c r="F102" s="288"/>
      <c r="G102" s="288"/>
      <c r="H102" s="288"/>
      <c r="J102" s="532"/>
      <c r="K102" s="532" t="s">
        <v>1298</v>
      </c>
      <c r="L102" s="532">
        <f>9.7-8.47</f>
        <v>1.2299999999999986</v>
      </c>
      <c r="M102" s="532">
        <f>0.12+0.14+0.12+0.14+0.12+0.14+0.12</f>
        <v>0.9</v>
      </c>
      <c r="N102" s="532">
        <v>0.38</v>
      </c>
      <c r="O102" s="411">
        <f t="shared" si="6"/>
        <v>0.42065999999999959</v>
      </c>
      <c r="P102" s="411">
        <f t="shared" si="8"/>
        <v>3.1487999999999965</v>
      </c>
      <c r="Q102" s="532"/>
    </row>
    <row r="103" spans="1:17" x14ac:dyDescent="0.25">
      <c r="A103" s="288"/>
      <c r="B103" s="288" t="s">
        <v>928</v>
      </c>
      <c r="C103" s="288"/>
      <c r="D103" s="288"/>
      <c r="E103" s="288"/>
      <c r="F103" s="288"/>
      <c r="G103" s="288"/>
      <c r="H103" s="288"/>
      <c r="J103" s="532"/>
      <c r="K103" s="532"/>
      <c r="L103" s="532">
        <f>9.7-8.47</f>
        <v>1.2299999999999986</v>
      </c>
      <c r="M103" s="532">
        <f>0.12+0.14+0.12+0.14+0.12+0.14+0.12+0.5</f>
        <v>1.4</v>
      </c>
      <c r="N103" s="532">
        <v>0.38</v>
      </c>
      <c r="O103" s="411">
        <f t="shared" si="6"/>
        <v>0.65435999999999928</v>
      </c>
      <c r="P103" s="411">
        <f>(M103+N103)*2*L103</f>
        <v>4.3787999999999947</v>
      </c>
      <c r="Q103" s="532"/>
    </row>
    <row r="104" spans="1:17" x14ac:dyDescent="0.25">
      <c r="A104" s="288"/>
      <c r="B104" s="288"/>
      <c r="C104" s="288"/>
      <c r="D104" s="288"/>
      <c r="E104" s="288"/>
      <c r="F104" s="288"/>
      <c r="G104" s="288"/>
      <c r="H104" s="288"/>
      <c r="J104" s="532"/>
      <c r="K104" s="532"/>
      <c r="L104" s="532"/>
      <c r="M104" s="532"/>
      <c r="N104" s="532"/>
      <c r="O104" s="411"/>
      <c r="P104" s="532"/>
      <c r="Q104" s="532"/>
    </row>
    <row r="105" spans="1:17" x14ac:dyDescent="0.25">
      <c r="A105" s="288"/>
      <c r="B105" s="288" t="s">
        <v>929</v>
      </c>
      <c r="C105" s="288"/>
      <c r="D105" s="288"/>
      <c r="E105" s="288"/>
      <c r="F105" s="288"/>
      <c r="G105" s="288"/>
      <c r="H105" s="288"/>
      <c r="J105" s="532" t="s">
        <v>1275</v>
      </c>
      <c r="K105" s="532" t="s">
        <v>1287</v>
      </c>
      <c r="L105" s="532">
        <f>10.1-8.47</f>
        <v>1.629999999999999</v>
      </c>
      <c r="M105" s="532">
        <f>1.95</f>
        <v>1.95</v>
      </c>
      <c r="N105" s="532">
        <v>0.38</v>
      </c>
      <c r="O105" s="532"/>
      <c r="P105" s="532"/>
      <c r="Q105" s="532"/>
    </row>
    <row r="106" spans="1:17" x14ac:dyDescent="0.25">
      <c r="A106" s="288"/>
      <c r="B106" s="288" t="s">
        <v>957</v>
      </c>
      <c r="C106" s="288" t="s">
        <v>8</v>
      </c>
      <c r="D106" s="288">
        <v>3.14</v>
      </c>
      <c r="E106" s="288"/>
      <c r="F106" s="288"/>
      <c r="G106" s="288"/>
      <c r="H106" s="288"/>
      <c r="J106" s="532"/>
      <c r="K106" s="532"/>
      <c r="L106" s="532">
        <f>10.9-10.1</f>
        <v>0.80000000000000071</v>
      </c>
      <c r="M106" s="532">
        <v>0.38</v>
      </c>
      <c r="N106" s="532">
        <v>0.51</v>
      </c>
      <c r="O106" s="532"/>
      <c r="P106" s="532"/>
      <c r="Q106" s="532"/>
    </row>
    <row r="107" spans="1:17" x14ac:dyDescent="0.25">
      <c r="A107" s="288">
        <v>4</v>
      </c>
      <c r="B107" s="288" t="s">
        <v>931</v>
      </c>
      <c r="C107" s="288"/>
      <c r="D107" s="288"/>
      <c r="E107" s="288"/>
      <c r="F107" s="288"/>
      <c r="G107" s="288"/>
      <c r="H107" s="288"/>
      <c r="J107" s="532"/>
      <c r="K107" s="532"/>
      <c r="L107" s="532">
        <f>10.4-8.47</f>
        <v>1.9299999999999997</v>
      </c>
      <c r="M107" s="532"/>
      <c r="N107" s="532"/>
      <c r="O107" s="532"/>
      <c r="P107" s="532"/>
      <c r="Q107" s="532"/>
    </row>
    <row r="108" spans="1:17" x14ac:dyDescent="0.25">
      <c r="A108" s="288"/>
      <c r="B108" s="288" t="s">
        <v>922</v>
      </c>
      <c r="C108" s="288"/>
      <c r="D108" s="288"/>
      <c r="E108" s="288"/>
      <c r="F108" s="288"/>
      <c r="G108" s="288"/>
      <c r="H108" s="288"/>
      <c r="J108" s="532"/>
      <c r="K108" s="532"/>
      <c r="L108" s="532"/>
      <c r="M108" s="532"/>
      <c r="N108" s="532"/>
      <c r="O108" s="532"/>
      <c r="P108" s="532"/>
      <c r="Q108" s="532"/>
    </row>
    <row r="109" spans="1:17" x14ac:dyDescent="0.25">
      <c r="A109" s="288"/>
      <c r="B109" s="288" t="s">
        <v>923</v>
      </c>
      <c r="C109" s="288"/>
      <c r="D109" s="288"/>
      <c r="E109" s="288"/>
      <c r="F109" s="288"/>
      <c r="G109" s="288"/>
      <c r="H109" s="288"/>
      <c r="J109" s="532"/>
      <c r="K109" s="532"/>
      <c r="L109" s="532"/>
      <c r="M109" s="532"/>
      <c r="N109" s="532"/>
      <c r="O109" s="532"/>
      <c r="P109" s="532"/>
      <c r="Q109" s="532"/>
    </row>
    <row r="110" spans="1:17" x14ac:dyDescent="0.25">
      <c r="A110" s="288"/>
      <c r="B110" s="288" t="s">
        <v>924</v>
      </c>
      <c r="C110" s="288" t="s">
        <v>8</v>
      </c>
      <c r="D110" s="288">
        <v>117.56</v>
      </c>
      <c r="E110" s="288"/>
      <c r="F110" s="288"/>
      <c r="G110" s="288"/>
      <c r="H110" s="288"/>
    </row>
    <row r="111" spans="1:17" x14ac:dyDescent="0.25">
      <c r="A111" s="288">
        <v>5</v>
      </c>
      <c r="B111" s="288" t="s">
        <v>932</v>
      </c>
      <c r="C111" s="288"/>
      <c r="D111" s="288"/>
      <c r="E111" s="288"/>
      <c r="F111" s="288"/>
      <c r="G111" s="288"/>
      <c r="H111" s="288"/>
    </row>
    <row r="112" spans="1:17" x14ac:dyDescent="0.25">
      <c r="A112" s="288"/>
      <c r="B112" s="288" t="s">
        <v>926</v>
      </c>
      <c r="C112" s="288"/>
      <c r="D112" s="288"/>
      <c r="E112" s="288"/>
      <c r="F112" s="288"/>
      <c r="G112" s="288"/>
      <c r="H112" s="288"/>
    </row>
    <row r="113" spans="1:8" x14ac:dyDescent="0.25">
      <c r="A113" s="288"/>
      <c r="B113" s="288" t="s">
        <v>927</v>
      </c>
      <c r="C113" s="288"/>
      <c r="D113" s="288"/>
      <c r="E113" s="288"/>
      <c r="F113" s="288"/>
      <c r="G113" s="288"/>
      <c r="H113" s="288"/>
    </row>
    <row r="114" spans="1:8" x14ac:dyDescent="0.25">
      <c r="A114" s="288"/>
      <c r="B114" s="288" t="s">
        <v>924</v>
      </c>
      <c r="C114" s="288" t="s">
        <v>8</v>
      </c>
      <c r="D114" s="288">
        <v>1.39</v>
      </c>
      <c r="E114" s="288"/>
      <c r="F114" s="288"/>
      <c r="G114" s="288"/>
      <c r="H114" s="288"/>
    </row>
    <row r="115" spans="1:8" x14ac:dyDescent="0.25">
      <c r="A115" s="288">
        <v>6</v>
      </c>
      <c r="B115" s="288" t="s">
        <v>932</v>
      </c>
      <c r="C115" s="288"/>
      <c r="D115" s="288"/>
      <c r="E115" s="288"/>
      <c r="F115" s="288"/>
      <c r="G115" s="288"/>
      <c r="H115" s="288"/>
    </row>
    <row r="116" spans="1:8" x14ac:dyDescent="0.25">
      <c r="A116" s="288"/>
      <c r="B116" s="288" t="s">
        <v>928</v>
      </c>
      <c r="C116" s="288"/>
      <c r="D116" s="288"/>
      <c r="E116" s="288"/>
      <c r="F116" s="288"/>
      <c r="G116" s="288"/>
      <c r="H116" s="288"/>
    </row>
    <row r="117" spans="1:8" x14ac:dyDescent="0.25">
      <c r="A117" s="288"/>
      <c r="B117" s="288" t="s">
        <v>929</v>
      </c>
      <c r="C117" s="288"/>
      <c r="D117" s="288"/>
      <c r="E117" s="288"/>
      <c r="F117" s="288"/>
      <c r="G117" s="288"/>
      <c r="H117" s="288"/>
    </row>
    <row r="118" spans="1:8" x14ac:dyDescent="0.25">
      <c r="A118" s="288"/>
      <c r="B118" s="288" t="s">
        <v>957</v>
      </c>
      <c r="C118" s="288" t="s">
        <v>8</v>
      </c>
      <c r="D118" s="288">
        <v>1.03</v>
      </c>
      <c r="E118" s="288"/>
      <c r="F118" s="288"/>
      <c r="G118" s="288"/>
      <c r="H118" s="288"/>
    </row>
    <row r="119" spans="1:8" x14ac:dyDescent="0.25">
      <c r="A119" s="288">
        <v>7</v>
      </c>
      <c r="B119" s="288" t="s">
        <v>933</v>
      </c>
      <c r="C119" s="288" t="s">
        <v>8</v>
      </c>
      <c r="D119" s="288">
        <v>1.02</v>
      </c>
      <c r="E119" s="288"/>
      <c r="F119" s="288"/>
      <c r="G119" s="288"/>
      <c r="H119" s="288"/>
    </row>
    <row r="120" spans="1:8" x14ac:dyDescent="0.25">
      <c r="A120" s="288">
        <v>8</v>
      </c>
      <c r="B120" s="288" t="s">
        <v>934</v>
      </c>
      <c r="C120" s="288" t="s">
        <v>8</v>
      </c>
      <c r="D120" s="288"/>
      <c r="E120" s="288"/>
      <c r="F120" s="288"/>
      <c r="G120" s="288"/>
      <c r="H120" s="288"/>
    </row>
    <row r="121" spans="1:8" x14ac:dyDescent="0.25">
      <c r="A121" s="288"/>
      <c r="B121" s="288" t="s">
        <v>935</v>
      </c>
      <c r="C121" s="288"/>
      <c r="D121" s="288"/>
      <c r="E121" s="288"/>
      <c r="F121" s="288"/>
      <c r="G121" s="288"/>
      <c r="H121" s="288"/>
    </row>
    <row r="122" spans="1:8" x14ac:dyDescent="0.25">
      <c r="A122" s="288"/>
      <c r="B122" s="288" t="s">
        <v>936</v>
      </c>
      <c r="C122" s="288" t="s">
        <v>8</v>
      </c>
      <c r="D122" s="288">
        <v>4.03</v>
      </c>
      <c r="E122" s="288"/>
      <c r="F122" s="288"/>
      <c r="G122" s="288"/>
      <c r="H122" s="288"/>
    </row>
    <row r="123" spans="1:8" x14ac:dyDescent="0.25">
      <c r="A123" s="288">
        <v>9</v>
      </c>
      <c r="B123" s="288" t="s">
        <v>937</v>
      </c>
      <c r="C123" s="288"/>
      <c r="D123" s="288"/>
      <c r="E123" s="288"/>
      <c r="F123" s="288"/>
      <c r="G123" s="288"/>
      <c r="H123" s="288"/>
    </row>
    <row r="124" spans="1:8" x14ac:dyDescent="0.25">
      <c r="A124" s="288"/>
      <c r="B124" s="288" t="s">
        <v>958</v>
      </c>
      <c r="C124" s="288" t="s">
        <v>14</v>
      </c>
      <c r="D124" s="288">
        <v>25.11</v>
      </c>
      <c r="E124" s="288"/>
      <c r="F124" s="288"/>
      <c r="G124" s="288"/>
      <c r="H124" s="288"/>
    </row>
    <row r="125" spans="1:8" x14ac:dyDescent="0.25">
      <c r="A125" s="288">
        <v>10</v>
      </c>
      <c r="B125" s="288" t="s">
        <v>939</v>
      </c>
      <c r="C125" s="288"/>
      <c r="D125" s="288"/>
      <c r="E125" s="288"/>
      <c r="F125" s="288"/>
      <c r="G125" s="288"/>
      <c r="H125" s="288"/>
    </row>
    <row r="126" spans="1:8" x14ac:dyDescent="0.25">
      <c r="A126" s="288"/>
      <c r="B126" s="288" t="s">
        <v>940</v>
      </c>
      <c r="C126" s="288"/>
      <c r="D126" s="288"/>
      <c r="E126" s="288"/>
      <c r="F126" s="288"/>
      <c r="G126" s="288"/>
      <c r="H126" s="288"/>
    </row>
    <row r="127" spans="1:8" x14ac:dyDescent="0.25">
      <c r="A127" s="288"/>
      <c r="B127" s="288" t="s">
        <v>941</v>
      </c>
      <c r="C127" s="288" t="s">
        <v>14</v>
      </c>
      <c r="D127" s="288">
        <v>108.7</v>
      </c>
      <c r="E127" s="288"/>
      <c r="F127" s="288"/>
      <c r="G127" s="288"/>
      <c r="H127" s="288"/>
    </row>
    <row r="128" spans="1:8" x14ac:dyDescent="0.25">
      <c r="A128" s="288">
        <v>11</v>
      </c>
      <c r="B128" s="288" t="s">
        <v>937</v>
      </c>
      <c r="C128" s="288"/>
      <c r="D128" s="288"/>
      <c r="E128" s="288"/>
      <c r="F128" s="288"/>
      <c r="G128" s="288"/>
      <c r="H128" s="288"/>
    </row>
    <row r="129" spans="1:8" x14ac:dyDescent="0.25">
      <c r="A129" s="288"/>
      <c r="B129" s="288" t="s">
        <v>942</v>
      </c>
      <c r="C129" s="288" t="s">
        <v>14</v>
      </c>
      <c r="D129" s="288">
        <v>50.43</v>
      </c>
      <c r="E129" s="288"/>
      <c r="F129" s="288"/>
      <c r="G129" s="288"/>
      <c r="H129" s="288"/>
    </row>
    <row r="130" spans="1:8" x14ac:dyDescent="0.25">
      <c r="A130" s="288">
        <v>12</v>
      </c>
      <c r="B130" s="288" t="s">
        <v>939</v>
      </c>
      <c r="C130" s="288"/>
      <c r="D130" s="288"/>
      <c r="E130" s="288"/>
      <c r="F130" s="288"/>
      <c r="G130" s="288"/>
      <c r="H130" s="288"/>
    </row>
    <row r="131" spans="1:8" x14ac:dyDescent="0.25">
      <c r="A131" s="288"/>
      <c r="B131" s="288" t="s">
        <v>940</v>
      </c>
      <c r="C131" s="288"/>
      <c r="D131" s="288"/>
      <c r="E131" s="288"/>
      <c r="F131" s="288"/>
      <c r="G131" s="288"/>
      <c r="H131" s="288"/>
    </row>
    <row r="132" spans="1:8" x14ac:dyDescent="0.25">
      <c r="A132" s="288"/>
      <c r="B132" s="288" t="s">
        <v>943</v>
      </c>
      <c r="C132" s="288" t="s">
        <v>14</v>
      </c>
      <c r="D132" s="288">
        <v>249.36</v>
      </c>
      <c r="E132" s="288"/>
      <c r="F132" s="288"/>
      <c r="G132" s="288"/>
      <c r="H132" s="288"/>
    </row>
    <row r="133" spans="1:8" x14ac:dyDescent="0.25">
      <c r="A133" s="288">
        <v>13</v>
      </c>
      <c r="B133" s="288" t="s">
        <v>944</v>
      </c>
      <c r="C133" s="288"/>
      <c r="D133" s="288"/>
      <c r="E133" s="288"/>
      <c r="F133" s="288"/>
      <c r="G133" s="288"/>
      <c r="H133" s="288"/>
    </row>
    <row r="134" spans="1:8" x14ac:dyDescent="0.25">
      <c r="A134" s="288"/>
      <c r="B134" s="288" t="s">
        <v>945</v>
      </c>
      <c r="C134" s="288"/>
      <c r="D134" s="288"/>
      <c r="E134" s="288"/>
      <c r="F134" s="288"/>
      <c r="G134" s="288"/>
      <c r="H134" s="288"/>
    </row>
    <row r="135" spans="1:8" x14ac:dyDescent="0.25">
      <c r="A135" s="288"/>
      <c r="B135" s="288" t="s">
        <v>946</v>
      </c>
      <c r="C135" s="288"/>
      <c r="D135" s="288"/>
      <c r="E135" s="288"/>
      <c r="F135" s="288"/>
      <c r="G135" s="288"/>
      <c r="H135" s="288"/>
    </row>
    <row r="136" spans="1:8" x14ac:dyDescent="0.25">
      <c r="A136" s="288"/>
      <c r="B136" s="288" t="s">
        <v>947</v>
      </c>
      <c r="C136" s="288" t="s">
        <v>8</v>
      </c>
      <c r="D136" s="288">
        <v>9.84</v>
      </c>
      <c r="E136" s="288"/>
      <c r="F136" s="288"/>
      <c r="G136" s="288"/>
      <c r="H136" s="288"/>
    </row>
    <row r="137" spans="1:8" x14ac:dyDescent="0.25">
      <c r="A137" s="288">
        <v>14</v>
      </c>
      <c r="B137" s="288" t="s">
        <v>948</v>
      </c>
      <c r="C137" s="288"/>
      <c r="D137" s="288"/>
      <c r="E137" s="288"/>
      <c r="F137" s="288"/>
      <c r="G137" s="288"/>
      <c r="H137" s="288"/>
    </row>
    <row r="138" spans="1:8" x14ac:dyDescent="0.25">
      <c r="A138" s="288"/>
      <c r="B138" s="288" t="s">
        <v>926</v>
      </c>
      <c r="C138" s="288"/>
      <c r="D138" s="288"/>
      <c r="E138" s="288"/>
      <c r="F138" s="288"/>
      <c r="G138" s="288"/>
      <c r="H138" s="288"/>
    </row>
    <row r="139" spans="1:8" x14ac:dyDescent="0.25">
      <c r="A139" s="288"/>
      <c r="B139" s="288" t="s">
        <v>927</v>
      </c>
      <c r="C139" s="288"/>
      <c r="D139" s="288"/>
      <c r="E139" s="288"/>
      <c r="F139" s="288"/>
      <c r="G139" s="288"/>
      <c r="H139" s="288"/>
    </row>
    <row r="140" spans="1:8" x14ac:dyDescent="0.25">
      <c r="A140" s="288"/>
      <c r="B140" s="288" t="s">
        <v>949</v>
      </c>
      <c r="C140" s="288" t="s">
        <v>8</v>
      </c>
      <c r="D140" s="288">
        <v>7.38</v>
      </c>
      <c r="E140" s="288"/>
      <c r="F140" s="288"/>
      <c r="G140" s="288"/>
      <c r="H140" s="288"/>
    </row>
    <row r="141" spans="1:8" x14ac:dyDescent="0.25">
      <c r="A141" s="288">
        <v>15</v>
      </c>
      <c r="B141" s="288" t="s">
        <v>950</v>
      </c>
      <c r="C141" s="288"/>
      <c r="D141" s="288"/>
      <c r="E141" s="288"/>
      <c r="F141" s="288"/>
      <c r="G141" s="288"/>
      <c r="H141" s="288"/>
    </row>
    <row r="142" spans="1:8" x14ac:dyDescent="0.25">
      <c r="A142" s="288"/>
      <c r="B142" s="288" t="s">
        <v>928</v>
      </c>
      <c r="C142" s="288"/>
      <c r="D142" s="288"/>
      <c r="E142" s="288"/>
      <c r="F142" s="288"/>
      <c r="G142" s="288"/>
      <c r="H142" s="288"/>
    </row>
    <row r="143" spans="1:8" x14ac:dyDescent="0.25">
      <c r="A143" s="288"/>
      <c r="B143" s="288" t="s">
        <v>951</v>
      </c>
      <c r="C143" s="288"/>
      <c r="D143" s="288"/>
      <c r="E143" s="288"/>
      <c r="F143" s="288"/>
      <c r="G143" s="288"/>
      <c r="H143" s="288"/>
    </row>
    <row r="144" spans="1:8" x14ac:dyDescent="0.25">
      <c r="A144" s="288"/>
      <c r="B144" s="288" t="s">
        <v>930</v>
      </c>
      <c r="C144" s="288" t="s">
        <v>8</v>
      </c>
      <c r="D144" s="288">
        <v>6.48</v>
      </c>
      <c r="E144" s="288"/>
      <c r="F144" s="288"/>
      <c r="G144" s="288"/>
      <c r="H144" s="288"/>
    </row>
    <row r="145" spans="1:8" x14ac:dyDescent="0.25">
      <c r="A145" s="288">
        <v>16</v>
      </c>
      <c r="B145" s="288" t="s">
        <v>952</v>
      </c>
      <c r="C145" s="288"/>
      <c r="D145" s="288"/>
      <c r="E145" s="288"/>
      <c r="F145" s="288"/>
      <c r="G145" s="288"/>
      <c r="H145" s="288"/>
    </row>
    <row r="146" spans="1:8" x14ac:dyDescent="0.25">
      <c r="A146" s="288"/>
      <c r="B146" s="288" t="s">
        <v>953</v>
      </c>
      <c r="C146" s="288"/>
      <c r="D146" s="288"/>
      <c r="E146" s="288"/>
      <c r="F146" s="288"/>
      <c r="G146" s="288"/>
      <c r="H146" s="288"/>
    </row>
    <row r="147" spans="1:8" x14ac:dyDescent="0.25">
      <c r="A147" s="288"/>
      <c r="B147" s="288" t="s">
        <v>927</v>
      </c>
      <c r="C147" s="288"/>
      <c r="D147" s="288"/>
      <c r="E147" s="288"/>
      <c r="F147" s="288"/>
      <c r="G147" s="288"/>
      <c r="H147" s="288"/>
    </row>
    <row r="148" spans="1:8" x14ac:dyDescent="0.25">
      <c r="A148" s="288"/>
      <c r="B148" s="288" t="s">
        <v>924</v>
      </c>
      <c r="C148" s="288" t="s">
        <v>8</v>
      </c>
      <c r="D148" s="288">
        <v>20.53</v>
      </c>
      <c r="E148" s="288"/>
      <c r="F148" s="288"/>
      <c r="G148" s="288"/>
      <c r="H148" s="288"/>
    </row>
    <row r="149" spans="1:8" x14ac:dyDescent="0.25">
      <c r="A149" s="288">
        <v>17</v>
      </c>
      <c r="B149" s="288" t="s">
        <v>954</v>
      </c>
      <c r="C149" s="288" t="s">
        <v>8</v>
      </c>
      <c r="D149" s="288">
        <v>3</v>
      </c>
      <c r="E149" s="288"/>
      <c r="F149" s="288"/>
      <c r="G149" s="288"/>
      <c r="H149" s="288"/>
    </row>
    <row r="150" spans="1:8" x14ac:dyDescent="0.25">
      <c r="A150" s="288"/>
      <c r="B150" s="288" t="s">
        <v>955</v>
      </c>
      <c r="C150" s="288"/>
      <c r="D150" s="288"/>
      <c r="E150" s="288"/>
      <c r="F150" s="288"/>
      <c r="G150" s="288"/>
      <c r="H150" s="288"/>
    </row>
    <row r="151" spans="1:8" x14ac:dyDescent="0.25">
      <c r="A151" s="288">
        <v>18</v>
      </c>
      <c r="B151" s="288" t="s">
        <v>959</v>
      </c>
      <c r="C151" s="288"/>
      <c r="D151" s="288"/>
      <c r="E151" s="288"/>
      <c r="F151" s="288"/>
      <c r="G151" s="288"/>
      <c r="H151" s="288"/>
    </row>
    <row r="152" spans="1:8" x14ac:dyDescent="0.25">
      <c r="A152" s="288"/>
      <c r="B152" s="288" t="s">
        <v>926</v>
      </c>
      <c r="C152" s="288"/>
      <c r="D152" s="288"/>
      <c r="E152" s="288"/>
      <c r="F152" s="288"/>
      <c r="G152" s="288"/>
      <c r="H152" s="288"/>
    </row>
    <row r="153" spans="1:8" x14ac:dyDescent="0.25">
      <c r="A153" s="288"/>
      <c r="B153" s="288" t="s">
        <v>927</v>
      </c>
      <c r="C153" s="288"/>
      <c r="D153" s="288"/>
      <c r="E153" s="288"/>
      <c r="F153" s="288"/>
      <c r="G153" s="288"/>
      <c r="H153" s="288"/>
    </row>
    <row r="154" spans="1:8" x14ac:dyDescent="0.25">
      <c r="A154" s="288"/>
      <c r="B154" s="288" t="s">
        <v>960</v>
      </c>
      <c r="C154" s="288" t="s">
        <v>14</v>
      </c>
      <c r="D154" s="288">
        <v>8.76</v>
      </c>
      <c r="E154" s="288"/>
      <c r="F154" s="288"/>
      <c r="G154" s="288"/>
      <c r="H154" s="288"/>
    </row>
    <row r="155" spans="1:8" x14ac:dyDescent="0.25">
      <c r="A155" s="288"/>
      <c r="B155" s="288"/>
      <c r="C155" s="288"/>
      <c r="D155" s="288"/>
      <c r="E155" s="288"/>
      <c r="F155" s="288"/>
      <c r="G155" s="288"/>
      <c r="H155" s="288"/>
    </row>
    <row r="156" spans="1:8" x14ac:dyDescent="0.25">
      <c r="A156" s="288"/>
      <c r="B156" s="290" t="s">
        <v>961</v>
      </c>
      <c r="C156" s="288"/>
      <c r="D156" s="288"/>
      <c r="E156" s="288"/>
      <c r="F156" s="288"/>
      <c r="G156" s="288"/>
      <c r="H156" s="288"/>
    </row>
    <row r="157" spans="1:8" x14ac:dyDescent="0.25">
      <c r="A157" s="288">
        <v>1</v>
      </c>
      <c r="B157" s="288" t="s">
        <v>921</v>
      </c>
      <c r="C157" s="288"/>
      <c r="D157" s="288"/>
      <c r="E157" s="288"/>
      <c r="F157" s="288"/>
      <c r="G157" s="288"/>
      <c r="H157" s="288"/>
    </row>
    <row r="158" spans="1:8" x14ac:dyDescent="0.25">
      <c r="A158" s="288"/>
      <c r="B158" s="288" t="s">
        <v>922</v>
      </c>
      <c r="C158" s="288"/>
      <c r="D158" s="288"/>
      <c r="E158" s="288"/>
      <c r="F158" s="288"/>
      <c r="G158" s="288"/>
      <c r="H158" s="288"/>
    </row>
    <row r="159" spans="1:8" x14ac:dyDescent="0.25">
      <c r="A159" s="288"/>
      <c r="B159" s="288" t="s">
        <v>923</v>
      </c>
      <c r="C159" s="288"/>
      <c r="D159" s="288"/>
      <c r="E159" s="288"/>
      <c r="F159" s="288"/>
      <c r="G159" s="288"/>
      <c r="H159" s="288"/>
    </row>
    <row r="160" spans="1:8" x14ac:dyDescent="0.25">
      <c r="A160" s="288"/>
      <c r="B160" s="288" t="s">
        <v>924</v>
      </c>
      <c r="C160" s="288" t="s">
        <v>8</v>
      </c>
      <c r="D160" s="288">
        <v>104.25</v>
      </c>
      <c r="E160" s="288"/>
      <c r="F160" s="288"/>
      <c r="G160" s="288"/>
      <c r="H160" s="288"/>
    </row>
    <row r="161" spans="1:8" x14ac:dyDescent="0.25">
      <c r="A161" s="288">
        <v>2</v>
      </c>
      <c r="B161" s="288" t="s">
        <v>925</v>
      </c>
      <c r="C161" s="288"/>
      <c r="D161" s="288"/>
      <c r="E161" s="288"/>
      <c r="F161" s="288"/>
      <c r="G161" s="288"/>
      <c r="H161" s="288"/>
    </row>
    <row r="162" spans="1:8" x14ac:dyDescent="0.25">
      <c r="A162" s="288"/>
      <c r="B162" s="288" t="s">
        <v>926</v>
      </c>
      <c r="C162" s="288"/>
      <c r="D162" s="288"/>
      <c r="E162" s="288"/>
      <c r="F162" s="288"/>
      <c r="G162" s="288"/>
      <c r="H162" s="288"/>
    </row>
    <row r="163" spans="1:8" x14ac:dyDescent="0.25">
      <c r="A163" s="288"/>
      <c r="B163" s="288" t="s">
        <v>927</v>
      </c>
      <c r="C163" s="288"/>
      <c r="D163" s="288"/>
      <c r="E163" s="288"/>
      <c r="F163" s="288"/>
      <c r="G163" s="288"/>
      <c r="H163" s="288"/>
    </row>
    <row r="164" spans="1:8" x14ac:dyDescent="0.25">
      <c r="A164" s="288"/>
      <c r="B164" s="288" t="s">
        <v>924</v>
      </c>
      <c r="C164" s="288" t="s">
        <v>8</v>
      </c>
      <c r="D164" s="288">
        <v>1.71</v>
      </c>
      <c r="E164" s="288"/>
      <c r="F164" s="288"/>
      <c r="G164" s="288"/>
      <c r="H164" s="288"/>
    </row>
    <row r="165" spans="1:8" x14ac:dyDescent="0.25">
      <c r="A165" s="288">
        <v>3</v>
      </c>
      <c r="B165" s="288" t="s">
        <v>925</v>
      </c>
      <c r="C165" s="288"/>
      <c r="D165" s="288"/>
      <c r="E165" s="288"/>
      <c r="F165" s="288"/>
      <c r="G165" s="288"/>
      <c r="H165" s="288"/>
    </row>
    <row r="166" spans="1:8" x14ac:dyDescent="0.25">
      <c r="A166" s="288"/>
      <c r="B166" s="288" t="s">
        <v>928</v>
      </c>
      <c r="C166" s="288"/>
      <c r="D166" s="288"/>
      <c r="E166" s="288"/>
      <c r="F166" s="288"/>
      <c r="G166" s="288"/>
      <c r="H166" s="288"/>
    </row>
    <row r="167" spans="1:8" x14ac:dyDescent="0.25">
      <c r="A167" s="288"/>
      <c r="B167" s="288" t="s">
        <v>929</v>
      </c>
      <c r="C167" s="288"/>
      <c r="D167" s="288"/>
      <c r="E167" s="288"/>
      <c r="F167" s="288"/>
      <c r="G167" s="288"/>
      <c r="H167" s="288"/>
    </row>
    <row r="168" spans="1:8" x14ac:dyDescent="0.25">
      <c r="A168" s="288"/>
      <c r="B168" s="288" t="s">
        <v>957</v>
      </c>
      <c r="C168" s="288" t="s">
        <v>8</v>
      </c>
      <c r="D168" s="288">
        <v>2.54</v>
      </c>
      <c r="E168" s="288"/>
      <c r="F168" s="288"/>
      <c r="G168" s="288"/>
      <c r="H168" s="288"/>
    </row>
    <row r="169" spans="1:8" x14ac:dyDescent="0.25">
      <c r="A169" s="288">
        <v>4</v>
      </c>
      <c r="B169" s="288" t="s">
        <v>931</v>
      </c>
      <c r="C169" s="288"/>
      <c r="D169" s="288"/>
      <c r="E169" s="288"/>
      <c r="F169" s="288"/>
      <c r="G169" s="288"/>
      <c r="H169" s="288"/>
    </row>
    <row r="170" spans="1:8" x14ac:dyDescent="0.25">
      <c r="A170" s="288"/>
      <c r="B170" s="288" t="s">
        <v>922</v>
      </c>
      <c r="C170" s="288"/>
      <c r="D170" s="288"/>
      <c r="E170" s="288"/>
      <c r="F170" s="288"/>
      <c r="G170" s="288"/>
      <c r="H170" s="288"/>
    </row>
    <row r="171" spans="1:8" x14ac:dyDescent="0.25">
      <c r="A171" s="288"/>
      <c r="B171" s="288" t="s">
        <v>923</v>
      </c>
      <c r="C171" s="288"/>
      <c r="D171" s="288"/>
      <c r="E171" s="288"/>
      <c r="F171" s="288"/>
      <c r="G171" s="288"/>
      <c r="H171" s="288"/>
    </row>
    <row r="172" spans="1:8" x14ac:dyDescent="0.25">
      <c r="A172" s="288"/>
      <c r="B172" s="288" t="s">
        <v>924</v>
      </c>
      <c r="C172" s="288" t="s">
        <v>8</v>
      </c>
      <c r="D172" s="288">
        <v>117.56</v>
      </c>
      <c r="E172" s="288"/>
      <c r="F172" s="288"/>
      <c r="G172" s="288"/>
      <c r="H172" s="288"/>
    </row>
    <row r="173" spans="1:8" x14ac:dyDescent="0.25">
      <c r="A173" s="288">
        <v>5</v>
      </c>
      <c r="B173" s="288" t="s">
        <v>932</v>
      </c>
      <c r="C173" s="288"/>
      <c r="D173" s="288"/>
      <c r="E173" s="288"/>
      <c r="F173" s="288"/>
      <c r="G173" s="288"/>
      <c r="H173" s="288"/>
    </row>
    <row r="174" spans="1:8" x14ac:dyDescent="0.25">
      <c r="A174" s="288"/>
      <c r="B174" s="288" t="s">
        <v>926</v>
      </c>
      <c r="C174" s="288"/>
      <c r="D174" s="288"/>
      <c r="E174" s="288"/>
      <c r="F174" s="288"/>
      <c r="G174" s="288"/>
      <c r="H174" s="288"/>
    </row>
    <row r="175" spans="1:8" x14ac:dyDescent="0.25">
      <c r="A175" s="288"/>
      <c r="B175" s="288" t="s">
        <v>927</v>
      </c>
      <c r="C175" s="288"/>
      <c r="D175" s="288"/>
      <c r="E175" s="288"/>
      <c r="F175" s="288"/>
      <c r="G175" s="288"/>
      <c r="H175" s="288"/>
    </row>
    <row r="176" spans="1:8" x14ac:dyDescent="0.25">
      <c r="A176" s="288"/>
      <c r="B176" s="288" t="s">
        <v>924</v>
      </c>
      <c r="C176" s="288" t="s">
        <v>8</v>
      </c>
      <c r="D176" s="288">
        <v>1.39</v>
      </c>
      <c r="E176" s="288"/>
      <c r="F176" s="288"/>
      <c r="G176" s="288"/>
      <c r="H176" s="288"/>
    </row>
    <row r="177" spans="1:8" x14ac:dyDescent="0.25">
      <c r="A177" s="288">
        <v>6</v>
      </c>
      <c r="B177" s="288" t="s">
        <v>932</v>
      </c>
      <c r="C177" s="288"/>
      <c r="D177" s="288"/>
      <c r="E177" s="288"/>
      <c r="F177" s="288"/>
      <c r="G177" s="288"/>
      <c r="H177" s="288"/>
    </row>
    <row r="178" spans="1:8" x14ac:dyDescent="0.25">
      <c r="A178" s="288"/>
      <c r="B178" s="288" t="s">
        <v>928</v>
      </c>
      <c r="C178" s="288"/>
      <c r="D178" s="288"/>
      <c r="E178" s="288"/>
      <c r="F178" s="288"/>
      <c r="G178" s="288"/>
      <c r="H178" s="288"/>
    </row>
    <row r="179" spans="1:8" x14ac:dyDescent="0.25">
      <c r="A179" s="288"/>
      <c r="B179" s="288" t="s">
        <v>929</v>
      </c>
      <c r="C179" s="288"/>
      <c r="D179" s="288"/>
      <c r="E179" s="288"/>
      <c r="F179" s="288"/>
      <c r="G179" s="288"/>
      <c r="H179" s="288"/>
    </row>
    <row r="180" spans="1:8" x14ac:dyDescent="0.25">
      <c r="A180" s="288"/>
      <c r="B180" s="288" t="s">
        <v>957</v>
      </c>
      <c r="C180" s="288" t="s">
        <v>8</v>
      </c>
      <c r="D180" s="288">
        <v>1.03</v>
      </c>
      <c r="E180" s="288"/>
      <c r="F180" s="288"/>
      <c r="G180" s="288"/>
      <c r="H180" s="288"/>
    </row>
    <row r="181" spans="1:8" x14ac:dyDescent="0.25">
      <c r="A181" s="288">
        <v>7</v>
      </c>
      <c r="B181" s="288" t="s">
        <v>933</v>
      </c>
      <c r="C181" s="288" t="s">
        <v>8</v>
      </c>
      <c r="D181" s="288">
        <v>1.02</v>
      </c>
      <c r="E181" s="288"/>
      <c r="F181" s="288"/>
      <c r="G181" s="288"/>
      <c r="H181" s="288"/>
    </row>
    <row r="182" spans="1:8" x14ac:dyDescent="0.25">
      <c r="A182" s="288">
        <v>8</v>
      </c>
      <c r="B182" s="288" t="s">
        <v>934</v>
      </c>
      <c r="C182" s="288" t="s">
        <v>8</v>
      </c>
      <c r="D182" s="288"/>
      <c r="E182" s="288"/>
      <c r="F182" s="288"/>
      <c r="G182" s="288"/>
      <c r="H182" s="288"/>
    </row>
    <row r="183" spans="1:8" x14ac:dyDescent="0.25">
      <c r="A183" s="288"/>
      <c r="B183" s="288" t="s">
        <v>935</v>
      </c>
      <c r="C183" s="288"/>
      <c r="D183" s="288"/>
      <c r="E183" s="288"/>
      <c r="F183" s="288"/>
      <c r="G183" s="288"/>
      <c r="H183" s="288"/>
    </row>
    <row r="184" spans="1:8" x14ac:dyDescent="0.25">
      <c r="A184" s="288"/>
      <c r="B184" s="288" t="s">
        <v>936</v>
      </c>
      <c r="C184" s="288" t="s">
        <v>8</v>
      </c>
      <c r="D184" s="288">
        <v>4.03</v>
      </c>
      <c r="E184" s="288"/>
      <c r="F184" s="288"/>
      <c r="G184" s="288"/>
      <c r="H184" s="288"/>
    </row>
    <row r="185" spans="1:8" x14ac:dyDescent="0.25">
      <c r="A185" s="288">
        <v>9</v>
      </c>
      <c r="B185" s="288" t="s">
        <v>937</v>
      </c>
      <c r="C185" s="288"/>
      <c r="D185" s="288"/>
      <c r="E185" s="288"/>
      <c r="F185" s="288"/>
      <c r="G185" s="288"/>
      <c r="H185" s="288"/>
    </row>
    <row r="186" spans="1:8" x14ac:dyDescent="0.25">
      <c r="A186" s="288"/>
      <c r="B186" s="288" t="s">
        <v>958</v>
      </c>
      <c r="C186" s="288" t="s">
        <v>14</v>
      </c>
      <c r="D186" s="288">
        <v>25.11</v>
      </c>
      <c r="E186" s="288"/>
      <c r="F186" s="288"/>
      <c r="G186" s="288"/>
      <c r="H186" s="288"/>
    </row>
    <row r="187" spans="1:8" x14ac:dyDescent="0.25">
      <c r="A187" s="288">
        <v>10</v>
      </c>
      <c r="B187" s="288" t="s">
        <v>939</v>
      </c>
      <c r="C187" s="288"/>
      <c r="D187" s="288"/>
      <c r="E187" s="288"/>
      <c r="F187" s="288"/>
      <c r="G187" s="288"/>
      <c r="H187" s="288"/>
    </row>
    <row r="188" spans="1:8" x14ac:dyDescent="0.25">
      <c r="A188" s="288"/>
      <c r="B188" s="288" t="s">
        <v>940</v>
      </c>
      <c r="C188" s="288"/>
      <c r="D188" s="288"/>
      <c r="E188" s="288"/>
      <c r="F188" s="288"/>
      <c r="G188" s="288"/>
      <c r="H188" s="288"/>
    </row>
    <row r="189" spans="1:8" x14ac:dyDescent="0.25">
      <c r="A189" s="288"/>
      <c r="B189" s="288" t="s">
        <v>941</v>
      </c>
      <c r="C189" s="288" t="s">
        <v>14</v>
      </c>
      <c r="D189" s="288">
        <v>108.7</v>
      </c>
      <c r="E189" s="288"/>
      <c r="F189" s="288"/>
      <c r="G189" s="288"/>
      <c r="H189" s="288"/>
    </row>
    <row r="190" spans="1:8" x14ac:dyDescent="0.25">
      <c r="A190" s="288">
        <v>11</v>
      </c>
      <c r="B190" s="288" t="s">
        <v>937</v>
      </c>
      <c r="C190" s="288"/>
      <c r="D190" s="288"/>
      <c r="E190" s="288"/>
      <c r="F190" s="288"/>
      <c r="G190" s="288"/>
      <c r="H190" s="288"/>
    </row>
    <row r="191" spans="1:8" x14ac:dyDescent="0.25">
      <c r="A191" s="288"/>
      <c r="B191" s="288" t="s">
        <v>942</v>
      </c>
      <c r="C191" s="288" t="s">
        <v>14</v>
      </c>
      <c r="D191" s="288">
        <v>50.43</v>
      </c>
      <c r="E191" s="288"/>
      <c r="F191" s="288"/>
      <c r="G191" s="288"/>
      <c r="H191" s="288"/>
    </row>
    <row r="192" spans="1:8" x14ac:dyDescent="0.25">
      <c r="A192" s="288">
        <v>12</v>
      </c>
      <c r="B192" s="288" t="s">
        <v>939</v>
      </c>
      <c r="C192" s="288"/>
      <c r="D192" s="288"/>
      <c r="E192" s="288"/>
      <c r="F192" s="288"/>
      <c r="G192" s="288"/>
      <c r="H192" s="288"/>
    </row>
    <row r="193" spans="1:8" x14ac:dyDescent="0.25">
      <c r="A193" s="288"/>
      <c r="B193" s="288" t="s">
        <v>940</v>
      </c>
      <c r="C193" s="288"/>
      <c r="D193" s="288"/>
      <c r="E193" s="288"/>
      <c r="F193" s="288"/>
      <c r="G193" s="288"/>
      <c r="H193" s="288"/>
    </row>
    <row r="194" spans="1:8" x14ac:dyDescent="0.25">
      <c r="A194" s="288"/>
      <c r="B194" s="288" t="s">
        <v>943</v>
      </c>
      <c r="C194" s="288" t="s">
        <v>14</v>
      </c>
      <c r="D194" s="288">
        <v>249.36</v>
      </c>
      <c r="E194" s="288"/>
      <c r="F194" s="288"/>
      <c r="G194" s="288"/>
      <c r="H194" s="288"/>
    </row>
    <row r="195" spans="1:8" x14ac:dyDescent="0.25">
      <c r="A195" s="288">
        <v>13</v>
      </c>
      <c r="B195" s="288" t="s">
        <v>944</v>
      </c>
      <c r="C195" s="288"/>
      <c r="D195" s="288"/>
      <c r="E195" s="288"/>
      <c r="F195" s="288"/>
      <c r="G195" s="288"/>
      <c r="H195" s="288"/>
    </row>
    <row r="196" spans="1:8" x14ac:dyDescent="0.25">
      <c r="A196" s="288"/>
      <c r="B196" s="288" t="s">
        <v>945</v>
      </c>
      <c r="C196" s="288"/>
      <c r="D196" s="288"/>
      <c r="E196" s="288"/>
      <c r="F196" s="288"/>
      <c r="G196" s="288"/>
      <c r="H196" s="288"/>
    </row>
    <row r="197" spans="1:8" x14ac:dyDescent="0.25">
      <c r="A197" s="288"/>
      <c r="B197" s="288" t="s">
        <v>946</v>
      </c>
      <c r="C197" s="288"/>
      <c r="D197" s="288"/>
      <c r="E197" s="288"/>
      <c r="F197" s="288"/>
      <c r="G197" s="288"/>
      <c r="H197" s="288"/>
    </row>
    <row r="198" spans="1:8" x14ac:dyDescent="0.25">
      <c r="A198" s="288"/>
      <c r="B198" s="288" t="s">
        <v>947</v>
      </c>
      <c r="C198" s="288" t="s">
        <v>8</v>
      </c>
      <c r="D198" s="288">
        <v>7.4</v>
      </c>
      <c r="E198" s="288"/>
      <c r="F198" s="288"/>
      <c r="G198" s="288"/>
      <c r="H198" s="288"/>
    </row>
    <row r="199" spans="1:8" x14ac:dyDescent="0.25">
      <c r="A199" s="288">
        <v>14</v>
      </c>
      <c r="B199" s="288" t="s">
        <v>948</v>
      </c>
      <c r="C199" s="288"/>
      <c r="D199" s="288"/>
      <c r="E199" s="288"/>
      <c r="F199" s="288"/>
      <c r="G199" s="288"/>
      <c r="H199" s="288"/>
    </row>
    <row r="200" spans="1:8" x14ac:dyDescent="0.25">
      <c r="A200" s="288"/>
      <c r="B200" s="288" t="s">
        <v>926</v>
      </c>
      <c r="C200" s="288"/>
      <c r="D200" s="288"/>
      <c r="E200" s="288"/>
      <c r="F200" s="288"/>
      <c r="G200" s="288"/>
      <c r="H200" s="288"/>
    </row>
    <row r="201" spans="1:8" x14ac:dyDescent="0.25">
      <c r="A201" s="288"/>
      <c r="B201" s="288" t="s">
        <v>927</v>
      </c>
      <c r="C201" s="288"/>
      <c r="D201" s="288"/>
      <c r="E201" s="288"/>
      <c r="F201" s="288"/>
      <c r="G201" s="288"/>
      <c r="H201" s="288"/>
    </row>
    <row r="202" spans="1:8" x14ac:dyDescent="0.25">
      <c r="A202" s="288"/>
      <c r="B202" s="288" t="s">
        <v>949</v>
      </c>
      <c r="C202" s="288" t="s">
        <v>8</v>
      </c>
      <c r="D202" s="288">
        <v>5.49</v>
      </c>
      <c r="E202" s="288"/>
      <c r="F202" s="288"/>
      <c r="G202" s="288"/>
      <c r="H202" s="288"/>
    </row>
    <row r="203" spans="1:8" x14ac:dyDescent="0.25">
      <c r="A203" s="288">
        <v>15</v>
      </c>
      <c r="B203" s="288" t="s">
        <v>950</v>
      </c>
      <c r="C203" s="288"/>
      <c r="D203" s="288"/>
      <c r="E203" s="288"/>
      <c r="F203" s="288"/>
      <c r="G203" s="288"/>
      <c r="H203" s="288"/>
    </row>
    <row r="204" spans="1:8" x14ac:dyDescent="0.25">
      <c r="A204" s="288"/>
      <c r="B204" s="288" t="s">
        <v>928</v>
      </c>
      <c r="C204" s="288"/>
      <c r="D204" s="288"/>
      <c r="E204" s="288"/>
      <c r="F204" s="288"/>
      <c r="G204" s="288"/>
      <c r="H204" s="288"/>
    </row>
    <row r="205" spans="1:8" x14ac:dyDescent="0.25">
      <c r="A205" s="288"/>
      <c r="B205" s="288" t="s">
        <v>951</v>
      </c>
      <c r="C205" s="288"/>
      <c r="D205" s="288"/>
      <c r="E205" s="288"/>
      <c r="F205" s="288"/>
      <c r="G205" s="288"/>
      <c r="H205" s="288"/>
    </row>
    <row r="206" spans="1:8" x14ac:dyDescent="0.25">
      <c r="A206" s="288"/>
      <c r="B206" s="288" t="s">
        <v>930</v>
      </c>
      <c r="C206" s="288" t="s">
        <v>8</v>
      </c>
      <c r="D206" s="288">
        <v>5.4</v>
      </c>
      <c r="E206" s="288"/>
      <c r="F206" s="288"/>
      <c r="G206" s="288"/>
      <c r="H206" s="288"/>
    </row>
    <row r="207" spans="1:8" x14ac:dyDescent="0.25">
      <c r="A207" s="288">
        <v>16</v>
      </c>
      <c r="B207" s="288" t="s">
        <v>952</v>
      </c>
      <c r="C207" s="288"/>
      <c r="D207" s="288"/>
      <c r="E207" s="288"/>
      <c r="F207" s="288"/>
      <c r="G207" s="288"/>
      <c r="H207" s="288"/>
    </row>
    <row r="208" spans="1:8" x14ac:dyDescent="0.25">
      <c r="A208" s="288"/>
      <c r="B208" s="288" t="s">
        <v>953</v>
      </c>
      <c r="C208" s="288"/>
      <c r="D208" s="288"/>
      <c r="E208" s="288"/>
      <c r="F208" s="288"/>
      <c r="G208" s="288"/>
      <c r="H208" s="288"/>
    </row>
    <row r="209" spans="1:8" x14ac:dyDescent="0.25">
      <c r="A209" s="288"/>
      <c r="B209" s="288" t="s">
        <v>927</v>
      </c>
      <c r="C209" s="288"/>
      <c r="D209" s="288"/>
      <c r="E209" s="288"/>
      <c r="F209" s="288"/>
      <c r="G209" s="288"/>
      <c r="H209" s="288"/>
    </row>
    <row r="210" spans="1:8" x14ac:dyDescent="0.25">
      <c r="A210" s="288"/>
      <c r="B210" s="288" t="s">
        <v>924</v>
      </c>
      <c r="C210" s="288" t="s">
        <v>8</v>
      </c>
      <c r="D210" s="288">
        <v>17.53</v>
      </c>
      <c r="E210" s="288"/>
      <c r="F210" s="288"/>
      <c r="G210" s="288"/>
      <c r="H210" s="288"/>
    </row>
    <row r="211" spans="1:8" x14ac:dyDescent="0.25">
      <c r="A211" s="288">
        <v>17</v>
      </c>
      <c r="B211" s="288" t="s">
        <v>954</v>
      </c>
      <c r="C211" s="288" t="s">
        <v>8</v>
      </c>
      <c r="D211" s="288">
        <v>3</v>
      </c>
      <c r="E211" s="288"/>
      <c r="F211" s="288"/>
      <c r="G211" s="288"/>
      <c r="H211" s="288"/>
    </row>
    <row r="212" spans="1:8" x14ac:dyDescent="0.25">
      <c r="A212" s="288"/>
      <c r="B212" s="288" t="s">
        <v>955</v>
      </c>
      <c r="C212" s="288"/>
      <c r="D212" s="288"/>
      <c r="E212" s="288"/>
      <c r="F212" s="288"/>
      <c r="G212" s="288"/>
      <c r="H212" s="288"/>
    </row>
    <row r="213" spans="1:8" x14ac:dyDescent="0.25">
      <c r="A213" s="288">
        <v>18</v>
      </c>
      <c r="B213" s="288" t="s">
        <v>959</v>
      </c>
      <c r="C213" s="288"/>
      <c r="D213" s="288"/>
      <c r="E213" s="288"/>
      <c r="F213" s="288"/>
      <c r="G213" s="288"/>
      <c r="H213" s="288"/>
    </row>
    <row r="214" spans="1:8" x14ac:dyDescent="0.25">
      <c r="A214" s="288"/>
      <c r="B214" s="288" t="s">
        <v>926</v>
      </c>
      <c r="C214" s="288"/>
      <c r="D214" s="288"/>
      <c r="E214" s="288"/>
      <c r="F214" s="288"/>
      <c r="G214" s="288"/>
      <c r="H214" s="288"/>
    </row>
    <row r="215" spans="1:8" x14ac:dyDescent="0.25">
      <c r="A215" s="288"/>
      <c r="B215" s="288" t="s">
        <v>927</v>
      </c>
      <c r="C215" s="288"/>
      <c r="D215" s="288"/>
      <c r="E215" s="288"/>
      <c r="F215" s="288"/>
      <c r="G215" s="288"/>
      <c r="H215" s="288"/>
    </row>
    <row r="216" spans="1:8" x14ac:dyDescent="0.25">
      <c r="A216" s="288"/>
      <c r="B216" s="288" t="s">
        <v>960</v>
      </c>
      <c r="C216" s="288" t="s">
        <v>14</v>
      </c>
      <c r="D216" s="288">
        <v>8.76</v>
      </c>
      <c r="E216" s="288"/>
      <c r="F216" s="288"/>
      <c r="G216" s="288"/>
      <c r="H216" s="288"/>
    </row>
    <row r="217" spans="1:8" x14ac:dyDescent="0.25">
      <c r="A217" s="288"/>
      <c r="B217" s="288"/>
      <c r="C217" s="288"/>
      <c r="D217" s="288"/>
      <c r="E217" s="288"/>
      <c r="F217" s="288"/>
      <c r="G217" s="288"/>
      <c r="H217" s="28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7" workbookViewId="0">
      <selection activeCell="G23" sqref="G23"/>
    </sheetView>
  </sheetViews>
  <sheetFormatPr defaultRowHeight="14.4" x14ac:dyDescent="0.25"/>
  <sheetData>
    <row r="1" spans="1:7" x14ac:dyDescent="0.25">
      <c r="A1" s="633" t="s">
        <v>1276</v>
      </c>
      <c r="D1" s="288" t="s">
        <v>1361</v>
      </c>
    </row>
    <row r="2" spans="1:7" x14ac:dyDescent="0.25">
      <c r="A2" s="290" t="s">
        <v>1360</v>
      </c>
      <c r="B2" s="288">
        <v>12</v>
      </c>
      <c r="C2" s="288">
        <f>B2*B3</f>
        <v>15.120000000000001</v>
      </c>
      <c r="D2" s="288">
        <v>0.2</v>
      </c>
      <c r="E2" s="288">
        <f>D2*B2</f>
        <v>2.4000000000000004</v>
      </c>
      <c r="F2" s="288"/>
      <c r="G2" s="288"/>
    </row>
    <row r="3" spans="1:7" x14ac:dyDescent="0.25">
      <c r="B3" s="288">
        <f>42*0.03</f>
        <v>1.26</v>
      </c>
      <c r="C3" s="288"/>
      <c r="D3" s="288"/>
      <c r="E3" s="288"/>
      <c r="F3" s="288"/>
      <c r="G3" s="288"/>
    </row>
    <row r="4" spans="1:7" x14ac:dyDescent="0.25">
      <c r="A4" s="288" t="s">
        <v>1359</v>
      </c>
      <c r="B4" s="288">
        <f>2*12.6</f>
        <v>25.2</v>
      </c>
      <c r="C4" s="288">
        <f>B4*B2</f>
        <v>302.39999999999998</v>
      </c>
      <c r="D4" s="288"/>
      <c r="E4" s="288"/>
      <c r="F4" s="288"/>
      <c r="G4" s="288"/>
    </row>
    <row r="5" spans="1:7" x14ac:dyDescent="0.25">
      <c r="A5" s="288" t="s">
        <v>1362</v>
      </c>
      <c r="B5" s="288">
        <v>3</v>
      </c>
      <c r="C5" s="288">
        <f>B5*B6</f>
        <v>60.480000000000004</v>
      </c>
      <c r="D5" s="288">
        <v>0.16</v>
      </c>
      <c r="E5" s="288">
        <f>D5*B5</f>
        <v>0.48</v>
      </c>
      <c r="F5" s="288"/>
      <c r="G5" s="288"/>
    </row>
    <row r="6" spans="1:7" x14ac:dyDescent="0.25">
      <c r="B6" s="288">
        <f>2*9.6+32*0.03</f>
        <v>20.16</v>
      </c>
      <c r="C6" s="288"/>
      <c r="D6" s="288"/>
      <c r="E6" s="288"/>
      <c r="F6" s="288"/>
      <c r="G6" s="288"/>
    </row>
    <row r="7" spans="1:7" x14ac:dyDescent="0.25">
      <c r="A7" s="288" t="s">
        <v>1363</v>
      </c>
      <c r="B7" s="288"/>
      <c r="C7" s="288"/>
      <c r="D7" s="288"/>
      <c r="E7" s="288"/>
      <c r="F7" s="288"/>
      <c r="G7" s="288"/>
    </row>
    <row r="8" spans="1:7" x14ac:dyDescent="0.25">
      <c r="A8" s="288" t="s">
        <v>1364</v>
      </c>
      <c r="B8" s="288">
        <v>3</v>
      </c>
      <c r="C8" s="288">
        <f>B8*B9</f>
        <v>146.37</v>
      </c>
      <c r="D8" s="288">
        <v>0.62</v>
      </c>
      <c r="E8" s="288">
        <f>D8*B8</f>
        <v>1.8599999999999999</v>
      </c>
      <c r="F8" s="288"/>
      <c r="G8" s="288"/>
    </row>
    <row r="9" spans="1:7" x14ac:dyDescent="0.25">
      <c r="A9" s="288"/>
      <c r="B9" s="288">
        <f>7*5.42+35*0.31</f>
        <v>48.79</v>
      </c>
      <c r="C9" s="288"/>
      <c r="D9" s="288"/>
      <c r="E9" s="288"/>
      <c r="F9" s="288"/>
      <c r="G9" s="288"/>
    </row>
    <row r="10" spans="1:7" x14ac:dyDescent="0.25">
      <c r="A10" s="288"/>
      <c r="B10" s="288"/>
      <c r="C10" s="288"/>
      <c r="D10" s="288"/>
      <c r="E10" s="288"/>
      <c r="F10" s="288"/>
      <c r="G10" s="288"/>
    </row>
    <row r="11" spans="1:7" x14ac:dyDescent="0.25">
      <c r="A11" s="288" t="s">
        <v>1365</v>
      </c>
      <c r="B11" s="288">
        <v>6</v>
      </c>
      <c r="C11" s="288">
        <f>B11*B12</f>
        <v>249.06</v>
      </c>
      <c r="D11" s="288">
        <v>0.51</v>
      </c>
      <c r="E11" s="288">
        <f>D11*B11</f>
        <v>3.06</v>
      </c>
      <c r="F11" s="288"/>
      <c r="G11" s="288"/>
    </row>
    <row r="12" spans="1:7" x14ac:dyDescent="0.25">
      <c r="A12" s="288"/>
      <c r="B12" s="288">
        <f>6*5.42+29*0.31</f>
        <v>41.51</v>
      </c>
      <c r="C12" s="288"/>
      <c r="D12" s="288"/>
      <c r="E12" s="288"/>
      <c r="F12" s="288"/>
      <c r="G12" s="288"/>
    </row>
    <row r="13" spans="1:7" x14ac:dyDescent="0.25">
      <c r="A13" s="288"/>
      <c r="B13" s="288"/>
      <c r="C13" s="288"/>
      <c r="D13" s="288"/>
      <c r="E13" s="288"/>
      <c r="F13" s="288"/>
      <c r="G13" s="288"/>
    </row>
    <row r="14" spans="1:7" x14ac:dyDescent="0.25">
      <c r="A14" s="288" t="s">
        <v>1366</v>
      </c>
      <c r="B14" s="288">
        <v>3</v>
      </c>
      <c r="C14" s="288">
        <f>B14*B15</f>
        <v>57.359999999999992</v>
      </c>
      <c r="D14" s="288">
        <v>0.15</v>
      </c>
      <c r="E14" s="288">
        <f>D14*B14</f>
        <v>0.44999999999999996</v>
      </c>
      <c r="F14" s="288"/>
      <c r="G14" s="288"/>
    </row>
    <row r="15" spans="1:7" x14ac:dyDescent="0.25">
      <c r="A15" s="288"/>
      <c r="B15" s="288">
        <f>2*9.11+30*0.03</f>
        <v>19.119999999999997</v>
      </c>
      <c r="C15" s="288"/>
      <c r="D15" s="288"/>
      <c r="E15" s="288"/>
      <c r="F15" s="288"/>
      <c r="G15" s="288"/>
    </row>
    <row r="16" spans="1:7" x14ac:dyDescent="0.25">
      <c r="A16" s="288"/>
      <c r="B16" s="288"/>
      <c r="C16" s="288"/>
      <c r="D16" s="288"/>
      <c r="E16" s="288"/>
      <c r="F16" s="288"/>
      <c r="G16" s="288"/>
    </row>
    <row r="17" spans="1:7" x14ac:dyDescent="0.25">
      <c r="A17" s="288" t="s">
        <v>1367</v>
      </c>
      <c r="B17" s="288">
        <v>3</v>
      </c>
      <c r="C17" s="288">
        <f>B17*B18</f>
        <v>63.84</v>
      </c>
      <c r="D17" s="288">
        <v>0.16</v>
      </c>
      <c r="E17" s="288">
        <f>D17*B17</f>
        <v>0.48</v>
      </c>
      <c r="F17" s="288"/>
      <c r="G17" s="288"/>
    </row>
    <row r="18" spans="1:7" x14ac:dyDescent="0.25">
      <c r="A18" s="288"/>
      <c r="B18" s="288">
        <f>2*10.13+34*0.03</f>
        <v>21.28</v>
      </c>
      <c r="C18" s="288"/>
      <c r="D18" s="288"/>
      <c r="E18" s="288"/>
      <c r="F18" s="288"/>
      <c r="G18" s="288"/>
    </row>
    <row r="19" spans="1:7" x14ac:dyDescent="0.25">
      <c r="A19" s="288"/>
      <c r="B19" s="288"/>
      <c r="C19" s="288"/>
      <c r="D19" s="288"/>
      <c r="E19" s="288"/>
      <c r="F19" s="288"/>
      <c r="G19" s="288"/>
    </row>
    <row r="20" spans="1:7" x14ac:dyDescent="0.25">
      <c r="A20" s="288" t="s">
        <v>1368</v>
      </c>
      <c r="B20" s="288">
        <v>3</v>
      </c>
      <c r="C20" s="288">
        <f>B20*B21</f>
        <v>1099.8000000000002</v>
      </c>
      <c r="D20" s="288">
        <v>0.95</v>
      </c>
      <c r="E20" s="288">
        <f>D20*B20</f>
        <v>2.8499999999999996</v>
      </c>
      <c r="F20" s="288"/>
      <c r="G20" s="288"/>
    </row>
    <row r="21" spans="1:7" x14ac:dyDescent="0.25">
      <c r="A21" s="288"/>
      <c r="B21" s="288">
        <f>6*10.12+12*0.99+2*147</f>
        <v>366.6</v>
      </c>
      <c r="C21" s="288"/>
      <c r="D21" s="288"/>
      <c r="E21" s="288"/>
      <c r="F21" s="288"/>
      <c r="G21" s="288"/>
    </row>
    <row r="22" spans="1:7" x14ac:dyDescent="0.25">
      <c r="A22" s="288"/>
      <c r="B22" s="288"/>
      <c r="C22" s="288"/>
      <c r="D22" s="288"/>
      <c r="E22" s="288"/>
      <c r="F22" s="288"/>
      <c r="G22" s="288"/>
    </row>
    <row r="23" spans="1:7" x14ac:dyDescent="0.25">
      <c r="A23" s="288" t="s">
        <v>1369</v>
      </c>
      <c r="B23" s="288">
        <v>1</v>
      </c>
      <c r="C23" s="288">
        <f>B23*B24</f>
        <v>186.48000000000002</v>
      </c>
      <c r="D23" s="288">
        <v>0.31</v>
      </c>
      <c r="E23" s="288">
        <f>D23*B23</f>
        <v>0.31</v>
      </c>
      <c r="F23" s="288"/>
      <c r="G23" s="288"/>
    </row>
    <row r="24" spans="1:7" x14ac:dyDescent="0.25">
      <c r="A24" s="288"/>
      <c r="B24" s="288">
        <f>2*79.68+8*1.32+10*0.93+8*0.56+2*1.39</f>
        <v>186.48000000000002</v>
      </c>
      <c r="C24" s="288"/>
      <c r="D24" s="288"/>
      <c r="E24" s="288"/>
      <c r="F24" s="288"/>
      <c r="G24" s="288"/>
    </row>
    <row r="25" spans="1:7" x14ac:dyDescent="0.25">
      <c r="A25" s="288"/>
      <c r="B25" s="288"/>
      <c r="C25" s="434">
        <f>SUM(C2:C24)</f>
        <v>2180.9100000000003</v>
      </c>
      <c r="D25" s="288"/>
      <c r="E25" s="288">
        <f>SUM(E2:E24)</f>
        <v>11.89</v>
      </c>
      <c r="F25" s="288"/>
      <c r="G25" s="288"/>
    </row>
    <row r="26" spans="1:7" x14ac:dyDescent="0.25">
      <c r="B26" s="288"/>
      <c r="C26" s="288"/>
      <c r="D26" s="288"/>
      <c r="E26" s="288"/>
      <c r="F26" s="288"/>
      <c r="G26" s="288"/>
    </row>
    <row r="27" spans="1:7" x14ac:dyDescent="0.25">
      <c r="A27" s="290" t="s">
        <v>1273</v>
      </c>
      <c r="D27" s="288" t="s">
        <v>1361</v>
      </c>
      <c r="F27" s="288"/>
      <c r="G27" s="288"/>
    </row>
    <row r="28" spans="1:7" x14ac:dyDescent="0.25">
      <c r="A28" s="288" t="s">
        <v>1360</v>
      </c>
      <c r="B28" s="300">
        <v>6</v>
      </c>
      <c r="C28" s="288">
        <f>B28*B29</f>
        <v>41.76</v>
      </c>
      <c r="D28" s="288">
        <v>0.14000000000000001</v>
      </c>
      <c r="E28" s="288">
        <f>D28*B28</f>
        <v>0.84000000000000008</v>
      </c>
      <c r="F28" s="288"/>
      <c r="G28" s="288"/>
    </row>
    <row r="29" spans="1:7" x14ac:dyDescent="0.25">
      <c r="A29" s="288"/>
      <c r="B29" s="288">
        <f>29*0.24</f>
        <v>6.96</v>
      </c>
      <c r="C29" s="288"/>
      <c r="D29" s="288"/>
      <c r="E29" s="288"/>
      <c r="F29" s="288"/>
      <c r="G29" s="288"/>
    </row>
    <row r="30" spans="1:7" x14ac:dyDescent="0.25">
      <c r="A30" s="288" t="s">
        <v>1002</v>
      </c>
      <c r="B30" s="288">
        <f>7*5.42</f>
        <v>37.94</v>
      </c>
      <c r="C30" s="288">
        <f>B30*B28</f>
        <v>227.64</v>
      </c>
      <c r="D30" s="288"/>
      <c r="E30" s="288"/>
      <c r="F30" s="288"/>
      <c r="G30" s="288"/>
    </row>
    <row r="31" spans="1:7" x14ac:dyDescent="0.25">
      <c r="A31" s="288" t="s">
        <v>1362</v>
      </c>
      <c r="B31" s="300">
        <v>3</v>
      </c>
      <c r="C31" s="288">
        <f>B31*B32</f>
        <v>23.04</v>
      </c>
      <c r="D31" s="288">
        <v>0.16</v>
      </c>
      <c r="E31" s="288">
        <f>D31*B31</f>
        <v>0.48</v>
      </c>
      <c r="F31" s="288"/>
      <c r="G31" s="288"/>
    </row>
    <row r="32" spans="1:7" x14ac:dyDescent="0.25">
      <c r="B32" s="288">
        <f>32*0.24</f>
        <v>7.68</v>
      </c>
      <c r="C32" s="288"/>
      <c r="D32" s="288"/>
      <c r="E32" s="288"/>
      <c r="F32" s="288"/>
      <c r="G32" s="288"/>
    </row>
    <row r="33" spans="1:7" x14ac:dyDescent="0.25">
      <c r="A33" s="288" t="s">
        <v>1002</v>
      </c>
      <c r="B33" s="288">
        <f>7*5.42</f>
        <v>37.94</v>
      </c>
      <c r="C33" s="288">
        <f>B33*B31</f>
        <v>113.82</v>
      </c>
      <c r="D33" s="288"/>
      <c r="E33" s="288"/>
      <c r="F33" s="288"/>
      <c r="G33" s="288"/>
    </row>
    <row r="34" spans="1:7" x14ac:dyDescent="0.25">
      <c r="A34" s="288" t="s">
        <v>1364</v>
      </c>
      <c r="B34" s="300">
        <v>6</v>
      </c>
      <c r="C34" s="288">
        <f>B34*B35</f>
        <v>6.84</v>
      </c>
      <c r="D34" s="288">
        <v>0.16</v>
      </c>
      <c r="E34" s="288">
        <f>D34*B34</f>
        <v>0.96</v>
      </c>
      <c r="F34" s="288"/>
      <c r="G34" s="288"/>
    </row>
    <row r="35" spans="1:7" x14ac:dyDescent="0.25">
      <c r="B35" s="288">
        <f>38*0.03</f>
        <v>1.1399999999999999</v>
      </c>
      <c r="C35" s="288"/>
      <c r="D35" s="288"/>
      <c r="E35" s="288"/>
      <c r="F35" s="288"/>
      <c r="G35" s="288"/>
    </row>
    <row r="36" spans="1:7" x14ac:dyDescent="0.25">
      <c r="A36" s="288" t="s">
        <v>1359</v>
      </c>
      <c r="B36" s="288">
        <f>2*11.13</f>
        <v>22.26</v>
      </c>
      <c r="C36" s="288">
        <f>B36*B34</f>
        <v>133.56</v>
      </c>
      <c r="D36" s="288"/>
      <c r="E36" s="288"/>
      <c r="F36" s="288"/>
      <c r="G36" s="288"/>
    </row>
    <row r="37" spans="1:7" x14ac:dyDescent="0.25">
      <c r="A37" s="288" t="s">
        <v>1365</v>
      </c>
      <c r="B37" s="300">
        <v>3</v>
      </c>
      <c r="C37" s="288">
        <f>B37*B38</f>
        <v>3.06</v>
      </c>
      <c r="D37" s="288">
        <v>0.14000000000000001</v>
      </c>
      <c r="E37" s="288">
        <f>D37*B37</f>
        <v>0.42000000000000004</v>
      </c>
      <c r="F37" s="288"/>
      <c r="G37" s="288"/>
    </row>
    <row r="38" spans="1:7" x14ac:dyDescent="0.25">
      <c r="B38" s="288">
        <f>34*0.03</f>
        <v>1.02</v>
      </c>
      <c r="C38" s="288"/>
      <c r="D38" s="288"/>
      <c r="E38" s="288"/>
      <c r="F38" s="288"/>
      <c r="G38" s="288"/>
    </row>
    <row r="39" spans="1:7" x14ac:dyDescent="0.25">
      <c r="A39" s="288" t="s">
        <v>1363</v>
      </c>
      <c r="B39" s="288">
        <f>2*10.09</f>
        <v>20.18</v>
      </c>
      <c r="C39" s="288">
        <f>B39*B37</f>
        <v>60.54</v>
      </c>
      <c r="D39" s="288"/>
      <c r="E39" s="288"/>
      <c r="F39" s="288"/>
      <c r="G39" s="288"/>
    </row>
    <row r="40" spans="1:7" x14ac:dyDescent="0.25">
      <c r="A40" s="288" t="s">
        <v>1366</v>
      </c>
      <c r="B40" s="300">
        <v>3</v>
      </c>
      <c r="C40" s="288">
        <f>B40*B41</f>
        <v>2.6999999999999997</v>
      </c>
      <c r="D40" s="288">
        <v>0.13</v>
      </c>
      <c r="E40" s="288">
        <f>D40*B40</f>
        <v>0.39</v>
      </c>
    </row>
    <row r="41" spans="1:7" x14ac:dyDescent="0.25">
      <c r="B41" s="288">
        <f>30*0.03</f>
        <v>0.89999999999999991</v>
      </c>
      <c r="C41" s="288"/>
      <c r="D41" s="288"/>
      <c r="E41" s="288"/>
    </row>
    <row r="42" spans="1:7" x14ac:dyDescent="0.25">
      <c r="A42" s="288" t="s">
        <v>1372</v>
      </c>
      <c r="B42" s="288">
        <f>2*9.08</f>
        <v>18.16</v>
      </c>
      <c r="C42" s="288">
        <f>B42*B40</f>
        <v>54.480000000000004</v>
      </c>
      <c r="D42" s="288"/>
      <c r="E42" s="288"/>
    </row>
    <row r="43" spans="1:7" x14ac:dyDescent="0.25">
      <c r="A43" s="288" t="s">
        <v>1367</v>
      </c>
      <c r="B43" s="300">
        <v>3</v>
      </c>
      <c r="C43" s="288">
        <f>B43*B44</f>
        <v>2.16</v>
      </c>
      <c r="D43" s="288">
        <v>0.1</v>
      </c>
      <c r="E43" s="288">
        <f>D43*B43</f>
        <v>0.30000000000000004</v>
      </c>
    </row>
    <row r="44" spans="1:7" x14ac:dyDescent="0.25">
      <c r="B44" s="288">
        <f>24*0.03</f>
        <v>0.72</v>
      </c>
      <c r="C44" s="288"/>
      <c r="D44" s="288"/>
      <c r="E44" s="288"/>
    </row>
    <row r="45" spans="1:7" x14ac:dyDescent="0.25">
      <c r="A45" s="288" t="s">
        <v>1373</v>
      </c>
      <c r="B45" s="288">
        <f>2*7.4</f>
        <v>14.8</v>
      </c>
      <c r="C45" s="288">
        <f>B45*B43</f>
        <v>44.400000000000006</v>
      </c>
      <c r="D45" s="288"/>
      <c r="E45" s="288"/>
    </row>
    <row r="46" spans="1:7" x14ac:dyDescent="0.25">
      <c r="A46" s="288" t="s">
        <v>1368</v>
      </c>
      <c r="B46" s="300">
        <v>3</v>
      </c>
      <c r="C46" s="288">
        <f>B46*B47</f>
        <v>1.26</v>
      </c>
      <c r="D46" s="288">
        <v>0.06</v>
      </c>
      <c r="E46" s="288">
        <f>D46*B46</f>
        <v>0.18</v>
      </c>
    </row>
    <row r="47" spans="1:7" x14ac:dyDescent="0.25">
      <c r="B47" s="288">
        <f>14*0.03</f>
        <v>0.42</v>
      </c>
      <c r="C47" s="288"/>
      <c r="D47" s="288"/>
      <c r="E47" s="288"/>
    </row>
    <row r="48" spans="1:7" x14ac:dyDescent="0.25">
      <c r="A48" s="288" t="s">
        <v>1374</v>
      </c>
      <c r="B48" s="288">
        <f>2*4.32</f>
        <v>8.64</v>
      </c>
      <c r="C48" s="288">
        <f>B48*B46</f>
        <v>25.92</v>
      </c>
      <c r="D48" s="288"/>
      <c r="E48" s="288"/>
    </row>
    <row r="49" spans="1:5" x14ac:dyDescent="0.25">
      <c r="A49" s="288" t="s">
        <v>1369</v>
      </c>
      <c r="B49" s="300">
        <v>3</v>
      </c>
      <c r="C49" s="288">
        <f>B49*B50</f>
        <v>26.880000000000003</v>
      </c>
      <c r="D49" s="288">
        <v>0.26</v>
      </c>
      <c r="E49" s="288">
        <f>D49*B49</f>
        <v>0.78</v>
      </c>
    </row>
    <row r="50" spans="1:5" x14ac:dyDescent="0.25">
      <c r="B50" s="288">
        <f>32*0.28</f>
        <v>8.9600000000000009</v>
      </c>
      <c r="C50" s="288"/>
      <c r="D50" s="288"/>
      <c r="E50" s="288"/>
    </row>
    <row r="51" spans="1:5" x14ac:dyDescent="0.25">
      <c r="A51" s="288" t="s">
        <v>1003</v>
      </c>
      <c r="B51" s="288">
        <f>7*6.01</f>
        <v>42.07</v>
      </c>
      <c r="C51" s="288">
        <f>B51*B49</f>
        <v>126.21000000000001</v>
      </c>
      <c r="D51" s="288"/>
      <c r="E51" s="288"/>
    </row>
    <row r="52" spans="1:5" x14ac:dyDescent="0.25">
      <c r="A52" s="288"/>
      <c r="B52" s="288"/>
      <c r="C52" s="434">
        <f>SUM(C28:C50)</f>
        <v>768.05999999999983</v>
      </c>
      <c r="D52" s="288"/>
      <c r="E52" s="434">
        <f>SUM(E28:E50)</f>
        <v>4.3500000000000005</v>
      </c>
    </row>
    <row r="54" spans="1:5" x14ac:dyDescent="0.25">
      <c r="A54" s="623" t="s">
        <v>1274</v>
      </c>
      <c r="D54" s="288" t="s">
        <v>1361</v>
      </c>
    </row>
    <row r="55" spans="1:5" x14ac:dyDescent="0.25">
      <c r="A55" s="290" t="s">
        <v>1360</v>
      </c>
      <c r="B55" s="300">
        <v>12</v>
      </c>
      <c r="C55" s="288">
        <f>B55*B56</f>
        <v>15.120000000000001</v>
      </c>
      <c r="D55" s="288">
        <v>0.2</v>
      </c>
      <c r="E55" s="288">
        <f>D55*B55</f>
        <v>2.4000000000000004</v>
      </c>
    </row>
    <row r="56" spans="1:5" x14ac:dyDescent="0.25">
      <c r="A56" s="288"/>
      <c r="B56" s="288">
        <f>42*0.03</f>
        <v>1.26</v>
      </c>
      <c r="C56" s="288"/>
      <c r="D56" s="288"/>
      <c r="E56" s="288"/>
    </row>
    <row r="57" spans="1:5" x14ac:dyDescent="0.25">
      <c r="A57" s="288" t="s">
        <v>1359</v>
      </c>
      <c r="B57" s="288">
        <f>2*12.6</f>
        <v>25.2</v>
      </c>
      <c r="C57" s="288">
        <f>B57*B55</f>
        <v>302.39999999999998</v>
      </c>
      <c r="D57" s="288"/>
      <c r="E57" s="288"/>
    </row>
    <row r="58" spans="1:5" x14ac:dyDescent="0.25">
      <c r="A58" s="290" t="s">
        <v>1362</v>
      </c>
      <c r="B58" s="300">
        <v>3</v>
      </c>
      <c r="C58" s="288">
        <f>B58*B59</f>
        <v>2.88</v>
      </c>
      <c r="D58" s="288">
        <v>0.16</v>
      </c>
      <c r="E58" s="288">
        <f>D58*B58</f>
        <v>0.48</v>
      </c>
    </row>
    <row r="59" spans="1:5" x14ac:dyDescent="0.25">
      <c r="B59" s="288">
        <f>32*0.03</f>
        <v>0.96</v>
      </c>
      <c r="C59" s="288"/>
      <c r="D59" s="288"/>
      <c r="E59" s="288"/>
    </row>
    <row r="60" spans="1:5" x14ac:dyDescent="0.25">
      <c r="A60" s="288" t="s">
        <v>1363</v>
      </c>
      <c r="B60" s="288">
        <f>2*9.6</f>
        <v>19.2</v>
      </c>
      <c r="C60" s="288">
        <f>B60*B58</f>
        <v>57.599999999999994</v>
      </c>
      <c r="D60" s="288"/>
      <c r="E60" s="288"/>
    </row>
    <row r="61" spans="1:5" x14ac:dyDescent="0.25">
      <c r="A61" s="290" t="s">
        <v>1364</v>
      </c>
      <c r="B61" s="300">
        <v>3</v>
      </c>
      <c r="C61" s="288">
        <f>B61*B62</f>
        <v>8.25</v>
      </c>
      <c r="D61" s="288">
        <v>0.3</v>
      </c>
      <c r="E61" s="288">
        <f>D61*B61</f>
        <v>0.89999999999999991</v>
      </c>
    </row>
    <row r="62" spans="1:5" x14ac:dyDescent="0.25">
      <c r="B62" s="288">
        <f>25*0.11</f>
        <v>2.75</v>
      </c>
      <c r="C62" s="288"/>
      <c r="D62" s="288"/>
      <c r="E62" s="288"/>
    </row>
    <row r="63" spans="1:5" x14ac:dyDescent="0.25">
      <c r="A63" s="288" t="s">
        <v>1374</v>
      </c>
      <c r="B63" s="288">
        <f>2*14.72</f>
        <v>29.44</v>
      </c>
      <c r="C63" s="288">
        <f>B63*B61</f>
        <v>88.320000000000007</v>
      </c>
      <c r="D63" s="288"/>
      <c r="E63" s="288"/>
    </row>
    <row r="64" spans="1:5" x14ac:dyDescent="0.25">
      <c r="A64" s="290" t="s">
        <v>1365</v>
      </c>
      <c r="B64" s="300">
        <v>6</v>
      </c>
      <c r="C64" s="288">
        <f>B64*B65</f>
        <v>13.86</v>
      </c>
      <c r="D64" s="288">
        <v>0.38</v>
      </c>
      <c r="E64" s="288">
        <f>D64*B64</f>
        <v>2.2800000000000002</v>
      </c>
    </row>
    <row r="65" spans="1:5" x14ac:dyDescent="0.25">
      <c r="B65" s="288">
        <f>21*0.11</f>
        <v>2.31</v>
      </c>
      <c r="C65" s="288"/>
      <c r="D65" s="288"/>
      <c r="E65" s="288"/>
    </row>
    <row r="66" spans="1:5" x14ac:dyDescent="0.25">
      <c r="A66" s="288" t="s">
        <v>1397</v>
      </c>
      <c r="B66" s="288">
        <f>2*12.25</f>
        <v>24.5</v>
      </c>
      <c r="C66" s="288">
        <f>B66*B64</f>
        <v>147</v>
      </c>
      <c r="D66" s="288"/>
      <c r="E66" s="288"/>
    </row>
    <row r="67" spans="1:5" x14ac:dyDescent="0.25">
      <c r="A67" s="290" t="s">
        <v>1366</v>
      </c>
      <c r="B67" s="300">
        <v>3</v>
      </c>
      <c r="C67" s="288">
        <f>B67*B68</f>
        <v>2.6999999999999997</v>
      </c>
      <c r="D67" s="288">
        <v>0.15</v>
      </c>
      <c r="E67" s="288">
        <f>D67*B67</f>
        <v>0.44999999999999996</v>
      </c>
    </row>
    <row r="68" spans="1:5" x14ac:dyDescent="0.25">
      <c r="B68" s="288">
        <f>30*0.03</f>
        <v>0.89999999999999991</v>
      </c>
      <c r="C68" s="288"/>
      <c r="D68" s="288"/>
      <c r="E68" s="288"/>
    </row>
    <row r="69" spans="1:5" x14ac:dyDescent="0.25">
      <c r="A69" s="288" t="s">
        <v>1372</v>
      </c>
      <c r="B69" s="288">
        <f>2*9.11</f>
        <v>18.22</v>
      </c>
      <c r="C69" s="288">
        <f>B69*B67</f>
        <v>54.66</v>
      </c>
      <c r="D69" s="288"/>
      <c r="E69" s="288"/>
    </row>
    <row r="70" spans="1:5" x14ac:dyDescent="0.25">
      <c r="A70" s="290" t="s">
        <v>1367</v>
      </c>
      <c r="B70" s="300">
        <v>3</v>
      </c>
      <c r="C70" s="288">
        <f>B70*B71</f>
        <v>3.06</v>
      </c>
      <c r="D70" s="288">
        <v>0.16</v>
      </c>
      <c r="E70" s="288">
        <f>D70*B70</f>
        <v>0.48</v>
      </c>
    </row>
    <row r="71" spans="1:5" x14ac:dyDescent="0.25">
      <c r="B71" s="288">
        <f>34*0.03</f>
        <v>1.02</v>
      </c>
      <c r="C71" s="288"/>
      <c r="D71" s="288"/>
      <c r="E71" s="288"/>
    </row>
    <row r="72" spans="1:5" x14ac:dyDescent="0.25">
      <c r="A72" s="288" t="s">
        <v>1373</v>
      </c>
      <c r="B72" s="288">
        <f>2*10.13</f>
        <v>20.260000000000002</v>
      </c>
      <c r="C72" s="288">
        <f>B72*B70</f>
        <v>60.78</v>
      </c>
      <c r="D72" s="288"/>
      <c r="E72" s="288"/>
    </row>
    <row r="73" spans="1:5" x14ac:dyDescent="0.25">
      <c r="A73" s="290" t="s">
        <v>1368</v>
      </c>
      <c r="B73" s="300">
        <v>3</v>
      </c>
      <c r="C73" s="288">
        <f>B73*B74</f>
        <v>882</v>
      </c>
      <c r="D73" s="288">
        <v>1.28</v>
      </c>
      <c r="E73" s="288">
        <f>D73*B73</f>
        <v>3.84</v>
      </c>
    </row>
    <row r="74" spans="1:5" x14ac:dyDescent="0.25">
      <c r="B74" s="288">
        <f>2*147</f>
        <v>294</v>
      </c>
      <c r="C74" s="288"/>
      <c r="D74" s="288"/>
      <c r="E74" s="288"/>
    </row>
    <row r="75" spans="1:5" x14ac:dyDescent="0.25">
      <c r="A75" s="288" t="s">
        <v>1002</v>
      </c>
      <c r="B75" s="288">
        <f>6*10.12</f>
        <v>60.72</v>
      </c>
      <c r="C75" s="288">
        <f>B75*B73</f>
        <v>182.16</v>
      </c>
      <c r="D75" s="288"/>
      <c r="E75" s="288"/>
    </row>
    <row r="76" spans="1:5" x14ac:dyDescent="0.25">
      <c r="A76" s="288" t="s">
        <v>1003</v>
      </c>
      <c r="B76" s="288">
        <f>12*0.99</f>
        <v>11.879999999999999</v>
      </c>
      <c r="C76" s="288">
        <f>B76*B73</f>
        <v>35.64</v>
      </c>
      <c r="D76" s="288"/>
      <c r="E76" s="288"/>
    </row>
    <row r="77" spans="1:5" x14ac:dyDescent="0.25">
      <c r="A77" s="290" t="s">
        <v>1369</v>
      </c>
      <c r="B77" s="300">
        <v>1</v>
      </c>
      <c r="C77" s="288">
        <f>B77*B78</f>
        <v>183.70000000000002</v>
      </c>
      <c r="D77" s="288">
        <v>0.31</v>
      </c>
      <c r="E77" s="288">
        <f>D77*B77</f>
        <v>0.31</v>
      </c>
    </row>
    <row r="78" spans="1:5" x14ac:dyDescent="0.25">
      <c r="B78" s="288">
        <f>2*79.68+8*1.32+10*0.93+8*0.56</f>
        <v>183.70000000000002</v>
      </c>
      <c r="C78" s="288"/>
      <c r="D78" s="288"/>
      <c r="E78" s="288"/>
    </row>
    <row r="79" spans="1:5" x14ac:dyDescent="0.25">
      <c r="A79" s="288" t="s">
        <v>1002</v>
      </c>
      <c r="B79" s="288">
        <f>2*1.39</f>
        <v>2.78</v>
      </c>
      <c r="C79" s="288">
        <f>B79*B77</f>
        <v>2.78</v>
      </c>
      <c r="D79" s="288"/>
      <c r="E79" s="288"/>
    </row>
    <row r="80" spans="1:5" x14ac:dyDescent="0.25">
      <c r="A80" s="288"/>
      <c r="B80" s="288"/>
      <c r="C80" s="624">
        <f>SUM(C55:C79)</f>
        <v>2042.9100000000003</v>
      </c>
      <c r="D80" s="288"/>
      <c r="E80" s="624">
        <f>SUM(E55:E78)</f>
        <v>11.14</v>
      </c>
    </row>
    <row r="82" spans="1:5" x14ac:dyDescent="0.25">
      <c r="A82" s="629" t="s">
        <v>1275</v>
      </c>
      <c r="D82" s="288" t="s">
        <v>1361</v>
      </c>
    </row>
    <row r="83" spans="1:5" x14ac:dyDescent="0.25">
      <c r="A83" s="290" t="s">
        <v>1360</v>
      </c>
      <c r="B83" s="300">
        <v>6</v>
      </c>
      <c r="C83" s="288">
        <f>B83*B84</f>
        <v>6.84</v>
      </c>
      <c r="D83" s="288">
        <v>0.16</v>
      </c>
      <c r="E83" s="288">
        <f>D83*B83</f>
        <v>0.96</v>
      </c>
    </row>
    <row r="84" spans="1:5" x14ac:dyDescent="0.25">
      <c r="A84" s="288"/>
      <c r="B84" s="288">
        <f>38*0.03</f>
        <v>1.1399999999999999</v>
      </c>
      <c r="C84" s="288"/>
      <c r="D84" s="288"/>
      <c r="E84" s="288"/>
    </row>
    <row r="85" spans="1:5" x14ac:dyDescent="0.25">
      <c r="A85" s="288" t="s">
        <v>1363</v>
      </c>
      <c r="B85" s="288">
        <f>2*11.63</f>
        <v>23.26</v>
      </c>
      <c r="C85" s="288">
        <f>B85*B83</f>
        <v>139.56</v>
      </c>
      <c r="D85" s="288"/>
      <c r="E85" s="288"/>
    </row>
    <row r="86" spans="1:5" x14ac:dyDescent="0.25">
      <c r="A86" s="290" t="s">
        <v>1362</v>
      </c>
      <c r="B86" s="300">
        <v>6</v>
      </c>
      <c r="C86" s="288">
        <f>B86*B87</f>
        <v>5.28</v>
      </c>
      <c r="D86" s="288">
        <v>0.16</v>
      </c>
      <c r="E86" s="288">
        <f>D86*B86</f>
        <v>0.96</v>
      </c>
    </row>
    <row r="87" spans="1:5" x14ac:dyDescent="0.25">
      <c r="B87" s="288">
        <f>44*0.02</f>
        <v>0.88</v>
      </c>
      <c r="C87" s="288"/>
      <c r="D87" s="288"/>
      <c r="E87" s="288"/>
    </row>
    <row r="88" spans="1:5" x14ac:dyDescent="0.25">
      <c r="A88" s="288" t="s">
        <v>1359</v>
      </c>
      <c r="B88" s="288">
        <f>2*13.49</f>
        <v>26.98</v>
      </c>
      <c r="C88" s="288">
        <f>B88*B86</f>
        <v>161.88</v>
      </c>
      <c r="D88" s="288"/>
      <c r="E88" s="288"/>
    </row>
    <row r="89" spans="1:5" x14ac:dyDescent="0.25">
      <c r="A89" s="290" t="s">
        <v>1364</v>
      </c>
      <c r="B89" s="300">
        <v>3</v>
      </c>
      <c r="C89" s="288">
        <f>B89*B90</f>
        <v>3.5999999999999996</v>
      </c>
      <c r="D89" s="288">
        <v>0.18</v>
      </c>
      <c r="E89" s="288">
        <f>D89*B89</f>
        <v>0.54</v>
      </c>
    </row>
    <row r="90" spans="1:5" x14ac:dyDescent="0.25">
      <c r="B90" s="288">
        <f>40*0.03</f>
        <v>1.2</v>
      </c>
      <c r="C90" s="288"/>
      <c r="D90" s="288"/>
      <c r="E90" s="288"/>
    </row>
    <row r="91" spans="1:5" x14ac:dyDescent="0.25">
      <c r="A91" s="288" t="s">
        <v>1372</v>
      </c>
      <c r="B91" s="288">
        <f>2*12.25</f>
        <v>24.5</v>
      </c>
      <c r="C91" s="288">
        <f>B91*B89</f>
        <v>73.5</v>
      </c>
      <c r="D91" s="288"/>
      <c r="E91" s="288"/>
    </row>
    <row r="92" spans="1:5" x14ac:dyDescent="0.25">
      <c r="A92" s="290" t="s">
        <v>1365</v>
      </c>
      <c r="B92" s="300">
        <v>2</v>
      </c>
      <c r="C92" s="288">
        <f>B92*B93</f>
        <v>1.6199999999999999</v>
      </c>
      <c r="D92" s="288">
        <v>0.12</v>
      </c>
      <c r="E92" s="288">
        <f>D92*B92</f>
        <v>0.24</v>
      </c>
    </row>
    <row r="93" spans="1:5" x14ac:dyDescent="0.25">
      <c r="B93" s="288">
        <f>27*0.03</f>
        <v>0.80999999999999994</v>
      </c>
      <c r="C93" s="288"/>
      <c r="D93" s="288"/>
      <c r="E93" s="288"/>
    </row>
    <row r="94" spans="1:5" x14ac:dyDescent="0.25">
      <c r="A94" s="288" t="s">
        <v>1373</v>
      </c>
      <c r="B94" s="288">
        <f>2*8.24</f>
        <v>16.48</v>
      </c>
      <c r="C94" s="288">
        <f>B94*B92</f>
        <v>32.96</v>
      </c>
      <c r="D94" s="288"/>
      <c r="E94" s="288"/>
    </row>
    <row r="95" spans="1:5" x14ac:dyDescent="0.25">
      <c r="A95" s="290" t="s">
        <v>1366</v>
      </c>
      <c r="B95" s="300">
        <v>1</v>
      </c>
      <c r="C95" s="288">
        <f>B95*B96</f>
        <v>0.78</v>
      </c>
      <c r="D95" s="288">
        <v>0.12</v>
      </c>
      <c r="E95" s="288">
        <f>D95*B95</f>
        <v>0.12</v>
      </c>
    </row>
    <row r="96" spans="1:5" x14ac:dyDescent="0.25">
      <c r="B96" s="288">
        <f>26*0.03</f>
        <v>0.78</v>
      </c>
      <c r="C96" s="288"/>
      <c r="D96" s="288"/>
      <c r="E96" s="288"/>
    </row>
    <row r="97" spans="1:5" x14ac:dyDescent="0.25">
      <c r="A97" s="288" t="s">
        <v>1374</v>
      </c>
      <c r="B97" s="288">
        <f>2*7.97</f>
        <v>15.94</v>
      </c>
      <c r="C97" s="288">
        <f>B97*B95</f>
        <v>15.94</v>
      </c>
      <c r="D97" s="288"/>
      <c r="E97" s="288"/>
    </row>
    <row r="98" spans="1:5" x14ac:dyDescent="0.25">
      <c r="A98" s="290" t="s">
        <v>1367</v>
      </c>
      <c r="B98" s="300">
        <v>0</v>
      </c>
      <c r="C98" s="288">
        <f>B98*B99</f>
        <v>0</v>
      </c>
      <c r="D98" s="288">
        <v>0.16</v>
      </c>
      <c r="E98" s="288">
        <f>D98*B98</f>
        <v>0</v>
      </c>
    </row>
    <row r="99" spans="1:5" x14ac:dyDescent="0.25">
      <c r="B99" s="288">
        <f>34*0.03</f>
        <v>1.02</v>
      </c>
      <c r="C99" s="288"/>
      <c r="D99" s="288"/>
      <c r="E99" s="288"/>
    </row>
    <row r="100" spans="1:5" x14ac:dyDescent="0.25">
      <c r="A100" s="288" t="s">
        <v>1373</v>
      </c>
      <c r="B100" s="288">
        <f>2*10.13</f>
        <v>20.260000000000002</v>
      </c>
      <c r="C100" s="288">
        <f>B100*B98</f>
        <v>0</v>
      </c>
      <c r="D100" s="288"/>
      <c r="E100" s="288"/>
    </row>
    <row r="101" spans="1:5" x14ac:dyDescent="0.25">
      <c r="A101" s="290" t="s">
        <v>1368</v>
      </c>
      <c r="B101" s="300">
        <v>0</v>
      </c>
      <c r="C101" s="288">
        <f>B101*B102</f>
        <v>0</v>
      </c>
      <c r="D101" s="288">
        <v>1.28</v>
      </c>
      <c r="E101" s="288">
        <f>D101*B101</f>
        <v>0</v>
      </c>
    </row>
    <row r="102" spans="1:5" x14ac:dyDescent="0.25">
      <c r="B102" s="288">
        <f>2*147</f>
        <v>294</v>
      </c>
      <c r="C102" s="288"/>
      <c r="D102" s="288"/>
      <c r="E102" s="288"/>
    </row>
    <row r="103" spans="1:5" x14ac:dyDescent="0.25">
      <c r="A103" s="288" t="s">
        <v>1002</v>
      </c>
      <c r="B103" s="288">
        <f>6*10.12</f>
        <v>60.72</v>
      </c>
      <c r="C103" s="288">
        <f>B103*B101</f>
        <v>0</v>
      </c>
      <c r="D103" s="288"/>
      <c r="E103" s="288"/>
    </row>
    <row r="104" spans="1:5" x14ac:dyDescent="0.25">
      <c r="A104" s="288" t="s">
        <v>1003</v>
      </c>
      <c r="B104" s="288">
        <f>12*0.99</f>
        <v>11.879999999999999</v>
      </c>
      <c r="C104" s="288">
        <f>B104*B101</f>
        <v>0</v>
      </c>
      <c r="D104" s="288"/>
      <c r="E104" s="288"/>
    </row>
    <row r="105" spans="1:5" x14ac:dyDescent="0.25">
      <c r="A105" s="290" t="s">
        <v>1369</v>
      </c>
      <c r="B105" s="300">
        <v>0</v>
      </c>
      <c r="C105" s="288">
        <f>B105*B106</f>
        <v>0</v>
      </c>
      <c r="D105" s="288">
        <v>0.31</v>
      </c>
      <c r="E105" s="288">
        <f>D105*B105</f>
        <v>0</v>
      </c>
    </row>
    <row r="106" spans="1:5" x14ac:dyDescent="0.25">
      <c r="B106" s="288">
        <f>2*79.68+8*1.32+10*0.93+8*0.56</f>
        <v>183.70000000000002</v>
      </c>
      <c r="C106" s="288"/>
      <c r="D106" s="288"/>
      <c r="E106" s="288"/>
    </row>
    <row r="107" spans="1:5" x14ac:dyDescent="0.25">
      <c r="A107" s="288" t="s">
        <v>1002</v>
      </c>
      <c r="B107" s="288">
        <f>2*1.39</f>
        <v>2.78</v>
      </c>
      <c r="C107" s="288">
        <f>B107*B105</f>
        <v>0</v>
      </c>
      <c r="D107" s="288"/>
      <c r="E107" s="288"/>
    </row>
    <row r="108" spans="1:5" x14ac:dyDescent="0.25">
      <c r="A108" s="288"/>
      <c r="B108" s="288"/>
      <c r="C108" s="630">
        <f>SUM(C83:C107)</f>
        <v>441.96</v>
      </c>
      <c r="D108" s="288"/>
      <c r="E108" s="630">
        <f>SUM(E83:E106)</f>
        <v>2.8200000000000003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7"/>
  <sheetViews>
    <sheetView topLeftCell="I31" workbookViewId="0">
      <selection activeCell="Y31" sqref="Y31"/>
    </sheetView>
  </sheetViews>
  <sheetFormatPr defaultColWidth="9" defaultRowHeight="13.8" x14ac:dyDescent="0.25"/>
  <cols>
    <col min="1" max="1" width="9" style="288"/>
    <col min="2" max="2" width="39.33203125" style="288" customWidth="1"/>
    <col min="3" max="6" width="9" style="288"/>
    <col min="7" max="7" width="24.88671875" style="288" customWidth="1"/>
    <col min="8" max="16384" width="9" style="288"/>
  </cols>
  <sheetData>
    <row r="1" spans="1:18" ht="14.4" thickBot="1" x14ac:dyDescent="0.3">
      <c r="G1" s="288" t="s">
        <v>1030</v>
      </c>
    </row>
    <row r="2" spans="1:18" ht="15" thickTop="1" thickBot="1" x14ac:dyDescent="0.3">
      <c r="A2" s="415" t="s">
        <v>917</v>
      </c>
      <c r="B2" s="416" t="s">
        <v>918</v>
      </c>
      <c r="C2" s="416" t="s">
        <v>919</v>
      </c>
      <c r="D2" s="417" t="s">
        <v>920</v>
      </c>
      <c r="F2" s="434"/>
      <c r="G2" s="434"/>
      <c r="H2" s="434"/>
      <c r="I2" s="434"/>
      <c r="J2" s="434"/>
      <c r="K2" s="411"/>
      <c r="L2" s="288" t="s">
        <v>1253</v>
      </c>
      <c r="M2" s="288">
        <v>0.83</v>
      </c>
      <c r="N2" s="288">
        <v>1.5</v>
      </c>
      <c r="O2" s="288">
        <v>62</v>
      </c>
      <c r="Q2" s="288">
        <f>M2*N2*O2</f>
        <v>77.19</v>
      </c>
    </row>
    <row r="3" spans="1:18" ht="14.4" thickTop="1" x14ac:dyDescent="0.25">
      <c r="A3" s="418"/>
      <c r="B3" s="419" t="s">
        <v>995</v>
      </c>
      <c r="C3" s="419"/>
      <c r="D3" s="420"/>
      <c r="F3" s="434" t="s">
        <v>917</v>
      </c>
      <c r="G3" s="434" t="s">
        <v>918</v>
      </c>
      <c r="H3" s="434" t="s">
        <v>919</v>
      </c>
      <c r="I3" s="434" t="s">
        <v>920</v>
      </c>
      <c r="J3" s="434"/>
      <c r="K3" s="411"/>
      <c r="L3" s="288" t="s">
        <v>1254</v>
      </c>
      <c r="M3" s="288">
        <v>1.57</v>
      </c>
      <c r="N3" s="288">
        <v>1.5</v>
      </c>
      <c r="O3" s="288">
        <v>51</v>
      </c>
      <c r="Q3" s="288">
        <f t="shared" ref="Q3:Q14" si="0">M3*N3*O3</f>
        <v>120.105</v>
      </c>
    </row>
    <row r="4" spans="1:18" x14ac:dyDescent="0.25">
      <c r="A4" s="421">
        <v>1</v>
      </c>
      <c r="B4" s="408" t="s">
        <v>1006</v>
      </c>
      <c r="C4" s="408" t="s">
        <v>14</v>
      </c>
      <c r="D4" s="422">
        <v>91.03</v>
      </c>
      <c r="F4" s="434"/>
      <c r="G4" s="434" t="s">
        <v>1029</v>
      </c>
      <c r="H4" s="434"/>
      <c r="I4" s="434"/>
      <c r="J4" s="434"/>
      <c r="K4" s="411"/>
      <c r="L4" s="288" t="s">
        <v>1260</v>
      </c>
      <c r="M4" s="288">
        <v>1.83</v>
      </c>
      <c r="N4" s="288">
        <v>1.5</v>
      </c>
      <c r="O4" s="288">
        <v>44</v>
      </c>
      <c r="Q4" s="288">
        <f t="shared" si="0"/>
        <v>120.78</v>
      </c>
    </row>
    <row r="5" spans="1:18" x14ac:dyDescent="0.25">
      <c r="A5" s="421">
        <v>2</v>
      </c>
      <c r="B5" s="408" t="s">
        <v>1007</v>
      </c>
      <c r="C5" s="408" t="s">
        <v>14</v>
      </c>
      <c r="D5" s="422">
        <v>7.97</v>
      </c>
      <c r="F5" s="434">
        <v>1</v>
      </c>
      <c r="G5" s="434" t="s">
        <v>1006</v>
      </c>
      <c r="H5" s="434" t="s">
        <v>14</v>
      </c>
      <c r="I5" s="434">
        <v>91.03</v>
      </c>
      <c r="J5" s="434"/>
      <c r="K5" s="411"/>
      <c r="L5" s="288" t="s">
        <v>1278</v>
      </c>
      <c r="M5" s="288">
        <v>1.31</v>
      </c>
      <c r="N5" s="288">
        <v>1.58</v>
      </c>
      <c r="O5" s="288">
        <v>8</v>
      </c>
      <c r="Q5" s="288">
        <f t="shared" si="0"/>
        <v>16.558400000000002</v>
      </c>
    </row>
    <row r="6" spans="1:18" x14ac:dyDescent="0.25">
      <c r="A6" s="421">
        <v>3</v>
      </c>
      <c r="B6" s="408" t="s">
        <v>1008</v>
      </c>
      <c r="C6" s="408" t="s">
        <v>14</v>
      </c>
      <c r="D6" s="422">
        <v>30.45</v>
      </c>
      <c r="F6" s="434">
        <v>2</v>
      </c>
      <c r="G6" s="434" t="s">
        <v>1007</v>
      </c>
      <c r="H6" s="434" t="s">
        <v>14</v>
      </c>
      <c r="I6" s="434">
        <v>7.97</v>
      </c>
      <c r="J6" s="434"/>
      <c r="K6" s="411"/>
      <c r="L6" s="288" t="s">
        <v>1279</v>
      </c>
      <c r="M6" s="288">
        <v>1.05</v>
      </c>
      <c r="N6" s="288">
        <v>1.5</v>
      </c>
      <c r="O6" s="288">
        <v>12</v>
      </c>
      <c r="Q6" s="288">
        <f t="shared" si="0"/>
        <v>18.900000000000002</v>
      </c>
    </row>
    <row r="7" spans="1:18" x14ac:dyDescent="0.25">
      <c r="A7" s="421">
        <v>4</v>
      </c>
      <c r="B7" s="408" t="s">
        <v>1009</v>
      </c>
      <c r="C7" s="408" t="s">
        <v>14</v>
      </c>
      <c r="D7" s="422">
        <v>38.340000000000003</v>
      </c>
      <c r="F7" s="434">
        <v>3</v>
      </c>
      <c r="G7" s="434" t="s">
        <v>1008</v>
      </c>
      <c r="H7" s="434" t="s">
        <v>14</v>
      </c>
      <c r="I7" s="434">
        <v>30.45</v>
      </c>
      <c r="J7" s="434"/>
      <c r="K7" s="411"/>
      <c r="L7" s="288" t="s">
        <v>1255</v>
      </c>
      <c r="M7" s="288">
        <v>0</v>
      </c>
      <c r="N7" s="288">
        <v>0</v>
      </c>
      <c r="O7" s="288">
        <v>0</v>
      </c>
      <c r="Q7" s="288">
        <f t="shared" si="0"/>
        <v>0</v>
      </c>
    </row>
    <row r="8" spans="1:18" x14ac:dyDescent="0.25">
      <c r="A8" s="418"/>
      <c r="B8" s="419" t="s">
        <v>1010</v>
      </c>
      <c r="C8" s="419"/>
      <c r="D8" s="420"/>
      <c r="F8" s="434">
        <v>4</v>
      </c>
      <c r="G8" s="434" t="s">
        <v>1009</v>
      </c>
      <c r="H8" s="434" t="s">
        <v>14</v>
      </c>
      <c r="I8" s="434">
        <v>38.340000000000003</v>
      </c>
      <c r="J8" s="434"/>
      <c r="K8" s="411"/>
      <c r="L8" s="288" t="s">
        <v>1257</v>
      </c>
      <c r="M8" s="288">
        <v>1.18</v>
      </c>
      <c r="N8" s="288">
        <v>1.5</v>
      </c>
      <c r="O8" s="288">
        <v>9</v>
      </c>
      <c r="Q8" s="288">
        <f t="shared" si="0"/>
        <v>15.93</v>
      </c>
    </row>
    <row r="9" spans="1:18" x14ac:dyDescent="0.25">
      <c r="A9" s="421">
        <v>1</v>
      </c>
      <c r="B9" s="408" t="s">
        <v>1006</v>
      </c>
      <c r="C9" s="408" t="s">
        <v>14</v>
      </c>
      <c r="D9" s="422">
        <v>68.290000000000006</v>
      </c>
      <c r="F9" s="434"/>
      <c r="G9" s="434" t="s">
        <v>956</v>
      </c>
      <c r="H9" s="434"/>
      <c r="I9" s="434"/>
      <c r="J9" s="434"/>
      <c r="K9" s="411"/>
      <c r="L9" s="288" t="s">
        <v>1280</v>
      </c>
      <c r="M9" s="288">
        <v>0.92</v>
      </c>
      <c r="N9" s="288">
        <v>1.5</v>
      </c>
      <c r="O9" s="288">
        <v>4</v>
      </c>
      <c r="Q9" s="288">
        <f t="shared" si="0"/>
        <v>5.5200000000000005</v>
      </c>
    </row>
    <row r="10" spans="1:18" x14ac:dyDescent="0.25">
      <c r="A10" s="421">
        <v>2</v>
      </c>
      <c r="B10" s="408" t="s">
        <v>1007</v>
      </c>
      <c r="C10" s="408" t="s">
        <v>14</v>
      </c>
      <c r="D10" s="422">
        <v>11.27</v>
      </c>
      <c r="F10" s="434">
        <v>1</v>
      </c>
      <c r="G10" s="434" t="s">
        <v>1006</v>
      </c>
      <c r="H10" s="434" t="s">
        <v>14</v>
      </c>
      <c r="I10" s="434">
        <v>65.53</v>
      </c>
      <c r="J10" s="434"/>
      <c r="K10" s="411"/>
      <c r="L10" s="288" t="s">
        <v>1258</v>
      </c>
      <c r="M10" s="288">
        <v>0.92</v>
      </c>
      <c r="N10" s="288">
        <v>1.8</v>
      </c>
      <c r="O10" s="288">
        <v>1</v>
      </c>
      <c r="Q10" s="288">
        <f t="shared" si="0"/>
        <v>1.6560000000000001</v>
      </c>
    </row>
    <row r="11" spans="1:18" x14ac:dyDescent="0.25">
      <c r="A11" s="421">
        <v>3</v>
      </c>
      <c r="B11" s="408" t="s">
        <v>1008</v>
      </c>
      <c r="C11" s="408" t="s">
        <v>14</v>
      </c>
      <c r="D11" s="422">
        <v>7.5</v>
      </c>
      <c r="F11" s="434">
        <v>2</v>
      </c>
      <c r="G11" s="434" t="s">
        <v>1007</v>
      </c>
      <c r="H11" s="434" t="s">
        <v>14</v>
      </c>
      <c r="I11" s="434">
        <v>11.27</v>
      </c>
      <c r="J11" s="434"/>
      <c r="K11" s="411"/>
      <c r="L11" s="288" t="s">
        <v>1281</v>
      </c>
      <c r="M11" s="288">
        <v>1.57</v>
      </c>
      <c r="N11" s="288">
        <v>1.8</v>
      </c>
      <c r="O11" s="288">
        <v>1</v>
      </c>
      <c r="Q11" s="288">
        <f t="shared" si="0"/>
        <v>2.8260000000000001</v>
      </c>
    </row>
    <row r="12" spans="1:18" x14ac:dyDescent="0.25">
      <c r="A12" s="421">
        <v>4</v>
      </c>
      <c r="B12" s="408" t="s">
        <v>1009</v>
      </c>
      <c r="C12" s="408" t="s">
        <v>14</v>
      </c>
      <c r="D12" s="422">
        <v>9.3000000000000007</v>
      </c>
      <c r="F12" s="434">
        <v>3</v>
      </c>
      <c r="G12" s="434" t="s">
        <v>1008</v>
      </c>
      <c r="H12" s="434" t="s">
        <v>14</v>
      </c>
      <c r="I12" s="434">
        <v>7.5</v>
      </c>
      <c r="J12" s="434"/>
      <c r="K12" s="411"/>
      <c r="L12" s="288" t="s">
        <v>1282</v>
      </c>
      <c r="M12" s="288">
        <v>1.83</v>
      </c>
      <c r="N12" s="288">
        <v>1.8</v>
      </c>
      <c r="O12" s="288">
        <v>1</v>
      </c>
      <c r="Q12" s="288">
        <f t="shared" si="0"/>
        <v>3.294</v>
      </c>
    </row>
    <row r="13" spans="1:18" x14ac:dyDescent="0.25">
      <c r="A13" s="418"/>
      <c r="B13" s="419" t="s">
        <v>1011</v>
      </c>
      <c r="C13" s="419"/>
      <c r="D13" s="420"/>
      <c r="F13" s="434">
        <v>4</v>
      </c>
      <c r="G13" s="434" t="s">
        <v>1009</v>
      </c>
      <c r="H13" s="434" t="s">
        <v>14</v>
      </c>
      <c r="I13" s="434">
        <v>9.3000000000000007</v>
      </c>
      <c r="J13" s="434"/>
      <c r="K13" s="411"/>
      <c r="L13" s="288" t="s">
        <v>1252</v>
      </c>
      <c r="M13" s="288">
        <v>0.74</v>
      </c>
      <c r="N13" s="288">
        <v>2.3199999999999998</v>
      </c>
      <c r="O13" s="288">
        <f>18+44</f>
        <v>62</v>
      </c>
      <c r="Q13" s="288">
        <f>M13*N13*O13</f>
        <v>106.44159999999999</v>
      </c>
    </row>
    <row r="14" spans="1:18" x14ac:dyDescent="0.25">
      <c r="A14" s="418"/>
      <c r="B14" s="419"/>
      <c r="C14" s="419"/>
      <c r="D14" s="420"/>
      <c r="F14" s="434"/>
      <c r="G14" s="434"/>
      <c r="H14" s="434"/>
      <c r="I14" s="434"/>
      <c r="J14" s="434"/>
      <c r="K14" s="411"/>
      <c r="L14" s="288" t="s">
        <v>1256</v>
      </c>
      <c r="M14" s="288">
        <v>1.18</v>
      </c>
      <c r="N14" s="288">
        <v>2.35</v>
      </c>
      <c r="O14" s="288">
        <f>15+9</f>
        <v>24</v>
      </c>
      <c r="Q14" s="288">
        <f t="shared" si="0"/>
        <v>66.552000000000007</v>
      </c>
    </row>
    <row r="15" spans="1:18" ht="14.4" thickBot="1" x14ac:dyDescent="0.3">
      <c r="A15" s="418"/>
      <c r="B15" s="419"/>
      <c r="C15" s="419"/>
      <c r="D15" s="420"/>
      <c r="F15" s="434"/>
      <c r="G15" s="434"/>
      <c r="H15" s="434"/>
      <c r="I15" s="434"/>
      <c r="J15" s="434"/>
      <c r="K15" s="411"/>
    </row>
    <row r="16" spans="1:18" ht="14.4" thickBot="1" x14ac:dyDescent="0.3">
      <c r="A16" s="418"/>
      <c r="B16" s="419"/>
      <c r="C16" s="419"/>
      <c r="D16" s="420"/>
      <c r="F16" s="434"/>
      <c r="G16" s="434"/>
      <c r="H16" s="434"/>
      <c r="I16" s="434"/>
      <c r="J16" s="434"/>
      <c r="K16" s="411"/>
      <c r="L16" s="288" t="s">
        <v>661</v>
      </c>
      <c r="Q16" s="435">
        <f>SUM(Q2:Q14)</f>
        <v>555.75300000000004</v>
      </c>
      <c r="R16" s="530">
        <f>Q16*0.38</f>
        <v>211.18614000000002</v>
      </c>
    </row>
    <row r="17" spans="1:24" x14ac:dyDescent="0.25">
      <c r="A17" s="418"/>
      <c r="B17" s="419"/>
      <c r="C17" s="419"/>
      <c r="D17" s="420"/>
      <c r="F17" s="434"/>
      <c r="G17" s="434"/>
      <c r="H17" s="434"/>
      <c r="I17" s="434"/>
      <c r="J17" s="434"/>
      <c r="K17" s="411"/>
    </row>
    <row r="18" spans="1:24" x14ac:dyDescent="0.25">
      <c r="A18" s="418"/>
      <c r="B18" s="419"/>
      <c r="C18" s="419"/>
      <c r="D18" s="420"/>
      <c r="F18" s="434"/>
      <c r="G18" s="434"/>
      <c r="H18" s="434"/>
      <c r="I18" s="434"/>
      <c r="J18" s="434"/>
      <c r="K18" s="411"/>
    </row>
    <row r="19" spans="1:24" x14ac:dyDescent="0.25">
      <c r="A19" s="418"/>
      <c r="B19" s="419"/>
      <c r="C19" s="419"/>
      <c r="D19" s="420"/>
      <c r="F19" s="434"/>
      <c r="G19" s="434"/>
      <c r="H19" s="434"/>
      <c r="I19" s="434"/>
      <c r="J19" s="434"/>
      <c r="K19" s="411"/>
    </row>
    <row r="20" spans="1:24" x14ac:dyDescent="0.25">
      <c r="A20" s="418"/>
      <c r="B20" s="419"/>
      <c r="C20" s="419"/>
      <c r="D20" s="420"/>
      <c r="F20" s="434"/>
      <c r="G20" s="434"/>
      <c r="H20" s="434"/>
      <c r="I20" s="434"/>
      <c r="J20" s="434"/>
      <c r="K20" s="411"/>
    </row>
    <row r="21" spans="1:24" x14ac:dyDescent="0.25">
      <c r="A21" s="421">
        <v>1</v>
      </c>
      <c r="B21" s="408" t="s">
        <v>1006</v>
      </c>
      <c r="C21" s="408" t="s">
        <v>14</v>
      </c>
      <c r="D21" s="422">
        <v>68.290000000000006</v>
      </c>
      <c r="F21" s="434"/>
      <c r="G21" s="434" t="s">
        <v>961</v>
      </c>
      <c r="H21" s="434"/>
      <c r="I21" s="434"/>
      <c r="J21" s="434"/>
      <c r="K21" s="411"/>
    </row>
    <row r="22" spans="1:24" x14ac:dyDescent="0.25">
      <c r="A22" s="421">
        <v>2</v>
      </c>
      <c r="B22" s="408" t="s">
        <v>1007</v>
      </c>
      <c r="C22" s="408" t="s">
        <v>14</v>
      </c>
      <c r="D22" s="422">
        <v>11.27</v>
      </c>
      <c r="F22" s="434">
        <v>1</v>
      </c>
      <c r="G22" s="434" t="s">
        <v>1006</v>
      </c>
      <c r="H22" s="434" t="s">
        <v>14</v>
      </c>
      <c r="I22" s="434">
        <v>65.53</v>
      </c>
      <c r="J22" s="434"/>
      <c r="K22" s="411"/>
    </row>
    <row r="23" spans="1:24" ht="14.4" thickBot="1" x14ac:dyDescent="0.3">
      <c r="A23" s="421">
        <v>3</v>
      </c>
      <c r="B23" s="408" t="s">
        <v>1008</v>
      </c>
      <c r="C23" s="408" t="s">
        <v>14</v>
      </c>
      <c r="D23" s="422">
        <v>7.5</v>
      </c>
      <c r="F23" s="434">
        <v>2</v>
      </c>
      <c r="G23" s="434" t="s">
        <v>1007</v>
      </c>
      <c r="H23" s="434" t="s">
        <v>14</v>
      </c>
      <c r="I23" s="434">
        <v>11.27</v>
      </c>
      <c r="J23" s="434"/>
      <c r="K23" s="411"/>
    </row>
    <row r="24" spans="1:24" ht="14.4" thickBot="1" x14ac:dyDescent="0.3">
      <c r="A24" s="421">
        <v>4</v>
      </c>
      <c r="B24" s="408" t="s">
        <v>1009</v>
      </c>
      <c r="C24" s="408" t="s">
        <v>14</v>
      </c>
      <c r="D24" s="422">
        <v>9.3000000000000007</v>
      </c>
      <c r="F24" s="434">
        <v>3</v>
      </c>
      <c r="G24" s="434" t="s">
        <v>1008</v>
      </c>
      <c r="H24" s="434" t="s">
        <v>14</v>
      </c>
      <c r="I24" s="434">
        <v>7.5</v>
      </c>
      <c r="J24" s="434"/>
      <c r="K24" s="411"/>
      <c r="L24" s="288" t="s">
        <v>1248</v>
      </c>
      <c r="R24" s="530">
        <f>Q33+Q45+Q54+Q63</f>
        <v>84.727440000000001</v>
      </c>
      <c r="T24" s="288" t="s">
        <v>661</v>
      </c>
      <c r="V24" s="288" t="s">
        <v>1429</v>
      </c>
      <c r="X24" s="288" t="s">
        <v>1469</v>
      </c>
    </row>
    <row r="25" spans="1:24" x14ac:dyDescent="0.25">
      <c r="A25" s="421"/>
      <c r="B25" s="408"/>
      <c r="C25" s="408"/>
      <c r="D25" s="422">
        <f>SUM(D4:D24)</f>
        <v>360.51</v>
      </c>
      <c r="F25" s="434">
        <v>4</v>
      </c>
      <c r="G25" s="434" t="s">
        <v>1009</v>
      </c>
      <c r="H25" s="434" t="s">
        <v>14</v>
      </c>
      <c r="I25" s="434">
        <v>9.3000000000000007</v>
      </c>
      <c r="J25" s="436"/>
      <c r="K25" s="411"/>
      <c r="L25" s="584" t="s">
        <v>1273</v>
      </c>
      <c r="T25" s="288">
        <f>N72+N97*2</f>
        <v>95.414600000000007</v>
      </c>
    </row>
    <row r="26" spans="1:24" x14ac:dyDescent="0.25">
      <c r="A26" s="421"/>
      <c r="B26" s="434"/>
      <c r="C26" s="434"/>
      <c r="D26" s="422"/>
      <c r="F26" s="434"/>
      <c r="G26" s="434"/>
      <c r="H26" s="434"/>
      <c r="I26" s="435"/>
      <c r="J26" s="411"/>
      <c r="K26" s="411"/>
      <c r="L26" s="288" t="s">
        <v>1263</v>
      </c>
      <c r="M26" s="288">
        <v>1</v>
      </c>
      <c r="N26" s="288">
        <v>2.1</v>
      </c>
      <c r="O26" s="288">
        <f>3*3</f>
        <v>9</v>
      </c>
      <c r="P26" s="288">
        <v>0.38</v>
      </c>
      <c r="Q26" s="529">
        <f>M26*N26*O26*P26</f>
        <v>7.1820000000000013</v>
      </c>
      <c r="T26" s="585">
        <f>T25*0.38</f>
        <v>36.257548</v>
      </c>
      <c r="V26" s="585">
        <f>2.92*2.65</f>
        <v>7.7379999999999995</v>
      </c>
      <c r="X26" s="585">
        <f>P116+P137*2</f>
        <v>39.53</v>
      </c>
    </row>
    <row r="27" spans="1:24" x14ac:dyDescent="0.25">
      <c r="A27" s="421"/>
      <c r="B27" s="434"/>
      <c r="C27" s="434"/>
      <c r="D27" s="422"/>
      <c r="F27" s="434"/>
      <c r="G27" s="434"/>
      <c r="H27" s="434"/>
      <c r="I27" s="435"/>
      <c r="J27" s="411"/>
      <c r="K27" s="411"/>
      <c r="L27" s="288" t="s">
        <v>1264</v>
      </c>
      <c r="M27" s="288">
        <v>1</v>
      </c>
      <c r="N27" s="288">
        <v>2.1</v>
      </c>
      <c r="O27" s="288">
        <f>1*3</f>
        <v>3</v>
      </c>
      <c r="P27" s="288">
        <v>0.38</v>
      </c>
      <c r="Q27" s="529">
        <f t="shared" ref="Q27:Q32" si="1">M27*N27*O27*P27</f>
        <v>2.3940000000000001</v>
      </c>
    </row>
    <row r="28" spans="1:24" ht="14.4" thickBot="1" x14ac:dyDescent="0.3">
      <c r="A28" s="421"/>
      <c r="B28" s="434"/>
      <c r="C28" s="434"/>
      <c r="D28" s="422"/>
      <c r="F28" s="434"/>
      <c r="G28" s="434"/>
      <c r="H28" s="434"/>
      <c r="I28" s="435"/>
      <c r="J28" s="411"/>
      <c r="K28" s="411"/>
      <c r="L28" s="288" t="s">
        <v>1265</v>
      </c>
      <c r="M28" s="288">
        <v>1.35</v>
      </c>
      <c r="N28" s="288">
        <v>2.1</v>
      </c>
      <c r="O28" s="288">
        <v>0</v>
      </c>
      <c r="P28" s="288">
        <v>0.38</v>
      </c>
      <c r="Q28" s="529">
        <f t="shared" si="1"/>
        <v>0</v>
      </c>
    </row>
    <row r="29" spans="1:24" ht="14.4" thickBot="1" x14ac:dyDescent="0.3">
      <c r="A29" s="421"/>
      <c r="B29" s="408"/>
      <c r="C29" s="408"/>
      <c r="D29" s="422"/>
      <c r="F29" s="434"/>
      <c r="G29" s="434"/>
      <c r="H29" s="434"/>
      <c r="I29" s="435"/>
      <c r="J29" s="410">
        <f>I5+I7+I8+I10+I12+I13+I22+I24+I25</f>
        <v>324.48</v>
      </c>
      <c r="K29" s="411"/>
      <c r="L29" s="288" t="s">
        <v>1261</v>
      </c>
      <c r="M29" s="288">
        <v>1.44</v>
      </c>
      <c r="N29" s="288">
        <v>2.1</v>
      </c>
      <c r="O29" s="288">
        <v>1</v>
      </c>
      <c r="P29" s="288">
        <v>0.38</v>
      </c>
      <c r="Q29" s="529">
        <f t="shared" si="1"/>
        <v>1.1491199999999999</v>
      </c>
    </row>
    <row r="30" spans="1:24" x14ac:dyDescent="0.25">
      <c r="A30" s="421"/>
      <c r="B30" s="408"/>
      <c r="C30" s="408"/>
      <c r="D30" s="422"/>
      <c r="F30" s="434"/>
      <c r="G30" s="434"/>
      <c r="H30" s="434"/>
      <c r="I30" s="434"/>
      <c r="J30" s="437"/>
      <c r="K30" s="411"/>
      <c r="L30" s="288" t="s">
        <v>1262</v>
      </c>
      <c r="M30" s="288">
        <v>0.9</v>
      </c>
      <c r="N30" s="288">
        <v>2.1</v>
      </c>
      <c r="O30" s="288">
        <v>1</v>
      </c>
      <c r="P30" s="288">
        <v>0.38</v>
      </c>
      <c r="Q30" s="529">
        <f t="shared" si="1"/>
        <v>0.71820000000000006</v>
      </c>
    </row>
    <row r="31" spans="1:24" x14ac:dyDescent="0.25">
      <c r="A31" s="421"/>
      <c r="B31" s="408"/>
      <c r="C31" s="408"/>
      <c r="D31" s="422"/>
      <c r="M31" s="288">
        <v>1.1499999999999999</v>
      </c>
      <c r="N31" s="288">
        <v>2.1</v>
      </c>
      <c r="O31" s="288">
        <v>3</v>
      </c>
      <c r="P31" s="288">
        <v>0.38</v>
      </c>
      <c r="Q31" s="529">
        <f t="shared" si="1"/>
        <v>2.7530999999999999</v>
      </c>
    </row>
    <row r="32" spans="1:24" x14ac:dyDescent="0.25">
      <c r="A32" s="421"/>
      <c r="B32" s="408"/>
      <c r="C32" s="408"/>
      <c r="D32" s="427"/>
      <c r="M32" s="288">
        <v>1.29</v>
      </c>
      <c r="N32" s="288">
        <v>2.1</v>
      </c>
      <c r="O32" s="288">
        <v>3</v>
      </c>
      <c r="P32" s="288">
        <v>0.38</v>
      </c>
      <c r="Q32" s="529">
        <f t="shared" si="1"/>
        <v>3.0882600000000004</v>
      </c>
    </row>
    <row r="33" spans="1:24" x14ac:dyDescent="0.25">
      <c r="A33" s="421"/>
      <c r="B33" s="408"/>
      <c r="C33" s="408"/>
      <c r="D33" s="422"/>
      <c r="F33" s="288">
        <v>41.9</v>
      </c>
      <c r="I33" s="288">
        <v>10.199999999999999</v>
      </c>
      <c r="P33" s="288">
        <v>0.38</v>
      </c>
      <c r="Q33" s="583">
        <f>SUM(Q26:Q32)</f>
        <v>17.284680000000002</v>
      </c>
    </row>
    <row r="34" spans="1:24" x14ac:dyDescent="0.25">
      <c r="A34" s="421"/>
      <c r="B34" s="408"/>
      <c r="C34" s="408"/>
      <c r="D34" s="422"/>
      <c r="F34" s="288">
        <v>101.27</v>
      </c>
      <c r="I34" s="288">
        <v>22.83</v>
      </c>
      <c r="L34" s="586" t="s">
        <v>1274</v>
      </c>
      <c r="T34" s="288">
        <f>N86+N107*2</f>
        <v>175.95359999999999</v>
      </c>
    </row>
    <row r="35" spans="1:24" x14ac:dyDescent="0.25">
      <c r="A35" s="421"/>
      <c r="B35" s="408"/>
      <c r="C35" s="408"/>
      <c r="D35" s="422"/>
      <c r="F35" s="288">
        <v>71.37</v>
      </c>
      <c r="I35" s="288">
        <v>15.83</v>
      </c>
      <c r="L35" s="288" t="s">
        <v>1263</v>
      </c>
      <c r="M35" s="288">
        <v>1</v>
      </c>
      <c r="N35" s="288">
        <v>2.1</v>
      </c>
      <c r="O35" s="288">
        <f>1+4*2</f>
        <v>9</v>
      </c>
      <c r="P35" s="288">
        <v>0.38</v>
      </c>
      <c r="Q35" s="529">
        <f t="shared" ref="Q35:Q44" si="2">M35*N35*O35*P35</f>
        <v>7.1820000000000013</v>
      </c>
      <c r="T35" s="587">
        <f>T34*0.38</f>
        <v>66.862368000000004</v>
      </c>
      <c r="V35" s="529">
        <f>3.1*2.75</f>
        <v>8.5250000000000004</v>
      </c>
      <c r="X35" s="587">
        <f>P126+P147*2</f>
        <v>92.42</v>
      </c>
    </row>
    <row r="36" spans="1:24" x14ac:dyDescent="0.25">
      <c r="A36" s="421"/>
      <c r="B36" s="408"/>
      <c r="C36" s="408"/>
      <c r="D36" s="422"/>
      <c r="F36" s="288">
        <v>10.06</v>
      </c>
      <c r="I36" s="288">
        <v>2.72</v>
      </c>
      <c r="L36" s="288" t="s">
        <v>1265</v>
      </c>
      <c r="M36" s="288">
        <v>1.35</v>
      </c>
      <c r="N36" s="288">
        <v>2.1</v>
      </c>
      <c r="O36" s="288">
        <f>2*3</f>
        <v>6</v>
      </c>
      <c r="P36" s="288">
        <v>0.38</v>
      </c>
      <c r="Q36" s="529">
        <f t="shared" si="2"/>
        <v>6.4638000000000009</v>
      </c>
      <c r="U36" s="289" t="s">
        <v>1283</v>
      </c>
      <c r="V36" s="288">
        <f>1.44*2.1</f>
        <v>3.024</v>
      </c>
    </row>
    <row r="37" spans="1:24" x14ac:dyDescent="0.25">
      <c r="A37" s="421"/>
      <c r="B37" s="408"/>
      <c r="C37" s="408"/>
      <c r="D37" s="427"/>
      <c r="F37" s="288">
        <v>15.72</v>
      </c>
      <c r="I37" s="288">
        <v>3.62</v>
      </c>
      <c r="M37" s="288">
        <v>1.08</v>
      </c>
      <c r="N37" s="288">
        <v>2.1</v>
      </c>
      <c r="O37" s="288">
        <v>3</v>
      </c>
      <c r="P37" s="288">
        <v>0.38</v>
      </c>
      <c r="Q37" s="529">
        <f t="shared" si="2"/>
        <v>2.5855200000000003</v>
      </c>
      <c r="U37" s="289" t="s">
        <v>1284</v>
      </c>
      <c r="V37" s="288">
        <f>1.44*2.1</f>
        <v>3.024</v>
      </c>
    </row>
    <row r="38" spans="1:24" x14ac:dyDescent="0.25">
      <c r="A38" s="421"/>
      <c r="B38" s="408"/>
      <c r="C38" s="408"/>
      <c r="D38" s="427"/>
      <c r="F38" s="288">
        <v>5.31</v>
      </c>
      <c r="I38" s="288">
        <v>1.24</v>
      </c>
      <c r="M38" s="288">
        <v>1.01</v>
      </c>
      <c r="N38" s="288">
        <v>2.1</v>
      </c>
      <c r="O38" s="288">
        <v>2</v>
      </c>
      <c r="P38" s="288">
        <v>0.38</v>
      </c>
      <c r="Q38" s="529">
        <f t="shared" si="2"/>
        <v>1.6119600000000001</v>
      </c>
      <c r="U38" s="289" t="s">
        <v>1283</v>
      </c>
      <c r="V38" s="288">
        <f>1.44*2.1</f>
        <v>3.024</v>
      </c>
    </row>
    <row r="39" spans="1:24" x14ac:dyDescent="0.25">
      <c r="A39" s="421"/>
      <c r="B39" s="408"/>
      <c r="C39" s="408"/>
      <c r="D39" s="427"/>
      <c r="F39" s="288">
        <v>4.1399999999999997</v>
      </c>
      <c r="I39" s="288">
        <v>1.01</v>
      </c>
      <c r="L39" s="288" t="s">
        <v>1261</v>
      </c>
      <c r="M39" s="288">
        <v>1.44</v>
      </c>
      <c r="N39" s="288">
        <v>2.1</v>
      </c>
      <c r="O39" s="288">
        <v>1</v>
      </c>
      <c r="P39" s="288">
        <v>0.38</v>
      </c>
      <c r="Q39" s="529">
        <f t="shared" si="2"/>
        <v>1.1491199999999999</v>
      </c>
      <c r="V39" s="587">
        <f>SUM(V35:V38)</f>
        <v>17.597000000000001</v>
      </c>
    </row>
    <row r="40" spans="1:24" ht="14.4" thickBot="1" x14ac:dyDescent="0.3">
      <c r="A40" s="421"/>
      <c r="B40" s="408"/>
      <c r="C40" s="408"/>
      <c r="D40" s="422"/>
      <c r="F40" s="288">
        <v>20.87</v>
      </c>
      <c r="L40" s="288" t="s">
        <v>1262</v>
      </c>
      <c r="M40" s="288">
        <v>0.9</v>
      </c>
      <c r="N40" s="288">
        <v>2.1</v>
      </c>
      <c r="O40" s="288">
        <v>1</v>
      </c>
      <c r="P40" s="288">
        <v>0.38</v>
      </c>
      <c r="Q40" s="529">
        <f t="shared" si="2"/>
        <v>0.71820000000000006</v>
      </c>
    </row>
    <row r="41" spans="1:24" ht="14.4" thickBot="1" x14ac:dyDescent="0.3">
      <c r="A41" s="421"/>
      <c r="B41" s="408"/>
      <c r="C41" s="408"/>
      <c r="D41" s="427"/>
      <c r="F41" s="288">
        <v>36.520000000000003</v>
      </c>
      <c r="I41" s="410">
        <f>SUM(I33:I39)</f>
        <v>57.449999999999996</v>
      </c>
      <c r="M41" s="288">
        <v>0.92</v>
      </c>
      <c r="N41" s="288">
        <v>2.1</v>
      </c>
      <c r="O41" s="288">
        <v>1</v>
      </c>
      <c r="P41" s="288">
        <v>0.38</v>
      </c>
      <c r="Q41" s="529">
        <f t="shared" si="2"/>
        <v>0.73416000000000003</v>
      </c>
    </row>
    <row r="42" spans="1:24" x14ac:dyDescent="0.25">
      <c r="A42" s="421"/>
      <c r="B42" s="408"/>
      <c r="C42" s="408"/>
      <c r="D42" s="427"/>
      <c r="F42" s="288">
        <v>36.049999999999997</v>
      </c>
      <c r="L42" s="288" t="s">
        <v>1283</v>
      </c>
      <c r="M42" s="288">
        <v>1.44</v>
      </c>
      <c r="N42" s="288">
        <v>2.1</v>
      </c>
      <c r="O42" s="288">
        <v>4</v>
      </c>
      <c r="P42" s="288">
        <v>0.38</v>
      </c>
      <c r="Q42" s="529">
        <f>M42*N42*O42*P42</f>
        <v>4.5964799999999997</v>
      </c>
    </row>
    <row r="43" spans="1:24" x14ac:dyDescent="0.25">
      <c r="A43" s="421"/>
      <c r="B43" s="408"/>
      <c r="C43" s="408"/>
      <c r="D43" s="422"/>
      <c r="F43" s="288">
        <v>8.32</v>
      </c>
      <c r="M43" s="288">
        <v>0.79</v>
      </c>
      <c r="N43" s="288">
        <v>2.1</v>
      </c>
      <c r="O43" s="288">
        <v>1</v>
      </c>
      <c r="P43" s="288">
        <v>0.38</v>
      </c>
      <c r="Q43" s="529">
        <f t="shared" si="2"/>
        <v>0.63042000000000009</v>
      </c>
    </row>
    <row r="44" spans="1:24" x14ac:dyDescent="0.25">
      <c r="A44" s="421"/>
      <c r="B44" s="408"/>
      <c r="C44" s="408"/>
      <c r="D44" s="427"/>
      <c r="F44" s="288">
        <v>3.71</v>
      </c>
      <c r="L44" s="288" t="s">
        <v>1284</v>
      </c>
      <c r="M44" s="288">
        <v>1.44</v>
      </c>
      <c r="N44" s="288">
        <v>2.1</v>
      </c>
      <c r="O44" s="288">
        <v>2</v>
      </c>
      <c r="P44" s="288">
        <v>0.25</v>
      </c>
      <c r="Q44" s="529">
        <f t="shared" si="2"/>
        <v>1.512</v>
      </c>
    </row>
    <row r="45" spans="1:24" x14ac:dyDescent="0.25">
      <c r="A45" s="421"/>
      <c r="B45" s="408"/>
      <c r="C45" s="408"/>
      <c r="D45" s="427"/>
      <c r="F45" s="288">
        <v>5.1100000000000003</v>
      </c>
      <c r="Q45" s="587">
        <f>SUM(Q35:Q44)</f>
        <v>27.18366</v>
      </c>
    </row>
    <row r="46" spans="1:24" ht="14.4" thickBot="1" x14ac:dyDescent="0.3">
      <c r="A46" s="421"/>
      <c r="B46" s="408"/>
      <c r="C46" s="408"/>
      <c r="D46" s="422"/>
    </row>
    <row r="47" spans="1:24" ht="14.4" thickBot="1" x14ac:dyDescent="0.3">
      <c r="A47" s="421"/>
      <c r="B47" s="408"/>
      <c r="C47" s="408"/>
      <c r="D47" s="427"/>
      <c r="F47" s="410">
        <f>SUM(F33:F45)</f>
        <v>360.34999999999997</v>
      </c>
      <c r="G47" s="288" t="s">
        <v>1221</v>
      </c>
      <c r="L47" s="589" t="s">
        <v>1275</v>
      </c>
      <c r="T47" s="288">
        <f>V71+V96*2</f>
        <v>91.74260000000001</v>
      </c>
    </row>
    <row r="48" spans="1:24" x14ac:dyDescent="0.25">
      <c r="A48" s="421"/>
      <c r="B48" s="408"/>
      <c r="C48" s="408"/>
      <c r="D48" s="422"/>
      <c r="L48" s="288" t="s">
        <v>1263</v>
      </c>
      <c r="M48" s="288">
        <v>1</v>
      </c>
      <c r="N48" s="288">
        <v>2.1</v>
      </c>
      <c r="O48" s="288">
        <f>2*3</f>
        <v>6</v>
      </c>
      <c r="P48" s="288">
        <v>0.38</v>
      </c>
      <c r="Q48" s="529">
        <f t="shared" ref="Q48:Q53" si="3">M48*N48*O48*P48</f>
        <v>4.7880000000000003</v>
      </c>
      <c r="T48" s="588">
        <f>T47*0.38</f>
        <v>34.862188000000003</v>
      </c>
      <c r="V48" s="588">
        <f>2.92*1.75</f>
        <v>5.1099999999999994</v>
      </c>
      <c r="X48" s="588">
        <f>X115+X136*2</f>
        <v>52.91</v>
      </c>
    </row>
    <row r="49" spans="1:24" x14ac:dyDescent="0.25">
      <c r="A49" s="421"/>
      <c r="B49" s="408"/>
      <c r="C49" s="408"/>
      <c r="D49" s="427"/>
      <c r="M49" s="288">
        <v>1.1299999999999999</v>
      </c>
      <c r="N49" s="288">
        <v>2.1</v>
      </c>
      <c r="O49" s="288">
        <v>3</v>
      </c>
      <c r="P49" s="288">
        <v>0.38</v>
      </c>
      <c r="Q49" s="529">
        <f t="shared" si="3"/>
        <v>2.7052199999999997</v>
      </c>
    </row>
    <row r="50" spans="1:24" x14ac:dyDescent="0.25">
      <c r="A50" s="421"/>
      <c r="B50" s="408"/>
      <c r="C50" s="408"/>
      <c r="D50" s="427"/>
      <c r="M50" s="288">
        <v>1.21</v>
      </c>
      <c r="N50" s="288">
        <v>2.1</v>
      </c>
      <c r="O50" s="288">
        <v>3</v>
      </c>
      <c r="P50" s="288">
        <v>0.38</v>
      </c>
      <c r="Q50" s="529">
        <f t="shared" si="3"/>
        <v>2.8967399999999999</v>
      </c>
    </row>
    <row r="51" spans="1:24" x14ac:dyDescent="0.25">
      <c r="A51" s="421"/>
      <c r="B51" s="408"/>
      <c r="C51" s="408"/>
      <c r="D51" s="422"/>
      <c r="M51" s="288">
        <v>1.2</v>
      </c>
      <c r="N51" s="288">
        <v>2.1</v>
      </c>
      <c r="O51" s="288">
        <v>3</v>
      </c>
      <c r="P51" s="288">
        <v>0.38</v>
      </c>
      <c r="Q51" s="529">
        <f t="shared" si="3"/>
        <v>2.8728000000000002</v>
      </c>
    </row>
    <row r="52" spans="1:24" x14ac:dyDescent="0.25">
      <c r="A52" s="421"/>
      <c r="B52" s="408"/>
      <c r="C52" s="408"/>
      <c r="D52" s="422"/>
      <c r="L52" s="288" t="s">
        <v>1261</v>
      </c>
      <c r="M52" s="288">
        <v>1.44</v>
      </c>
      <c r="N52" s="288">
        <v>2.1</v>
      </c>
      <c r="O52" s="288">
        <v>1</v>
      </c>
      <c r="P52" s="288">
        <v>0.38</v>
      </c>
      <c r="Q52" s="529">
        <f t="shared" si="3"/>
        <v>1.1491199999999999</v>
      </c>
    </row>
    <row r="53" spans="1:24" x14ac:dyDescent="0.25">
      <c r="A53" s="421"/>
      <c r="B53" s="408"/>
      <c r="C53" s="408"/>
      <c r="D53" s="422"/>
      <c r="L53" s="288" t="s">
        <v>1262</v>
      </c>
      <c r="M53" s="288">
        <v>0.9</v>
      </c>
      <c r="N53" s="288">
        <v>2.1</v>
      </c>
      <c r="O53" s="288">
        <v>1</v>
      </c>
      <c r="P53" s="288">
        <v>0.38</v>
      </c>
      <c r="Q53" s="529">
        <f t="shared" si="3"/>
        <v>0.71820000000000006</v>
      </c>
    </row>
    <row r="54" spans="1:24" x14ac:dyDescent="0.25">
      <c r="A54" s="421"/>
      <c r="B54" s="408"/>
      <c r="C54" s="408"/>
      <c r="D54" s="427"/>
      <c r="Q54" s="588">
        <f>SUM(Q48:Q53)</f>
        <v>15.13008</v>
      </c>
    </row>
    <row r="55" spans="1:24" x14ac:dyDescent="0.25">
      <c r="A55" s="421"/>
      <c r="B55" s="408"/>
      <c r="C55" s="408"/>
      <c r="D55" s="422"/>
    </row>
    <row r="56" spans="1:24" x14ac:dyDescent="0.25">
      <c r="A56" s="421"/>
      <c r="B56" s="408"/>
      <c r="C56" s="408"/>
      <c r="D56" s="427"/>
      <c r="L56" s="590" t="s">
        <v>1276</v>
      </c>
      <c r="T56" s="288">
        <f>V81+V107*2</f>
        <v>186.17360000000002</v>
      </c>
    </row>
    <row r="57" spans="1:24" x14ac:dyDescent="0.25">
      <c r="A57" s="421"/>
      <c r="B57" s="408"/>
      <c r="C57" s="408"/>
      <c r="D57" s="422"/>
      <c r="L57" s="288" t="s">
        <v>1263</v>
      </c>
      <c r="M57" s="288">
        <v>1</v>
      </c>
      <c r="N57" s="288">
        <v>2.1</v>
      </c>
      <c r="O57" s="288">
        <f>5+4*2</f>
        <v>13</v>
      </c>
      <c r="P57" s="288">
        <v>0.38</v>
      </c>
      <c r="Q57" s="529">
        <f t="shared" ref="Q57:Q62" si="4">M57*N57*O57*P57</f>
        <v>10.374000000000001</v>
      </c>
      <c r="T57" s="591">
        <f>T56*0.38</f>
        <v>70.745968000000005</v>
      </c>
      <c r="V57" s="529">
        <f>3.1*1.65</f>
        <v>5.1150000000000002</v>
      </c>
      <c r="X57" s="591">
        <f>X125+X147*2</f>
        <v>96.259999999999991</v>
      </c>
    </row>
    <row r="58" spans="1:24" x14ac:dyDescent="0.25">
      <c r="A58" s="421"/>
      <c r="B58" s="408"/>
      <c r="C58" s="408"/>
      <c r="D58" s="422"/>
      <c r="L58" s="288" t="s">
        <v>1265</v>
      </c>
      <c r="M58" s="288">
        <v>1.35</v>
      </c>
      <c r="N58" s="288">
        <v>2.1</v>
      </c>
      <c r="O58" s="288">
        <f>3+2*2</f>
        <v>7</v>
      </c>
      <c r="P58" s="288">
        <v>0.38</v>
      </c>
      <c r="Q58" s="529">
        <f t="shared" si="4"/>
        <v>7.541100000000001</v>
      </c>
      <c r="U58" s="289" t="s">
        <v>1261</v>
      </c>
      <c r="V58" s="288">
        <f>1.44*2.1</f>
        <v>3.024</v>
      </c>
    </row>
    <row r="59" spans="1:24" x14ac:dyDescent="0.25">
      <c r="A59" s="421"/>
      <c r="B59" s="408"/>
      <c r="C59" s="408"/>
      <c r="D59" s="427"/>
      <c r="M59" s="288">
        <v>1.08</v>
      </c>
      <c r="N59" s="288">
        <v>2.1</v>
      </c>
      <c r="O59" s="288">
        <v>3</v>
      </c>
      <c r="P59" s="288">
        <v>0.38</v>
      </c>
      <c r="Q59" s="529">
        <f t="shared" si="4"/>
        <v>2.5855200000000003</v>
      </c>
      <c r="V59" s="591">
        <f>V58+V57</f>
        <v>8.1389999999999993</v>
      </c>
    </row>
    <row r="60" spans="1:24" x14ac:dyDescent="0.25">
      <c r="A60" s="421"/>
      <c r="B60" s="408"/>
      <c r="C60" s="408"/>
      <c r="D60" s="422"/>
      <c r="M60" s="288">
        <v>1.01</v>
      </c>
      <c r="N60" s="288">
        <v>2.1</v>
      </c>
      <c r="O60" s="288">
        <v>2</v>
      </c>
      <c r="P60" s="288">
        <v>0.38</v>
      </c>
      <c r="Q60" s="529">
        <f t="shared" si="4"/>
        <v>1.6119600000000001</v>
      </c>
    </row>
    <row r="61" spans="1:24" x14ac:dyDescent="0.25">
      <c r="A61" s="421"/>
      <c r="B61" s="408"/>
      <c r="C61" s="408"/>
      <c r="D61" s="422"/>
      <c r="L61" s="288" t="s">
        <v>1261</v>
      </c>
      <c r="M61" s="288">
        <v>1.44</v>
      </c>
      <c r="N61" s="288">
        <v>2.1</v>
      </c>
      <c r="O61" s="288">
        <v>2</v>
      </c>
      <c r="P61" s="288">
        <v>0.38</v>
      </c>
      <c r="Q61" s="529">
        <f t="shared" si="4"/>
        <v>2.2982399999999998</v>
      </c>
    </row>
    <row r="62" spans="1:24" x14ac:dyDescent="0.25">
      <c r="A62" s="421"/>
      <c r="B62" s="408"/>
      <c r="C62" s="408"/>
      <c r="D62" s="427"/>
      <c r="L62" s="288" t="s">
        <v>1262</v>
      </c>
      <c r="M62" s="288">
        <v>0.9</v>
      </c>
      <c r="N62" s="288">
        <v>2.1</v>
      </c>
      <c r="O62" s="288">
        <v>1</v>
      </c>
      <c r="P62" s="288">
        <v>0.38</v>
      </c>
      <c r="Q62" s="529">
        <f t="shared" si="4"/>
        <v>0.71820000000000006</v>
      </c>
    </row>
    <row r="63" spans="1:24" x14ac:dyDescent="0.25">
      <c r="A63" s="421"/>
      <c r="B63" s="408"/>
      <c r="C63" s="408"/>
      <c r="D63" s="422"/>
      <c r="Q63" s="591">
        <f>SUM(Q57:Q62)</f>
        <v>25.129020000000001</v>
      </c>
    </row>
    <row r="64" spans="1:24" x14ac:dyDescent="0.25">
      <c r="A64" s="421"/>
      <c r="B64" s="408"/>
      <c r="C64" s="408"/>
      <c r="D64" s="422"/>
    </row>
    <row r="65" spans="1:25" ht="14.4" thickBot="1" x14ac:dyDescent="0.3">
      <c r="A65" s="421"/>
      <c r="B65" s="408"/>
      <c r="C65" s="408"/>
      <c r="D65" s="422"/>
    </row>
    <row r="66" spans="1:25" x14ac:dyDescent="0.25">
      <c r="A66" s="421"/>
      <c r="B66" s="408"/>
      <c r="C66" s="408"/>
      <c r="D66" s="422"/>
      <c r="K66" s="288" t="s">
        <v>1349</v>
      </c>
      <c r="L66" s="563" t="s">
        <v>1253</v>
      </c>
      <c r="M66" s="563">
        <v>2</v>
      </c>
      <c r="N66" s="563">
        <f t="shared" ref="N66:N71" si="5">O66*P66*M66</f>
        <v>2.4899999999999998</v>
      </c>
      <c r="O66" s="563">
        <v>0.83</v>
      </c>
      <c r="P66" s="563">
        <v>1.5</v>
      </c>
      <c r="Q66" s="563"/>
      <c r="R66" s="564" t="s">
        <v>1273</v>
      </c>
      <c r="T66" s="564" t="s">
        <v>1340</v>
      </c>
      <c r="U66" s="564">
        <v>4</v>
      </c>
      <c r="V66" s="563">
        <f>W66*X66*U66</f>
        <v>4.9799999999999995</v>
      </c>
      <c r="W66" s="564">
        <v>0.83</v>
      </c>
      <c r="X66" s="565">
        <v>1.5</v>
      </c>
      <c r="Y66" s="574" t="s">
        <v>1275</v>
      </c>
    </row>
    <row r="67" spans="1:25" x14ac:dyDescent="0.25">
      <c r="A67" s="421"/>
      <c r="B67" s="408"/>
      <c r="C67" s="408"/>
      <c r="D67" s="427"/>
      <c r="L67" s="563" t="s">
        <v>1254</v>
      </c>
      <c r="M67" s="563">
        <v>3</v>
      </c>
      <c r="N67" s="563">
        <f t="shared" si="5"/>
        <v>7.0649999999999995</v>
      </c>
      <c r="O67" s="563">
        <v>1.57</v>
      </c>
      <c r="P67" s="563">
        <v>1.5</v>
      </c>
      <c r="Q67" s="563"/>
      <c r="R67" s="566"/>
      <c r="S67" s="567"/>
      <c r="T67" s="567" t="s">
        <v>1341</v>
      </c>
      <c r="U67" s="567">
        <v>2</v>
      </c>
      <c r="V67" s="563">
        <f>W67*X67*U67</f>
        <v>3.4780000000000002</v>
      </c>
      <c r="W67" s="567">
        <v>0.74</v>
      </c>
      <c r="X67" s="568">
        <v>2.35</v>
      </c>
    </row>
    <row r="68" spans="1:25" x14ac:dyDescent="0.25">
      <c r="A68" s="421"/>
      <c r="B68" s="408"/>
      <c r="C68" s="408"/>
      <c r="D68" s="427"/>
      <c r="L68" s="563" t="s">
        <v>1279</v>
      </c>
      <c r="M68" s="563">
        <v>4</v>
      </c>
      <c r="N68" s="563">
        <f t="shared" si="5"/>
        <v>6.3000000000000007</v>
      </c>
      <c r="O68" s="563">
        <v>1.05</v>
      </c>
      <c r="P68" s="563">
        <v>1.5</v>
      </c>
      <c r="Q68" s="563"/>
      <c r="R68" s="566"/>
      <c r="S68" s="567"/>
      <c r="T68" s="567" t="s">
        <v>1342</v>
      </c>
      <c r="U68" s="567">
        <v>2</v>
      </c>
      <c r="V68" s="563">
        <f>W68*X68*U68</f>
        <v>5.49</v>
      </c>
      <c r="W68" s="567">
        <v>1.83</v>
      </c>
      <c r="X68" s="568">
        <v>1.5</v>
      </c>
    </row>
    <row r="69" spans="1:25" x14ac:dyDescent="0.25">
      <c r="A69" s="421"/>
      <c r="B69" s="408"/>
      <c r="C69" s="408"/>
      <c r="D69" s="427"/>
      <c r="L69" s="563" t="s">
        <v>1256</v>
      </c>
      <c r="M69" s="563">
        <v>3</v>
      </c>
      <c r="N69" s="563">
        <f t="shared" si="5"/>
        <v>8.3190000000000008</v>
      </c>
      <c r="O69" s="563">
        <v>1.18</v>
      </c>
      <c r="P69" s="563">
        <v>2.35</v>
      </c>
      <c r="Q69" s="563"/>
      <c r="R69" s="566"/>
      <c r="S69" s="567"/>
      <c r="T69" s="567" t="s">
        <v>1343</v>
      </c>
      <c r="U69" s="567">
        <v>2</v>
      </c>
      <c r="V69" s="563">
        <f>W69*X69*U69</f>
        <v>3.4780000000000002</v>
      </c>
      <c r="W69" s="567">
        <v>0.74</v>
      </c>
      <c r="X69" s="568">
        <v>2.35</v>
      </c>
    </row>
    <row r="70" spans="1:25" x14ac:dyDescent="0.25">
      <c r="A70" s="421"/>
      <c r="B70" s="428"/>
      <c r="C70" s="408"/>
      <c r="D70" s="427"/>
      <c r="L70" s="563" t="s">
        <v>1333</v>
      </c>
      <c r="M70" s="563">
        <v>2</v>
      </c>
      <c r="N70" s="563">
        <f t="shared" si="5"/>
        <v>3.4780000000000002</v>
      </c>
      <c r="O70" s="563">
        <v>0.74</v>
      </c>
      <c r="P70" s="563">
        <v>2.35</v>
      </c>
      <c r="Q70" s="563"/>
      <c r="R70" s="566"/>
      <c r="S70" s="567"/>
      <c r="T70" s="567" t="s">
        <v>1344</v>
      </c>
      <c r="U70" s="567">
        <v>5</v>
      </c>
      <c r="V70" s="563">
        <f>W70*X70*U70</f>
        <v>11.775</v>
      </c>
      <c r="W70" s="567">
        <v>1.57</v>
      </c>
      <c r="X70" s="568">
        <v>1.5</v>
      </c>
    </row>
    <row r="71" spans="1:25" x14ac:dyDescent="0.25">
      <c r="A71" s="421"/>
      <c r="B71" s="408"/>
      <c r="C71" s="408"/>
      <c r="D71" s="422"/>
      <c r="L71" s="563" t="s">
        <v>1334</v>
      </c>
      <c r="M71" s="563">
        <v>1</v>
      </c>
      <c r="N71" s="563">
        <f t="shared" si="5"/>
        <v>2.7730000000000001</v>
      </c>
      <c r="O71" s="563">
        <v>1.18</v>
      </c>
      <c r="P71" s="563">
        <v>2.35</v>
      </c>
      <c r="Q71" s="563"/>
      <c r="R71" s="566"/>
      <c r="S71" s="567"/>
      <c r="T71" s="567"/>
      <c r="U71" s="567"/>
      <c r="V71" s="582">
        <f>SUM(V66:V70)</f>
        <v>29.201000000000001</v>
      </c>
      <c r="W71" s="567"/>
      <c r="X71" s="568"/>
    </row>
    <row r="72" spans="1:25" x14ac:dyDescent="0.25">
      <c r="A72" s="421"/>
      <c r="B72" s="408"/>
      <c r="C72" s="408"/>
      <c r="D72" s="422"/>
      <c r="L72" s="563"/>
      <c r="M72" s="563"/>
      <c r="N72" s="582">
        <f>SUM(N66:N71)</f>
        <v>30.425000000000001</v>
      </c>
      <c r="O72" s="563"/>
      <c r="P72" s="563"/>
      <c r="Q72" s="563"/>
      <c r="R72" s="566"/>
      <c r="S72" s="567"/>
      <c r="T72" s="567"/>
      <c r="U72" s="567"/>
      <c r="V72" s="567"/>
      <c r="W72" s="567"/>
      <c r="X72" s="568"/>
    </row>
    <row r="73" spans="1:25" x14ac:dyDescent="0.25">
      <c r="A73" s="421"/>
      <c r="B73" s="408"/>
      <c r="C73" s="408"/>
      <c r="D73" s="422"/>
      <c r="L73" s="563"/>
      <c r="M73" s="563"/>
      <c r="N73" s="563"/>
      <c r="O73" s="563"/>
      <c r="P73" s="563"/>
      <c r="Q73" s="563"/>
      <c r="R73" s="567" t="s">
        <v>1335</v>
      </c>
      <c r="T73" s="567" t="s">
        <v>1340</v>
      </c>
      <c r="U73" s="567">
        <v>8</v>
      </c>
      <c r="V73" s="563">
        <f t="shared" ref="V73:V80" si="6">W73*X73*U73</f>
        <v>9.9599999999999991</v>
      </c>
      <c r="W73" s="567">
        <v>0.83</v>
      </c>
      <c r="X73" s="568">
        <v>1.5</v>
      </c>
      <c r="Y73" s="577" t="s">
        <v>1276</v>
      </c>
    </row>
    <row r="74" spans="1:25" x14ac:dyDescent="0.25">
      <c r="A74" s="421"/>
      <c r="B74" s="408"/>
      <c r="C74" s="408"/>
      <c r="D74" s="422"/>
      <c r="L74" s="563" t="s">
        <v>1253</v>
      </c>
      <c r="M74" s="563">
        <v>4</v>
      </c>
      <c r="N74" s="563">
        <f t="shared" ref="N74:N85" si="7">O74*P74*M74</f>
        <v>4.9799999999999995</v>
      </c>
      <c r="O74" s="563">
        <v>0.83</v>
      </c>
      <c r="P74" s="563">
        <v>1.5</v>
      </c>
      <c r="Q74" s="563"/>
      <c r="R74" s="566"/>
      <c r="S74" s="567"/>
      <c r="T74" s="567" t="s">
        <v>1341</v>
      </c>
      <c r="U74" s="567">
        <v>6</v>
      </c>
      <c r="V74" s="563">
        <f t="shared" si="6"/>
        <v>10.434000000000001</v>
      </c>
      <c r="W74" s="567">
        <v>0.74</v>
      </c>
      <c r="X74" s="568">
        <v>2.35</v>
      </c>
    </row>
    <row r="75" spans="1:25" x14ac:dyDescent="0.25">
      <c r="A75" s="421"/>
      <c r="B75" s="408"/>
      <c r="C75" s="408"/>
      <c r="D75" s="422"/>
      <c r="L75" s="563" t="s">
        <v>1254</v>
      </c>
      <c r="M75" s="563">
        <v>4</v>
      </c>
      <c r="N75" s="563">
        <f t="shared" si="7"/>
        <v>9.42</v>
      </c>
      <c r="O75" s="563">
        <v>1.57</v>
      </c>
      <c r="P75" s="563">
        <v>1.5</v>
      </c>
      <c r="Q75" s="563"/>
      <c r="R75" s="566"/>
      <c r="S75" s="567"/>
      <c r="T75" s="567" t="s">
        <v>1344</v>
      </c>
      <c r="U75" s="567">
        <v>4</v>
      </c>
      <c r="V75" s="563">
        <f t="shared" si="6"/>
        <v>9.42</v>
      </c>
      <c r="W75" s="567">
        <v>1.57</v>
      </c>
      <c r="X75" s="568">
        <v>1.5</v>
      </c>
    </row>
    <row r="76" spans="1:25" x14ac:dyDescent="0.25">
      <c r="A76" s="421"/>
      <c r="B76" s="408"/>
      <c r="C76" s="408"/>
      <c r="D76" s="422"/>
      <c r="L76" s="563" t="s">
        <v>1257</v>
      </c>
      <c r="M76" s="563">
        <v>1</v>
      </c>
      <c r="N76" s="563">
        <f t="shared" si="7"/>
        <v>1.77</v>
      </c>
      <c r="O76" s="563">
        <v>1.18</v>
      </c>
      <c r="P76" s="563">
        <v>1.5</v>
      </c>
      <c r="Q76" s="563"/>
      <c r="R76" s="566"/>
      <c r="S76" s="567"/>
      <c r="T76" s="567" t="s">
        <v>1343</v>
      </c>
      <c r="U76" s="567">
        <v>2</v>
      </c>
      <c r="V76" s="563">
        <f t="shared" si="6"/>
        <v>3.4780000000000002</v>
      </c>
      <c r="W76" s="567">
        <v>0.74</v>
      </c>
      <c r="X76" s="568">
        <v>2.35</v>
      </c>
    </row>
    <row r="77" spans="1:25" x14ac:dyDescent="0.25">
      <c r="A77" s="421"/>
      <c r="B77" s="408"/>
      <c r="C77" s="408"/>
      <c r="D77" s="422"/>
      <c r="L77" s="563" t="s">
        <v>1260</v>
      </c>
      <c r="M77" s="563">
        <v>2</v>
      </c>
      <c r="N77" s="563">
        <f t="shared" si="7"/>
        <v>5.49</v>
      </c>
      <c r="O77" s="563">
        <v>1.83</v>
      </c>
      <c r="P77" s="563">
        <v>1.5</v>
      </c>
      <c r="Q77" s="563"/>
      <c r="R77" s="566"/>
      <c r="S77" s="567"/>
      <c r="T77" s="567" t="s">
        <v>1345</v>
      </c>
      <c r="U77" s="567">
        <v>1</v>
      </c>
      <c r="V77" s="563">
        <f t="shared" si="6"/>
        <v>2.7730000000000001</v>
      </c>
      <c r="W77" s="567">
        <v>1.18</v>
      </c>
      <c r="X77" s="568">
        <v>2.35</v>
      </c>
    </row>
    <row r="78" spans="1:25" x14ac:dyDescent="0.25">
      <c r="A78" s="421"/>
      <c r="B78" s="408"/>
      <c r="C78" s="408"/>
      <c r="D78" s="427"/>
      <c r="L78" s="563" t="s">
        <v>1280</v>
      </c>
      <c r="M78" s="563">
        <v>4</v>
      </c>
      <c r="N78" s="563">
        <f t="shared" si="7"/>
        <v>5.5200000000000005</v>
      </c>
      <c r="O78" s="563">
        <v>0.92</v>
      </c>
      <c r="P78" s="563">
        <v>1.5</v>
      </c>
      <c r="Q78" s="563"/>
      <c r="R78" s="566"/>
      <c r="S78" s="567"/>
      <c r="T78" s="567" t="s">
        <v>1346</v>
      </c>
      <c r="U78" s="567">
        <v>1</v>
      </c>
      <c r="V78" s="563">
        <f t="shared" si="6"/>
        <v>2.7730000000000001</v>
      </c>
      <c r="W78" s="567">
        <v>1.18</v>
      </c>
      <c r="X78" s="568">
        <v>2.35</v>
      </c>
    </row>
    <row r="79" spans="1:25" x14ac:dyDescent="0.25">
      <c r="A79" s="421"/>
      <c r="B79" s="408"/>
      <c r="C79" s="408"/>
      <c r="D79" s="422"/>
      <c r="L79" s="563" t="s">
        <v>1281</v>
      </c>
      <c r="M79" s="563">
        <v>1</v>
      </c>
      <c r="N79" s="563">
        <f t="shared" si="7"/>
        <v>2.8260000000000001</v>
      </c>
      <c r="O79" s="563">
        <v>1.57</v>
      </c>
      <c r="P79" s="563">
        <v>1.8</v>
      </c>
      <c r="Q79" s="563"/>
      <c r="R79" s="566"/>
      <c r="S79" s="567"/>
      <c r="T79" s="567" t="s">
        <v>1347</v>
      </c>
      <c r="U79" s="567">
        <v>2</v>
      </c>
      <c r="V79" s="563">
        <f t="shared" si="6"/>
        <v>3.54</v>
      </c>
      <c r="W79" s="567">
        <v>1.18</v>
      </c>
      <c r="X79" s="568">
        <v>1.5</v>
      </c>
    </row>
    <row r="80" spans="1:25" x14ac:dyDescent="0.25">
      <c r="A80" s="421"/>
      <c r="B80" s="408"/>
      <c r="C80" s="408"/>
      <c r="D80" s="422"/>
      <c r="L80" s="563" t="s">
        <v>1282</v>
      </c>
      <c r="M80" s="563">
        <v>1</v>
      </c>
      <c r="N80" s="563">
        <f t="shared" si="7"/>
        <v>3.294</v>
      </c>
      <c r="O80" s="563">
        <v>1.83</v>
      </c>
      <c r="P80" s="563">
        <v>1.8</v>
      </c>
      <c r="Q80" s="563"/>
      <c r="R80" s="566"/>
      <c r="S80" s="567"/>
      <c r="T80" s="567" t="s">
        <v>1342</v>
      </c>
      <c r="U80" s="567">
        <v>6</v>
      </c>
      <c r="V80" s="563">
        <f t="shared" si="6"/>
        <v>16.47</v>
      </c>
      <c r="W80" s="567">
        <v>1.83</v>
      </c>
      <c r="X80" s="568">
        <v>1.5</v>
      </c>
    </row>
    <row r="81" spans="1:24" x14ac:dyDescent="0.25">
      <c r="A81" s="421"/>
      <c r="B81" s="408"/>
      <c r="C81" s="408"/>
      <c r="D81" s="427"/>
      <c r="L81" s="563" t="s">
        <v>1258</v>
      </c>
      <c r="M81" s="563">
        <v>1</v>
      </c>
      <c r="N81" s="563">
        <f t="shared" si="7"/>
        <v>1.6560000000000001</v>
      </c>
      <c r="O81" s="563">
        <v>0.92</v>
      </c>
      <c r="P81" s="563">
        <v>1.8</v>
      </c>
      <c r="Q81" s="563"/>
      <c r="R81" s="566"/>
      <c r="S81" s="567"/>
      <c r="T81" s="567"/>
      <c r="U81" s="567"/>
      <c r="V81" s="582">
        <f>SUM(V73:V80)</f>
        <v>58.848000000000006</v>
      </c>
      <c r="W81" s="567"/>
      <c r="X81" s="568"/>
    </row>
    <row r="82" spans="1:24" x14ac:dyDescent="0.25">
      <c r="A82" s="421"/>
      <c r="B82" s="408"/>
      <c r="C82" s="408"/>
      <c r="D82" s="427"/>
      <c r="L82" s="563" t="s">
        <v>1333</v>
      </c>
      <c r="M82" s="563">
        <v>2</v>
      </c>
      <c r="N82" s="563">
        <f t="shared" si="7"/>
        <v>3.4780000000000002</v>
      </c>
      <c r="O82" s="563">
        <v>0.74</v>
      </c>
      <c r="P82" s="563">
        <v>2.35</v>
      </c>
      <c r="Q82" s="563"/>
      <c r="R82" s="566"/>
      <c r="S82" s="567"/>
      <c r="T82" s="567"/>
      <c r="U82" s="567"/>
      <c r="V82" s="567"/>
      <c r="W82" s="567"/>
      <c r="X82" s="568"/>
    </row>
    <row r="83" spans="1:24" x14ac:dyDescent="0.25">
      <c r="A83" s="421"/>
      <c r="B83" s="408"/>
      <c r="C83" s="408"/>
      <c r="D83" s="429"/>
      <c r="L83" s="563" t="s">
        <v>1252</v>
      </c>
      <c r="M83" s="563">
        <v>2</v>
      </c>
      <c r="N83" s="563">
        <f t="shared" si="7"/>
        <v>3.4780000000000002</v>
      </c>
      <c r="O83" s="563">
        <v>0.74</v>
      </c>
      <c r="P83" s="563">
        <v>2.35</v>
      </c>
      <c r="Q83" s="563"/>
      <c r="R83" s="566"/>
      <c r="S83" s="567"/>
      <c r="T83" s="567"/>
      <c r="U83" s="567"/>
      <c r="V83" s="567"/>
      <c r="W83" s="567"/>
      <c r="X83" s="568"/>
    </row>
    <row r="84" spans="1:24" x14ac:dyDescent="0.25">
      <c r="A84" s="421"/>
      <c r="B84" s="408"/>
      <c r="C84" s="408"/>
      <c r="D84" s="422"/>
      <c r="L84" s="563" t="s">
        <v>1334</v>
      </c>
      <c r="M84" s="563">
        <v>1</v>
      </c>
      <c r="N84" s="563">
        <f t="shared" si="7"/>
        <v>2.7730000000000001</v>
      </c>
      <c r="O84" s="563">
        <v>1.18</v>
      </c>
      <c r="P84" s="563">
        <v>2.35</v>
      </c>
      <c r="Q84" s="563"/>
      <c r="R84" s="566"/>
      <c r="S84" s="567"/>
      <c r="T84" s="567"/>
      <c r="U84" s="567"/>
      <c r="V84" s="567"/>
      <c r="W84" s="567"/>
      <c r="X84" s="568"/>
    </row>
    <row r="85" spans="1:24" x14ac:dyDescent="0.25">
      <c r="A85" s="421"/>
      <c r="B85" s="408"/>
      <c r="C85" s="408"/>
      <c r="D85" s="422"/>
      <c r="L85" s="563" t="s">
        <v>1256</v>
      </c>
      <c r="M85" s="563">
        <v>1</v>
      </c>
      <c r="N85" s="563">
        <f t="shared" si="7"/>
        <v>2.7730000000000001</v>
      </c>
      <c r="O85" s="563">
        <v>1.18</v>
      </c>
      <c r="P85" s="563">
        <v>2.35</v>
      </c>
      <c r="Q85" s="563"/>
      <c r="R85" s="566"/>
      <c r="S85" s="567"/>
      <c r="T85" s="567"/>
      <c r="U85" s="567"/>
      <c r="V85" s="567"/>
      <c r="W85" s="567"/>
      <c r="X85" s="568"/>
    </row>
    <row r="86" spans="1:24" ht="14.4" thickBot="1" x14ac:dyDescent="0.3">
      <c r="A86" s="421"/>
      <c r="B86" s="408"/>
      <c r="C86" s="408"/>
      <c r="D86" s="422"/>
      <c r="L86" s="563"/>
      <c r="M86" s="563"/>
      <c r="N86" s="582">
        <f>SUM(N74:N85)</f>
        <v>47.458000000000006</v>
      </c>
      <c r="O86" s="563"/>
      <c r="P86" s="563"/>
      <c r="Q86" s="569"/>
      <c r="R86" s="570"/>
      <c r="S86" s="571"/>
      <c r="T86" s="571"/>
      <c r="U86" s="571"/>
      <c r="V86" s="571"/>
      <c r="W86" s="571"/>
      <c r="X86" s="572"/>
    </row>
    <row r="87" spans="1:24" x14ac:dyDescent="0.25">
      <c r="A87" s="421"/>
      <c r="B87" s="408"/>
      <c r="C87" s="408"/>
      <c r="D87" s="422"/>
    </row>
    <row r="88" spans="1:24" ht="14.4" thickBot="1" x14ac:dyDescent="0.3">
      <c r="A88" s="421"/>
      <c r="B88" s="408"/>
      <c r="C88" s="408"/>
      <c r="D88" s="422"/>
    </row>
    <row r="89" spans="1:24" x14ac:dyDescent="0.25">
      <c r="A89" s="421"/>
      <c r="B89" s="408"/>
      <c r="C89" s="408"/>
      <c r="D89" s="427"/>
      <c r="K89" s="288" t="s">
        <v>1336</v>
      </c>
      <c r="L89" s="345"/>
      <c r="M89" s="345"/>
      <c r="N89" s="345"/>
      <c r="O89" s="345"/>
      <c r="P89" s="345"/>
      <c r="Q89" s="345" t="s">
        <v>1273</v>
      </c>
      <c r="R89" s="573"/>
      <c r="S89" s="574" t="s">
        <v>1275</v>
      </c>
      <c r="T89" s="574"/>
      <c r="U89" s="574"/>
      <c r="V89" s="574"/>
      <c r="W89" s="574"/>
      <c r="X89" s="575"/>
    </row>
    <row r="90" spans="1:24" x14ac:dyDescent="0.25">
      <c r="A90" s="421"/>
      <c r="B90" s="408"/>
      <c r="C90" s="408"/>
      <c r="D90" s="422"/>
      <c r="L90" s="345" t="s">
        <v>1253</v>
      </c>
      <c r="M90" s="345">
        <v>2</v>
      </c>
      <c r="N90" s="563">
        <f t="shared" ref="N90:N96" si="8">O90*P90*M90</f>
        <v>2.4899999999999998</v>
      </c>
      <c r="O90" s="345">
        <v>0.83</v>
      </c>
      <c r="P90" s="345">
        <v>1.5</v>
      </c>
      <c r="Q90" s="345"/>
      <c r="R90" s="576"/>
      <c r="S90" s="577"/>
      <c r="T90" s="577" t="s">
        <v>1340</v>
      </c>
      <c r="U90" s="577">
        <v>4</v>
      </c>
      <c r="V90" s="563">
        <f t="shared" ref="V90:V95" si="9">W90*X90*U90</f>
        <v>4.9799999999999995</v>
      </c>
      <c r="W90" s="577">
        <v>0.83</v>
      </c>
      <c r="X90" s="578">
        <v>1.5</v>
      </c>
    </row>
    <row r="91" spans="1:24" x14ac:dyDescent="0.25">
      <c r="A91" s="421"/>
      <c r="B91" s="408"/>
      <c r="C91" s="408"/>
      <c r="D91" s="422"/>
      <c r="L91" s="345" t="s">
        <v>1333</v>
      </c>
      <c r="M91" s="345">
        <v>2</v>
      </c>
      <c r="N91" s="563">
        <f t="shared" si="8"/>
        <v>3.4780000000000002</v>
      </c>
      <c r="O91" s="345">
        <v>0.74</v>
      </c>
      <c r="P91" s="345">
        <v>2.35</v>
      </c>
      <c r="Q91" s="345"/>
      <c r="R91" s="576"/>
      <c r="S91" s="577"/>
      <c r="T91" s="577" t="s">
        <v>1341</v>
      </c>
      <c r="U91" s="577">
        <v>2</v>
      </c>
      <c r="V91" s="563">
        <f t="shared" si="9"/>
        <v>3.4780000000000002</v>
      </c>
      <c r="W91" s="577">
        <v>0.74</v>
      </c>
      <c r="X91" s="578">
        <v>2.35</v>
      </c>
    </row>
    <row r="92" spans="1:24" x14ac:dyDescent="0.25">
      <c r="A92" s="421"/>
      <c r="B92" s="408"/>
      <c r="C92" s="408"/>
      <c r="D92" s="422"/>
      <c r="L92" s="345" t="s">
        <v>1254</v>
      </c>
      <c r="M92" s="345">
        <v>3</v>
      </c>
      <c r="N92" s="563">
        <f t="shared" si="8"/>
        <v>7.0649999999999995</v>
      </c>
      <c r="O92" s="345">
        <v>1.57</v>
      </c>
      <c r="P92" s="345">
        <v>1.5</v>
      </c>
      <c r="Q92" s="345"/>
      <c r="R92" s="576"/>
      <c r="S92" s="577"/>
      <c r="T92" s="577" t="s">
        <v>1342</v>
      </c>
      <c r="U92" s="577">
        <v>2</v>
      </c>
      <c r="V92" s="563">
        <f t="shared" si="9"/>
        <v>5.49</v>
      </c>
      <c r="W92" s="577">
        <v>1.83</v>
      </c>
      <c r="X92" s="578">
        <v>1.5</v>
      </c>
    </row>
    <row r="93" spans="1:24" x14ac:dyDescent="0.25">
      <c r="A93" s="421"/>
      <c r="B93" s="408"/>
      <c r="C93" s="408"/>
      <c r="D93" s="422"/>
      <c r="L93" s="345" t="s">
        <v>1278</v>
      </c>
      <c r="M93" s="345">
        <v>1</v>
      </c>
      <c r="N93" s="563">
        <f t="shared" si="8"/>
        <v>2.0698000000000003</v>
      </c>
      <c r="O93" s="345">
        <v>1.31</v>
      </c>
      <c r="P93" s="345">
        <v>1.58</v>
      </c>
      <c r="Q93" s="345"/>
      <c r="R93" s="576"/>
      <c r="S93" s="577"/>
      <c r="T93" s="577" t="s">
        <v>1348</v>
      </c>
      <c r="U93" s="577">
        <v>1</v>
      </c>
      <c r="V93" s="563">
        <f t="shared" si="9"/>
        <v>2.0698000000000003</v>
      </c>
      <c r="W93" s="577">
        <v>1.31</v>
      </c>
      <c r="X93" s="578">
        <v>1.58</v>
      </c>
    </row>
    <row r="94" spans="1:24" x14ac:dyDescent="0.25">
      <c r="A94" s="421"/>
      <c r="B94" s="408"/>
      <c r="C94" s="408"/>
      <c r="D94" s="427"/>
      <c r="L94" s="345" t="s">
        <v>1279</v>
      </c>
      <c r="M94" s="345">
        <v>4</v>
      </c>
      <c r="N94" s="563">
        <f t="shared" si="8"/>
        <v>6.3000000000000007</v>
      </c>
      <c r="O94" s="345">
        <v>1.05</v>
      </c>
      <c r="P94" s="345">
        <v>1.5</v>
      </c>
      <c r="Q94" s="345"/>
      <c r="R94" s="576"/>
      <c r="S94" s="577"/>
      <c r="T94" s="577" t="s">
        <v>1344</v>
      </c>
      <c r="U94" s="577">
        <v>5</v>
      </c>
      <c r="V94" s="563">
        <f t="shared" si="9"/>
        <v>11.775</v>
      </c>
      <c r="W94" s="577">
        <v>1.57</v>
      </c>
      <c r="X94" s="578">
        <v>1.5</v>
      </c>
    </row>
    <row r="95" spans="1:24" x14ac:dyDescent="0.25">
      <c r="A95" s="421"/>
      <c r="B95" s="408"/>
      <c r="C95" s="408"/>
      <c r="D95" s="427"/>
      <c r="L95" s="345" t="s">
        <v>1256</v>
      </c>
      <c r="M95" s="345">
        <v>3</v>
      </c>
      <c r="N95" s="563">
        <f t="shared" si="8"/>
        <v>8.3190000000000008</v>
      </c>
      <c r="O95" s="345">
        <v>1.18</v>
      </c>
      <c r="P95" s="345">
        <v>2.35</v>
      </c>
      <c r="Q95" s="345"/>
      <c r="R95" s="576"/>
      <c r="S95" s="577"/>
      <c r="T95" s="577" t="s">
        <v>1343</v>
      </c>
      <c r="U95" s="577">
        <v>2</v>
      </c>
      <c r="V95" s="563">
        <f t="shared" si="9"/>
        <v>3.4780000000000002</v>
      </c>
      <c r="W95" s="577">
        <v>0.74</v>
      </c>
      <c r="X95" s="578">
        <v>2.35</v>
      </c>
    </row>
    <row r="96" spans="1:24" x14ac:dyDescent="0.25">
      <c r="A96" s="421"/>
      <c r="B96" s="408"/>
      <c r="C96" s="408"/>
      <c r="D96" s="427"/>
      <c r="L96" s="345" t="s">
        <v>1334</v>
      </c>
      <c r="M96" s="345">
        <v>1</v>
      </c>
      <c r="N96" s="563">
        <f t="shared" si="8"/>
        <v>2.7730000000000001</v>
      </c>
      <c r="O96" s="345">
        <v>1.18</v>
      </c>
      <c r="P96" s="345">
        <v>2.35</v>
      </c>
      <c r="Q96" s="345"/>
      <c r="R96" s="576"/>
      <c r="S96" s="577"/>
      <c r="T96" s="577"/>
      <c r="U96" s="577"/>
      <c r="V96" s="582">
        <f>SUM(V90:V95)</f>
        <v>31.270800000000001</v>
      </c>
      <c r="W96" s="577"/>
      <c r="X96" s="578"/>
    </row>
    <row r="97" spans="1:26" x14ac:dyDescent="0.25">
      <c r="A97" s="421"/>
      <c r="B97" s="408"/>
      <c r="C97" s="408"/>
      <c r="D97" s="422"/>
      <c r="L97" s="345"/>
      <c r="M97" s="345"/>
      <c r="N97" s="582">
        <f>SUM(N90:N96)</f>
        <v>32.494800000000005</v>
      </c>
      <c r="O97" s="345"/>
      <c r="P97" s="345"/>
      <c r="Q97" s="345"/>
      <c r="R97" s="576"/>
      <c r="S97" s="577" t="s">
        <v>1276</v>
      </c>
      <c r="T97" s="577"/>
      <c r="U97" s="577"/>
      <c r="V97" s="577"/>
      <c r="W97" s="577"/>
      <c r="X97" s="578"/>
    </row>
    <row r="98" spans="1:26" x14ac:dyDescent="0.25">
      <c r="A98" s="421"/>
      <c r="B98" s="408"/>
      <c r="C98" s="408"/>
      <c r="D98" s="427"/>
      <c r="L98" s="345" t="s">
        <v>1253</v>
      </c>
      <c r="M98" s="345">
        <v>8</v>
      </c>
      <c r="N98" s="563">
        <f t="shared" ref="N98:N106" si="10">O98*P98*M98</f>
        <v>9.9599999999999991</v>
      </c>
      <c r="O98" s="345">
        <v>0.83</v>
      </c>
      <c r="P98" s="345">
        <v>1.5</v>
      </c>
      <c r="Q98" s="345" t="s">
        <v>1274</v>
      </c>
      <c r="R98" s="576"/>
      <c r="S98" s="577"/>
      <c r="T98" s="577" t="s">
        <v>1340</v>
      </c>
      <c r="U98" s="577">
        <v>8</v>
      </c>
      <c r="V98" s="563">
        <f t="shared" ref="V98:V106" si="11">W98*X98*U98</f>
        <v>9.9599999999999991</v>
      </c>
      <c r="W98" s="577">
        <v>0.83</v>
      </c>
      <c r="X98" s="578">
        <v>1.5</v>
      </c>
    </row>
    <row r="99" spans="1:26" x14ac:dyDescent="0.25">
      <c r="A99" s="421"/>
      <c r="B99" s="408"/>
      <c r="C99" s="408"/>
      <c r="D99" s="427"/>
      <c r="L99" s="345" t="s">
        <v>1254</v>
      </c>
      <c r="M99" s="345">
        <v>5</v>
      </c>
      <c r="N99" s="563">
        <f t="shared" si="10"/>
        <v>11.775</v>
      </c>
      <c r="O99" s="345">
        <v>1.57</v>
      </c>
      <c r="P99" s="345">
        <v>1.5</v>
      </c>
      <c r="Q99" s="345"/>
      <c r="R99" s="576"/>
      <c r="S99" s="577"/>
      <c r="T99" s="577" t="s">
        <v>1341</v>
      </c>
      <c r="U99" s="577">
        <v>6</v>
      </c>
      <c r="V99" s="563">
        <f t="shared" si="11"/>
        <v>10.434000000000001</v>
      </c>
      <c r="W99" s="577">
        <v>0.74</v>
      </c>
      <c r="X99" s="578">
        <v>2.35</v>
      </c>
    </row>
    <row r="100" spans="1:26" x14ac:dyDescent="0.25">
      <c r="A100" s="421"/>
      <c r="B100" s="408"/>
      <c r="C100" s="408"/>
      <c r="D100" s="422"/>
      <c r="L100" s="345" t="s">
        <v>1278</v>
      </c>
      <c r="M100" s="345">
        <v>1</v>
      </c>
      <c r="N100" s="563">
        <f t="shared" si="10"/>
        <v>2.0698000000000003</v>
      </c>
      <c r="O100" s="345">
        <v>1.31</v>
      </c>
      <c r="P100" s="345">
        <v>1.58</v>
      </c>
      <c r="Q100" s="345"/>
      <c r="R100" s="576"/>
      <c r="S100" s="577"/>
      <c r="T100" s="577" t="s">
        <v>1344</v>
      </c>
      <c r="U100" s="577">
        <v>4</v>
      </c>
      <c r="V100" s="563">
        <f t="shared" si="11"/>
        <v>9.42</v>
      </c>
      <c r="W100" s="577">
        <v>1.57</v>
      </c>
      <c r="X100" s="578">
        <v>1.5</v>
      </c>
    </row>
    <row r="101" spans="1:26" x14ac:dyDescent="0.25">
      <c r="A101" s="421"/>
      <c r="B101" s="408"/>
      <c r="C101" s="408"/>
      <c r="D101" s="427"/>
      <c r="L101" s="345" t="s">
        <v>1257</v>
      </c>
      <c r="M101" s="345">
        <v>1</v>
      </c>
      <c r="N101" s="563">
        <f t="shared" si="10"/>
        <v>1.77</v>
      </c>
      <c r="O101" s="345">
        <v>1.18</v>
      </c>
      <c r="P101" s="345">
        <v>1.5</v>
      </c>
      <c r="Q101" s="345"/>
      <c r="R101" s="576"/>
      <c r="S101" s="577"/>
      <c r="T101" s="577" t="s">
        <v>1343</v>
      </c>
      <c r="U101" s="577">
        <v>2</v>
      </c>
      <c r="V101" s="563">
        <f t="shared" si="11"/>
        <v>3.4780000000000002</v>
      </c>
      <c r="W101" s="577">
        <v>0.74</v>
      </c>
      <c r="X101" s="578">
        <v>2.35</v>
      </c>
    </row>
    <row r="102" spans="1:26" x14ac:dyDescent="0.25">
      <c r="A102" s="421"/>
      <c r="B102" s="408"/>
      <c r="C102" s="408"/>
      <c r="D102" s="427"/>
      <c r="L102" s="345" t="s">
        <v>1260</v>
      </c>
      <c r="M102" s="345">
        <v>7</v>
      </c>
      <c r="N102" s="563">
        <f t="shared" si="10"/>
        <v>19.215</v>
      </c>
      <c r="O102" s="345">
        <v>1.83</v>
      </c>
      <c r="P102" s="345">
        <v>1.5</v>
      </c>
      <c r="Q102" s="345"/>
      <c r="R102" s="576"/>
      <c r="S102" s="577"/>
      <c r="T102" s="577" t="s">
        <v>1348</v>
      </c>
      <c r="U102" s="577">
        <v>1</v>
      </c>
      <c r="V102" s="563">
        <f t="shared" si="11"/>
        <v>2.0698000000000003</v>
      </c>
      <c r="W102" s="577">
        <v>1.31</v>
      </c>
      <c r="X102" s="578">
        <v>1.58</v>
      </c>
    </row>
    <row r="103" spans="1:26" x14ac:dyDescent="0.25">
      <c r="A103" s="421"/>
      <c r="B103" s="408"/>
      <c r="C103" s="408"/>
      <c r="D103" s="422"/>
      <c r="L103" s="345" t="s">
        <v>1333</v>
      </c>
      <c r="M103" s="345">
        <v>6</v>
      </c>
      <c r="N103" s="563">
        <f t="shared" si="10"/>
        <v>10.434000000000001</v>
      </c>
      <c r="O103" s="345">
        <v>0.74</v>
      </c>
      <c r="P103" s="345">
        <v>2.35</v>
      </c>
      <c r="Q103" s="345"/>
      <c r="R103" s="576"/>
      <c r="S103" s="577"/>
      <c r="T103" s="577" t="s">
        <v>1345</v>
      </c>
      <c r="U103" s="577">
        <v>1</v>
      </c>
      <c r="V103" s="563">
        <f t="shared" si="11"/>
        <v>2.7730000000000001</v>
      </c>
      <c r="W103" s="577">
        <v>1.18</v>
      </c>
      <c r="X103" s="578">
        <v>2.35</v>
      </c>
    </row>
    <row r="104" spans="1:26" x14ac:dyDescent="0.25">
      <c r="A104" s="421"/>
      <c r="B104" s="408"/>
      <c r="C104" s="408"/>
      <c r="D104" s="427"/>
      <c r="L104" s="345" t="s">
        <v>1252</v>
      </c>
      <c r="M104" s="345">
        <v>2</v>
      </c>
      <c r="N104" s="563">
        <f t="shared" si="10"/>
        <v>3.4780000000000002</v>
      </c>
      <c r="O104" s="345">
        <v>0.74</v>
      </c>
      <c r="P104" s="345">
        <v>2.35</v>
      </c>
      <c r="Q104" s="345"/>
      <c r="R104" s="576"/>
      <c r="S104" s="577"/>
      <c r="T104" s="577" t="s">
        <v>1346</v>
      </c>
      <c r="U104" s="577">
        <v>1</v>
      </c>
      <c r="V104" s="563">
        <f t="shared" si="11"/>
        <v>2.7730000000000001</v>
      </c>
      <c r="W104" s="345">
        <v>1.18</v>
      </c>
      <c r="X104" s="345">
        <v>2.35</v>
      </c>
    </row>
    <row r="105" spans="1:26" x14ac:dyDescent="0.25">
      <c r="A105" s="421"/>
      <c r="B105" s="408"/>
      <c r="C105" s="408"/>
      <c r="D105" s="422"/>
      <c r="L105" s="345" t="s">
        <v>1334</v>
      </c>
      <c r="M105" s="345">
        <v>1</v>
      </c>
      <c r="N105" s="563">
        <f t="shared" si="10"/>
        <v>2.7730000000000001</v>
      </c>
      <c r="O105" s="345">
        <v>1.18</v>
      </c>
      <c r="P105" s="345">
        <v>2.35</v>
      </c>
      <c r="Q105" s="345"/>
      <c r="R105" s="576"/>
      <c r="S105" s="577"/>
      <c r="T105" s="577" t="s">
        <v>1347</v>
      </c>
      <c r="U105" s="577">
        <v>2</v>
      </c>
      <c r="V105" s="563">
        <f t="shared" si="11"/>
        <v>3.54</v>
      </c>
      <c r="W105" s="345">
        <v>1.18</v>
      </c>
      <c r="X105" s="345">
        <v>1.5</v>
      </c>
    </row>
    <row r="106" spans="1:26" x14ac:dyDescent="0.25">
      <c r="A106" s="421"/>
      <c r="B106" s="408"/>
      <c r="C106" s="408"/>
      <c r="D106" s="427"/>
      <c r="L106" s="345" t="s">
        <v>1256</v>
      </c>
      <c r="M106" s="345">
        <v>1</v>
      </c>
      <c r="N106" s="563">
        <f t="shared" si="10"/>
        <v>2.7730000000000001</v>
      </c>
      <c r="O106" s="345">
        <v>1.18</v>
      </c>
      <c r="P106" s="345">
        <v>2.35</v>
      </c>
      <c r="Q106" s="345"/>
      <c r="R106" s="576"/>
      <c r="S106" s="577"/>
      <c r="T106" s="577" t="s">
        <v>1342</v>
      </c>
      <c r="U106" s="577">
        <v>7</v>
      </c>
      <c r="V106" s="563">
        <f t="shared" si="11"/>
        <v>19.215</v>
      </c>
      <c r="W106" s="345">
        <v>1.83</v>
      </c>
      <c r="X106" s="345">
        <v>1.5</v>
      </c>
    </row>
    <row r="107" spans="1:26" x14ac:dyDescent="0.25">
      <c r="A107" s="421"/>
      <c r="B107" s="408"/>
      <c r="C107" s="408"/>
      <c r="D107" s="427"/>
      <c r="L107" s="345"/>
      <c r="M107" s="345"/>
      <c r="N107" s="582">
        <f>SUM(N98:N106)</f>
        <v>64.247799999999998</v>
      </c>
      <c r="O107" s="345"/>
      <c r="P107" s="345"/>
      <c r="Q107" s="345"/>
      <c r="R107" s="576"/>
      <c r="S107" s="577"/>
      <c r="T107" s="577"/>
      <c r="U107" s="577"/>
      <c r="V107" s="582">
        <f>SUM(V98:V106)</f>
        <v>63.662800000000004</v>
      </c>
      <c r="W107" s="577"/>
      <c r="X107" s="578"/>
    </row>
    <row r="108" spans="1:26" ht="14.4" thickBot="1" x14ac:dyDescent="0.3">
      <c r="A108" s="421"/>
      <c r="B108" s="408"/>
      <c r="C108" s="408"/>
      <c r="D108" s="422"/>
      <c r="L108" s="345"/>
      <c r="M108" s="345"/>
      <c r="N108" s="345"/>
      <c r="O108" s="345"/>
      <c r="P108" s="345"/>
      <c r="Q108" s="345"/>
      <c r="R108" s="579"/>
      <c r="S108" s="580"/>
      <c r="T108" s="580"/>
      <c r="U108" s="580"/>
      <c r="V108" s="580"/>
      <c r="W108" s="580"/>
      <c r="X108" s="581"/>
    </row>
    <row r="109" spans="1:26" ht="15" thickBot="1" x14ac:dyDescent="0.3">
      <c r="A109" s="421"/>
      <c r="B109" s="408"/>
      <c r="C109" s="408"/>
      <c r="D109" s="422"/>
      <c r="L109" s="559"/>
      <c r="M109" s="560"/>
      <c r="N109" s="560"/>
      <c r="O109" s="560"/>
      <c r="P109" s="560"/>
      <c r="Q109" s="560"/>
      <c r="R109" s="560"/>
      <c r="S109" s="561"/>
    </row>
    <row r="110" spans="1:26" x14ac:dyDescent="0.25">
      <c r="A110" s="421"/>
      <c r="B110" s="408"/>
      <c r="C110" s="408"/>
      <c r="D110" s="422"/>
      <c r="K110" s="289" t="s">
        <v>1469</v>
      </c>
      <c r="L110" s="563" t="s">
        <v>1253</v>
      </c>
      <c r="M110" s="563">
        <v>2</v>
      </c>
      <c r="N110" s="563">
        <f>O110+0.1</f>
        <v>0.92999999999999994</v>
      </c>
      <c r="O110" s="563">
        <v>0.83</v>
      </c>
      <c r="P110" s="563">
        <f>N110*M110</f>
        <v>1.8599999999999999</v>
      </c>
      <c r="Q110" s="563"/>
      <c r="R110" s="564" t="s">
        <v>1273</v>
      </c>
      <c r="T110" s="564" t="s">
        <v>1340</v>
      </c>
      <c r="U110" s="564">
        <v>4</v>
      </c>
      <c r="V110" s="563">
        <f>W110+0.1</f>
        <v>0.92999999999999994</v>
      </c>
      <c r="W110" s="564">
        <v>0.83</v>
      </c>
      <c r="X110" s="563">
        <f t="shared" ref="X110:X124" si="12">V110*U110</f>
        <v>3.7199999999999998</v>
      </c>
    </row>
    <row r="111" spans="1:26" x14ac:dyDescent="0.25">
      <c r="A111" s="421"/>
      <c r="B111" s="408"/>
      <c r="C111" s="408"/>
      <c r="D111" s="427"/>
      <c r="L111" s="563" t="s">
        <v>1254</v>
      </c>
      <c r="M111" s="563">
        <v>3</v>
      </c>
      <c r="N111" s="563">
        <f>O111+0.2</f>
        <v>1.77</v>
      </c>
      <c r="O111" s="563">
        <v>1.57</v>
      </c>
      <c r="P111" s="563">
        <f t="shared" ref="P111:P125" si="13">N111*M111</f>
        <v>5.3100000000000005</v>
      </c>
      <c r="Q111" s="563"/>
      <c r="R111" s="566"/>
      <c r="S111" s="567"/>
      <c r="T111" s="567"/>
      <c r="U111" s="567"/>
      <c r="V111" s="563"/>
      <c r="W111" s="567"/>
      <c r="X111" s="563">
        <f t="shared" si="12"/>
        <v>0</v>
      </c>
    </row>
    <row r="112" spans="1:26" ht="14.4" x14ac:dyDescent="0.25">
      <c r="A112" s="421"/>
      <c r="B112" s="408"/>
      <c r="C112" s="408"/>
      <c r="D112" s="422"/>
      <c r="L112" s="563" t="s">
        <v>1279</v>
      </c>
      <c r="M112" s="563">
        <v>4</v>
      </c>
      <c r="N112" s="563">
        <f>O112+0.2</f>
        <v>1.25</v>
      </c>
      <c r="O112" s="563">
        <v>1.05</v>
      </c>
      <c r="P112" s="563">
        <f t="shared" si="13"/>
        <v>5</v>
      </c>
      <c r="Q112" s="563"/>
      <c r="R112" s="566"/>
      <c r="S112" s="567"/>
      <c r="T112" s="567" t="s">
        <v>1342</v>
      </c>
      <c r="U112" s="567">
        <v>2</v>
      </c>
      <c r="V112" s="563">
        <f>W112+0.2</f>
        <v>2.0300000000000002</v>
      </c>
      <c r="W112" s="567">
        <v>1.83</v>
      </c>
      <c r="X112" s="563">
        <f t="shared" si="12"/>
        <v>4.0600000000000005</v>
      </c>
      <c r="Z112" s="413" t="s">
        <v>1275</v>
      </c>
    </row>
    <row r="113" spans="1:26" ht="14.4" x14ac:dyDescent="0.25">
      <c r="A113" s="421"/>
      <c r="B113" s="408"/>
      <c r="C113" s="408"/>
      <c r="D113" s="427"/>
      <c r="L113" s="563"/>
      <c r="M113" s="563"/>
      <c r="N113" s="563"/>
      <c r="O113" s="563"/>
      <c r="P113" s="563">
        <f t="shared" si="13"/>
        <v>0</v>
      </c>
      <c r="Q113" s="563"/>
      <c r="R113" s="566"/>
      <c r="S113" s="567"/>
      <c r="T113" s="567"/>
      <c r="U113" s="567"/>
      <c r="V113" s="563"/>
      <c r="W113" s="567"/>
      <c r="X113" s="563">
        <f t="shared" si="12"/>
        <v>0</v>
      </c>
      <c r="Z113" s="413"/>
    </row>
    <row r="114" spans="1:26" ht="15" thickBot="1" x14ac:dyDescent="0.3">
      <c r="A114" s="421"/>
      <c r="B114" s="408"/>
      <c r="C114" s="408"/>
      <c r="D114" s="422"/>
      <c r="L114" s="563"/>
      <c r="M114" s="563"/>
      <c r="N114" s="563"/>
      <c r="O114" s="563"/>
      <c r="P114" s="563">
        <f t="shared" si="13"/>
        <v>0</v>
      </c>
      <c r="Q114" s="563"/>
      <c r="R114" s="566"/>
      <c r="S114" s="567"/>
      <c r="T114" s="567" t="s">
        <v>1344</v>
      </c>
      <c r="U114" s="567">
        <v>5</v>
      </c>
      <c r="V114" s="563">
        <f>W114+0.2</f>
        <v>1.77</v>
      </c>
      <c r="W114" s="567">
        <v>1.57</v>
      </c>
      <c r="X114" s="563">
        <f t="shared" si="12"/>
        <v>8.85</v>
      </c>
      <c r="Z114" s="413"/>
    </row>
    <row r="115" spans="1:26" ht="15" thickBot="1" x14ac:dyDescent="0.3">
      <c r="A115" s="421"/>
      <c r="B115" s="408"/>
      <c r="C115" s="408"/>
      <c r="D115" s="422"/>
      <c r="L115" s="563"/>
      <c r="M115" s="563"/>
      <c r="N115" s="563"/>
      <c r="O115" s="563"/>
      <c r="P115" s="563">
        <f t="shared" si="13"/>
        <v>0</v>
      </c>
      <c r="Q115" s="563"/>
      <c r="R115" s="566"/>
      <c r="S115" s="567"/>
      <c r="T115" s="567"/>
      <c r="U115" s="567"/>
      <c r="V115" s="582">
        <f>SUM(V110:V114)</f>
        <v>4.7300000000000004</v>
      </c>
      <c r="W115" s="567"/>
      <c r="X115" s="662">
        <f>SUM(X110:X114)</f>
        <v>16.63</v>
      </c>
      <c r="Z115" s="413"/>
    </row>
    <row r="116" spans="1:26" ht="15" thickBot="1" x14ac:dyDescent="0.3">
      <c r="A116" s="421"/>
      <c r="B116" s="408"/>
      <c r="C116" s="408"/>
      <c r="D116" s="427"/>
      <c r="L116" s="563"/>
      <c r="M116" s="563"/>
      <c r="N116" s="582">
        <f>SUM(N110:N115)</f>
        <v>3.95</v>
      </c>
      <c r="O116" s="563"/>
      <c r="P116" s="662">
        <f>SUM(P110:P115)</f>
        <v>12.17</v>
      </c>
      <c r="Q116" s="563"/>
      <c r="R116" s="566"/>
      <c r="S116" s="567"/>
      <c r="T116" s="567"/>
      <c r="U116" s="567"/>
      <c r="V116" s="567"/>
      <c r="W116" s="567"/>
      <c r="X116" s="563">
        <f t="shared" si="12"/>
        <v>0</v>
      </c>
      <c r="Z116" s="413"/>
    </row>
    <row r="117" spans="1:26" ht="14.4" x14ac:dyDescent="0.25">
      <c r="A117" s="421"/>
      <c r="B117" s="408"/>
      <c r="C117" s="408"/>
      <c r="D117" s="422"/>
      <c r="L117" s="563"/>
      <c r="M117" s="563"/>
      <c r="N117" s="563"/>
      <c r="O117" s="563"/>
      <c r="P117" s="563">
        <f t="shared" si="13"/>
        <v>0</v>
      </c>
      <c r="Q117" s="563"/>
      <c r="R117" s="567" t="s">
        <v>1335</v>
      </c>
      <c r="T117" s="567" t="s">
        <v>1340</v>
      </c>
      <c r="U117" s="567">
        <v>8</v>
      </c>
      <c r="V117" s="563">
        <f>W117+0.2</f>
        <v>1.03</v>
      </c>
      <c r="W117" s="567">
        <v>0.83</v>
      </c>
      <c r="X117" s="563">
        <f t="shared" si="12"/>
        <v>8.24</v>
      </c>
      <c r="Z117" s="413"/>
    </row>
    <row r="118" spans="1:26" ht="14.4" x14ac:dyDescent="0.25">
      <c r="A118" s="421"/>
      <c r="B118" s="408"/>
      <c r="C118" s="408"/>
      <c r="D118" s="422"/>
      <c r="L118" s="563" t="s">
        <v>1253</v>
      </c>
      <c r="M118" s="563">
        <v>4</v>
      </c>
      <c r="N118" s="563">
        <f>O118+0.1</f>
        <v>0.92999999999999994</v>
      </c>
      <c r="O118" s="563">
        <v>0.83</v>
      </c>
      <c r="P118" s="563">
        <f t="shared" si="13"/>
        <v>3.7199999999999998</v>
      </c>
      <c r="Q118" s="563"/>
      <c r="R118" s="566"/>
      <c r="S118" s="567"/>
      <c r="T118" s="567"/>
      <c r="U118" s="567"/>
      <c r="V118" s="563"/>
      <c r="W118" s="567"/>
      <c r="X118" s="563">
        <f t="shared" si="12"/>
        <v>0</v>
      </c>
      <c r="Z118" s="413"/>
    </row>
    <row r="119" spans="1:26" ht="14.4" x14ac:dyDescent="0.25">
      <c r="A119" s="421"/>
      <c r="B119" s="408"/>
      <c r="C119" s="408"/>
      <c r="D119" s="427"/>
      <c r="L119" s="563" t="s">
        <v>1254</v>
      </c>
      <c r="M119" s="563">
        <v>4</v>
      </c>
      <c r="N119" s="563">
        <f t="shared" ref="N119:N125" si="14">O119+0.2</f>
        <v>1.77</v>
      </c>
      <c r="O119" s="563">
        <v>1.57</v>
      </c>
      <c r="P119" s="563">
        <f t="shared" si="13"/>
        <v>7.08</v>
      </c>
      <c r="Q119" s="563"/>
      <c r="R119" s="566"/>
      <c r="S119" s="567"/>
      <c r="T119" s="567" t="s">
        <v>1344</v>
      </c>
      <c r="U119" s="567">
        <v>4</v>
      </c>
      <c r="V119" s="563">
        <f>W119+0.2</f>
        <v>1.77</v>
      </c>
      <c r="W119" s="567">
        <v>1.57</v>
      </c>
      <c r="X119" s="563">
        <f t="shared" si="12"/>
        <v>7.08</v>
      </c>
      <c r="Z119" s="413" t="s">
        <v>1276</v>
      </c>
    </row>
    <row r="120" spans="1:26" ht="14.4" x14ac:dyDescent="0.25">
      <c r="A120" s="421"/>
      <c r="B120" s="408"/>
      <c r="C120" s="408"/>
      <c r="D120" s="422"/>
      <c r="L120" s="563" t="s">
        <v>1257</v>
      </c>
      <c r="M120" s="563">
        <v>1</v>
      </c>
      <c r="N120" s="563">
        <f t="shared" si="14"/>
        <v>1.38</v>
      </c>
      <c r="O120" s="563">
        <v>1.18</v>
      </c>
      <c r="P120" s="563">
        <f t="shared" si="13"/>
        <v>1.38</v>
      </c>
      <c r="Q120" s="563"/>
      <c r="R120" s="566"/>
      <c r="S120" s="567"/>
      <c r="T120" s="567"/>
      <c r="U120" s="567"/>
      <c r="V120" s="563"/>
      <c r="W120" s="567"/>
      <c r="X120" s="563">
        <f t="shared" si="12"/>
        <v>0</v>
      </c>
      <c r="Z120" s="413"/>
    </row>
    <row r="121" spans="1:26" ht="14.4" x14ac:dyDescent="0.25">
      <c r="A121" s="421"/>
      <c r="B121" s="408"/>
      <c r="C121" s="408"/>
      <c r="D121" s="422"/>
      <c r="L121" s="563" t="s">
        <v>1260</v>
      </c>
      <c r="M121" s="563">
        <v>2</v>
      </c>
      <c r="N121" s="563">
        <f t="shared" si="14"/>
        <v>2.0300000000000002</v>
      </c>
      <c r="O121" s="563">
        <v>1.83</v>
      </c>
      <c r="P121" s="563">
        <f t="shared" si="13"/>
        <v>4.0600000000000005</v>
      </c>
      <c r="Q121" s="563"/>
      <c r="R121" s="566"/>
      <c r="S121" s="567"/>
      <c r="T121" s="567"/>
      <c r="U121" s="567"/>
      <c r="V121" s="563"/>
      <c r="W121" s="567"/>
      <c r="X121" s="563">
        <f t="shared" si="12"/>
        <v>0</v>
      </c>
      <c r="Z121" s="413"/>
    </row>
    <row r="122" spans="1:26" ht="14.4" x14ac:dyDescent="0.25">
      <c r="A122" s="421"/>
      <c r="B122" s="408"/>
      <c r="C122" s="408"/>
      <c r="D122" s="422"/>
      <c r="L122" s="563" t="s">
        <v>1280</v>
      </c>
      <c r="M122" s="563">
        <v>4</v>
      </c>
      <c r="N122" s="563">
        <f t="shared" si="14"/>
        <v>1.1200000000000001</v>
      </c>
      <c r="O122" s="563">
        <v>0.92</v>
      </c>
      <c r="P122" s="563">
        <f t="shared" si="13"/>
        <v>4.4800000000000004</v>
      </c>
      <c r="Q122" s="563"/>
      <c r="R122" s="566"/>
      <c r="S122" s="567"/>
      <c r="T122" s="567"/>
      <c r="U122" s="567"/>
      <c r="V122" s="563"/>
      <c r="W122" s="567"/>
      <c r="X122" s="563">
        <f t="shared" si="12"/>
        <v>0</v>
      </c>
      <c r="Z122" s="413"/>
    </row>
    <row r="123" spans="1:26" ht="14.4" x14ac:dyDescent="0.25">
      <c r="A123" s="421"/>
      <c r="B123" s="408"/>
      <c r="C123" s="408"/>
      <c r="D123" s="422"/>
      <c r="L123" s="563" t="s">
        <v>1281</v>
      </c>
      <c r="M123" s="563">
        <v>1</v>
      </c>
      <c r="N123" s="563">
        <f t="shared" si="14"/>
        <v>1.77</v>
      </c>
      <c r="O123" s="563">
        <v>1.57</v>
      </c>
      <c r="P123" s="563">
        <f t="shared" si="13"/>
        <v>1.77</v>
      </c>
      <c r="Q123" s="563"/>
      <c r="R123" s="566"/>
      <c r="S123" s="567"/>
      <c r="T123" s="567" t="s">
        <v>1347</v>
      </c>
      <c r="U123" s="567">
        <v>2</v>
      </c>
      <c r="V123" s="563">
        <f>W123+0.2</f>
        <v>1.38</v>
      </c>
      <c r="W123" s="567">
        <v>1.18</v>
      </c>
      <c r="X123" s="563">
        <f t="shared" si="12"/>
        <v>2.76</v>
      </c>
      <c r="Z123" s="413"/>
    </row>
    <row r="124" spans="1:26" ht="15" thickBot="1" x14ac:dyDescent="0.3">
      <c r="A124" s="421"/>
      <c r="B124" s="408"/>
      <c r="C124" s="408"/>
      <c r="D124" s="427"/>
      <c r="L124" s="563" t="s">
        <v>1282</v>
      </c>
      <c r="M124" s="563">
        <v>1</v>
      </c>
      <c r="N124" s="563">
        <f t="shared" si="14"/>
        <v>2.0300000000000002</v>
      </c>
      <c r="O124" s="563">
        <v>1.83</v>
      </c>
      <c r="P124" s="563">
        <f t="shared" si="13"/>
        <v>2.0300000000000002</v>
      </c>
      <c r="Q124" s="563"/>
      <c r="R124" s="566"/>
      <c r="S124" s="567"/>
      <c r="T124" s="567" t="s">
        <v>1342</v>
      </c>
      <c r="U124" s="567">
        <v>6</v>
      </c>
      <c r="V124" s="563">
        <f>W124+0.2</f>
        <v>2.0300000000000002</v>
      </c>
      <c r="W124" s="567">
        <v>1.83</v>
      </c>
      <c r="X124" s="563">
        <f t="shared" si="12"/>
        <v>12.180000000000001</v>
      </c>
      <c r="Z124" s="413"/>
    </row>
    <row r="125" spans="1:26" ht="15" thickBot="1" x14ac:dyDescent="0.3">
      <c r="A125" s="421"/>
      <c r="B125" s="408"/>
      <c r="C125" s="408"/>
      <c r="D125" s="427"/>
      <c r="L125" s="563" t="s">
        <v>1258</v>
      </c>
      <c r="M125" s="563">
        <v>1</v>
      </c>
      <c r="N125" s="563">
        <f t="shared" si="14"/>
        <v>1.1200000000000001</v>
      </c>
      <c r="O125" s="563">
        <v>0.92</v>
      </c>
      <c r="P125" s="563">
        <f t="shared" si="13"/>
        <v>1.1200000000000001</v>
      </c>
      <c r="Q125" s="563"/>
      <c r="R125" s="566"/>
      <c r="S125" s="567"/>
      <c r="T125" s="567"/>
      <c r="U125" s="567"/>
      <c r="V125" s="582">
        <f>SUM(V117:V124)</f>
        <v>6.21</v>
      </c>
      <c r="W125" s="567"/>
      <c r="X125" s="662">
        <f>SUM(X117:X124)</f>
        <v>30.259999999999998</v>
      </c>
      <c r="Z125" s="413"/>
    </row>
    <row r="126" spans="1:26" ht="15" thickBot="1" x14ac:dyDescent="0.3">
      <c r="A126" s="421"/>
      <c r="B126" s="408"/>
      <c r="C126" s="408"/>
      <c r="D126" s="427"/>
      <c r="L126" s="563"/>
      <c r="M126" s="563"/>
      <c r="N126" s="582">
        <f>SUM(N118:N125)</f>
        <v>12.150000000000002</v>
      </c>
      <c r="O126" s="563"/>
      <c r="P126" s="662">
        <f>SUM(P118:P125)</f>
        <v>25.640000000000004</v>
      </c>
      <c r="Q126" s="569"/>
      <c r="R126" s="570"/>
      <c r="S126" s="571"/>
      <c r="T126" s="571"/>
      <c r="U126" s="571"/>
      <c r="V126" s="571"/>
      <c r="W126" s="571"/>
      <c r="X126" s="572"/>
      <c r="Z126" s="413"/>
    </row>
    <row r="127" spans="1:26" ht="14.4" x14ac:dyDescent="0.25">
      <c r="A127" s="421"/>
      <c r="B127" s="428"/>
      <c r="C127" s="408"/>
      <c r="D127" s="427"/>
      <c r="Z127" s="413"/>
    </row>
    <row r="128" spans="1:26" ht="15" thickBot="1" x14ac:dyDescent="0.3">
      <c r="A128" s="421"/>
      <c r="B128" s="408"/>
      <c r="C128" s="408"/>
      <c r="D128" s="422"/>
      <c r="Z128" s="413"/>
    </row>
    <row r="129" spans="1:26" ht="14.4" x14ac:dyDescent="0.25">
      <c r="A129" s="421"/>
      <c r="B129" s="408"/>
      <c r="C129" s="408"/>
      <c r="D129" s="422"/>
      <c r="L129" s="345"/>
      <c r="M129" s="345"/>
      <c r="N129" s="345"/>
      <c r="O129" s="345"/>
      <c r="P129" s="563">
        <f t="shared" ref="P129:P142" si="15">N129*M129</f>
        <v>0</v>
      </c>
      <c r="Q129" s="345" t="s">
        <v>1273</v>
      </c>
      <c r="R129" s="573"/>
      <c r="S129" s="574" t="s">
        <v>1275</v>
      </c>
      <c r="T129" s="574"/>
      <c r="U129" s="574"/>
      <c r="V129" s="574"/>
      <c r="W129" s="574"/>
      <c r="X129" s="575"/>
      <c r="Z129" s="413"/>
    </row>
    <row r="130" spans="1:26" ht="14.4" x14ac:dyDescent="0.25">
      <c r="A130" s="421"/>
      <c r="B130" s="408"/>
      <c r="C130" s="408"/>
      <c r="D130" s="422"/>
      <c r="L130" s="345" t="s">
        <v>1253</v>
      </c>
      <c r="M130" s="345">
        <v>2</v>
      </c>
      <c r="N130" s="563">
        <f>O130+0.1</f>
        <v>0.92999999999999994</v>
      </c>
      <c r="O130" s="345">
        <v>0.83</v>
      </c>
      <c r="P130" s="563">
        <f t="shared" si="15"/>
        <v>1.8599999999999999</v>
      </c>
      <c r="Q130" s="345"/>
      <c r="R130" s="576"/>
      <c r="S130" s="577"/>
      <c r="T130" s="577" t="s">
        <v>1340</v>
      </c>
      <c r="U130" s="577">
        <v>4</v>
      </c>
      <c r="V130" s="563">
        <f>W130+0.1</f>
        <v>0.92999999999999994</v>
      </c>
      <c r="W130" s="577">
        <v>0.83</v>
      </c>
      <c r="X130" s="563">
        <f t="shared" ref="X130:X146" si="16">V130*U130</f>
        <v>3.7199999999999998</v>
      </c>
      <c r="Z130" s="413"/>
    </row>
    <row r="131" spans="1:26" ht="14.4" x14ac:dyDescent="0.25">
      <c r="A131" s="421"/>
      <c r="B131" s="408"/>
      <c r="C131" s="408"/>
      <c r="D131" s="422"/>
      <c r="L131" s="345"/>
      <c r="M131" s="345"/>
      <c r="N131" s="563"/>
      <c r="O131" s="345"/>
      <c r="P131" s="563">
        <f t="shared" si="15"/>
        <v>0</v>
      </c>
      <c r="Q131" s="345"/>
      <c r="R131" s="576"/>
      <c r="S131" s="577"/>
      <c r="T131" s="577"/>
      <c r="U131" s="577"/>
      <c r="V131" s="563"/>
      <c r="W131" s="577"/>
      <c r="X131" s="563">
        <f t="shared" si="16"/>
        <v>0</v>
      </c>
      <c r="Z131" s="413"/>
    </row>
    <row r="132" spans="1:26" ht="14.4" x14ac:dyDescent="0.25">
      <c r="A132" s="421"/>
      <c r="B132" s="408"/>
      <c r="C132" s="408"/>
      <c r="D132" s="422"/>
      <c r="L132" s="345" t="s">
        <v>1254</v>
      </c>
      <c r="M132" s="345">
        <v>3</v>
      </c>
      <c r="N132" s="563">
        <f>O132+0.2</f>
        <v>1.77</v>
      </c>
      <c r="O132" s="345">
        <v>1.57</v>
      </c>
      <c r="P132" s="563">
        <f t="shared" si="15"/>
        <v>5.3100000000000005</v>
      </c>
      <c r="Q132" s="345"/>
      <c r="R132" s="576"/>
      <c r="S132" s="577"/>
      <c r="T132" s="577" t="s">
        <v>1342</v>
      </c>
      <c r="U132" s="577">
        <v>2</v>
      </c>
      <c r="V132" s="563">
        <f>W132+0.2</f>
        <v>2.0300000000000002</v>
      </c>
      <c r="W132" s="577">
        <v>1.83</v>
      </c>
      <c r="X132" s="563">
        <f t="shared" si="16"/>
        <v>4.0600000000000005</v>
      </c>
      <c r="Z132" s="413"/>
    </row>
    <row r="133" spans="1:26" ht="14.4" x14ac:dyDescent="0.25">
      <c r="A133" s="421"/>
      <c r="B133" s="408"/>
      <c r="C133" s="408"/>
      <c r="D133" s="422"/>
      <c r="L133" s="345" t="s">
        <v>1278</v>
      </c>
      <c r="M133" s="345">
        <v>1</v>
      </c>
      <c r="N133" s="563">
        <f>O133+0.2</f>
        <v>1.51</v>
      </c>
      <c r="O133" s="345">
        <v>1.31</v>
      </c>
      <c r="P133" s="563">
        <f t="shared" si="15"/>
        <v>1.51</v>
      </c>
      <c r="Q133" s="345"/>
      <c r="R133" s="576"/>
      <c r="S133" s="577"/>
      <c r="T133" s="577" t="s">
        <v>1348</v>
      </c>
      <c r="U133" s="577">
        <v>1</v>
      </c>
      <c r="V133" s="563">
        <f>W133+0.2</f>
        <v>1.51</v>
      </c>
      <c r="W133" s="577">
        <v>1.31</v>
      </c>
      <c r="X133" s="563">
        <f t="shared" si="16"/>
        <v>1.51</v>
      </c>
      <c r="Z133" s="413"/>
    </row>
    <row r="134" spans="1:26" ht="14.4" x14ac:dyDescent="0.25">
      <c r="A134" s="421"/>
      <c r="B134" s="408"/>
      <c r="C134" s="408"/>
      <c r="D134" s="422"/>
      <c r="L134" s="345" t="s">
        <v>1279</v>
      </c>
      <c r="M134" s="345">
        <v>4</v>
      </c>
      <c r="N134" s="563">
        <f>O134+0.2</f>
        <v>1.25</v>
      </c>
      <c r="O134" s="345">
        <v>1.05</v>
      </c>
      <c r="P134" s="563">
        <f t="shared" si="15"/>
        <v>5</v>
      </c>
      <c r="Q134" s="345"/>
      <c r="R134" s="576"/>
      <c r="S134" s="577"/>
      <c r="T134" s="577" t="s">
        <v>1344</v>
      </c>
      <c r="U134" s="577">
        <v>5</v>
      </c>
      <c r="V134" s="563">
        <f>W134+0.2</f>
        <v>1.77</v>
      </c>
      <c r="W134" s="577">
        <v>1.57</v>
      </c>
      <c r="X134" s="563">
        <f t="shared" si="16"/>
        <v>8.85</v>
      </c>
      <c r="Z134" s="413"/>
    </row>
    <row r="135" spans="1:26" ht="15" thickBot="1" x14ac:dyDescent="0.3">
      <c r="A135" s="421"/>
      <c r="B135" s="408"/>
      <c r="C135" s="408"/>
      <c r="D135" s="427"/>
      <c r="L135" s="345"/>
      <c r="M135" s="345"/>
      <c r="N135" s="563"/>
      <c r="O135" s="345"/>
      <c r="P135" s="563">
        <f t="shared" si="15"/>
        <v>0</v>
      </c>
      <c r="Q135" s="345"/>
      <c r="R135" s="576"/>
      <c r="S135" s="577"/>
      <c r="T135" s="577"/>
      <c r="U135" s="577"/>
      <c r="V135" s="563"/>
      <c r="W135" s="577"/>
      <c r="X135" s="563">
        <f t="shared" si="16"/>
        <v>0</v>
      </c>
      <c r="Z135" s="413"/>
    </row>
    <row r="136" spans="1:26" ht="15" thickBot="1" x14ac:dyDescent="0.3">
      <c r="A136" s="421"/>
      <c r="B136" s="408"/>
      <c r="C136" s="408"/>
      <c r="D136" s="422"/>
      <c r="L136" s="345"/>
      <c r="M136" s="345"/>
      <c r="N136" s="563"/>
      <c r="O136" s="345"/>
      <c r="P136" s="563">
        <f t="shared" si="15"/>
        <v>0</v>
      </c>
      <c r="Q136" s="345"/>
      <c r="R136" s="576"/>
      <c r="S136" s="577"/>
      <c r="T136" s="577"/>
      <c r="U136" s="577"/>
      <c r="V136" s="582">
        <f>SUM(V130:V135)</f>
        <v>6.24</v>
      </c>
      <c r="W136" s="577"/>
      <c r="X136" s="662">
        <f>SUM(X130:X135)</f>
        <v>18.14</v>
      </c>
      <c r="Z136" s="413"/>
    </row>
    <row r="137" spans="1:26" ht="15" thickBot="1" x14ac:dyDescent="0.3">
      <c r="A137" s="421"/>
      <c r="B137" s="408"/>
      <c r="C137" s="408"/>
      <c r="D137" s="422"/>
      <c r="L137" s="345"/>
      <c r="M137" s="345"/>
      <c r="N137" s="582">
        <f>SUM(N130:N136)</f>
        <v>5.46</v>
      </c>
      <c r="O137" s="345"/>
      <c r="P137" s="662">
        <f>SUM(P130:P136)</f>
        <v>13.68</v>
      </c>
      <c r="Q137" s="345"/>
      <c r="R137" s="576"/>
      <c r="S137" s="577" t="s">
        <v>1276</v>
      </c>
      <c r="T137" s="577"/>
      <c r="U137" s="577"/>
      <c r="V137" s="577"/>
      <c r="W137" s="577"/>
      <c r="X137" s="563">
        <f t="shared" si="16"/>
        <v>0</v>
      </c>
      <c r="Z137" s="413"/>
    </row>
    <row r="138" spans="1:26" ht="14.4" x14ac:dyDescent="0.25">
      <c r="A138" s="421"/>
      <c r="B138" s="408"/>
      <c r="C138" s="408"/>
      <c r="D138" s="427"/>
      <c r="L138" s="345" t="s">
        <v>1253</v>
      </c>
      <c r="M138" s="345">
        <v>8</v>
      </c>
      <c r="N138" s="563">
        <f>O138+0.1</f>
        <v>0.92999999999999994</v>
      </c>
      <c r="O138" s="345">
        <v>0.83</v>
      </c>
      <c r="P138" s="563">
        <f t="shared" si="15"/>
        <v>7.4399999999999995</v>
      </c>
      <c r="Q138" s="345" t="s">
        <v>1274</v>
      </c>
      <c r="R138" s="576"/>
      <c r="S138" s="577"/>
      <c r="T138" s="577" t="s">
        <v>1340</v>
      </c>
      <c r="U138" s="577">
        <v>8</v>
      </c>
      <c r="V138" s="563">
        <f>W138+0.1</f>
        <v>0.92999999999999994</v>
      </c>
      <c r="W138" s="577">
        <v>0.83</v>
      </c>
      <c r="X138" s="563">
        <f t="shared" si="16"/>
        <v>7.4399999999999995</v>
      </c>
      <c r="Z138" s="413"/>
    </row>
    <row r="139" spans="1:26" ht="14.4" x14ac:dyDescent="0.25">
      <c r="A139" s="421"/>
      <c r="B139" s="408"/>
      <c r="C139" s="408"/>
      <c r="D139" s="427"/>
      <c r="L139" s="345" t="s">
        <v>1254</v>
      </c>
      <c r="M139" s="345">
        <v>5</v>
      </c>
      <c r="N139" s="563">
        <f>O139+0.2</f>
        <v>1.77</v>
      </c>
      <c r="O139" s="345">
        <v>1.57</v>
      </c>
      <c r="P139" s="563">
        <f t="shared" si="15"/>
        <v>8.85</v>
      </c>
      <c r="Q139" s="345"/>
      <c r="R139" s="576"/>
      <c r="S139" s="577"/>
      <c r="T139" s="577"/>
      <c r="U139" s="577"/>
      <c r="V139" s="563"/>
      <c r="W139" s="577"/>
      <c r="X139" s="563">
        <f t="shared" si="16"/>
        <v>0</v>
      </c>
      <c r="Z139" s="413"/>
    </row>
    <row r="140" spans="1:26" ht="14.4" x14ac:dyDescent="0.25">
      <c r="A140" s="421"/>
      <c r="B140" s="408"/>
      <c r="C140" s="408"/>
      <c r="D140" s="429"/>
      <c r="L140" s="345" t="s">
        <v>1278</v>
      </c>
      <c r="M140" s="345">
        <v>1</v>
      </c>
      <c r="N140" s="563">
        <f>O140+0.2</f>
        <v>1.51</v>
      </c>
      <c r="O140" s="345">
        <v>1.31</v>
      </c>
      <c r="P140" s="563">
        <f t="shared" si="15"/>
        <v>1.51</v>
      </c>
      <c r="Q140" s="345"/>
      <c r="R140" s="576"/>
      <c r="S140" s="577"/>
      <c r="T140" s="577" t="s">
        <v>1344</v>
      </c>
      <c r="U140" s="577">
        <v>4</v>
      </c>
      <c r="V140" s="563">
        <f>W140+0.2</f>
        <v>1.77</v>
      </c>
      <c r="W140" s="577">
        <v>1.57</v>
      </c>
      <c r="X140" s="563">
        <f t="shared" si="16"/>
        <v>7.08</v>
      </c>
      <c r="Z140" s="413"/>
    </row>
    <row r="141" spans="1:26" ht="14.4" x14ac:dyDescent="0.25">
      <c r="A141" s="421"/>
      <c r="B141" s="408"/>
      <c r="C141" s="408"/>
      <c r="D141" s="422"/>
      <c r="L141" s="345" t="s">
        <v>1257</v>
      </c>
      <c r="M141" s="345">
        <v>1</v>
      </c>
      <c r="N141" s="563">
        <f>O141+0.2</f>
        <v>1.38</v>
      </c>
      <c r="O141" s="345">
        <v>1.18</v>
      </c>
      <c r="P141" s="563">
        <f t="shared" si="15"/>
        <v>1.38</v>
      </c>
      <c r="Q141" s="345"/>
      <c r="R141" s="576"/>
      <c r="S141" s="577"/>
      <c r="T141" s="577"/>
      <c r="U141" s="577"/>
      <c r="V141" s="563"/>
      <c r="W141" s="577"/>
      <c r="X141" s="563">
        <f t="shared" si="16"/>
        <v>0</v>
      </c>
      <c r="Z141" s="413"/>
    </row>
    <row r="142" spans="1:26" ht="14.4" x14ac:dyDescent="0.25">
      <c r="A142" s="421"/>
      <c r="B142" s="408"/>
      <c r="C142" s="408"/>
      <c r="D142" s="422"/>
      <c r="L142" s="345" t="s">
        <v>1260</v>
      </c>
      <c r="M142" s="345">
        <v>7</v>
      </c>
      <c r="N142" s="563">
        <f>O142+0.2</f>
        <v>2.0300000000000002</v>
      </c>
      <c r="O142" s="345">
        <v>1.83</v>
      </c>
      <c r="P142" s="563">
        <f t="shared" si="15"/>
        <v>14.21</v>
      </c>
      <c r="Q142" s="345"/>
      <c r="R142" s="576"/>
      <c r="S142" s="577"/>
      <c r="T142" s="577" t="s">
        <v>1348</v>
      </c>
      <c r="U142" s="577">
        <v>1</v>
      </c>
      <c r="V142" s="563">
        <f>W142+0.2</f>
        <v>1.51</v>
      </c>
      <c r="W142" s="577">
        <v>1.31</v>
      </c>
      <c r="X142" s="563">
        <f t="shared" si="16"/>
        <v>1.51</v>
      </c>
      <c r="Z142" s="413"/>
    </row>
    <row r="143" spans="1:26" ht="14.4" x14ac:dyDescent="0.25">
      <c r="A143" s="421"/>
      <c r="B143" s="408"/>
      <c r="C143" s="408"/>
      <c r="D143" s="422"/>
      <c r="L143" s="345"/>
      <c r="M143" s="345"/>
      <c r="N143" s="563"/>
      <c r="O143" s="345"/>
      <c r="P143" s="345"/>
      <c r="Q143" s="345"/>
      <c r="R143" s="576"/>
      <c r="S143" s="577"/>
      <c r="T143" s="577"/>
      <c r="U143" s="577"/>
      <c r="V143" s="563"/>
      <c r="W143" s="577"/>
      <c r="X143" s="563">
        <f t="shared" si="16"/>
        <v>0</v>
      </c>
      <c r="Z143" s="413"/>
    </row>
    <row r="144" spans="1:26" ht="14.4" x14ac:dyDescent="0.25">
      <c r="A144" s="421"/>
      <c r="B144" s="408"/>
      <c r="C144" s="408"/>
      <c r="D144" s="422"/>
      <c r="L144" s="345"/>
      <c r="M144" s="345"/>
      <c r="N144" s="563"/>
      <c r="O144" s="345"/>
      <c r="P144" s="345"/>
      <c r="Q144" s="345"/>
      <c r="R144" s="576"/>
      <c r="S144" s="577"/>
      <c r="T144" s="577"/>
      <c r="U144" s="577"/>
      <c r="V144" s="563"/>
      <c r="W144" s="345"/>
      <c r="X144" s="563">
        <f t="shared" si="16"/>
        <v>0</v>
      </c>
      <c r="Z144" s="413"/>
    </row>
    <row r="145" spans="1:26" ht="14.4" x14ac:dyDescent="0.25">
      <c r="A145" s="421"/>
      <c r="B145" s="408"/>
      <c r="C145" s="408"/>
      <c r="D145" s="422"/>
      <c r="L145" s="345"/>
      <c r="M145" s="345"/>
      <c r="N145" s="563"/>
      <c r="O145" s="345"/>
      <c r="P145" s="345"/>
      <c r="Q145" s="345"/>
      <c r="R145" s="576"/>
      <c r="S145" s="577"/>
      <c r="T145" s="577" t="s">
        <v>1347</v>
      </c>
      <c r="U145" s="577">
        <v>2</v>
      </c>
      <c r="V145" s="563">
        <f>W145+0.2</f>
        <v>1.38</v>
      </c>
      <c r="W145" s="345">
        <v>1.18</v>
      </c>
      <c r="X145" s="563">
        <f t="shared" si="16"/>
        <v>2.76</v>
      </c>
      <c r="Z145" s="413"/>
    </row>
    <row r="146" spans="1:26" ht="15" thickBot="1" x14ac:dyDescent="0.3">
      <c r="A146" s="421"/>
      <c r="B146" s="408"/>
      <c r="C146" s="408"/>
      <c r="D146" s="427"/>
      <c r="L146" s="345"/>
      <c r="M146" s="345"/>
      <c r="N146" s="563"/>
      <c r="O146" s="345"/>
      <c r="P146" s="345"/>
      <c r="Q146" s="345"/>
      <c r="R146" s="576"/>
      <c r="S146" s="577"/>
      <c r="T146" s="577" t="s">
        <v>1342</v>
      </c>
      <c r="U146" s="577">
        <v>7</v>
      </c>
      <c r="V146" s="563">
        <f>W146+0.2</f>
        <v>2.0300000000000002</v>
      </c>
      <c r="W146" s="345">
        <v>1.83</v>
      </c>
      <c r="X146" s="563">
        <f t="shared" si="16"/>
        <v>14.21</v>
      </c>
      <c r="Z146" s="413"/>
    </row>
    <row r="147" spans="1:26" ht="15" thickBot="1" x14ac:dyDescent="0.3">
      <c r="A147" s="421"/>
      <c r="B147" s="408"/>
      <c r="C147" s="408"/>
      <c r="D147" s="422"/>
      <c r="L147" s="345"/>
      <c r="M147" s="345"/>
      <c r="N147" s="582">
        <f>SUM(N138:N146)</f>
        <v>7.62</v>
      </c>
      <c r="O147" s="345"/>
      <c r="P147" s="662">
        <f>SUM(P138:P146)</f>
        <v>33.39</v>
      </c>
      <c r="Q147" s="345"/>
      <c r="R147" s="576"/>
      <c r="S147" s="577"/>
      <c r="T147" s="577"/>
      <c r="U147" s="577"/>
      <c r="V147" s="582">
        <f>SUM(V138:V146)</f>
        <v>7.62</v>
      </c>
      <c r="W147" s="577"/>
      <c r="X147" s="662">
        <f>SUM(X138:X146)</f>
        <v>33</v>
      </c>
      <c r="Z147" s="413"/>
    </row>
    <row r="148" spans="1:26" ht="15" thickBot="1" x14ac:dyDescent="0.3">
      <c r="A148" s="421"/>
      <c r="B148" s="408"/>
      <c r="C148" s="408"/>
      <c r="D148" s="422"/>
      <c r="L148" s="345"/>
      <c r="M148" s="345"/>
      <c r="N148" s="345"/>
      <c r="O148" s="345"/>
      <c r="P148" s="345"/>
      <c r="Q148" s="345"/>
      <c r="R148" s="579"/>
      <c r="S148" s="580"/>
      <c r="T148" s="580"/>
      <c r="U148" s="580"/>
      <c r="V148" s="580"/>
      <c r="W148" s="580"/>
      <c r="X148" s="581"/>
      <c r="Z148" s="413"/>
    </row>
    <row r="149" spans="1:26" ht="14.4" x14ac:dyDescent="0.25">
      <c r="A149" s="421"/>
      <c r="B149" s="408"/>
      <c r="C149" s="408"/>
      <c r="D149" s="422"/>
      <c r="Z149" s="413"/>
    </row>
    <row r="150" spans="1:26" ht="14.4" x14ac:dyDescent="0.25">
      <c r="A150" s="421"/>
      <c r="B150" s="408"/>
      <c r="C150" s="408"/>
      <c r="D150" s="422"/>
      <c r="Z150" s="413"/>
    </row>
    <row r="151" spans="1:26" ht="14.4" x14ac:dyDescent="0.25">
      <c r="A151" s="421"/>
      <c r="B151" s="408"/>
      <c r="C151" s="408"/>
      <c r="D151" s="427"/>
      <c r="L151" s="413"/>
      <c r="M151" s="413"/>
      <c r="N151" s="413"/>
      <c r="O151" s="413"/>
      <c r="P151" s="413"/>
      <c r="Q151" s="413"/>
      <c r="R151" s="413"/>
      <c r="S151" s="413"/>
      <c r="T151" s="413"/>
      <c r="U151" s="413"/>
      <c r="V151" s="413"/>
      <c r="W151" s="413"/>
      <c r="X151" s="413"/>
      <c r="Y151" s="413"/>
      <c r="Z151" s="413"/>
    </row>
    <row r="152" spans="1:26" x14ac:dyDescent="0.25">
      <c r="A152" s="421"/>
      <c r="B152" s="408"/>
      <c r="C152" s="408"/>
      <c r="D152" s="427"/>
    </row>
    <row r="153" spans="1:26" x14ac:dyDescent="0.25">
      <c r="A153" s="421"/>
      <c r="B153" s="408"/>
      <c r="C153" s="408"/>
      <c r="D153" s="427"/>
    </row>
    <row r="154" spans="1:26" x14ac:dyDescent="0.25">
      <c r="A154" s="421"/>
      <c r="B154" s="408"/>
      <c r="C154" s="408"/>
      <c r="D154" s="422"/>
    </row>
    <row r="155" spans="1:26" x14ac:dyDescent="0.25">
      <c r="A155" s="421"/>
      <c r="B155" s="408"/>
      <c r="C155" s="408"/>
      <c r="D155" s="427"/>
    </row>
    <row r="156" spans="1:26" x14ac:dyDescent="0.25">
      <c r="A156" s="421"/>
      <c r="B156" s="408"/>
      <c r="C156" s="408"/>
      <c r="D156" s="427"/>
    </row>
    <row r="157" spans="1:26" x14ac:dyDescent="0.25">
      <c r="A157" s="421"/>
      <c r="B157" s="408"/>
      <c r="C157" s="408"/>
      <c r="D157" s="422"/>
    </row>
    <row r="158" spans="1:26" x14ac:dyDescent="0.25">
      <c r="A158" s="421"/>
      <c r="B158" s="408"/>
      <c r="C158" s="408"/>
      <c r="D158" s="427"/>
    </row>
    <row r="159" spans="1:26" x14ac:dyDescent="0.25">
      <c r="A159" s="421"/>
      <c r="B159" s="408"/>
      <c r="C159" s="408"/>
      <c r="D159" s="427"/>
    </row>
    <row r="160" spans="1:26" x14ac:dyDescent="0.25">
      <c r="A160" s="421"/>
      <c r="B160" s="408"/>
      <c r="C160" s="408"/>
      <c r="D160" s="422"/>
    </row>
    <row r="161" spans="1:4" x14ac:dyDescent="0.25">
      <c r="A161" s="421"/>
      <c r="B161" s="408"/>
      <c r="C161" s="408"/>
      <c r="D161" s="427"/>
    </row>
    <row r="162" spans="1:4" x14ac:dyDescent="0.25">
      <c r="A162" s="421"/>
      <c r="B162" s="408"/>
      <c r="C162" s="408"/>
      <c r="D162" s="422"/>
    </row>
    <row r="163" spans="1:4" x14ac:dyDescent="0.25">
      <c r="A163" s="421"/>
      <c r="B163" s="408"/>
      <c r="C163" s="408"/>
      <c r="D163" s="427"/>
    </row>
    <row r="164" spans="1:4" x14ac:dyDescent="0.25">
      <c r="A164" s="421"/>
      <c r="B164" s="408"/>
      <c r="C164" s="408"/>
      <c r="D164" s="427"/>
    </row>
    <row r="165" spans="1:4" x14ac:dyDescent="0.25">
      <c r="A165" s="421"/>
      <c r="B165" s="408"/>
      <c r="C165" s="408"/>
      <c r="D165" s="422"/>
    </row>
    <row r="166" spans="1:4" x14ac:dyDescent="0.25">
      <c r="A166" s="421"/>
      <c r="B166" s="408"/>
      <c r="C166" s="408"/>
      <c r="D166" s="422"/>
    </row>
    <row r="167" spans="1:4" x14ac:dyDescent="0.25">
      <c r="A167" s="421"/>
      <c r="B167" s="408"/>
      <c r="C167" s="408"/>
      <c r="D167" s="422"/>
    </row>
    <row r="168" spans="1:4" x14ac:dyDescent="0.25">
      <c r="A168" s="421"/>
      <c r="B168" s="408"/>
      <c r="C168" s="408"/>
      <c r="D168" s="427"/>
    </row>
    <row r="169" spans="1:4" x14ac:dyDescent="0.25">
      <c r="A169" s="421"/>
      <c r="B169" s="408"/>
      <c r="C169" s="408"/>
      <c r="D169" s="422"/>
    </row>
    <row r="170" spans="1:4" x14ac:dyDescent="0.25">
      <c r="A170" s="421"/>
      <c r="B170" s="408"/>
      <c r="C170" s="408"/>
      <c r="D170" s="427"/>
    </row>
    <row r="171" spans="1:4" x14ac:dyDescent="0.25">
      <c r="A171" s="421"/>
      <c r="B171" s="408"/>
      <c r="C171" s="408"/>
      <c r="D171" s="422"/>
    </row>
    <row r="172" spans="1:4" x14ac:dyDescent="0.25">
      <c r="A172" s="421"/>
      <c r="B172" s="408"/>
      <c r="C172" s="408"/>
      <c r="D172" s="422"/>
    </row>
    <row r="173" spans="1:4" x14ac:dyDescent="0.25">
      <c r="A173" s="421"/>
      <c r="B173" s="408"/>
      <c r="C173" s="408"/>
      <c r="D173" s="427"/>
    </row>
    <row r="174" spans="1:4" x14ac:dyDescent="0.25">
      <c r="A174" s="421"/>
      <c r="B174" s="408"/>
      <c r="C174" s="408"/>
      <c r="D174" s="422"/>
    </row>
    <row r="175" spans="1:4" x14ac:dyDescent="0.25">
      <c r="A175" s="421"/>
      <c r="B175" s="408"/>
      <c r="C175" s="408"/>
      <c r="D175" s="422"/>
    </row>
    <row r="176" spans="1:4" x14ac:dyDescent="0.25">
      <c r="A176" s="421"/>
      <c r="B176" s="408"/>
      <c r="C176" s="408"/>
      <c r="D176" s="427"/>
    </row>
    <row r="177" spans="1:4" x14ac:dyDescent="0.25">
      <c r="A177" s="421"/>
      <c r="B177" s="408"/>
      <c r="C177" s="408"/>
      <c r="D177" s="422"/>
    </row>
    <row r="178" spans="1:4" x14ac:dyDescent="0.25">
      <c r="A178" s="421"/>
      <c r="B178" s="408"/>
      <c r="C178" s="408"/>
      <c r="D178" s="422"/>
    </row>
    <row r="179" spans="1:4" x14ac:dyDescent="0.25">
      <c r="A179" s="421"/>
      <c r="B179" s="408"/>
      <c r="C179" s="408"/>
      <c r="D179" s="422"/>
    </row>
    <row r="180" spans="1:4" x14ac:dyDescent="0.25">
      <c r="A180" s="421"/>
      <c r="B180" s="408"/>
      <c r="C180" s="408"/>
      <c r="D180" s="422"/>
    </row>
    <row r="181" spans="1:4" x14ac:dyDescent="0.25">
      <c r="A181" s="421"/>
      <c r="B181" s="408"/>
      <c r="C181" s="408"/>
      <c r="D181" s="427"/>
    </row>
    <row r="182" spans="1:4" x14ac:dyDescent="0.25">
      <c r="A182" s="421"/>
      <c r="B182" s="408"/>
      <c r="C182" s="408"/>
      <c r="D182" s="427"/>
    </row>
    <row r="183" spans="1:4" x14ac:dyDescent="0.25">
      <c r="A183" s="421"/>
      <c r="B183" s="408"/>
      <c r="C183" s="408"/>
      <c r="D183" s="427"/>
    </row>
    <row r="184" spans="1:4" x14ac:dyDescent="0.25">
      <c r="A184" s="421"/>
      <c r="B184" s="408"/>
      <c r="C184" s="408"/>
      <c r="D184" s="422"/>
    </row>
    <row r="185" spans="1:4" x14ac:dyDescent="0.25">
      <c r="A185" s="421"/>
      <c r="B185" s="408"/>
      <c r="C185" s="408"/>
      <c r="D185" s="422"/>
    </row>
    <row r="186" spans="1:4" x14ac:dyDescent="0.25">
      <c r="A186" s="421"/>
      <c r="B186" s="408"/>
      <c r="C186" s="408"/>
      <c r="D186" s="422"/>
    </row>
    <row r="187" spans="1:4" x14ac:dyDescent="0.25">
      <c r="A187" s="421"/>
      <c r="B187" s="408"/>
      <c r="C187" s="408"/>
      <c r="D187" s="42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I40" workbookViewId="0">
      <selection activeCell="N58" sqref="N58"/>
    </sheetView>
  </sheetViews>
  <sheetFormatPr defaultRowHeight="14.4" x14ac:dyDescent="0.25"/>
  <cols>
    <col min="2" max="2" width="12.21875" customWidth="1"/>
  </cols>
  <sheetData>
    <row r="1" spans="1:20" x14ac:dyDescent="0.25">
      <c r="A1" s="288"/>
      <c r="B1" s="288" t="s">
        <v>1310</v>
      </c>
      <c r="C1" s="288"/>
      <c r="D1" s="288" t="s">
        <v>15</v>
      </c>
      <c r="E1" s="288"/>
      <c r="F1" s="288"/>
      <c r="G1" s="288"/>
      <c r="H1" s="288"/>
      <c r="I1" s="288"/>
      <c r="J1" s="288"/>
      <c r="K1" s="288"/>
    </row>
    <row r="2" spans="1:20" x14ac:dyDescent="0.25">
      <c r="A2" s="288"/>
      <c r="B2" s="289" t="s">
        <v>1275</v>
      </c>
      <c r="C2" s="288">
        <v>20</v>
      </c>
      <c r="D2" s="288">
        <v>0.75</v>
      </c>
      <c r="E2" s="288">
        <f>C2*D2</f>
        <v>15</v>
      </c>
      <c r="F2" s="288"/>
      <c r="G2" s="289" t="s">
        <v>1273</v>
      </c>
      <c r="H2" s="288">
        <v>20</v>
      </c>
      <c r="I2" s="288">
        <v>0.75</v>
      </c>
      <c r="J2" s="288">
        <f>H2*I2</f>
        <v>15</v>
      </c>
      <c r="K2" s="288"/>
      <c r="L2" s="289" t="s">
        <v>1276</v>
      </c>
      <c r="M2" s="288">
        <v>32</v>
      </c>
      <c r="N2" s="288">
        <v>0.75</v>
      </c>
      <c r="O2" s="288">
        <f>M2*N2</f>
        <v>24</v>
      </c>
      <c r="P2" s="288"/>
      <c r="Q2" s="289" t="s">
        <v>1274</v>
      </c>
      <c r="R2" s="288">
        <v>30</v>
      </c>
      <c r="S2" s="288">
        <v>0.75</v>
      </c>
      <c r="T2" s="288">
        <f t="shared" ref="T2:T9" si="0">R2*S2</f>
        <v>22.5</v>
      </c>
    </row>
    <row r="3" spans="1:20" x14ac:dyDescent="0.25">
      <c r="A3" s="288"/>
      <c r="B3" s="288"/>
      <c r="C3" s="288">
        <v>14</v>
      </c>
      <c r="D3" s="288">
        <v>0.57999999999999996</v>
      </c>
      <c r="E3" s="288">
        <f t="shared" ref="E3:E8" si="1">C3*D3</f>
        <v>8.1199999999999992</v>
      </c>
      <c r="F3" s="288"/>
      <c r="G3" s="288"/>
      <c r="H3" s="288">
        <v>28</v>
      </c>
      <c r="I3" s="288">
        <v>0.57999999999999996</v>
      </c>
      <c r="J3" s="288">
        <f>H3*I3</f>
        <v>16.239999999999998</v>
      </c>
      <c r="K3" s="288"/>
      <c r="M3" s="288">
        <v>26</v>
      </c>
      <c r="N3" s="288">
        <v>0.57999999999999996</v>
      </c>
      <c r="O3" s="288">
        <f>M3*N3</f>
        <v>15.079999999999998</v>
      </c>
      <c r="P3" s="288"/>
      <c r="Q3" s="288"/>
      <c r="R3" s="288">
        <v>4</v>
      </c>
      <c r="S3" s="288">
        <v>0.57999999999999996</v>
      </c>
      <c r="T3" s="288">
        <f t="shared" si="0"/>
        <v>2.3199999999999998</v>
      </c>
    </row>
    <row r="4" spans="1:20" x14ac:dyDescent="0.25">
      <c r="A4" s="288"/>
      <c r="B4" s="288"/>
      <c r="C4" s="288">
        <v>10</v>
      </c>
      <c r="D4" s="288">
        <v>0.8</v>
      </c>
      <c r="E4" s="288">
        <f t="shared" si="1"/>
        <v>8</v>
      </c>
      <c r="F4" s="288"/>
      <c r="G4" s="288"/>
      <c r="H4" s="288">
        <v>18</v>
      </c>
      <c r="I4" s="288">
        <v>0.8</v>
      </c>
      <c r="J4" s="288">
        <f>H4*I4</f>
        <v>14.4</v>
      </c>
      <c r="K4" s="288"/>
      <c r="M4" s="288">
        <v>21</v>
      </c>
      <c r="N4" s="288">
        <v>0.8</v>
      </c>
      <c r="O4" s="288">
        <f>M4*N4</f>
        <v>16.8</v>
      </c>
      <c r="P4" s="288"/>
      <c r="Q4" s="288"/>
      <c r="R4" s="288">
        <v>12</v>
      </c>
      <c r="S4" s="288">
        <v>0.8</v>
      </c>
      <c r="T4" s="288">
        <f t="shared" si="0"/>
        <v>9.6000000000000014</v>
      </c>
    </row>
    <row r="5" spans="1:20" x14ac:dyDescent="0.25">
      <c r="A5" s="288"/>
      <c r="B5" s="288"/>
      <c r="C5" s="288">
        <v>30</v>
      </c>
      <c r="D5" s="288">
        <v>0.27</v>
      </c>
      <c r="E5" s="288">
        <f t="shared" si="1"/>
        <v>8.1000000000000014</v>
      </c>
      <c r="F5" s="288"/>
      <c r="G5" s="288"/>
      <c r="H5" s="288">
        <v>20</v>
      </c>
      <c r="I5" s="288">
        <v>0.27</v>
      </c>
      <c r="J5" s="288">
        <f>H5*I5</f>
        <v>5.4</v>
      </c>
      <c r="K5" s="288"/>
      <c r="M5" s="288">
        <v>53</v>
      </c>
      <c r="N5" s="288">
        <v>0.27</v>
      </c>
      <c r="O5" s="288">
        <f>M5*N5</f>
        <v>14.31</v>
      </c>
      <c r="P5" s="288"/>
      <c r="Q5" s="288"/>
      <c r="R5" s="288">
        <v>30</v>
      </c>
      <c r="S5" s="288">
        <v>0.27</v>
      </c>
      <c r="T5" s="288">
        <f t="shared" si="0"/>
        <v>8.1000000000000014</v>
      </c>
    </row>
    <row r="6" spans="1:20" ht="15" thickBot="1" x14ac:dyDescent="0.3">
      <c r="A6" s="288"/>
      <c r="B6" s="288"/>
      <c r="C6" s="288">
        <v>32</v>
      </c>
      <c r="D6" s="288">
        <v>0.68</v>
      </c>
      <c r="E6" s="288">
        <f t="shared" si="1"/>
        <v>21.76</v>
      </c>
      <c r="F6" s="288"/>
      <c r="G6" s="288"/>
      <c r="H6" s="288">
        <v>46</v>
      </c>
      <c r="I6" s="288">
        <v>0.68</v>
      </c>
      <c r="J6" s="288">
        <f>H6*I6</f>
        <v>31.28</v>
      </c>
      <c r="K6" s="288"/>
      <c r="M6" s="288">
        <v>80</v>
      </c>
      <c r="N6" s="288">
        <v>0.68</v>
      </c>
      <c r="O6" s="288">
        <f>M6*N6</f>
        <v>54.400000000000006</v>
      </c>
      <c r="P6" s="288"/>
      <c r="Q6" s="288"/>
      <c r="R6" s="288">
        <v>48</v>
      </c>
      <c r="S6" s="288">
        <v>0.68</v>
      </c>
      <c r="T6" s="288">
        <f t="shared" si="0"/>
        <v>32.64</v>
      </c>
    </row>
    <row r="7" spans="1:20" ht="15" thickBot="1" x14ac:dyDescent="0.3">
      <c r="A7" s="288"/>
      <c r="B7" s="288"/>
      <c r="C7" s="288"/>
      <c r="D7" s="288"/>
      <c r="E7" s="410">
        <f>SUM(E2:E6)</f>
        <v>60.980000000000004</v>
      </c>
      <c r="F7" s="288"/>
      <c r="G7" s="288"/>
      <c r="H7" s="288"/>
      <c r="I7" s="288"/>
      <c r="J7" s="410">
        <f>SUM(J2:J6)</f>
        <v>82.32</v>
      </c>
      <c r="K7" s="288"/>
      <c r="L7" s="288"/>
      <c r="M7" s="288"/>
      <c r="N7" s="288"/>
      <c r="O7" s="410">
        <f>SUM(O2:O6)</f>
        <v>124.59</v>
      </c>
      <c r="P7" s="288"/>
      <c r="Q7" s="288"/>
      <c r="R7" s="288">
        <v>25</v>
      </c>
      <c r="S7">
        <v>0.57999999999999996</v>
      </c>
      <c r="T7" s="288">
        <f t="shared" si="0"/>
        <v>14.499999999999998</v>
      </c>
    </row>
    <row r="8" spans="1:20" x14ac:dyDescent="0.25">
      <c r="A8" s="288"/>
      <c r="B8" s="288"/>
      <c r="C8" s="288"/>
      <c r="D8" s="288"/>
      <c r="E8" s="288">
        <f t="shared" si="1"/>
        <v>0</v>
      </c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>
        <v>8</v>
      </c>
      <c r="S8">
        <v>0.8</v>
      </c>
      <c r="T8" s="288">
        <f t="shared" si="0"/>
        <v>6.4</v>
      </c>
    </row>
    <row r="9" spans="1:20" ht="15" thickBot="1" x14ac:dyDescent="0.3">
      <c r="A9" s="288"/>
      <c r="B9" s="288"/>
      <c r="C9" s="288"/>
      <c r="D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>
        <v>8</v>
      </c>
      <c r="S9">
        <v>0.27</v>
      </c>
      <c r="T9" s="288">
        <f t="shared" si="0"/>
        <v>2.16</v>
      </c>
    </row>
    <row r="10" spans="1:20" ht="15" thickBot="1" x14ac:dyDescent="0.3">
      <c r="A10" s="288"/>
      <c r="B10" s="288" t="s">
        <v>753</v>
      </c>
      <c r="C10" s="288"/>
      <c r="D10" s="288"/>
      <c r="E10" s="410">
        <f>SUM(E11:E18)</f>
        <v>149.13</v>
      </c>
      <c r="F10" s="288"/>
      <c r="G10" s="288"/>
      <c r="H10" s="288"/>
      <c r="I10" s="288"/>
      <c r="J10" s="288"/>
      <c r="K10" s="288"/>
      <c r="L10" s="289" t="s">
        <v>1276</v>
      </c>
      <c r="M10" s="288">
        <v>4</v>
      </c>
      <c r="N10" s="288">
        <v>11.63</v>
      </c>
      <c r="O10" s="288">
        <f>M10*N10</f>
        <v>46.52</v>
      </c>
      <c r="P10" s="288"/>
      <c r="Q10" s="289" t="s">
        <v>1274</v>
      </c>
      <c r="R10" s="288"/>
      <c r="T10" s="410">
        <f>SUM(T2:T9)</f>
        <v>98.22</v>
      </c>
    </row>
    <row r="11" spans="1:20" x14ac:dyDescent="0.25">
      <c r="A11" s="288"/>
      <c r="B11" s="289" t="s">
        <v>1275</v>
      </c>
      <c r="C11" s="288">
        <v>2</v>
      </c>
      <c r="D11" s="288">
        <v>9.5500000000000007</v>
      </c>
      <c r="E11" s="288">
        <f t="shared" ref="E11:E31" si="2">C11*D11</f>
        <v>19.100000000000001</v>
      </c>
      <c r="F11" s="288"/>
      <c r="G11" s="289" t="s">
        <v>1273</v>
      </c>
      <c r="H11" s="288">
        <v>4</v>
      </c>
      <c r="I11" s="288">
        <v>13.43</v>
      </c>
      <c r="J11" s="288">
        <f t="shared" ref="J11:J20" si="3">H11*I11</f>
        <v>53.72</v>
      </c>
      <c r="K11" s="288"/>
      <c r="L11" s="288"/>
      <c r="M11" s="288">
        <v>2</v>
      </c>
      <c r="N11" s="288">
        <v>10.25</v>
      </c>
      <c r="O11" s="288">
        <f>M11*N11</f>
        <v>20.5</v>
      </c>
      <c r="P11" s="288"/>
      <c r="Q11" s="288"/>
      <c r="R11" s="288"/>
    </row>
    <row r="12" spans="1:20" x14ac:dyDescent="0.25">
      <c r="A12" s="288"/>
      <c r="B12" s="289"/>
      <c r="C12" s="288">
        <v>4</v>
      </c>
      <c r="D12" s="288">
        <v>13.43</v>
      </c>
      <c r="E12" s="288">
        <f t="shared" si="2"/>
        <v>53.72</v>
      </c>
      <c r="F12" s="288"/>
      <c r="G12" s="288"/>
      <c r="H12" s="288">
        <v>2</v>
      </c>
      <c r="I12" s="288">
        <v>5.64</v>
      </c>
      <c r="J12" s="288">
        <f t="shared" si="3"/>
        <v>11.28</v>
      </c>
      <c r="K12" s="288"/>
      <c r="L12" s="288"/>
      <c r="M12" s="288">
        <v>4</v>
      </c>
      <c r="N12" s="288">
        <v>22.21</v>
      </c>
      <c r="O12" s="288">
        <f>M12*N12</f>
        <v>88.84</v>
      </c>
      <c r="P12" s="288"/>
      <c r="Q12" s="288"/>
      <c r="R12" s="288"/>
    </row>
    <row r="13" spans="1:20" x14ac:dyDescent="0.25">
      <c r="A13" s="288"/>
      <c r="B13" s="28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>
        <v>2</v>
      </c>
      <c r="S13">
        <v>11.39</v>
      </c>
      <c r="T13" s="288">
        <f t="shared" ref="T13:T18" si="4">R13*S13</f>
        <v>22.78</v>
      </c>
    </row>
    <row r="14" spans="1:20" x14ac:dyDescent="0.25">
      <c r="A14" s="288"/>
      <c r="B14" s="28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>
        <v>4</v>
      </c>
      <c r="S14">
        <v>22.21</v>
      </c>
      <c r="T14" s="288">
        <f t="shared" si="4"/>
        <v>88.84</v>
      </c>
    </row>
    <row r="15" spans="1:20" x14ac:dyDescent="0.25">
      <c r="A15" s="288"/>
      <c r="B15" s="28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>
        <v>8</v>
      </c>
      <c r="S15">
        <v>14.83</v>
      </c>
      <c r="T15" s="288">
        <f t="shared" si="4"/>
        <v>118.64</v>
      </c>
    </row>
    <row r="16" spans="1:20" ht="15" thickBot="1" x14ac:dyDescent="0.3">
      <c r="A16" s="288"/>
      <c r="B16" s="289"/>
      <c r="C16" s="288">
        <v>3</v>
      </c>
      <c r="D16" s="288">
        <v>15.87</v>
      </c>
      <c r="E16" s="288">
        <f t="shared" si="2"/>
        <v>47.61</v>
      </c>
      <c r="F16" s="288"/>
      <c r="G16" s="288"/>
      <c r="H16" s="288">
        <v>2</v>
      </c>
      <c r="I16" s="288">
        <v>8.77</v>
      </c>
      <c r="J16" s="288">
        <f t="shared" si="3"/>
        <v>17.54</v>
      </c>
      <c r="K16" s="288"/>
      <c r="L16" s="288"/>
      <c r="M16" s="288">
        <v>8</v>
      </c>
      <c r="N16" s="288">
        <v>14.47</v>
      </c>
      <c r="O16" s="288">
        <f>M16*N16</f>
        <v>115.76</v>
      </c>
      <c r="P16" s="288"/>
      <c r="Q16" s="288"/>
      <c r="R16" s="288">
        <v>2</v>
      </c>
      <c r="S16">
        <v>5.61</v>
      </c>
      <c r="T16" s="288">
        <f t="shared" si="4"/>
        <v>11.22</v>
      </c>
    </row>
    <row r="17" spans="1:20" ht="15" thickBot="1" x14ac:dyDescent="0.3">
      <c r="A17" s="288"/>
      <c r="B17" s="289"/>
      <c r="C17" s="288">
        <v>2</v>
      </c>
      <c r="D17" s="288">
        <v>8.9499999999999993</v>
      </c>
      <c r="E17" s="288">
        <f t="shared" si="2"/>
        <v>17.899999999999999</v>
      </c>
      <c r="F17" s="288"/>
      <c r="G17" s="288"/>
      <c r="H17" s="288">
        <v>2</v>
      </c>
      <c r="I17" s="288">
        <v>12.13</v>
      </c>
      <c r="J17" s="288">
        <f t="shared" si="3"/>
        <v>24.26</v>
      </c>
      <c r="K17" s="288"/>
      <c r="L17" s="288"/>
      <c r="O17" s="410">
        <f>SUM(O10:O16)</f>
        <v>271.62</v>
      </c>
      <c r="P17" s="288"/>
      <c r="Q17" s="288"/>
      <c r="R17" s="288">
        <v>2</v>
      </c>
      <c r="S17">
        <v>7.47</v>
      </c>
      <c r="T17" s="288">
        <f t="shared" si="4"/>
        <v>14.94</v>
      </c>
    </row>
    <row r="18" spans="1:20" ht="15" thickBot="1" x14ac:dyDescent="0.3">
      <c r="A18" s="288"/>
      <c r="B18" s="289"/>
      <c r="C18" s="288">
        <v>2</v>
      </c>
      <c r="D18" s="288">
        <v>5.4</v>
      </c>
      <c r="E18" s="288">
        <f t="shared" si="2"/>
        <v>10.8</v>
      </c>
      <c r="F18" s="288"/>
      <c r="G18" s="288"/>
      <c r="H18" s="288">
        <v>2</v>
      </c>
      <c r="I18" s="288">
        <v>10.83</v>
      </c>
      <c r="J18" s="288">
        <f t="shared" si="3"/>
        <v>21.66</v>
      </c>
      <c r="K18" s="288"/>
      <c r="L18" s="288"/>
      <c r="M18" s="288">
        <v>86</v>
      </c>
      <c r="N18" s="288">
        <v>0.04</v>
      </c>
      <c r="O18" s="288">
        <f>M18*N18</f>
        <v>3.44</v>
      </c>
      <c r="P18" s="288"/>
      <c r="Q18" s="288"/>
      <c r="R18" s="288">
        <v>2</v>
      </c>
      <c r="S18">
        <v>14.47</v>
      </c>
      <c r="T18" s="288">
        <f t="shared" si="4"/>
        <v>28.94</v>
      </c>
    </row>
    <row r="19" spans="1:20" ht="15" thickBot="1" x14ac:dyDescent="0.3">
      <c r="A19" s="288"/>
      <c r="B19" s="289"/>
      <c r="C19" s="288">
        <v>108</v>
      </c>
      <c r="D19" s="288">
        <v>0.04</v>
      </c>
      <c r="E19" s="288">
        <f t="shared" si="2"/>
        <v>4.32</v>
      </c>
      <c r="F19" s="288"/>
      <c r="G19" s="288"/>
      <c r="H19" s="288">
        <v>1</v>
      </c>
      <c r="I19" s="288">
        <v>14.47</v>
      </c>
      <c r="J19" s="288">
        <f t="shared" si="3"/>
        <v>14.47</v>
      </c>
      <c r="K19" s="288"/>
      <c r="L19" s="288"/>
      <c r="M19" s="288">
        <v>18</v>
      </c>
      <c r="N19" s="288">
        <v>0.03</v>
      </c>
      <c r="O19" s="288">
        <f>M19*N19</f>
        <v>0.54</v>
      </c>
      <c r="P19" s="288"/>
      <c r="Q19" s="288"/>
      <c r="R19" s="288"/>
      <c r="T19" s="410">
        <f>SUM(T13:T18)</f>
        <v>285.36</v>
      </c>
    </row>
    <row r="20" spans="1:20" ht="15" thickBot="1" x14ac:dyDescent="0.3">
      <c r="A20" s="288"/>
      <c r="B20" s="289"/>
      <c r="C20" s="288"/>
      <c r="D20" s="288"/>
      <c r="E20" s="288">
        <f t="shared" si="2"/>
        <v>0</v>
      </c>
      <c r="F20" s="288"/>
      <c r="G20" s="288"/>
      <c r="H20" s="288">
        <v>3</v>
      </c>
      <c r="I20" s="288">
        <v>15.87</v>
      </c>
      <c r="J20" s="288">
        <f t="shared" si="3"/>
        <v>47.61</v>
      </c>
      <c r="K20" s="288"/>
      <c r="L20" s="288"/>
      <c r="M20" s="288">
        <v>28</v>
      </c>
      <c r="N20" s="288">
        <v>0.03</v>
      </c>
      <c r="O20" s="288">
        <f>M20*N20</f>
        <v>0.84</v>
      </c>
      <c r="P20" s="288"/>
      <c r="Q20" s="288"/>
      <c r="R20" s="288"/>
    </row>
    <row r="21" spans="1:20" ht="15" thickBot="1" x14ac:dyDescent="0.3">
      <c r="A21" s="288"/>
      <c r="B21" s="289"/>
      <c r="C21" s="288">
        <v>8</v>
      </c>
      <c r="D21" s="288">
        <v>14.47</v>
      </c>
      <c r="E21" s="288">
        <f t="shared" si="2"/>
        <v>115.76</v>
      </c>
      <c r="F21" s="288"/>
      <c r="G21" s="288"/>
      <c r="H21" s="288"/>
      <c r="I21" s="288"/>
      <c r="J21" s="410">
        <f>SUM(J11:J20)</f>
        <v>190.54000000000002</v>
      </c>
      <c r="K21" s="288"/>
      <c r="L21" s="288"/>
      <c r="M21" s="288"/>
      <c r="N21" s="288"/>
      <c r="O21" s="410">
        <f>SUM(O18:O20)</f>
        <v>4.82</v>
      </c>
      <c r="P21" s="288"/>
      <c r="Q21" s="288"/>
      <c r="R21" s="288"/>
    </row>
    <row r="22" spans="1:20" x14ac:dyDescent="0.25">
      <c r="A22" s="288"/>
      <c r="B22" s="289"/>
      <c r="C22" s="288">
        <v>2</v>
      </c>
      <c r="D22" s="288">
        <v>14.91</v>
      </c>
      <c r="E22" s="288">
        <f t="shared" si="2"/>
        <v>29.82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</row>
    <row r="23" spans="1:20" x14ac:dyDescent="0.25">
      <c r="A23" s="288"/>
      <c r="B23" s="289"/>
      <c r="C23" s="288">
        <v>2</v>
      </c>
      <c r="D23" s="288">
        <v>11.63</v>
      </c>
      <c r="E23" s="288">
        <f t="shared" si="2"/>
        <v>23.26</v>
      </c>
      <c r="F23" s="288"/>
      <c r="G23" s="288"/>
      <c r="H23" s="288"/>
      <c r="I23" s="288" t="s">
        <v>1356</v>
      </c>
      <c r="J23" s="288"/>
      <c r="K23" s="288"/>
      <c r="L23" s="288"/>
      <c r="M23" s="288"/>
      <c r="N23" s="288"/>
      <c r="O23" s="288"/>
      <c r="P23" s="288"/>
      <c r="Q23" s="288"/>
      <c r="R23" s="288"/>
    </row>
    <row r="24" spans="1:20" x14ac:dyDescent="0.25">
      <c r="A24" s="288"/>
      <c r="B24" s="289"/>
      <c r="C24" s="288">
        <v>2</v>
      </c>
      <c r="D24" s="288">
        <v>10.25</v>
      </c>
      <c r="E24" s="288">
        <f t="shared" si="2"/>
        <v>20.5</v>
      </c>
      <c r="F24" s="288"/>
      <c r="G24" s="288"/>
      <c r="H24" s="288"/>
      <c r="I24" s="563" t="s">
        <v>1276</v>
      </c>
      <c r="J24" s="288"/>
      <c r="K24" s="288">
        <v>175</v>
      </c>
      <c r="L24" s="288">
        <v>0.87</v>
      </c>
      <c r="M24" s="288">
        <f t="shared" ref="M24:M29" si="5">K24*L24</f>
        <v>152.25</v>
      </c>
      <c r="N24" s="288"/>
      <c r="O24" s="288"/>
      <c r="P24" s="288"/>
      <c r="Q24" s="288"/>
      <c r="R24" s="288"/>
    </row>
    <row r="25" spans="1:20" x14ac:dyDescent="0.25">
      <c r="A25" s="288"/>
      <c r="B25" s="289"/>
      <c r="C25" s="288">
        <v>4</v>
      </c>
      <c r="D25" s="288">
        <v>22.4</v>
      </c>
      <c r="E25" s="288">
        <f t="shared" si="2"/>
        <v>89.6</v>
      </c>
      <c r="F25" s="288"/>
      <c r="G25" s="288"/>
      <c r="H25" s="288"/>
      <c r="I25" s="288"/>
      <c r="J25" s="288"/>
      <c r="K25" s="288">
        <v>78</v>
      </c>
      <c r="L25" s="288">
        <v>0.87</v>
      </c>
      <c r="M25" s="288">
        <f t="shared" si="5"/>
        <v>67.86</v>
      </c>
      <c r="N25" s="288"/>
      <c r="O25" s="288"/>
      <c r="P25" s="288"/>
      <c r="Q25" s="288"/>
      <c r="R25" s="288"/>
    </row>
    <row r="26" spans="1:20" x14ac:dyDescent="0.25">
      <c r="A26" s="288"/>
      <c r="B26" s="289"/>
      <c r="C26" s="288">
        <v>2</v>
      </c>
      <c r="D26" s="288">
        <v>7.37</v>
      </c>
      <c r="E26" s="288">
        <f t="shared" si="2"/>
        <v>14.74</v>
      </c>
      <c r="F26" s="288"/>
      <c r="G26" s="288"/>
      <c r="H26" s="288"/>
      <c r="I26" s="288"/>
      <c r="J26" s="288"/>
      <c r="K26" s="288">
        <v>17</v>
      </c>
      <c r="L26" s="288">
        <v>2.5499999999999998</v>
      </c>
      <c r="M26" s="288">
        <f t="shared" si="5"/>
        <v>43.349999999999994</v>
      </c>
      <c r="N26" s="288"/>
      <c r="O26" s="288"/>
      <c r="P26" s="288"/>
      <c r="Q26" s="288"/>
      <c r="R26" s="288"/>
    </row>
    <row r="27" spans="1:20" x14ac:dyDescent="0.25">
      <c r="A27" s="288"/>
      <c r="B27" s="288"/>
      <c r="C27" s="288"/>
      <c r="D27" s="288"/>
      <c r="E27" s="288"/>
      <c r="F27" s="288"/>
      <c r="G27" s="288"/>
      <c r="H27" s="288"/>
      <c r="I27" s="288"/>
      <c r="J27" s="288"/>
      <c r="K27" s="288">
        <v>2</v>
      </c>
      <c r="L27" s="288">
        <v>1.22</v>
      </c>
      <c r="M27" s="288">
        <f t="shared" si="5"/>
        <v>2.44</v>
      </c>
      <c r="N27" s="288"/>
      <c r="O27" s="288"/>
      <c r="P27" s="288"/>
      <c r="Q27" s="288"/>
      <c r="R27" s="288"/>
    </row>
    <row r="28" spans="1:20" x14ac:dyDescent="0.25">
      <c r="A28" s="288"/>
      <c r="B28" s="288"/>
      <c r="C28" s="288">
        <v>146</v>
      </c>
      <c r="D28" s="288">
        <v>0.04</v>
      </c>
      <c r="E28" s="288">
        <f t="shared" si="2"/>
        <v>5.84</v>
      </c>
      <c r="F28" s="288"/>
      <c r="G28" s="288"/>
      <c r="H28" s="288"/>
      <c r="I28" s="288"/>
      <c r="J28" s="288" t="s">
        <v>1359</v>
      </c>
      <c r="K28" s="288">
        <v>28</v>
      </c>
      <c r="L28" s="288">
        <v>15.44</v>
      </c>
      <c r="M28" s="288">
        <f t="shared" si="5"/>
        <v>432.32</v>
      </c>
      <c r="N28" s="288"/>
      <c r="O28" s="288"/>
      <c r="P28" s="288"/>
      <c r="Q28" s="288"/>
      <c r="R28" s="288"/>
    </row>
    <row r="29" spans="1:20" ht="15" thickBot="1" x14ac:dyDescent="0.3">
      <c r="A29" s="288"/>
      <c r="B29" s="288"/>
      <c r="C29" s="288">
        <v>38</v>
      </c>
      <c r="D29" s="288">
        <v>0.03</v>
      </c>
      <c r="E29" s="288">
        <f t="shared" si="2"/>
        <v>1.1399999999999999</v>
      </c>
      <c r="F29" s="288"/>
      <c r="G29" s="288"/>
      <c r="H29" s="288"/>
      <c r="I29" s="288"/>
      <c r="J29" s="288" t="s">
        <v>1358</v>
      </c>
      <c r="K29" s="288">
        <v>40</v>
      </c>
      <c r="L29" s="288">
        <v>15.44</v>
      </c>
      <c r="M29" s="288">
        <f t="shared" si="5"/>
        <v>617.6</v>
      </c>
      <c r="N29" s="288"/>
      <c r="O29" s="288"/>
      <c r="P29" s="288"/>
      <c r="Q29" s="288"/>
      <c r="R29" s="288"/>
    </row>
    <row r="30" spans="1:20" ht="15" thickBot="1" x14ac:dyDescent="0.3">
      <c r="A30" s="288"/>
      <c r="B30" s="288"/>
      <c r="C30" s="288">
        <v>58</v>
      </c>
      <c r="D30" s="288">
        <v>0.03</v>
      </c>
      <c r="E30" s="288">
        <f t="shared" si="2"/>
        <v>1.74</v>
      </c>
      <c r="F30" s="288"/>
      <c r="G30" s="288"/>
      <c r="H30" s="288"/>
      <c r="I30" s="288"/>
      <c r="J30" s="288"/>
      <c r="K30" s="288"/>
      <c r="L30" s="288"/>
      <c r="M30" s="410">
        <f>SUM(M24:M29)</f>
        <v>1315.8200000000002</v>
      </c>
      <c r="N30" s="288"/>
      <c r="O30" s="288"/>
      <c r="P30" s="288"/>
      <c r="Q30" s="288"/>
      <c r="R30" s="288"/>
    </row>
    <row r="31" spans="1:20" x14ac:dyDescent="0.25">
      <c r="A31" s="288"/>
      <c r="B31" s="288"/>
      <c r="C31" s="288">
        <v>16</v>
      </c>
      <c r="D31" s="288">
        <v>0.04</v>
      </c>
      <c r="E31" s="288">
        <f t="shared" si="2"/>
        <v>0.64</v>
      </c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20" x14ac:dyDescent="0.25">
      <c r="A32" s="288"/>
      <c r="B32" s="288"/>
      <c r="C32" s="288"/>
      <c r="D32" s="288"/>
      <c r="E32" s="288"/>
      <c r="F32" s="288"/>
      <c r="G32" s="288">
        <f>E11+E12+E16+E17+E18+E21+E22+E23+E24+E25+E26</f>
        <v>442.80999999999995</v>
      </c>
      <c r="H32" s="288"/>
      <c r="I32" s="605" t="s">
        <v>1273</v>
      </c>
      <c r="J32" s="288"/>
      <c r="K32" s="288">
        <v>36</v>
      </c>
      <c r="L32" s="532">
        <v>0.87</v>
      </c>
      <c r="M32" s="288">
        <f t="shared" ref="M32:M39" si="6">K32*L32</f>
        <v>31.32</v>
      </c>
      <c r="R32" s="288"/>
    </row>
    <row r="33" spans="1:18" x14ac:dyDescent="0.25">
      <c r="A33" s="288"/>
      <c r="B33" s="288"/>
      <c r="C33" s="288"/>
      <c r="D33" s="288"/>
      <c r="E33" s="288">
        <f>SUM(E11:E31)</f>
        <v>456.48999999999995</v>
      </c>
      <c r="F33" s="288"/>
      <c r="G33" s="288">
        <f>E19+E28+E29+E30+E31</f>
        <v>13.680000000000001</v>
      </c>
      <c r="H33" s="288"/>
      <c r="I33" s="288"/>
      <c r="J33" s="288"/>
      <c r="K33" s="288">
        <v>39</v>
      </c>
      <c r="L33" s="532">
        <v>0.87</v>
      </c>
      <c r="M33" s="288">
        <f t="shared" si="6"/>
        <v>33.93</v>
      </c>
      <c r="R33" s="288"/>
    </row>
    <row r="34" spans="1:18" x14ac:dyDescent="0.25">
      <c r="A34" s="288"/>
      <c r="B34" s="288"/>
      <c r="C34" s="288"/>
      <c r="D34" s="288"/>
      <c r="E34" s="288"/>
      <c r="F34" s="288"/>
      <c r="G34" s="288"/>
      <c r="H34" s="288"/>
      <c r="I34" s="288"/>
      <c r="J34" s="288"/>
      <c r="K34" s="288">
        <v>13</v>
      </c>
      <c r="L34" s="532">
        <v>1.61</v>
      </c>
      <c r="M34" s="288">
        <f t="shared" si="6"/>
        <v>20.93</v>
      </c>
      <c r="R34" s="288"/>
    </row>
    <row r="35" spans="1:18" x14ac:dyDescent="0.25">
      <c r="A35" s="288"/>
      <c r="B35" s="288"/>
      <c r="C35" s="288"/>
      <c r="D35" s="288"/>
      <c r="E35" s="288"/>
      <c r="F35" s="288"/>
      <c r="G35" s="288"/>
      <c r="H35" s="288"/>
      <c r="I35" s="288"/>
      <c r="J35" s="288"/>
      <c r="K35" s="288">
        <v>3</v>
      </c>
      <c r="L35" s="532">
        <v>3.12</v>
      </c>
      <c r="M35" s="288">
        <f t="shared" si="6"/>
        <v>9.36</v>
      </c>
    </row>
    <row r="36" spans="1:18" x14ac:dyDescent="0.25">
      <c r="B36" s="288"/>
      <c r="C36" s="288"/>
      <c r="D36" s="288"/>
      <c r="K36">
        <v>24</v>
      </c>
      <c r="L36" s="532">
        <v>1.7</v>
      </c>
      <c r="M36" s="288">
        <f t="shared" si="6"/>
        <v>40.799999999999997</v>
      </c>
    </row>
    <row r="37" spans="1:18" x14ac:dyDescent="0.25">
      <c r="B37" s="288"/>
      <c r="C37" s="288"/>
      <c r="D37" s="288"/>
      <c r="K37" s="288">
        <v>105</v>
      </c>
      <c r="L37" s="532">
        <v>0.87</v>
      </c>
      <c r="M37" s="288">
        <f t="shared" si="6"/>
        <v>91.35</v>
      </c>
    </row>
    <row r="38" spans="1:18" x14ac:dyDescent="0.25">
      <c r="B38" s="288"/>
      <c r="C38" s="288"/>
      <c r="D38" s="288"/>
      <c r="K38" s="288">
        <v>66</v>
      </c>
      <c r="L38" s="532">
        <v>0.87</v>
      </c>
      <c r="M38" s="288">
        <f t="shared" si="6"/>
        <v>57.42</v>
      </c>
    </row>
    <row r="39" spans="1:18" ht="15" thickBot="1" x14ac:dyDescent="0.3">
      <c r="B39" s="288"/>
      <c r="D39" s="288"/>
      <c r="K39" s="288">
        <v>16</v>
      </c>
      <c r="L39" s="532">
        <v>15.08</v>
      </c>
      <c r="M39" s="288">
        <f t="shared" si="6"/>
        <v>241.28</v>
      </c>
    </row>
    <row r="40" spans="1:18" ht="15" thickBot="1" x14ac:dyDescent="0.3">
      <c r="B40" s="288"/>
      <c r="C40" s="288"/>
      <c r="D40" s="288"/>
      <c r="M40" s="627">
        <f>SUM(M32:M39)</f>
        <v>526.39</v>
      </c>
    </row>
    <row r="41" spans="1:18" x14ac:dyDescent="0.25">
      <c r="B41" s="288"/>
      <c r="D41" s="288"/>
    </row>
    <row r="42" spans="1:18" x14ac:dyDescent="0.25">
      <c r="B42" s="288"/>
      <c r="C42" s="288"/>
      <c r="D42" s="288"/>
      <c r="I42" s="621" t="s">
        <v>1274</v>
      </c>
      <c r="J42" s="288"/>
      <c r="K42" s="288">
        <v>168</v>
      </c>
      <c r="L42" s="288">
        <v>0.87</v>
      </c>
      <c r="M42" s="288">
        <f t="shared" ref="M42:M48" si="7">K42*L42</f>
        <v>146.16</v>
      </c>
      <c r="N42" s="288"/>
      <c r="O42" s="288"/>
      <c r="P42" s="288"/>
    </row>
    <row r="43" spans="1:18" x14ac:dyDescent="0.25">
      <c r="B43" s="288"/>
      <c r="D43" s="288"/>
      <c r="J43" s="288"/>
      <c r="K43" s="288">
        <v>78</v>
      </c>
      <c r="L43" s="288">
        <v>0.87</v>
      </c>
      <c r="M43" s="288">
        <f t="shared" si="7"/>
        <v>67.86</v>
      </c>
      <c r="N43" s="288"/>
      <c r="O43" s="288"/>
      <c r="P43" s="288"/>
    </row>
    <row r="44" spans="1:18" x14ac:dyDescent="0.25">
      <c r="B44" s="288"/>
      <c r="C44" s="288"/>
      <c r="D44" s="288"/>
      <c r="J44" s="288"/>
      <c r="K44" s="288">
        <v>41</v>
      </c>
      <c r="L44" s="288">
        <v>15.44</v>
      </c>
      <c r="M44" s="288">
        <f t="shared" si="7"/>
        <v>633.04</v>
      </c>
      <c r="N44" s="288"/>
      <c r="O44" s="288"/>
      <c r="P44" s="288"/>
    </row>
    <row r="45" spans="1:18" x14ac:dyDescent="0.25">
      <c r="C45" s="288"/>
      <c r="D45" s="288"/>
      <c r="J45" s="288"/>
      <c r="K45" s="288">
        <v>28</v>
      </c>
      <c r="L45" s="288">
        <v>15.42</v>
      </c>
      <c r="M45" s="288">
        <f t="shared" si="7"/>
        <v>431.76</v>
      </c>
      <c r="N45" s="288"/>
      <c r="O45" s="288"/>
      <c r="P45" s="288"/>
    </row>
    <row r="46" spans="1:18" x14ac:dyDescent="0.25">
      <c r="C46" s="288"/>
      <c r="D46" s="288"/>
      <c r="J46" s="288"/>
      <c r="K46" s="288">
        <v>19</v>
      </c>
      <c r="L46" s="288">
        <v>2.5499999999999998</v>
      </c>
      <c r="M46" s="288">
        <f t="shared" si="7"/>
        <v>48.449999999999996</v>
      </c>
      <c r="N46" s="288"/>
      <c r="O46" s="288"/>
      <c r="P46" s="288"/>
    </row>
    <row r="47" spans="1:18" x14ac:dyDescent="0.25">
      <c r="C47" s="288"/>
      <c r="D47" s="288"/>
      <c r="J47" s="288"/>
      <c r="K47" s="288">
        <v>7</v>
      </c>
      <c r="L47" s="288">
        <v>3.12</v>
      </c>
      <c r="M47" s="288">
        <f t="shared" si="7"/>
        <v>21.84</v>
      </c>
      <c r="N47" s="288"/>
      <c r="O47" s="288"/>
      <c r="P47" s="288"/>
    </row>
    <row r="48" spans="1:18" ht="15" thickBot="1" x14ac:dyDescent="0.3">
      <c r="C48" s="288"/>
      <c r="J48" s="288"/>
      <c r="K48" s="288">
        <v>2</v>
      </c>
      <c r="L48" s="288">
        <v>1.22</v>
      </c>
      <c r="M48" s="288">
        <f t="shared" si="7"/>
        <v>2.44</v>
      </c>
      <c r="N48" s="288"/>
      <c r="O48" s="288"/>
      <c r="P48" s="288"/>
    </row>
    <row r="49" spans="3:16" ht="15" thickBot="1" x14ac:dyDescent="0.3">
      <c r="C49" s="288"/>
      <c r="J49" s="288"/>
      <c r="K49" s="288"/>
      <c r="L49" s="288"/>
      <c r="M49" s="622">
        <f>SUM(M42:M48)</f>
        <v>1351.55</v>
      </c>
      <c r="N49" s="288"/>
      <c r="O49" s="288"/>
      <c r="P49" s="288"/>
    </row>
    <row r="50" spans="3:16" x14ac:dyDescent="0.25">
      <c r="C50" s="288"/>
      <c r="J50" s="288"/>
      <c r="K50" s="288"/>
      <c r="L50" s="288"/>
      <c r="M50" s="288"/>
      <c r="N50" s="288"/>
      <c r="O50" s="288"/>
      <c r="P50" s="288"/>
    </row>
    <row r="51" spans="3:16" x14ac:dyDescent="0.25">
      <c r="C51" s="288"/>
      <c r="I51" s="606" t="s">
        <v>1275</v>
      </c>
      <c r="J51" s="288"/>
      <c r="K51" s="288">
        <v>101</v>
      </c>
      <c r="L51" s="288">
        <v>0.87</v>
      </c>
      <c r="M51" s="288">
        <f t="shared" ref="M51:M57" si="8">K51*L51</f>
        <v>87.87</v>
      </c>
      <c r="N51" s="288"/>
      <c r="O51" s="288"/>
      <c r="P51" s="288"/>
    </row>
    <row r="52" spans="3:16" x14ac:dyDescent="0.25">
      <c r="C52" s="288"/>
      <c r="J52" s="288"/>
      <c r="K52" s="288">
        <v>21</v>
      </c>
      <c r="L52" s="288">
        <v>0.87</v>
      </c>
      <c r="M52" s="288">
        <f t="shared" si="8"/>
        <v>18.27</v>
      </c>
      <c r="N52" s="288"/>
      <c r="O52" s="288"/>
      <c r="P52" s="288"/>
    </row>
    <row r="53" spans="3:16" x14ac:dyDescent="0.25">
      <c r="C53" s="288"/>
      <c r="J53" s="288"/>
      <c r="K53" s="288">
        <v>8</v>
      </c>
      <c r="L53" s="288">
        <v>3.33</v>
      </c>
      <c r="M53" s="288">
        <f t="shared" si="8"/>
        <v>26.64</v>
      </c>
      <c r="N53" s="288"/>
      <c r="O53" s="288"/>
      <c r="P53" s="288"/>
    </row>
    <row r="54" spans="3:16" x14ac:dyDescent="0.25">
      <c r="J54" s="288"/>
      <c r="K54" s="288">
        <v>16</v>
      </c>
      <c r="L54" s="288">
        <v>1.7</v>
      </c>
      <c r="M54" s="288">
        <f t="shared" si="8"/>
        <v>27.2</v>
      </c>
      <c r="N54" s="288"/>
      <c r="O54" s="288"/>
      <c r="P54" s="288"/>
    </row>
    <row r="55" spans="3:16" x14ac:dyDescent="0.25">
      <c r="J55" s="288"/>
      <c r="K55" s="288">
        <v>10</v>
      </c>
      <c r="L55" s="288">
        <v>16.7</v>
      </c>
      <c r="M55" s="288">
        <f t="shared" si="8"/>
        <v>167</v>
      </c>
      <c r="N55" s="288"/>
      <c r="O55" s="288"/>
      <c r="P55" s="288"/>
    </row>
    <row r="56" spans="3:16" x14ac:dyDescent="0.25">
      <c r="J56" s="288"/>
      <c r="K56" s="288">
        <v>12</v>
      </c>
      <c r="L56" s="288">
        <v>1.74</v>
      </c>
      <c r="M56" s="288">
        <f t="shared" si="8"/>
        <v>20.88</v>
      </c>
      <c r="N56" s="288"/>
      <c r="O56" s="288"/>
      <c r="P56" s="288"/>
    </row>
    <row r="57" spans="3:16" ht="15" thickBot="1" x14ac:dyDescent="0.3">
      <c r="J57" s="288"/>
      <c r="K57" s="288">
        <v>10</v>
      </c>
      <c r="L57" s="288">
        <v>0.16</v>
      </c>
      <c r="M57" s="288">
        <f t="shared" si="8"/>
        <v>1.6</v>
      </c>
      <c r="N57" s="288"/>
      <c r="O57" s="288"/>
      <c r="P57" s="288"/>
    </row>
    <row r="58" spans="3:16" ht="15" thickBot="1" x14ac:dyDescent="0.3">
      <c r="J58" s="288"/>
      <c r="K58" s="288"/>
      <c r="L58" s="288"/>
      <c r="M58" s="628">
        <f>SUM(M51:M57)</f>
        <v>349.46000000000004</v>
      </c>
      <c r="N58" s="288"/>
      <c r="O58" s="288"/>
      <c r="P58" s="288"/>
    </row>
    <row r="59" spans="3:16" x14ac:dyDescent="0.25">
      <c r="J59" s="288"/>
      <c r="K59" s="288"/>
      <c r="L59" s="288"/>
      <c r="M59" s="288"/>
      <c r="N59" s="288"/>
      <c r="O59" s="288"/>
      <c r="P59" s="288"/>
    </row>
    <row r="60" spans="3:16" x14ac:dyDescent="0.25">
      <c r="J60" s="288"/>
      <c r="K60" s="288"/>
      <c r="L60" s="288"/>
      <c r="M60" s="288"/>
      <c r="N60" s="288"/>
      <c r="O60" s="288"/>
      <c r="P60" s="288"/>
    </row>
    <row r="61" spans="3:16" x14ac:dyDescent="0.25">
      <c r="J61" s="288"/>
      <c r="K61" s="288"/>
      <c r="L61" s="288"/>
      <c r="M61" s="288"/>
      <c r="N61" s="288"/>
      <c r="O61" s="288"/>
      <c r="P61" s="288"/>
    </row>
    <row r="62" spans="3:16" x14ac:dyDescent="0.25">
      <c r="J62" s="288"/>
      <c r="K62" s="288"/>
      <c r="L62" s="288"/>
      <c r="M62" s="288"/>
      <c r="N62" s="288"/>
      <c r="O62" s="288"/>
      <c r="P62" s="288"/>
    </row>
    <row r="63" spans="3:16" x14ac:dyDescent="0.25">
      <c r="J63" s="288"/>
      <c r="K63" s="288"/>
      <c r="L63" s="288"/>
      <c r="M63" s="288"/>
      <c r="N63" s="288"/>
      <c r="O63" s="288"/>
      <c r="P63" s="288"/>
    </row>
    <row r="64" spans="3:16" x14ac:dyDescent="0.25">
      <c r="J64" s="288"/>
      <c r="K64" s="288"/>
      <c r="L64" s="288"/>
      <c r="M64" s="288"/>
      <c r="N64" s="288"/>
      <c r="O64" s="288"/>
      <c r="P64" s="288"/>
    </row>
    <row r="65" spans="10:16" x14ac:dyDescent="0.25">
      <c r="J65" s="288"/>
      <c r="K65" s="288"/>
      <c r="L65" s="288"/>
      <c r="M65" s="288"/>
      <c r="N65" s="288"/>
      <c r="O65" s="288"/>
      <c r="P65" s="288"/>
    </row>
    <row r="66" spans="10:16" x14ac:dyDescent="0.25">
      <c r="J66" s="288"/>
      <c r="K66" s="288"/>
      <c r="L66" s="288"/>
      <c r="M66" s="288"/>
      <c r="N66" s="288"/>
      <c r="O66" s="288"/>
      <c r="P66" s="288"/>
    </row>
    <row r="67" spans="10:16" x14ac:dyDescent="0.25">
      <c r="J67" s="288"/>
      <c r="K67" s="288"/>
      <c r="L67" s="288"/>
      <c r="M67" s="288"/>
      <c r="N67" s="288"/>
      <c r="O67" s="288"/>
      <c r="P67" s="288"/>
    </row>
    <row r="68" spans="10:16" x14ac:dyDescent="0.25">
      <c r="J68" s="288"/>
      <c r="K68" s="288"/>
      <c r="L68" s="288"/>
      <c r="M68" s="288"/>
      <c r="N68" s="288"/>
      <c r="O68" s="288"/>
      <c r="P68" s="288"/>
    </row>
    <row r="69" spans="10:16" x14ac:dyDescent="0.25">
      <c r="J69" s="288"/>
      <c r="K69" s="288"/>
      <c r="L69" s="288"/>
      <c r="M69" s="288"/>
      <c r="N69" s="288"/>
      <c r="O69" s="288"/>
      <c r="P69" s="288"/>
    </row>
    <row r="70" spans="10:16" x14ac:dyDescent="0.25">
      <c r="J70" s="288"/>
      <c r="K70" s="288"/>
      <c r="L70" s="288"/>
      <c r="M70" s="288"/>
      <c r="N70" s="288"/>
      <c r="O70" s="288"/>
      <c r="P70" s="288"/>
    </row>
    <row r="71" spans="10:16" x14ac:dyDescent="0.25">
      <c r="J71" s="288"/>
      <c r="K71" s="288"/>
      <c r="L71" s="288"/>
      <c r="M71" s="288"/>
      <c r="N71" s="288"/>
      <c r="O71" s="288"/>
      <c r="P71" s="288"/>
    </row>
    <row r="72" spans="10:16" x14ac:dyDescent="0.25">
      <c r="J72" s="288"/>
      <c r="K72" s="288"/>
      <c r="L72" s="288"/>
      <c r="M72" s="288"/>
      <c r="N72" s="288"/>
      <c r="O72" s="288"/>
      <c r="P72" s="288"/>
    </row>
    <row r="73" spans="10:16" x14ac:dyDescent="0.25">
      <c r="J73" s="288"/>
      <c r="K73" s="288"/>
      <c r="L73" s="288"/>
      <c r="M73" s="288"/>
      <c r="N73" s="288"/>
      <c r="O73" s="288"/>
      <c r="P73" s="288"/>
    </row>
    <row r="74" spans="10:16" x14ac:dyDescent="0.25">
      <c r="J74" s="288"/>
      <c r="K74" s="288"/>
      <c r="L74" s="288"/>
      <c r="M74" s="288"/>
      <c r="N74" s="288"/>
      <c r="O74" s="288"/>
      <c r="P74" s="288"/>
    </row>
    <row r="75" spans="10:16" x14ac:dyDescent="0.25">
      <c r="J75" s="288"/>
      <c r="K75" s="288"/>
      <c r="L75" s="288"/>
      <c r="M75" s="288"/>
      <c r="N75" s="288"/>
      <c r="O75" s="288"/>
      <c r="P75" s="288"/>
    </row>
    <row r="76" spans="10:16" x14ac:dyDescent="0.25">
      <c r="J76" s="288"/>
      <c r="K76" s="288"/>
      <c r="L76" s="288"/>
      <c r="M76" s="288"/>
      <c r="N76" s="288"/>
      <c r="O76" s="288"/>
      <c r="P76" s="288"/>
    </row>
    <row r="77" spans="10:16" x14ac:dyDescent="0.25">
      <c r="J77" s="288"/>
      <c r="K77" s="288"/>
      <c r="L77" s="288"/>
      <c r="M77" s="288"/>
      <c r="N77" s="288"/>
      <c r="O77" s="288"/>
      <c r="P77" s="288"/>
    </row>
    <row r="78" spans="10:16" x14ac:dyDescent="0.25">
      <c r="J78" s="288"/>
      <c r="K78" s="288"/>
      <c r="L78" s="288"/>
      <c r="M78" s="288"/>
      <c r="N78" s="288"/>
      <c r="O78" s="288"/>
      <c r="P78" s="28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8"/>
  <sheetViews>
    <sheetView workbookViewId="0">
      <pane ySplit="1" topLeftCell="A147" activePane="bottomLeft" state="frozen"/>
      <selection pane="bottomLeft" activeCell="D166" sqref="D166"/>
    </sheetView>
  </sheetViews>
  <sheetFormatPr defaultColWidth="9" defaultRowHeight="13.8" x14ac:dyDescent="0.25"/>
  <cols>
    <col min="1" max="1" width="9" style="288"/>
    <col min="2" max="2" width="39.33203125" style="288" customWidth="1"/>
    <col min="3" max="16384" width="9" style="288"/>
  </cols>
  <sheetData>
    <row r="1" spans="1:13" x14ac:dyDescent="0.25">
      <c r="F1" s="288" t="s">
        <v>1273</v>
      </c>
      <c r="G1" s="288" t="s">
        <v>1274</v>
      </c>
      <c r="H1" s="288" t="s">
        <v>1275</v>
      </c>
      <c r="I1" s="288" t="s">
        <v>1276</v>
      </c>
    </row>
    <row r="2" spans="1:13" x14ac:dyDescent="0.25">
      <c r="E2" s="288" t="s">
        <v>1445</v>
      </c>
      <c r="F2" s="288">
        <f>F21+F45+F122</f>
        <v>370.74</v>
      </c>
      <c r="G2" s="288">
        <f>G21+G69+G122</f>
        <v>678.56999999999994</v>
      </c>
      <c r="H2" s="288">
        <f>H21+H98</f>
        <v>302.97000000000003</v>
      </c>
      <c r="I2" s="288">
        <f>I21+I69+I122</f>
        <v>756.31999999999994</v>
      </c>
    </row>
    <row r="3" spans="1:13" x14ac:dyDescent="0.25">
      <c r="E3" s="288" t="s">
        <v>1446</v>
      </c>
      <c r="F3" s="288">
        <f>F25+F49+F126</f>
        <v>43.01</v>
      </c>
      <c r="G3" s="288">
        <f>G25+G73+G126</f>
        <v>79.22999999999999</v>
      </c>
      <c r="H3" s="288">
        <f>H25+H102</f>
        <v>36</v>
      </c>
      <c r="I3" s="288">
        <f>I25+I73+I126</f>
        <v>88.579999999999984</v>
      </c>
    </row>
    <row r="4" spans="1:13" x14ac:dyDescent="0.25">
      <c r="E4" s="288" t="s">
        <v>1447</v>
      </c>
      <c r="F4" s="288">
        <f>F29+F53+F130</f>
        <v>6.0299999999999994</v>
      </c>
      <c r="G4" s="288">
        <f>G29+G77+G130</f>
        <v>10.860000000000001</v>
      </c>
      <c r="H4" s="288">
        <f>H29+H106</f>
        <v>4.66</v>
      </c>
      <c r="I4" s="288">
        <f>I29+I77+I130</f>
        <v>12.06</v>
      </c>
    </row>
    <row r="5" spans="1:13" ht="14.4" thickBot="1" x14ac:dyDescent="0.3">
      <c r="E5" s="288" t="s">
        <v>1448</v>
      </c>
      <c r="F5" s="288">
        <f>F28+F52+F129</f>
        <v>5</v>
      </c>
      <c r="G5" s="288">
        <f>G28+G76+G129</f>
        <v>9</v>
      </c>
      <c r="H5" s="288">
        <f>H28+H105</f>
        <v>4</v>
      </c>
      <c r="I5" s="288">
        <f>I28+I76+I129</f>
        <v>10</v>
      </c>
    </row>
    <row r="6" spans="1:13" ht="15" thickTop="1" thickBot="1" x14ac:dyDescent="0.3">
      <c r="A6" s="415" t="s">
        <v>917</v>
      </c>
      <c r="B6" s="445" t="s">
        <v>918</v>
      </c>
      <c r="C6" s="445" t="s">
        <v>919</v>
      </c>
      <c r="D6" s="446" t="s">
        <v>920</v>
      </c>
      <c r="E6" s="288" t="s">
        <v>1449</v>
      </c>
      <c r="F6" s="288">
        <f>F9+F15+F33+F39+F110+F116</f>
        <v>2415.7799999999997</v>
      </c>
      <c r="G6" s="288">
        <f>G9+G15+G57+G63+G110+G116</f>
        <v>4266.12</v>
      </c>
      <c r="H6" s="288">
        <f>H9+H15+H81+H87+H93</f>
        <v>2050.62</v>
      </c>
      <c r="I6" s="288">
        <f>I9+I15+I57+I63+I110+I116</f>
        <v>4915.6799999999994</v>
      </c>
    </row>
    <row r="7" spans="1:13" ht="14.4" thickTop="1" x14ac:dyDescent="0.25">
      <c r="A7" s="418"/>
      <c r="B7" s="426" t="s">
        <v>1107</v>
      </c>
      <c r="C7" s="419"/>
      <c r="D7" s="420"/>
      <c r="E7" s="288" t="s">
        <v>1450</v>
      </c>
      <c r="F7" s="288">
        <f>F13+F19+F37+F43+F114+F120</f>
        <v>89.67</v>
      </c>
      <c r="G7" s="288">
        <f>G13+G19+G61+G67+G114+G120</f>
        <v>158.57</v>
      </c>
      <c r="H7" s="288">
        <f>H13+H19+H85+H91+H96</f>
        <v>77.37</v>
      </c>
      <c r="I7" s="288">
        <f>I13+I19+I61+I67+I114+I120</f>
        <v>182.76000000000002</v>
      </c>
    </row>
    <row r="8" spans="1:13" x14ac:dyDescent="0.25">
      <c r="A8" s="421">
        <v>1</v>
      </c>
      <c r="B8" s="649" t="s">
        <v>1108</v>
      </c>
      <c r="C8" s="434"/>
      <c r="D8" s="641">
        <v>2</v>
      </c>
      <c r="F8" s="646">
        <f>M8*D8</f>
        <v>12</v>
      </c>
      <c r="G8" s="290">
        <f>M11*D8</f>
        <v>30</v>
      </c>
      <c r="H8" s="290">
        <f>M15*D8</f>
        <v>12</v>
      </c>
      <c r="I8" s="290">
        <f>M16*D8</f>
        <v>36</v>
      </c>
      <c r="K8" s="288" t="s">
        <v>1273</v>
      </c>
      <c r="L8" s="288" t="s">
        <v>1431</v>
      </c>
      <c r="M8" s="288">
        <f>3+3</f>
        <v>6</v>
      </c>
    </row>
    <row r="9" spans="1:13" x14ac:dyDescent="0.25">
      <c r="A9" s="421"/>
      <c r="B9" s="448" t="s">
        <v>1164</v>
      </c>
      <c r="C9" s="434" t="s">
        <v>15</v>
      </c>
      <c r="D9" s="422">
        <f>5*1</f>
        <v>5</v>
      </c>
      <c r="E9" s="288">
        <f>SUM(D9:D12)</f>
        <v>31.52</v>
      </c>
      <c r="F9" s="288">
        <f>E9*F8</f>
        <v>378.24</v>
      </c>
      <c r="G9" s="288">
        <f>E9*G8</f>
        <v>945.6</v>
      </c>
      <c r="H9" s="288">
        <f>E9*H8</f>
        <v>378.24</v>
      </c>
      <c r="I9" s="288">
        <f>E9*I8</f>
        <v>1134.72</v>
      </c>
      <c r="L9" s="288" t="s">
        <v>1432</v>
      </c>
      <c r="M9" s="288">
        <f>3+3</f>
        <v>6</v>
      </c>
    </row>
    <row r="10" spans="1:13" x14ac:dyDescent="0.25">
      <c r="A10" s="421"/>
      <c r="B10" s="449" t="s">
        <v>1165</v>
      </c>
      <c r="C10" s="434" t="s">
        <v>15</v>
      </c>
      <c r="D10" s="422">
        <f>2*5.38</f>
        <v>10.76</v>
      </c>
      <c r="L10" s="288" t="s">
        <v>1433</v>
      </c>
      <c r="M10" s="288">
        <f>3</f>
        <v>3</v>
      </c>
    </row>
    <row r="11" spans="1:13" x14ac:dyDescent="0.25">
      <c r="A11" s="421"/>
      <c r="B11" s="451" t="s">
        <v>1109</v>
      </c>
      <c r="C11" s="434" t="s">
        <v>15</v>
      </c>
      <c r="D11" s="422">
        <f>2*5.56</f>
        <v>11.12</v>
      </c>
      <c r="K11" s="288" t="s">
        <v>1274</v>
      </c>
      <c r="L11" s="288" t="s">
        <v>1431</v>
      </c>
      <c r="M11" s="288">
        <f>9+6</f>
        <v>15</v>
      </c>
    </row>
    <row r="12" spans="1:13" x14ac:dyDescent="0.25">
      <c r="A12" s="421"/>
      <c r="B12" s="452" t="s">
        <v>1110</v>
      </c>
      <c r="C12" s="434" t="s">
        <v>15</v>
      </c>
      <c r="D12" s="422">
        <f>2*0.98+2*1.34</f>
        <v>4.6400000000000006</v>
      </c>
      <c r="L12" s="288" t="s">
        <v>1432</v>
      </c>
      <c r="M12" s="288">
        <f>6</f>
        <v>6</v>
      </c>
    </row>
    <row r="13" spans="1:13" x14ac:dyDescent="0.25">
      <c r="A13" s="423"/>
      <c r="B13" s="424" t="s">
        <v>1111</v>
      </c>
      <c r="C13" s="424" t="s">
        <v>14</v>
      </c>
      <c r="D13" s="455">
        <v>1.2</v>
      </c>
      <c r="F13" s="288">
        <f>D13*F8</f>
        <v>14.399999999999999</v>
      </c>
      <c r="G13" s="288">
        <f>D13*G8</f>
        <v>36</v>
      </c>
      <c r="H13" s="288">
        <f>D13*H8</f>
        <v>14.399999999999999</v>
      </c>
      <c r="I13" s="288">
        <f>D13*I8</f>
        <v>43.199999999999996</v>
      </c>
      <c r="L13" s="288" t="s">
        <v>1435</v>
      </c>
      <c r="M13" s="288">
        <v>5</v>
      </c>
    </row>
    <row r="14" spans="1:13" x14ac:dyDescent="0.25">
      <c r="A14" s="447">
        <v>2</v>
      </c>
      <c r="B14" s="651" t="s">
        <v>1112</v>
      </c>
      <c r="C14" s="419"/>
      <c r="D14" s="641">
        <v>1</v>
      </c>
      <c r="F14" s="290">
        <v>6</v>
      </c>
      <c r="G14" s="290">
        <v>15</v>
      </c>
      <c r="H14" s="290">
        <v>6</v>
      </c>
      <c r="I14" s="290">
        <v>18</v>
      </c>
      <c r="K14" s="288" t="s">
        <v>1275</v>
      </c>
      <c r="L14" s="288" t="s">
        <v>1436</v>
      </c>
      <c r="M14" s="288">
        <v>3</v>
      </c>
    </row>
    <row r="15" spans="1:13" x14ac:dyDescent="0.25">
      <c r="A15" s="421"/>
      <c r="B15" s="448" t="s">
        <v>1164</v>
      </c>
      <c r="C15" s="434" t="s">
        <v>15</v>
      </c>
      <c r="D15" s="422">
        <f>30*1</f>
        <v>30</v>
      </c>
      <c r="E15" s="288">
        <f>SUM(D15:D18)</f>
        <v>112.1</v>
      </c>
      <c r="F15" s="288">
        <f>E15*F14</f>
        <v>672.59999999999991</v>
      </c>
      <c r="G15" s="288">
        <f>E15*G14</f>
        <v>1681.5</v>
      </c>
      <c r="H15" s="288">
        <f>E15*H14</f>
        <v>672.59999999999991</v>
      </c>
      <c r="I15" s="288">
        <f>E15*I14</f>
        <v>2017.8</v>
      </c>
      <c r="L15" s="288" t="s">
        <v>1431</v>
      </c>
      <c r="M15" s="288">
        <v>6</v>
      </c>
    </row>
    <row r="16" spans="1:13" x14ac:dyDescent="0.25">
      <c r="A16" s="421"/>
      <c r="B16" s="449" t="s">
        <v>1165</v>
      </c>
      <c r="C16" s="434" t="s">
        <v>15</v>
      </c>
      <c r="D16" s="422">
        <f>4*5.38</f>
        <v>21.52</v>
      </c>
      <c r="K16" s="288" t="s">
        <v>1276</v>
      </c>
      <c r="L16" s="288" t="s">
        <v>1431</v>
      </c>
      <c r="M16" s="288">
        <v>18</v>
      </c>
    </row>
    <row r="17" spans="1:13" x14ac:dyDescent="0.25">
      <c r="A17" s="421"/>
      <c r="B17" s="451" t="s">
        <v>1109</v>
      </c>
      <c r="C17" s="434" t="s">
        <v>15</v>
      </c>
      <c r="D17" s="422">
        <f>2*19.73</f>
        <v>39.46</v>
      </c>
      <c r="L17" s="288" t="s">
        <v>1432</v>
      </c>
      <c r="M17" s="288">
        <v>6</v>
      </c>
    </row>
    <row r="18" spans="1:13" x14ac:dyDescent="0.25">
      <c r="A18" s="421"/>
      <c r="B18" s="452" t="s">
        <v>1110</v>
      </c>
      <c r="C18" s="434" t="s">
        <v>15</v>
      </c>
      <c r="D18" s="422">
        <f>2*3.48+4*3.54</f>
        <v>21.12</v>
      </c>
      <c r="L18" s="288" t="s">
        <v>1435</v>
      </c>
      <c r="M18" s="288">
        <v>6</v>
      </c>
    </row>
    <row r="19" spans="1:13" x14ac:dyDescent="0.25">
      <c r="A19" s="421"/>
      <c r="B19" s="424" t="s">
        <v>1111</v>
      </c>
      <c r="C19" s="424" t="s">
        <v>14</v>
      </c>
      <c r="D19" s="453">
        <v>4.1100000000000003</v>
      </c>
      <c r="F19" s="288">
        <f>D19*F14</f>
        <v>24.660000000000004</v>
      </c>
      <c r="G19" s="288">
        <f>D19*G14</f>
        <v>61.650000000000006</v>
      </c>
      <c r="H19" s="288">
        <f>D19*H14</f>
        <v>24.660000000000004</v>
      </c>
      <c r="I19" s="288">
        <f>D19*I14</f>
        <v>73.98</v>
      </c>
    </row>
    <row r="20" spans="1:13" x14ac:dyDescent="0.25">
      <c r="A20" s="423">
        <v>3</v>
      </c>
      <c r="B20" s="650" t="s">
        <v>1442</v>
      </c>
      <c r="C20" s="424"/>
      <c r="D20" s="641">
        <v>2</v>
      </c>
      <c r="F20" s="290">
        <v>2</v>
      </c>
      <c r="G20" s="290">
        <v>5</v>
      </c>
      <c r="H20" s="290">
        <v>2</v>
      </c>
      <c r="I20" s="290">
        <v>6</v>
      </c>
    </row>
    <row r="21" spans="1:13" x14ac:dyDescent="0.25">
      <c r="A21" s="421"/>
      <c r="B21" s="450" t="s">
        <v>1167</v>
      </c>
      <c r="C21" s="434" t="s">
        <v>15</v>
      </c>
      <c r="D21" s="435">
        <f>3*6.55+3*0.75</f>
        <v>21.9</v>
      </c>
      <c r="E21" s="653">
        <f>SUM(D21:D24)</f>
        <v>77.75</v>
      </c>
      <c r="F21" s="288">
        <f>E21*F20</f>
        <v>155.5</v>
      </c>
      <c r="G21" s="288">
        <f>E21*G20</f>
        <v>388.75</v>
      </c>
      <c r="H21" s="288">
        <f>E21*H20</f>
        <v>155.5</v>
      </c>
      <c r="I21" s="288">
        <f>E21*I20</f>
        <v>466.5</v>
      </c>
    </row>
    <row r="22" spans="1:13" x14ac:dyDescent="0.25">
      <c r="A22" s="421"/>
      <c r="B22" s="448" t="s">
        <v>1168</v>
      </c>
      <c r="C22" s="434" t="s">
        <v>15</v>
      </c>
      <c r="D22" s="422">
        <f>4*10.88</f>
        <v>43.52</v>
      </c>
    </row>
    <row r="23" spans="1:13" x14ac:dyDescent="0.25">
      <c r="A23" s="421"/>
      <c r="B23" s="449" t="s">
        <v>1169</v>
      </c>
      <c r="C23" s="434" t="s">
        <v>15</v>
      </c>
      <c r="D23" s="422">
        <f>10.92+3*0.21</f>
        <v>11.55</v>
      </c>
    </row>
    <row r="24" spans="1:13" x14ac:dyDescent="0.25">
      <c r="A24" s="421"/>
      <c r="B24" s="434" t="s">
        <v>1113</v>
      </c>
      <c r="C24" s="434" t="s">
        <v>15</v>
      </c>
      <c r="D24" s="454">
        <f>3*0.26</f>
        <v>0.78</v>
      </c>
    </row>
    <row r="25" spans="1:13" x14ac:dyDescent="0.25">
      <c r="A25" s="421"/>
      <c r="B25" s="424" t="s">
        <v>1114</v>
      </c>
      <c r="C25" s="424" t="s">
        <v>14</v>
      </c>
      <c r="D25" s="425">
        <v>1.17</v>
      </c>
      <c r="E25" s="654">
        <f>SUM(D25:D27)</f>
        <v>9.35</v>
      </c>
      <c r="F25" s="288">
        <f>E25*F20</f>
        <v>18.7</v>
      </c>
      <c r="G25" s="288">
        <f>E25*G20</f>
        <v>46.75</v>
      </c>
      <c r="H25" s="288">
        <f>E25*H20</f>
        <v>18.7</v>
      </c>
      <c r="I25" s="288">
        <f>E25*I20</f>
        <v>56.099999999999994</v>
      </c>
    </row>
    <row r="26" spans="1:13" x14ac:dyDescent="0.25">
      <c r="A26" s="421"/>
      <c r="B26" s="424" t="s">
        <v>1115</v>
      </c>
      <c r="C26" s="424" t="s">
        <v>14</v>
      </c>
      <c r="D26" s="425">
        <v>3.61</v>
      </c>
    </row>
    <row r="27" spans="1:13" x14ac:dyDescent="0.25">
      <c r="A27" s="421"/>
      <c r="B27" s="424" t="s">
        <v>1116</v>
      </c>
      <c r="C27" s="424" t="s">
        <v>14</v>
      </c>
      <c r="D27" s="425">
        <v>4.57</v>
      </c>
    </row>
    <row r="28" spans="1:13" x14ac:dyDescent="0.25">
      <c r="A28" s="421"/>
      <c r="B28" s="434" t="s">
        <v>1117</v>
      </c>
      <c r="C28" s="434" t="s">
        <v>12</v>
      </c>
      <c r="D28" s="457">
        <v>1</v>
      </c>
      <c r="F28" s="288">
        <v>2</v>
      </c>
      <c r="G28" s="288">
        <v>5</v>
      </c>
      <c r="H28" s="288">
        <v>2</v>
      </c>
      <c r="I28" s="288">
        <v>6</v>
      </c>
    </row>
    <row r="29" spans="1:13" x14ac:dyDescent="0.25">
      <c r="A29" s="421"/>
      <c r="B29" s="434" t="s">
        <v>1118</v>
      </c>
      <c r="C29" s="434" t="s">
        <v>14</v>
      </c>
      <c r="D29" s="456">
        <v>1.2</v>
      </c>
      <c r="F29" s="345">
        <f>D29*F20</f>
        <v>2.4</v>
      </c>
      <c r="G29" s="345">
        <f>D29*G20</f>
        <v>6</v>
      </c>
      <c r="H29" s="345">
        <f>D29*H20</f>
        <v>2.4</v>
      </c>
      <c r="I29" s="345">
        <f>D29*I20</f>
        <v>7.1999999999999993</v>
      </c>
    </row>
    <row r="30" spans="1:13" x14ac:dyDescent="0.25">
      <c r="A30" s="421"/>
      <c r="B30" s="434" t="s">
        <v>1119</v>
      </c>
      <c r="C30" s="434"/>
      <c r="D30" s="422"/>
    </row>
    <row r="31" spans="1:13" x14ac:dyDescent="0.25">
      <c r="A31" s="421"/>
      <c r="B31" s="647" t="s">
        <v>1120</v>
      </c>
      <c r="C31" s="434"/>
      <c r="D31" s="422"/>
      <c r="F31" s="288">
        <v>3</v>
      </c>
    </row>
    <row r="32" spans="1:13" x14ac:dyDescent="0.25">
      <c r="A32" s="421">
        <v>1</v>
      </c>
      <c r="B32" s="649" t="s">
        <v>1108</v>
      </c>
      <c r="C32" s="434"/>
      <c r="D32" s="643">
        <v>1</v>
      </c>
      <c r="F32" s="290">
        <v>3</v>
      </c>
    </row>
    <row r="33" spans="1:6" x14ac:dyDescent="0.25">
      <c r="A33" s="421"/>
      <c r="B33" s="448" t="s">
        <v>1164</v>
      </c>
      <c r="C33" s="434" t="s">
        <v>15</v>
      </c>
      <c r="D33" s="422">
        <f>5*1</f>
        <v>5</v>
      </c>
      <c r="E33" s="288">
        <f>SUM(D33:D36)</f>
        <v>31.52</v>
      </c>
      <c r="F33" s="288">
        <f>E33*F32</f>
        <v>94.56</v>
      </c>
    </row>
    <row r="34" spans="1:6" x14ac:dyDescent="0.25">
      <c r="A34" s="421"/>
      <c r="B34" s="449" t="s">
        <v>1165</v>
      </c>
      <c r="C34" s="434" t="s">
        <v>15</v>
      </c>
      <c r="D34" s="422">
        <f>2*5.38</f>
        <v>10.76</v>
      </c>
    </row>
    <row r="35" spans="1:6" x14ac:dyDescent="0.25">
      <c r="A35" s="421"/>
      <c r="B35" s="451" t="s">
        <v>1109</v>
      </c>
      <c r="C35" s="434" t="s">
        <v>15</v>
      </c>
      <c r="D35" s="422">
        <f>2*5.56</f>
        <v>11.12</v>
      </c>
    </row>
    <row r="36" spans="1:6" x14ac:dyDescent="0.25">
      <c r="A36" s="421"/>
      <c r="B36" s="452" t="s">
        <v>1110</v>
      </c>
      <c r="C36" s="434" t="s">
        <v>15</v>
      </c>
      <c r="D36" s="422">
        <f>2*0.98+2*1.34</f>
        <v>4.6400000000000006</v>
      </c>
    </row>
    <row r="37" spans="1:6" x14ac:dyDescent="0.25">
      <c r="A37" s="423"/>
      <c r="B37" s="424" t="s">
        <v>1111</v>
      </c>
      <c r="C37" s="424" t="s">
        <v>14</v>
      </c>
      <c r="D37" s="455">
        <v>1.2</v>
      </c>
      <c r="F37" s="288">
        <f>D37*F32</f>
        <v>3.5999999999999996</v>
      </c>
    </row>
    <row r="38" spans="1:6" x14ac:dyDescent="0.25">
      <c r="A38" s="447">
        <v>2</v>
      </c>
      <c r="B38" s="651" t="s">
        <v>1121</v>
      </c>
      <c r="C38" s="419"/>
      <c r="D38" s="644">
        <v>1</v>
      </c>
      <c r="F38" s="290">
        <v>3</v>
      </c>
    </row>
    <row r="39" spans="1:6" x14ac:dyDescent="0.25">
      <c r="A39" s="421"/>
      <c r="B39" s="448" t="s">
        <v>1164</v>
      </c>
      <c r="C39" s="434" t="s">
        <v>15</v>
      </c>
      <c r="D39" s="435">
        <f>23*1</f>
        <v>23</v>
      </c>
      <c r="E39" s="434">
        <f>SUM(D39:D42)</f>
        <v>84.02000000000001</v>
      </c>
      <c r="F39" s="288">
        <f>E39*F38</f>
        <v>252.06000000000003</v>
      </c>
    </row>
    <row r="40" spans="1:6" x14ac:dyDescent="0.25">
      <c r="A40" s="421"/>
      <c r="B40" s="449" t="s">
        <v>1165</v>
      </c>
      <c r="C40" s="434" t="s">
        <v>15</v>
      </c>
      <c r="D40" s="422">
        <f>3*5.38</f>
        <v>16.14</v>
      </c>
    </row>
    <row r="41" spans="1:6" x14ac:dyDescent="0.25">
      <c r="A41" s="421"/>
      <c r="B41" s="451" t="s">
        <v>1109</v>
      </c>
      <c r="C41" s="434" t="s">
        <v>15</v>
      </c>
      <c r="D41" s="422">
        <f>2*14.88</f>
        <v>29.76</v>
      </c>
    </row>
    <row r="42" spans="1:6" x14ac:dyDescent="0.25">
      <c r="A42" s="421"/>
      <c r="B42" s="452" t="s">
        <v>1110</v>
      </c>
      <c r="C42" s="434" t="s">
        <v>15</v>
      </c>
      <c r="D42" s="422">
        <f>2*3.48+4*2.04</f>
        <v>15.120000000000001</v>
      </c>
    </row>
    <row r="43" spans="1:6" x14ac:dyDescent="0.25">
      <c r="A43" s="421"/>
      <c r="B43" s="424" t="s">
        <v>1111</v>
      </c>
      <c r="C43" s="424" t="s">
        <v>14</v>
      </c>
      <c r="D43" s="453">
        <v>3.13</v>
      </c>
      <c r="F43" s="288">
        <f>D43*F38</f>
        <v>9.39</v>
      </c>
    </row>
    <row r="44" spans="1:6" x14ac:dyDescent="0.25">
      <c r="A44" s="423"/>
      <c r="B44" s="650" t="s">
        <v>1439</v>
      </c>
      <c r="C44" s="424"/>
      <c r="D44" s="641">
        <v>1</v>
      </c>
      <c r="F44" s="290">
        <v>1</v>
      </c>
    </row>
    <row r="45" spans="1:6" x14ac:dyDescent="0.25">
      <c r="A45" s="423"/>
      <c r="B45" s="450" t="s">
        <v>1167</v>
      </c>
      <c r="C45" s="434" t="s">
        <v>15</v>
      </c>
      <c r="D45" s="422">
        <f>2*6.55+2*0.75</f>
        <v>14.6</v>
      </c>
      <c r="E45" s="653">
        <f>SUM(D45:D48)</f>
        <v>65.16</v>
      </c>
      <c r="F45" s="288">
        <f>E45</f>
        <v>65.16</v>
      </c>
    </row>
    <row r="46" spans="1:6" x14ac:dyDescent="0.25">
      <c r="A46" s="423"/>
      <c r="B46" s="448" t="s">
        <v>1168</v>
      </c>
      <c r="C46" s="434" t="s">
        <v>15</v>
      </c>
      <c r="D46" s="422">
        <f>4*8.35</f>
        <v>33.4</v>
      </c>
    </row>
    <row r="47" spans="1:6" x14ac:dyDescent="0.25">
      <c r="A47" s="423"/>
      <c r="B47" s="449" t="s">
        <v>1169</v>
      </c>
      <c r="C47" s="434" t="s">
        <v>15</v>
      </c>
      <c r="D47" s="422">
        <f>8.37+2*0.21+3.84+3.78+0.23</f>
        <v>16.64</v>
      </c>
    </row>
    <row r="48" spans="1:6" x14ac:dyDescent="0.25">
      <c r="A48" s="423"/>
      <c r="B48" s="434" t="s">
        <v>1113</v>
      </c>
      <c r="C48" s="434" t="s">
        <v>15</v>
      </c>
      <c r="D48" s="454">
        <f>2*0.26</f>
        <v>0.52</v>
      </c>
    </row>
    <row r="49" spans="1:9" x14ac:dyDescent="0.25">
      <c r="A49" s="423"/>
      <c r="B49" s="424" t="s">
        <v>1114</v>
      </c>
      <c r="C49" s="424" t="s">
        <v>14</v>
      </c>
      <c r="D49" s="425">
        <v>0.75</v>
      </c>
      <c r="E49" s="654">
        <f>SUM(D49:D51)</f>
        <v>6.77</v>
      </c>
      <c r="F49" s="288">
        <f>E49</f>
        <v>6.77</v>
      </c>
    </row>
    <row r="50" spans="1:9" x14ac:dyDescent="0.25">
      <c r="A50" s="423"/>
      <c r="B50" s="424" t="s">
        <v>1115</v>
      </c>
      <c r="C50" s="424" t="s">
        <v>14</v>
      </c>
      <c r="D50" s="425">
        <v>2.61</v>
      </c>
    </row>
    <row r="51" spans="1:9" x14ac:dyDescent="0.25">
      <c r="A51" s="423"/>
      <c r="B51" s="424" t="s">
        <v>1116</v>
      </c>
      <c r="C51" s="424" t="s">
        <v>14</v>
      </c>
      <c r="D51" s="425">
        <v>3.41</v>
      </c>
    </row>
    <row r="52" spans="1:9" x14ac:dyDescent="0.25">
      <c r="A52" s="423"/>
      <c r="B52" s="434" t="s">
        <v>1117</v>
      </c>
      <c r="C52" s="434" t="s">
        <v>12</v>
      </c>
      <c r="D52" s="457">
        <v>1</v>
      </c>
      <c r="F52" s="288">
        <v>1</v>
      </c>
    </row>
    <row r="53" spans="1:9" x14ac:dyDescent="0.25">
      <c r="A53" s="423"/>
      <c r="B53" s="434" t="s">
        <v>1118</v>
      </c>
      <c r="C53" s="434" t="s">
        <v>14</v>
      </c>
      <c r="D53" s="456">
        <v>1.23</v>
      </c>
      <c r="F53" s="345">
        <f>D53</f>
        <v>1.23</v>
      </c>
    </row>
    <row r="54" spans="1:9" x14ac:dyDescent="0.25">
      <c r="A54" s="423"/>
      <c r="B54" s="434" t="s">
        <v>1119</v>
      </c>
      <c r="C54" s="434"/>
      <c r="D54" s="422"/>
    </row>
    <row r="55" spans="1:9" x14ac:dyDescent="0.25">
      <c r="A55" s="418"/>
      <c r="B55" s="426" t="s">
        <v>1122</v>
      </c>
      <c r="C55" s="419"/>
      <c r="D55" s="420"/>
      <c r="G55" s="288">
        <v>5</v>
      </c>
      <c r="I55" s="288">
        <v>6</v>
      </c>
    </row>
    <row r="56" spans="1:9" x14ac:dyDescent="0.25">
      <c r="A56" s="421">
        <v>1</v>
      </c>
      <c r="B56" s="649" t="s">
        <v>1108</v>
      </c>
      <c r="C56" s="434"/>
      <c r="D56" s="643">
        <v>1</v>
      </c>
      <c r="G56" s="290">
        <v>5</v>
      </c>
      <c r="H56" s="290"/>
      <c r="I56" s="290">
        <v>6</v>
      </c>
    </row>
    <row r="57" spans="1:9" x14ac:dyDescent="0.25">
      <c r="A57" s="421"/>
      <c r="B57" s="448" t="s">
        <v>1164</v>
      </c>
      <c r="C57" s="434" t="s">
        <v>15</v>
      </c>
      <c r="D57" s="422">
        <f>5*1</f>
        <v>5</v>
      </c>
      <c r="E57" s="434">
        <f>SUM(D57:D60)</f>
        <v>31.52</v>
      </c>
      <c r="G57" s="288">
        <f>E57*G56</f>
        <v>157.6</v>
      </c>
      <c r="I57" s="288">
        <f>E57*I56</f>
        <v>189.12</v>
      </c>
    </row>
    <row r="58" spans="1:9" x14ac:dyDescent="0.25">
      <c r="A58" s="421"/>
      <c r="B58" s="449" t="s">
        <v>1165</v>
      </c>
      <c r="C58" s="434" t="s">
        <v>15</v>
      </c>
      <c r="D58" s="422">
        <f>2*5.38</f>
        <v>10.76</v>
      </c>
    </row>
    <row r="59" spans="1:9" x14ac:dyDescent="0.25">
      <c r="A59" s="421"/>
      <c r="B59" s="451" t="s">
        <v>1109</v>
      </c>
      <c r="C59" s="434" t="s">
        <v>15</v>
      </c>
      <c r="D59" s="422">
        <f>2*5.56</f>
        <v>11.12</v>
      </c>
    </row>
    <row r="60" spans="1:9" x14ac:dyDescent="0.25">
      <c r="A60" s="421"/>
      <c r="B60" s="452" t="s">
        <v>1110</v>
      </c>
      <c r="C60" s="434" t="s">
        <v>15</v>
      </c>
      <c r="D60" s="422">
        <f>2*0.98+2*1.34</f>
        <v>4.6400000000000006</v>
      </c>
    </row>
    <row r="61" spans="1:9" x14ac:dyDescent="0.25">
      <c r="A61" s="423"/>
      <c r="B61" s="424" t="s">
        <v>1111</v>
      </c>
      <c r="C61" s="424" t="s">
        <v>14</v>
      </c>
      <c r="D61" s="455">
        <v>1.2</v>
      </c>
      <c r="G61" s="288">
        <f>D61*G56</f>
        <v>6</v>
      </c>
      <c r="I61" s="288">
        <f>D61*I56</f>
        <v>7.1999999999999993</v>
      </c>
    </row>
    <row r="62" spans="1:9" x14ac:dyDescent="0.25">
      <c r="A62" s="447">
        <v>2</v>
      </c>
      <c r="B62" s="651" t="s">
        <v>1123</v>
      </c>
      <c r="C62" s="419"/>
      <c r="D62" s="644">
        <v>1</v>
      </c>
      <c r="G62" s="290">
        <v>5</v>
      </c>
      <c r="H62" s="290"/>
      <c r="I62" s="290">
        <v>6</v>
      </c>
    </row>
    <row r="63" spans="1:9" x14ac:dyDescent="0.25">
      <c r="A63" s="421"/>
      <c r="B63" s="448" t="s">
        <v>1164</v>
      </c>
      <c r="C63" s="434" t="s">
        <v>15</v>
      </c>
      <c r="D63" s="422">
        <f>26*1</f>
        <v>26</v>
      </c>
      <c r="E63" s="434">
        <f>SUM(D63:D66)</f>
        <v>92.62</v>
      </c>
      <c r="G63" s="288">
        <f>E63*G62</f>
        <v>463.1</v>
      </c>
      <c r="I63" s="288">
        <f>E63*I62</f>
        <v>555.72</v>
      </c>
    </row>
    <row r="64" spans="1:9" x14ac:dyDescent="0.25">
      <c r="A64" s="421"/>
      <c r="B64" s="449" t="s">
        <v>1165</v>
      </c>
      <c r="C64" s="434" t="s">
        <v>15</v>
      </c>
      <c r="D64" s="422">
        <f>3*5.38</f>
        <v>16.14</v>
      </c>
    </row>
    <row r="65" spans="1:9" x14ac:dyDescent="0.25">
      <c r="A65" s="421"/>
      <c r="B65" s="451" t="s">
        <v>1109</v>
      </c>
      <c r="C65" s="434" t="s">
        <v>15</v>
      </c>
      <c r="D65" s="422">
        <f>2*16.4</f>
        <v>32.799999999999997</v>
      </c>
    </row>
    <row r="66" spans="1:9" x14ac:dyDescent="0.25">
      <c r="A66" s="421"/>
      <c r="B66" s="452" t="s">
        <v>1110</v>
      </c>
      <c r="C66" s="434" t="s">
        <v>15</v>
      </c>
      <c r="D66" s="422">
        <f>2*3.48+4*2.68</f>
        <v>17.68</v>
      </c>
    </row>
    <row r="67" spans="1:9" x14ac:dyDescent="0.25">
      <c r="A67" s="421"/>
      <c r="B67" s="424" t="s">
        <v>1111</v>
      </c>
      <c r="C67" s="424" t="s">
        <v>14</v>
      </c>
      <c r="D67" s="453">
        <v>3.46</v>
      </c>
      <c r="G67" s="288">
        <f>D67*G62</f>
        <v>17.3</v>
      </c>
      <c r="I67" s="288">
        <f>D67*I62</f>
        <v>20.759999999999998</v>
      </c>
    </row>
    <row r="68" spans="1:9" x14ac:dyDescent="0.25">
      <c r="A68" s="423">
        <v>3</v>
      </c>
      <c r="B68" s="650" t="s">
        <v>1440</v>
      </c>
      <c r="C68" s="424"/>
      <c r="D68" s="641">
        <v>1</v>
      </c>
      <c r="G68" s="290">
        <v>2</v>
      </c>
      <c r="H68" s="290"/>
      <c r="I68" s="290">
        <v>2</v>
      </c>
    </row>
    <row r="69" spans="1:9" x14ac:dyDescent="0.25">
      <c r="A69" s="421"/>
      <c r="B69" s="450" t="s">
        <v>1167</v>
      </c>
      <c r="C69" s="434" t="s">
        <v>15</v>
      </c>
      <c r="D69" s="422">
        <f>2*6.55+2*0.75</f>
        <v>14.6</v>
      </c>
      <c r="E69" s="653">
        <f>SUM(D69:D72)</f>
        <v>69.86999999999999</v>
      </c>
      <c r="G69" s="288">
        <f>E69*G68</f>
        <v>139.73999999999998</v>
      </c>
      <c r="I69" s="288">
        <f>E69*I68</f>
        <v>139.73999999999998</v>
      </c>
    </row>
    <row r="70" spans="1:9" x14ac:dyDescent="0.25">
      <c r="A70" s="421"/>
      <c r="B70" s="448" t="s">
        <v>1168</v>
      </c>
      <c r="C70" s="434" t="s">
        <v>15</v>
      </c>
      <c r="D70" s="422">
        <f>4*9.29</f>
        <v>37.159999999999997</v>
      </c>
    </row>
    <row r="71" spans="1:9" x14ac:dyDescent="0.25">
      <c r="A71" s="421"/>
      <c r="B71" s="449" t="s">
        <v>1169</v>
      </c>
      <c r="C71" s="434" t="s">
        <v>15</v>
      </c>
      <c r="D71" s="422">
        <f>1*9.32+2*0.21+3.84+3.78+0.23</f>
        <v>17.59</v>
      </c>
    </row>
    <row r="72" spans="1:9" x14ac:dyDescent="0.25">
      <c r="A72" s="421"/>
      <c r="B72" s="434" t="s">
        <v>1113</v>
      </c>
      <c r="C72" s="434" t="s">
        <v>15</v>
      </c>
      <c r="D72" s="454">
        <f>2*0.26</f>
        <v>0.52</v>
      </c>
    </row>
    <row r="73" spans="1:9" x14ac:dyDescent="0.25">
      <c r="A73" s="421"/>
      <c r="B73" s="424" t="s">
        <v>1114</v>
      </c>
      <c r="C73" s="424" t="s">
        <v>14</v>
      </c>
      <c r="D73" s="422">
        <v>0.8</v>
      </c>
      <c r="E73" s="654">
        <f>SUM(D73:D75)</f>
        <v>7.4700000000000006</v>
      </c>
      <c r="G73" s="288">
        <f>E73*G68</f>
        <v>14.940000000000001</v>
      </c>
      <c r="I73" s="288">
        <f>E73*I68</f>
        <v>14.940000000000001</v>
      </c>
    </row>
    <row r="74" spans="1:9" x14ac:dyDescent="0.25">
      <c r="A74" s="421"/>
      <c r="B74" s="424" t="s">
        <v>1115</v>
      </c>
      <c r="C74" s="424" t="s">
        <v>14</v>
      </c>
      <c r="D74" s="422">
        <v>2.9</v>
      </c>
    </row>
    <row r="75" spans="1:9" x14ac:dyDescent="0.25">
      <c r="A75" s="421"/>
      <c r="B75" s="424" t="s">
        <v>1116</v>
      </c>
      <c r="C75" s="424" t="s">
        <v>14</v>
      </c>
      <c r="D75" s="422">
        <v>3.77</v>
      </c>
    </row>
    <row r="76" spans="1:9" x14ac:dyDescent="0.25">
      <c r="A76" s="421"/>
      <c r="B76" s="434" t="s">
        <v>1117</v>
      </c>
      <c r="C76" s="434" t="s">
        <v>12</v>
      </c>
      <c r="D76" s="458">
        <v>1</v>
      </c>
      <c r="G76" s="288">
        <v>2</v>
      </c>
      <c r="I76" s="288">
        <v>2</v>
      </c>
    </row>
    <row r="77" spans="1:9" x14ac:dyDescent="0.25">
      <c r="A77" s="421"/>
      <c r="B77" s="434" t="s">
        <v>1118</v>
      </c>
      <c r="C77" s="434" t="s">
        <v>14</v>
      </c>
      <c r="D77" s="456">
        <v>1.23</v>
      </c>
      <c r="G77" s="345">
        <f>D77*G68</f>
        <v>2.46</v>
      </c>
      <c r="I77" s="345">
        <f>D77*I68</f>
        <v>2.46</v>
      </c>
    </row>
    <row r="78" spans="1:9" x14ac:dyDescent="0.25">
      <c r="A78" s="421"/>
      <c r="B78" s="434" t="s">
        <v>1119</v>
      </c>
      <c r="C78" s="434"/>
      <c r="D78" s="422"/>
    </row>
    <row r="79" spans="1:9" x14ac:dyDescent="0.25">
      <c r="A79" s="421"/>
      <c r="B79" s="648" t="s">
        <v>1124</v>
      </c>
      <c r="C79" s="434"/>
      <c r="D79" s="422"/>
      <c r="H79" s="288">
        <v>3</v>
      </c>
    </row>
    <row r="80" spans="1:9" x14ac:dyDescent="0.25">
      <c r="A80" s="421">
        <v>1</v>
      </c>
      <c r="B80" s="649" t="s">
        <v>1108</v>
      </c>
      <c r="C80" s="434"/>
      <c r="D80" s="642">
        <v>2</v>
      </c>
      <c r="H80" s="290">
        <v>6</v>
      </c>
    </row>
    <row r="81" spans="1:8" x14ac:dyDescent="0.25">
      <c r="A81" s="421"/>
      <c r="B81" s="448" t="s">
        <v>1164</v>
      </c>
      <c r="C81" s="434" t="s">
        <v>15</v>
      </c>
      <c r="D81" s="422">
        <f>5*1</f>
        <v>5</v>
      </c>
      <c r="E81" s="434">
        <f>SUM(D81:D84)</f>
        <v>31.52</v>
      </c>
      <c r="H81" s="288">
        <f>E81*H80</f>
        <v>189.12</v>
      </c>
    </row>
    <row r="82" spans="1:8" x14ac:dyDescent="0.25">
      <c r="A82" s="421"/>
      <c r="B82" s="449" t="s">
        <v>1165</v>
      </c>
      <c r="C82" s="434" t="s">
        <v>15</v>
      </c>
      <c r="D82" s="422">
        <f>2*5.38</f>
        <v>10.76</v>
      </c>
    </row>
    <row r="83" spans="1:8" x14ac:dyDescent="0.25">
      <c r="A83" s="421"/>
      <c r="B83" s="451" t="s">
        <v>1109</v>
      </c>
      <c r="C83" s="434" t="s">
        <v>15</v>
      </c>
      <c r="D83" s="422">
        <f>2*5.56</f>
        <v>11.12</v>
      </c>
    </row>
    <row r="84" spans="1:8" x14ac:dyDescent="0.25">
      <c r="A84" s="421"/>
      <c r="B84" s="452" t="s">
        <v>1110</v>
      </c>
      <c r="C84" s="434" t="s">
        <v>15</v>
      </c>
      <c r="D84" s="422">
        <f>2*0.98+2*1.34</f>
        <v>4.6400000000000006</v>
      </c>
    </row>
    <row r="85" spans="1:8" x14ac:dyDescent="0.25">
      <c r="A85" s="423"/>
      <c r="B85" s="424" t="s">
        <v>1111</v>
      </c>
      <c r="C85" s="424" t="s">
        <v>14</v>
      </c>
      <c r="D85" s="455">
        <v>1.2</v>
      </c>
      <c r="H85" s="288">
        <f>D85*H80</f>
        <v>7.1999999999999993</v>
      </c>
    </row>
    <row r="86" spans="1:8" x14ac:dyDescent="0.25">
      <c r="A86" s="421">
        <v>2</v>
      </c>
      <c r="B86" s="649" t="s">
        <v>1437</v>
      </c>
      <c r="C86" s="434"/>
      <c r="D86" s="642">
        <v>1</v>
      </c>
      <c r="H86" s="290">
        <v>3</v>
      </c>
    </row>
    <row r="87" spans="1:8" x14ac:dyDescent="0.25">
      <c r="A87" s="421"/>
      <c r="B87" s="448" t="s">
        <v>1164</v>
      </c>
      <c r="C87" s="434" t="s">
        <v>15</v>
      </c>
      <c r="D87" s="422">
        <f>60*1</f>
        <v>60</v>
      </c>
      <c r="E87" s="434">
        <f>SUM(D87:D90)</f>
        <v>236.42</v>
      </c>
      <c r="H87" s="288">
        <f>E87*H86</f>
        <v>709.26</v>
      </c>
    </row>
    <row r="88" spans="1:8" x14ac:dyDescent="0.25">
      <c r="A88" s="421"/>
      <c r="B88" s="449" t="s">
        <v>1165</v>
      </c>
      <c r="C88" s="434" t="s">
        <v>15</v>
      </c>
      <c r="D88" s="422">
        <f>7*5.38</f>
        <v>37.659999999999997</v>
      </c>
    </row>
    <row r="89" spans="1:8" x14ac:dyDescent="0.25">
      <c r="A89" s="421"/>
      <c r="B89" s="451" t="s">
        <v>1109</v>
      </c>
      <c r="C89" s="434" t="s">
        <v>15</v>
      </c>
      <c r="D89" s="422">
        <f>2*39.08</f>
        <v>78.16</v>
      </c>
    </row>
    <row r="90" spans="1:8" x14ac:dyDescent="0.25">
      <c r="A90" s="421"/>
      <c r="B90" s="452" t="s">
        <v>1110</v>
      </c>
      <c r="C90" s="434" t="s">
        <v>15</v>
      </c>
      <c r="D90" s="422">
        <f>4*3.48+4*3.49+4*8.18</f>
        <v>60.6</v>
      </c>
    </row>
    <row r="91" spans="1:8" x14ac:dyDescent="0.25">
      <c r="A91" s="423"/>
      <c r="B91" s="424" t="s">
        <v>1111</v>
      </c>
      <c r="C91" s="424" t="s">
        <v>14</v>
      </c>
      <c r="D91" s="453">
        <v>8.18</v>
      </c>
      <c r="H91" s="288">
        <f>D91*H86</f>
        <v>24.54</v>
      </c>
    </row>
    <row r="92" spans="1:8" x14ac:dyDescent="0.25">
      <c r="A92" s="421">
        <v>4</v>
      </c>
      <c r="B92" s="649" t="s">
        <v>1125</v>
      </c>
      <c r="C92" s="434"/>
      <c r="D92" s="642">
        <v>1</v>
      </c>
      <c r="H92" s="290">
        <v>3</v>
      </c>
    </row>
    <row r="93" spans="1:8" x14ac:dyDescent="0.25">
      <c r="A93" s="421"/>
      <c r="B93" s="449" t="s">
        <v>1165</v>
      </c>
      <c r="C93" s="434" t="s">
        <v>15</v>
      </c>
      <c r="D93" s="422">
        <v>11.87</v>
      </c>
      <c r="E93" s="434">
        <f>SUM(D93:D95)</f>
        <v>33.799999999999997</v>
      </c>
      <c r="H93" s="288">
        <f>E93*H92</f>
        <v>101.39999999999999</v>
      </c>
    </row>
    <row r="94" spans="1:8" x14ac:dyDescent="0.25">
      <c r="A94" s="421"/>
      <c r="B94" s="451" t="s">
        <v>1109</v>
      </c>
      <c r="C94" s="434" t="s">
        <v>15</v>
      </c>
      <c r="D94" s="422">
        <v>13.57</v>
      </c>
    </row>
    <row r="95" spans="1:8" x14ac:dyDescent="0.25">
      <c r="A95" s="421"/>
      <c r="B95" s="452" t="s">
        <v>1110</v>
      </c>
      <c r="C95" s="434" t="s">
        <v>15</v>
      </c>
      <c r="D95" s="422">
        <f>2*0.52+3*2.44</f>
        <v>8.36</v>
      </c>
    </row>
    <row r="96" spans="1:8" x14ac:dyDescent="0.25">
      <c r="A96" s="421"/>
      <c r="B96" s="424" t="s">
        <v>1111</v>
      </c>
      <c r="C96" s="424" t="s">
        <v>14</v>
      </c>
      <c r="D96" s="453">
        <v>2.19</v>
      </c>
      <c r="H96" s="288">
        <f>D96*H92</f>
        <v>6.57</v>
      </c>
    </row>
    <row r="97" spans="1:9" x14ac:dyDescent="0.25">
      <c r="A97" s="423">
        <v>6</v>
      </c>
      <c r="B97" s="650" t="s">
        <v>1438</v>
      </c>
      <c r="C97" s="424"/>
      <c r="D97" s="641">
        <v>1</v>
      </c>
      <c r="H97" s="290">
        <v>1</v>
      </c>
    </row>
    <row r="98" spans="1:9" x14ac:dyDescent="0.25">
      <c r="A98" s="421"/>
      <c r="B98" s="450" t="s">
        <v>1167</v>
      </c>
      <c r="C98" s="434" t="s">
        <v>15</v>
      </c>
      <c r="D98" s="422">
        <f>5*6.55+5*0.75</f>
        <v>36.5</v>
      </c>
      <c r="E98" s="653">
        <f>SUM(D98:D101)</f>
        <v>147.47000000000003</v>
      </c>
      <c r="H98" s="288">
        <f>E98</f>
        <v>147.47000000000003</v>
      </c>
    </row>
    <row r="99" spans="1:9" x14ac:dyDescent="0.25">
      <c r="A99" s="421"/>
      <c r="B99" s="448" t="s">
        <v>1168</v>
      </c>
      <c r="C99" s="434" t="s">
        <v>15</v>
      </c>
      <c r="D99" s="422">
        <f>4*21.71</f>
        <v>86.84</v>
      </c>
    </row>
    <row r="100" spans="1:9" x14ac:dyDescent="0.25">
      <c r="A100" s="421"/>
      <c r="B100" s="449" t="s">
        <v>1169</v>
      </c>
      <c r="C100" s="434" t="s">
        <v>15</v>
      </c>
      <c r="D100" s="422">
        <f>21.78+5*0.21</f>
        <v>22.830000000000002</v>
      </c>
    </row>
    <row r="101" spans="1:9" x14ac:dyDescent="0.25">
      <c r="A101" s="421"/>
      <c r="B101" s="434" t="s">
        <v>1113</v>
      </c>
      <c r="C101" s="434" t="s">
        <v>15</v>
      </c>
      <c r="D101" s="454">
        <f>5*0.26</f>
        <v>1.3</v>
      </c>
    </row>
    <row r="102" spans="1:9" x14ac:dyDescent="0.25">
      <c r="A102" s="421"/>
      <c r="B102" s="424" t="s">
        <v>1114</v>
      </c>
      <c r="C102" s="424" t="s">
        <v>14</v>
      </c>
      <c r="D102" s="422">
        <v>1.79</v>
      </c>
      <c r="E102" s="654">
        <f>SUM(D102:D104)</f>
        <v>17.3</v>
      </c>
      <c r="H102" s="288">
        <f>E102</f>
        <v>17.3</v>
      </c>
    </row>
    <row r="103" spans="1:9" x14ac:dyDescent="0.25">
      <c r="A103" s="421"/>
      <c r="B103" s="424" t="s">
        <v>1115</v>
      </c>
      <c r="C103" s="424" t="s">
        <v>14</v>
      </c>
      <c r="D103" s="422">
        <v>6.78</v>
      </c>
    </row>
    <row r="104" spans="1:9" x14ac:dyDescent="0.25">
      <c r="A104" s="421"/>
      <c r="B104" s="424" t="s">
        <v>1116</v>
      </c>
      <c r="C104" s="424" t="s">
        <v>14</v>
      </c>
      <c r="D104" s="422">
        <v>8.73</v>
      </c>
    </row>
    <row r="105" spans="1:9" x14ac:dyDescent="0.25">
      <c r="A105" s="421"/>
      <c r="B105" s="434" t="s">
        <v>1117</v>
      </c>
      <c r="C105" s="434" t="s">
        <v>12</v>
      </c>
      <c r="D105" s="458">
        <v>2</v>
      </c>
      <c r="H105" s="288">
        <v>2</v>
      </c>
    </row>
    <row r="106" spans="1:9" x14ac:dyDescent="0.25">
      <c r="A106" s="421"/>
      <c r="B106" s="434" t="s">
        <v>1118</v>
      </c>
      <c r="C106" s="434" t="s">
        <v>14</v>
      </c>
      <c r="D106" s="456">
        <v>2.2599999999999998</v>
      </c>
      <c r="H106" s="345">
        <f>D106</f>
        <v>2.2599999999999998</v>
      </c>
    </row>
    <row r="107" spans="1:9" x14ac:dyDescent="0.25">
      <c r="A107" s="421"/>
      <c r="B107" s="434" t="s">
        <v>1119</v>
      </c>
      <c r="C107" s="434"/>
      <c r="D107" s="422"/>
    </row>
    <row r="108" spans="1:9" x14ac:dyDescent="0.25">
      <c r="A108" s="418"/>
      <c r="B108" s="426" t="s">
        <v>1126</v>
      </c>
      <c r="C108" s="419"/>
      <c r="D108" s="420"/>
      <c r="F108" s="288">
        <v>6</v>
      </c>
      <c r="G108" s="288">
        <v>6</v>
      </c>
      <c r="I108" s="288">
        <v>6</v>
      </c>
    </row>
    <row r="109" spans="1:9" x14ac:dyDescent="0.25">
      <c r="A109" s="421">
        <v>1</v>
      </c>
      <c r="B109" s="649" t="s">
        <v>1108</v>
      </c>
      <c r="C109" s="434"/>
      <c r="D109" s="643">
        <v>2</v>
      </c>
      <c r="F109" s="290">
        <v>12</v>
      </c>
      <c r="G109" s="290">
        <v>12</v>
      </c>
      <c r="H109" s="290"/>
      <c r="I109" s="290">
        <v>12</v>
      </c>
    </row>
    <row r="110" spans="1:9" x14ac:dyDescent="0.25">
      <c r="A110" s="421"/>
      <c r="B110" s="448" t="s">
        <v>1164</v>
      </c>
      <c r="C110" s="434" t="s">
        <v>15</v>
      </c>
      <c r="D110" s="422">
        <f>5*1</f>
        <v>5</v>
      </c>
      <c r="E110" s="434">
        <f>SUM(D110:D113)</f>
        <v>31.52</v>
      </c>
      <c r="F110" s="288">
        <f>E110*F109</f>
        <v>378.24</v>
      </c>
      <c r="G110" s="288">
        <f>E110*G109</f>
        <v>378.24</v>
      </c>
      <c r="I110" s="288">
        <f>E110*I109</f>
        <v>378.24</v>
      </c>
    </row>
    <row r="111" spans="1:9" x14ac:dyDescent="0.25">
      <c r="A111" s="421"/>
      <c r="B111" s="449" t="s">
        <v>1165</v>
      </c>
      <c r="C111" s="434" t="s">
        <v>15</v>
      </c>
      <c r="D111" s="422">
        <f>2*5.38</f>
        <v>10.76</v>
      </c>
    </row>
    <row r="112" spans="1:9" x14ac:dyDescent="0.25">
      <c r="A112" s="421"/>
      <c r="B112" s="451" t="s">
        <v>1109</v>
      </c>
      <c r="C112" s="434" t="s">
        <v>15</v>
      </c>
      <c r="D112" s="422">
        <f>2*5.56</f>
        <v>11.12</v>
      </c>
    </row>
    <row r="113" spans="1:9" x14ac:dyDescent="0.25">
      <c r="A113" s="421"/>
      <c r="B113" s="452" t="s">
        <v>1110</v>
      </c>
      <c r="C113" s="434" t="s">
        <v>15</v>
      </c>
      <c r="D113" s="422">
        <f>2*0.98+2*1.34</f>
        <v>4.6400000000000006</v>
      </c>
    </row>
    <row r="114" spans="1:9" x14ac:dyDescent="0.25">
      <c r="A114" s="423"/>
      <c r="B114" s="424" t="s">
        <v>1111</v>
      </c>
      <c r="C114" s="424" t="s">
        <v>14</v>
      </c>
      <c r="D114" s="455">
        <v>1.2</v>
      </c>
      <c r="F114" s="288">
        <f>D114*F109</f>
        <v>14.399999999999999</v>
      </c>
      <c r="G114" s="288">
        <f>D114*G109</f>
        <v>14.399999999999999</v>
      </c>
      <c r="I114" s="288">
        <f>D114*I109</f>
        <v>14.399999999999999</v>
      </c>
    </row>
    <row r="115" spans="1:9" x14ac:dyDescent="0.25">
      <c r="A115" s="447">
        <v>2</v>
      </c>
      <c r="B115" s="651" t="s">
        <v>1127</v>
      </c>
      <c r="C115" s="419"/>
      <c r="D115" s="644">
        <v>1</v>
      </c>
      <c r="F115" s="290">
        <v>6</v>
      </c>
      <c r="G115" s="290">
        <v>6</v>
      </c>
      <c r="H115" s="290"/>
      <c r="I115" s="290">
        <v>6</v>
      </c>
    </row>
    <row r="116" spans="1:9" x14ac:dyDescent="0.25">
      <c r="A116" s="421"/>
      <c r="B116" s="448" t="s">
        <v>1164</v>
      </c>
      <c r="C116" s="434" t="s">
        <v>15</v>
      </c>
      <c r="D116" s="422">
        <f>28*1</f>
        <v>28</v>
      </c>
      <c r="E116" s="434">
        <f>SUM(D116:D119)</f>
        <v>106.67999999999999</v>
      </c>
      <c r="F116" s="288">
        <f>E116*F115</f>
        <v>640.07999999999993</v>
      </c>
      <c r="G116" s="288">
        <f>E116*G115</f>
        <v>640.07999999999993</v>
      </c>
      <c r="I116" s="288">
        <f>E116*I115</f>
        <v>640.07999999999993</v>
      </c>
    </row>
    <row r="117" spans="1:9" x14ac:dyDescent="0.25">
      <c r="A117" s="421"/>
      <c r="B117" s="449" t="s">
        <v>1165</v>
      </c>
      <c r="C117" s="434" t="s">
        <v>15</v>
      </c>
      <c r="D117" s="422">
        <f>4*5.38</f>
        <v>21.52</v>
      </c>
    </row>
    <row r="118" spans="1:9" x14ac:dyDescent="0.25">
      <c r="A118" s="421"/>
      <c r="B118" s="451" t="s">
        <v>1109</v>
      </c>
      <c r="C118" s="434" t="s">
        <v>15</v>
      </c>
      <c r="D118" s="422">
        <f>2*18.64</f>
        <v>37.28</v>
      </c>
    </row>
    <row r="119" spans="1:9" x14ac:dyDescent="0.25">
      <c r="A119" s="421"/>
      <c r="B119" s="452" t="s">
        <v>1110</v>
      </c>
      <c r="C119" s="434" t="s">
        <v>15</v>
      </c>
      <c r="D119" s="422">
        <f>2*3.48+4*3.23</f>
        <v>19.88</v>
      </c>
    </row>
    <row r="120" spans="1:9" x14ac:dyDescent="0.25">
      <c r="A120" s="421"/>
      <c r="B120" s="424" t="s">
        <v>1111</v>
      </c>
      <c r="C120" s="424" t="s">
        <v>14</v>
      </c>
      <c r="D120" s="453">
        <v>3.87</v>
      </c>
      <c r="F120" s="288">
        <f>D120*F115</f>
        <v>23.22</v>
      </c>
      <c r="G120" s="288">
        <f>D120*G115</f>
        <v>23.22</v>
      </c>
      <c r="I120" s="288">
        <f>D120*I115</f>
        <v>23.22</v>
      </c>
    </row>
    <row r="121" spans="1:9" x14ac:dyDescent="0.25">
      <c r="A121" s="423">
        <v>3</v>
      </c>
      <c r="B121" s="650" t="s">
        <v>1441</v>
      </c>
      <c r="C121" s="424"/>
      <c r="D121" s="645">
        <v>1</v>
      </c>
      <c r="F121" s="290">
        <v>2</v>
      </c>
      <c r="G121" s="290">
        <v>2</v>
      </c>
      <c r="H121" s="290"/>
      <c r="I121" s="290">
        <v>2</v>
      </c>
    </row>
    <row r="122" spans="1:9" x14ac:dyDescent="0.25">
      <c r="A122" s="421"/>
      <c r="B122" s="450" t="s">
        <v>1167</v>
      </c>
      <c r="C122" s="434" t="s">
        <v>15</v>
      </c>
      <c r="D122" s="422">
        <f>3*6.55+3*0.75</f>
        <v>21.9</v>
      </c>
      <c r="E122" s="653">
        <f>SUM(D122:D125)</f>
        <v>75.039999999999992</v>
      </c>
      <c r="F122" s="288">
        <f>E122*F121</f>
        <v>150.07999999999998</v>
      </c>
      <c r="G122" s="288">
        <f>E122*G121</f>
        <v>150.07999999999998</v>
      </c>
      <c r="I122" s="288">
        <f>E122*I121</f>
        <v>150.07999999999998</v>
      </c>
    </row>
    <row r="123" spans="1:9" x14ac:dyDescent="0.25">
      <c r="A123" s="421"/>
      <c r="B123" s="448" t="s">
        <v>1168</v>
      </c>
      <c r="C123" s="434" t="s">
        <v>15</v>
      </c>
      <c r="D123" s="422">
        <f>4*10.34</f>
        <v>41.36</v>
      </c>
    </row>
    <row r="124" spans="1:9" x14ac:dyDescent="0.25">
      <c r="A124" s="421"/>
      <c r="B124" s="449" t="s">
        <v>1169</v>
      </c>
      <c r="C124" s="434" t="s">
        <v>15</v>
      </c>
      <c r="D124" s="422">
        <f>10.37+3*0.21</f>
        <v>11</v>
      </c>
    </row>
    <row r="125" spans="1:9" x14ac:dyDescent="0.25">
      <c r="A125" s="421"/>
      <c r="B125" s="434" t="s">
        <v>1113</v>
      </c>
      <c r="C125" s="434" t="s">
        <v>15</v>
      </c>
      <c r="D125" s="454">
        <f>3*0.26</f>
        <v>0.78</v>
      </c>
    </row>
    <row r="126" spans="1:9" x14ac:dyDescent="0.25">
      <c r="A126" s="421"/>
      <c r="B126" s="424" t="s">
        <v>1114</v>
      </c>
      <c r="C126" s="424" t="s">
        <v>14</v>
      </c>
      <c r="D126" s="425">
        <v>1.1399999999999999</v>
      </c>
      <c r="E126" s="654">
        <f>SUM(D126:D128)</f>
        <v>8.77</v>
      </c>
      <c r="F126" s="288">
        <f>E126*F121</f>
        <v>17.54</v>
      </c>
      <c r="G126" s="288">
        <f>E126*G121</f>
        <v>17.54</v>
      </c>
      <c r="I126" s="288">
        <f>E126*I121</f>
        <v>17.54</v>
      </c>
    </row>
    <row r="127" spans="1:9" x14ac:dyDescent="0.25">
      <c r="A127" s="421"/>
      <c r="B127" s="424" t="s">
        <v>1115</v>
      </c>
      <c r="C127" s="424" t="s">
        <v>14</v>
      </c>
      <c r="D127" s="425">
        <v>3.23</v>
      </c>
    </row>
    <row r="128" spans="1:9" x14ac:dyDescent="0.25">
      <c r="A128" s="421"/>
      <c r="B128" s="424" t="s">
        <v>1116</v>
      </c>
      <c r="C128" s="424" t="s">
        <v>14</v>
      </c>
      <c r="D128" s="425">
        <v>4.4000000000000004</v>
      </c>
    </row>
    <row r="129" spans="1:9" x14ac:dyDescent="0.25">
      <c r="A129" s="421"/>
      <c r="B129" s="434" t="s">
        <v>1117</v>
      </c>
      <c r="C129" s="434" t="s">
        <v>12</v>
      </c>
      <c r="D129" s="459">
        <v>1</v>
      </c>
      <c r="F129" s="288">
        <v>2</v>
      </c>
      <c r="G129" s="288">
        <v>2</v>
      </c>
      <c r="I129" s="288">
        <v>2</v>
      </c>
    </row>
    <row r="130" spans="1:9" x14ac:dyDescent="0.25">
      <c r="A130" s="421"/>
      <c r="B130" s="434" t="s">
        <v>1118</v>
      </c>
      <c r="C130" s="434" t="s">
        <v>14</v>
      </c>
      <c r="D130" s="456">
        <v>1.2</v>
      </c>
      <c r="F130" s="345">
        <f>D130*F121</f>
        <v>2.4</v>
      </c>
      <c r="G130" s="345">
        <f>D130*G121</f>
        <v>2.4</v>
      </c>
      <c r="H130" s="345"/>
      <c r="I130" s="345">
        <f>D130*I121</f>
        <v>2.4</v>
      </c>
    </row>
    <row r="131" spans="1:9" x14ac:dyDescent="0.25">
      <c r="A131" s="421"/>
      <c r="B131" s="434" t="s">
        <v>1119</v>
      </c>
      <c r="C131" s="434"/>
      <c r="D131" s="422"/>
    </row>
    <row r="132" spans="1:9" x14ac:dyDescent="0.25">
      <c r="A132" s="421"/>
      <c r="B132" s="434"/>
      <c r="C132" s="434"/>
      <c r="D132" s="422"/>
    </row>
    <row r="133" spans="1:9" x14ac:dyDescent="0.25">
      <c r="A133" s="421"/>
      <c r="B133" s="428" t="s">
        <v>1460</v>
      </c>
      <c r="C133" s="434"/>
      <c r="D133" s="422"/>
    </row>
    <row r="134" spans="1:9" x14ac:dyDescent="0.25">
      <c r="A134" s="421">
        <v>1</v>
      </c>
      <c r="B134" s="649" t="s">
        <v>1128</v>
      </c>
      <c r="C134" s="434"/>
      <c r="D134" s="422"/>
      <c r="I134" s="288">
        <v>1</v>
      </c>
    </row>
    <row r="135" spans="1:9" x14ac:dyDescent="0.25">
      <c r="A135" s="421"/>
      <c r="B135" s="434" t="s">
        <v>1154</v>
      </c>
      <c r="C135" s="434" t="s">
        <v>15</v>
      </c>
      <c r="D135" s="463">
        <v>583.79999999999995</v>
      </c>
      <c r="E135" s="288">
        <f t="shared" ref="E135:E149" si="0">D135+D166+D192</f>
        <v>969.88</v>
      </c>
    </row>
    <row r="136" spans="1:9" x14ac:dyDescent="0.25">
      <c r="A136" s="421"/>
      <c r="B136" s="434" t="s">
        <v>1155</v>
      </c>
      <c r="C136" s="434" t="s">
        <v>15</v>
      </c>
      <c r="D136" s="456">
        <v>137.28</v>
      </c>
      <c r="E136" s="288">
        <f t="shared" si="0"/>
        <v>230.05</v>
      </c>
    </row>
    <row r="137" spans="1:9" x14ac:dyDescent="0.25">
      <c r="A137" s="421"/>
      <c r="B137" s="434" t="s">
        <v>1129</v>
      </c>
      <c r="C137" s="434" t="s">
        <v>15</v>
      </c>
      <c r="D137" s="465">
        <v>109.8</v>
      </c>
      <c r="E137" s="288">
        <f t="shared" si="0"/>
        <v>197.21999999999997</v>
      </c>
    </row>
    <row r="138" spans="1:9" x14ac:dyDescent="0.25">
      <c r="A138" s="421"/>
      <c r="B138" s="434" t="s">
        <v>1130</v>
      </c>
      <c r="C138" s="434" t="s">
        <v>29</v>
      </c>
      <c r="D138" s="466">
        <v>133.44</v>
      </c>
      <c r="E138" s="288">
        <f t="shared" si="0"/>
        <v>219.1</v>
      </c>
    </row>
    <row r="139" spans="1:9" x14ac:dyDescent="0.25">
      <c r="A139" s="421"/>
      <c r="B139" s="424" t="s">
        <v>1131</v>
      </c>
      <c r="C139" s="424" t="s">
        <v>29</v>
      </c>
      <c r="D139" s="468">
        <v>255.66</v>
      </c>
      <c r="E139" s="288">
        <f t="shared" si="0"/>
        <v>410.96499999999997</v>
      </c>
    </row>
    <row r="140" spans="1:9" x14ac:dyDescent="0.25">
      <c r="A140" s="421"/>
      <c r="B140" s="424" t="s">
        <v>1132</v>
      </c>
      <c r="C140" s="424" t="s">
        <v>15</v>
      </c>
      <c r="D140" s="469">
        <v>11.88</v>
      </c>
      <c r="E140" s="288">
        <f t="shared" si="0"/>
        <v>16.04</v>
      </c>
    </row>
    <row r="141" spans="1:9" x14ac:dyDescent="0.25">
      <c r="A141" s="421"/>
      <c r="B141" s="424" t="s">
        <v>1156</v>
      </c>
      <c r="C141" s="424" t="s">
        <v>15</v>
      </c>
      <c r="D141" s="467">
        <v>2.88</v>
      </c>
      <c r="E141" s="288">
        <f t="shared" si="0"/>
        <v>4.8449999999999998</v>
      </c>
    </row>
    <row r="142" spans="1:9" x14ac:dyDescent="0.25">
      <c r="A142" s="421"/>
      <c r="B142" s="434" t="s">
        <v>1133</v>
      </c>
      <c r="C142" s="434" t="s">
        <v>15</v>
      </c>
      <c r="D142" s="427">
        <v>13.44</v>
      </c>
      <c r="E142" s="288">
        <f t="shared" si="0"/>
        <v>16.96</v>
      </c>
    </row>
    <row r="143" spans="1:9" x14ac:dyDescent="0.25">
      <c r="A143" s="421"/>
      <c r="B143" s="434" t="s">
        <v>1134</v>
      </c>
      <c r="C143" s="434" t="s">
        <v>15</v>
      </c>
      <c r="D143" s="422">
        <v>13.2</v>
      </c>
      <c r="E143" s="288">
        <f t="shared" si="0"/>
        <v>22</v>
      </c>
    </row>
    <row r="144" spans="1:9" x14ac:dyDescent="0.25">
      <c r="A144" s="421"/>
      <c r="B144" s="434" t="s">
        <v>1135</v>
      </c>
      <c r="C144" s="434" t="s">
        <v>14</v>
      </c>
      <c r="D144" s="422">
        <v>21</v>
      </c>
      <c r="E144" s="288">
        <f t="shared" si="0"/>
        <v>40.04</v>
      </c>
    </row>
    <row r="145" spans="1:5" x14ac:dyDescent="0.25">
      <c r="A145" s="421"/>
      <c r="B145" s="434" t="s">
        <v>1136</v>
      </c>
      <c r="C145" s="434" t="s">
        <v>14</v>
      </c>
      <c r="D145" s="427">
        <v>10.26</v>
      </c>
      <c r="E145" s="288">
        <f t="shared" si="0"/>
        <v>69.34</v>
      </c>
    </row>
    <row r="146" spans="1:5" x14ac:dyDescent="0.25">
      <c r="A146" s="421"/>
      <c r="B146" s="434" t="s">
        <v>1157</v>
      </c>
      <c r="C146" s="434" t="s">
        <v>12</v>
      </c>
      <c r="D146" s="427">
        <v>6</v>
      </c>
      <c r="E146" s="288">
        <f t="shared" si="0"/>
        <v>10</v>
      </c>
    </row>
    <row r="147" spans="1:5" x14ac:dyDescent="0.25">
      <c r="A147" s="421"/>
      <c r="B147" s="434" t="s">
        <v>1137</v>
      </c>
      <c r="C147" s="434" t="s">
        <v>12</v>
      </c>
      <c r="D147" s="422">
        <v>3</v>
      </c>
      <c r="E147" s="288">
        <f t="shared" si="0"/>
        <v>6</v>
      </c>
    </row>
    <row r="148" spans="1:5" x14ac:dyDescent="0.25">
      <c r="A148" s="421"/>
      <c r="B148" s="434" t="s">
        <v>1138</v>
      </c>
      <c r="C148" s="434" t="s">
        <v>12</v>
      </c>
      <c r="D148" s="422">
        <v>3</v>
      </c>
      <c r="E148" s="288">
        <f t="shared" si="0"/>
        <v>6</v>
      </c>
    </row>
    <row r="149" spans="1:5" x14ac:dyDescent="0.25">
      <c r="A149" s="421"/>
      <c r="B149" s="434" t="s">
        <v>1139</v>
      </c>
      <c r="C149" s="434" t="s">
        <v>12</v>
      </c>
      <c r="D149" s="427">
        <v>9</v>
      </c>
      <c r="E149" s="288">
        <f t="shared" si="0"/>
        <v>18</v>
      </c>
    </row>
    <row r="150" spans="1:5" x14ac:dyDescent="0.25">
      <c r="A150" s="421">
        <v>2</v>
      </c>
      <c r="B150" s="438" t="s">
        <v>1140</v>
      </c>
      <c r="C150" s="434"/>
      <c r="D150" s="427"/>
    </row>
    <row r="151" spans="1:5" x14ac:dyDescent="0.25">
      <c r="A151" s="421"/>
      <c r="B151" s="434" t="s">
        <v>1158</v>
      </c>
      <c r="C151" s="434" t="s">
        <v>15</v>
      </c>
      <c r="D151" s="427">
        <v>41.43</v>
      </c>
      <c r="E151" s="288">
        <f>D151+D182+D208</f>
        <v>112.19999999999999</v>
      </c>
    </row>
    <row r="152" spans="1:5" x14ac:dyDescent="0.25">
      <c r="A152" s="421"/>
      <c r="B152" s="434" t="s">
        <v>1141</v>
      </c>
      <c r="C152" s="434" t="s">
        <v>12</v>
      </c>
      <c r="D152" s="427">
        <v>12</v>
      </c>
      <c r="E152" s="288">
        <f>D152+D183</f>
        <v>16</v>
      </c>
    </row>
    <row r="153" spans="1:5" x14ac:dyDescent="0.25">
      <c r="A153" s="421"/>
      <c r="B153" s="438" t="s">
        <v>1142</v>
      </c>
      <c r="C153" s="434"/>
      <c r="D153" s="422"/>
    </row>
    <row r="154" spans="1:5" x14ac:dyDescent="0.25">
      <c r="A154" s="421"/>
      <c r="B154" s="434" t="s">
        <v>1143</v>
      </c>
      <c r="C154" s="434" t="s">
        <v>15</v>
      </c>
      <c r="D154" s="461">
        <v>47.52</v>
      </c>
      <c r="E154" s="288">
        <f>D154+D185+D211</f>
        <v>95.039999999999992</v>
      </c>
    </row>
    <row r="155" spans="1:5" x14ac:dyDescent="0.25">
      <c r="A155" s="421"/>
      <c r="B155" s="434" t="s">
        <v>1159</v>
      </c>
      <c r="C155" s="434" t="s">
        <v>15</v>
      </c>
      <c r="D155" s="462">
        <v>12.36</v>
      </c>
      <c r="E155" s="288">
        <f>D155+D186+D212</f>
        <v>24.72</v>
      </c>
    </row>
    <row r="156" spans="1:5" x14ac:dyDescent="0.25">
      <c r="A156" s="421"/>
      <c r="B156" s="434" t="s">
        <v>1144</v>
      </c>
      <c r="C156" s="434" t="s">
        <v>8</v>
      </c>
      <c r="D156" s="458">
        <v>4.8</v>
      </c>
      <c r="E156" s="288">
        <f>D156+D187+D213</f>
        <v>18.8</v>
      </c>
    </row>
    <row r="157" spans="1:5" x14ac:dyDescent="0.25">
      <c r="A157" s="421"/>
      <c r="B157" s="434" t="s">
        <v>850</v>
      </c>
      <c r="C157" s="434" t="s">
        <v>8</v>
      </c>
      <c r="D157" s="460">
        <v>1.68</v>
      </c>
      <c r="E157" s="288">
        <f>D157+D188+D214</f>
        <v>6.4399999999999995</v>
      </c>
    </row>
    <row r="158" spans="1:5" x14ac:dyDescent="0.25">
      <c r="A158" s="421">
        <v>3</v>
      </c>
      <c r="B158" s="438" t="s">
        <v>1145</v>
      </c>
      <c r="C158" s="434"/>
      <c r="D158" s="427"/>
    </row>
    <row r="159" spans="1:5" x14ac:dyDescent="0.25">
      <c r="A159" s="421"/>
      <c r="B159" s="434" t="s">
        <v>1158</v>
      </c>
      <c r="C159" s="434" t="s">
        <v>15</v>
      </c>
      <c r="D159" s="427">
        <v>50.7</v>
      </c>
    </row>
    <row r="160" spans="1:5" x14ac:dyDescent="0.25">
      <c r="A160" s="421"/>
      <c r="B160" s="434" t="s">
        <v>1146</v>
      </c>
      <c r="C160" s="434" t="s">
        <v>15</v>
      </c>
      <c r="D160" s="427">
        <v>147.18</v>
      </c>
    </row>
    <row r="161" spans="1:9" x14ac:dyDescent="0.25">
      <c r="A161" s="421"/>
      <c r="B161" s="434" t="s">
        <v>1144</v>
      </c>
      <c r="C161" s="434" t="s">
        <v>8</v>
      </c>
      <c r="D161" s="422">
        <v>1.5</v>
      </c>
    </row>
    <row r="162" spans="1:9" x14ac:dyDescent="0.25">
      <c r="A162" s="421"/>
      <c r="B162" s="434" t="s">
        <v>850</v>
      </c>
      <c r="C162" s="434" t="s">
        <v>8</v>
      </c>
      <c r="D162" s="427">
        <v>0.9</v>
      </c>
    </row>
    <row r="163" spans="1:9" x14ac:dyDescent="0.25">
      <c r="A163" s="421"/>
      <c r="B163" s="434" t="s">
        <v>1193</v>
      </c>
      <c r="C163" s="434"/>
      <c r="D163" s="470">
        <v>24</v>
      </c>
      <c r="E163" s="288">
        <f>D163+D189+D215</f>
        <v>48</v>
      </c>
    </row>
    <row r="164" spans="1:9" x14ac:dyDescent="0.25">
      <c r="A164" s="421"/>
      <c r="B164" s="428" t="s">
        <v>1458</v>
      </c>
      <c r="C164" s="434"/>
      <c r="D164" s="422"/>
    </row>
    <row r="165" spans="1:9" x14ac:dyDescent="0.25">
      <c r="A165" s="421">
        <v>1</v>
      </c>
      <c r="B165" s="649" t="s">
        <v>1147</v>
      </c>
      <c r="C165" s="434"/>
      <c r="D165" s="422"/>
      <c r="G165" s="288">
        <v>1</v>
      </c>
      <c r="I165" s="288">
        <v>1</v>
      </c>
    </row>
    <row r="166" spans="1:9" x14ac:dyDescent="0.25">
      <c r="A166" s="421"/>
      <c r="B166" s="434" t="s">
        <v>1154</v>
      </c>
      <c r="C166" s="434" t="s">
        <v>15</v>
      </c>
      <c r="D166" s="464">
        <v>194.6</v>
      </c>
    </row>
    <row r="167" spans="1:9" x14ac:dyDescent="0.25">
      <c r="A167" s="421"/>
      <c r="B167" s="434" t="s">
        <v>1155</v>
      </c>
      <c r="C167" s="434" t="s">
        <v>15</v>
      </c>
      <c r="D167" s="456">
        <v>62.4</v>
      </c>
    </row>
    <row r="168" spans="1:9" x14ac:dyDescent="0.25">
      <c r="A168" s="421"/>
      <c r="B168" s="434" t="s">
        <v>1129</v>
      </c>
      <c r="C168" s="434" t="s">
        <v>15</v>
      </c>
      <c r="D168" s="465">
        <v>35.369999999999997</v>
      </c>
    </row>
    <row r="169" spans="1:9" x14ac:dyDescent="0.25">
      <c r="A169" s="421"/>
      <c r="B169" s="434" t="s">
        <v>1130</v>
      </c>
      <c r="C169" s="434" t="s">
        <v>29</v>
      </c>
      <c r="D169" s="466">
        <v>36.979999999999997</v>
      </c>
    </row>
    <row r="170" spans="1:9" x14ac:dyDescent="0.25">
      <c r="A170" s="421"/>
      <c r="B170" s="424" t="s">
        <v>1131</v>
      </c>
      <c r="C170" s="424" t="s">
        <v>29</v>
      </c>
      <c r="D170" s="468">
        <v>71.98</v>
      </c>
    </row>
    <row r="171" spans="1:9" x14ac:dyDescent="0.25">
      <c r="A171" s="421"/>
      <c r="B171" s="424" t="s">
        <v>1132</v>
      </c>
      <c r="C171" s="424" t="s">
        <v>15</v>
      </c>
      <c r="D171" s="469">
        <v>2.08</v>
      </c>
    </row>
    <row r="172" spans="1:9" x14ac:dyDescent="0.25">
      <c r="A172" s="421"/>
      <c r="B172" s="424" t="s">
        <v>1156</v>
      </c>
      <c r="C172" s="424" t="s">
        <v>15</v>
      </c>
      <c r="D172" s="467">
        <v>0.99</v>
      </c>
    </row>
    <row r="173" spans="1:9" x14ac:dyDescent="0.25">
      <c r="A173" s="421"/>
      <c r="B173" s="434" t="s">
        <v>1133</v>
      </c>
      <c r="C173" s="434" t="s">
        <v>15</v>
      </c>
      <c r="D173" s="427">
        <v>1.76</v>
      </c>
    </row>
    <row r="174" spans="1:9" x14ac:dyDescent="0.25">
      <c r="A174" s="421"/>
      <c r="B174" s="434" t="s">
        <v>1134</v>
      </c>
      <c r="C174" s="434" t="s">
        <v>15</v>
      </c>
      <c r="D174" s="422">
        <v>4.4000000000000004</v>
      </c>
    </row>
    <row r="175" spans="1:9" x14ac:dyDescent="0.25">
      <c r="A175" s="421"/>
      <c r="B175" s="434" t="s">
        <v>1135</v>
      </c>
      <c r="C175" s="434" t="s">
        <v>14</v>
      </c>
      <c r="D175" s="422">
        <v>8.34</v>
      </c>
    </row>
    <row r="176" spans="1:9" x14ac:dyDescent="0.25">
      <c r="A176" s="421"/>
      <c r="B176" s="434" t="s">
        <v>1136</v>
      </c>
      <c r="C176" s="434" t="s">
        <v>15</v>
      </c>
      <c r="D176" s="427">
        <v>55.93</v>
      </c>
    </row>
    <row r="177" spans="1:9" x14ac:dyDescent="0.25">
      <c r="A177" s="421"/>
      <c r="B177" s="434" t="s">
        <v>1157</v>
      </c>
      <c r="C177" s="434" t="s">
        <v>12</v>
      </c>
      <c r="D177" s="427">
        <v>2</v>
      </c>
    </row>
    <row r="178" spans="1:9" x14ac:dyDescent="0.25">
      <c r="A178" s="421"/>
      <c r="B178" s="434" t="s">
        <v>1137</v>
      </c>
      <c r="C178" s="434" t="s">
        <v>12</v>
      </c>
      <c r="D178" s="422">
        <v>1</v>
      </c>
    </row>
    <row r="179" spans="1:9" x14ac:dyDescent="0.25">
      <c r="A179" s="421"/>
      <c r="B179" s="434" t="s">
        <v>1138</v>
      </c>
      <c r="C179" s="434" t="s">
        <v>12</v>
      </c>
      <c r="D179" s="422">
        <v>1</v>
      </c>
    </row>
    <row r="180" spans="1:9" x14ac:dyDescent="0.25">
      <c r="A180" s="421"/>
      <c r="B180" s="434" t="s">
        <v>1148</v>
      </c>
      <c r="C180" s="434" t="s">
        <v>12</v>
      </c>
      <c r="D180" s="427">
        <v>3</v>
      </c>
    </row>
    <row r="181" spans="1:9" hidden="1" x14ac:dyDescent="0.25">
      <c r="A181" s="421">
        <v>2</v>
      </c>
      <c r="B181" s="438" t="s">
        <v>1149</v>
      </c>
      <c r="C181" s="434"/>
      <c r="D181" s="427"/>
    </row>
    <row r="182" spans="1:9" hidden="1" x14ac:dyDescent="0.25">
      <c r="A182" s="421"/>
      <c r="B182" s="434" t="s">
        <v>1158</v>
      </c>
      <c r="C182" s="434" t="s">
        <v>15</v>
      </c>
      <c r="D182" s="427">
        <v>19.29</v>
      </c>
    </row>
    <row r="183" spans="1:9" hidden="1" x14ac:dyDescent="0.25">
      <c r="A183" s="421"/>
      <c r="B183" s="434" t="s">
        <v>1150</v>
      </c>
      <c r="C183" s="434" t="s">
        <v>12</v>
      </c>
      <c r="D183" s="427">
        <v>4</v>
      </c>
    </row>
    <row r="184" spans="1:9" hidden="1" x14ac:dyDescent="0.25">
      <c r="A184" s="421"/>
      <c r="B184" s="438" t="s">
        <v>1142</v>
      </c>
      <c r="C184" s="434"/>
      <c r="D184" s="422"/>
    </row>
    <row r="185" spans="1:9" hidden="1" x14ac:dyDescent="0.25">
      <c r="A185" s="421"/>
      <c r="B185" s="434" t="s">
        <v>1143</v>
      </c>
      <c r="C185" s="434" t="s">
        <v>15</v>
      </c>
      <c r="D185" s="461">
        <v>15.84</v>
      </c>
    </row>
    <row r="186" spans="1:9" hidden="1" x14ac:dyDescent="0.25">
      <c r="A186" s="421"/>
      <c r="B186" s="434" t="s">
        <v>1159</v>
      </c>
      <c r="C186" s="434" t="s">
        <v>15</v>
      </c>
      <c r="D186" s="462">
        <v>4.12</v>
      </c>
    </row>
    <row r="187" spans="1:9" hidden="1" x14ac:dyDescent="0.25">
      <c r="A187" s="421"/>
      <c r="B187" s="434" t="s">
        <v>1144</v>
      </c>
      <c r="C187" s="434" t="s">
        <v>8</v>
      </c>
      <c r="D187" s="458">
        <v>8</v>
      </c>
    </row>
    <row r="188" spans="1:9" hidden="1" x14ac:dyDescent="0.25">
      <c r="A188" s="421"/>
      <c r="B188" s="434" t="s">
        <v>850</v>
      </c>
      <c r="C188" s="434" t="s">
        <v>8</v>
      </c>
      <c r="D188" s="460">
        <v>2.92</v>
      </c>
    </row>
    <row r="189" spans="1:9" x14ac:dyDescent="0.25">
      <c r="A189" s="421"/>
      <c r="B189" s="434" t="s">
        <v>1193</v>
      </c>
      <c r="C189" s="434"/>
      <c r="D189" s="470">
        <v>8</v>
      </c>
    </row>
    <row r="190" spans="1:9" x14ac:dyDescent="0.25">
      <c r="A190" s="421"/>
      <c r="B190" s="428" t="s">
        <v>1459</v>
      </c>
      <c r="C190" s="434"/>
      <c r="D190" s="422"/>
    </row>
    <row r="191" spans="1:9" x14ac:dyDescent="0.25">
      <c r="A191" s="421">
        <v>1</v>
      </c>
      <c r="B191" s="649" t="s">
        <v>1151</v>
      </c>
      <c r="C191" s="434"/>
      <c r="D191" s="422"/>
      <c r="F191" s="290">
        <v>1</v>
      </c>
      <c r="G191" s="290"/>
      <c r="H191" s="290">
        <v>1</v>
      </c>
      <c r="I191" s="290"/>
    </row>
    <row r="192" spans="1:9" x14ac:dyDescent="0.25">
      <c r="A192" s="421"/>
      <c r="B192" s="434" t="s">
        <v>1154</v>
      </c>
      <c r="C192" s="434" t="s">
        <v>15</v>
      </c>
      <c r="D192" s="464">
        <f>382.96/2</f>
        <v>191.48</v>
      </c>
    </row>
    <row r="193" spans="1:4" x14ac:dyDescent="0.25">
      <c r="A193" s="421"/>
      <c r="B193" s="434" t="s">
        <v>1155</v>
      </c>
      <c r="C193" s="434" t="s">
        <v>15</v>
      </c>
      <c r="D193" s="456">
        <f>60.74/2</f>
        <v>30.37</v>
      </c>
    </row>
    <row r="194" spans="1:4" x14ac:dyDescent="0.25">
      <c r="A194" s="421"/>
      <c r="B194" s="434" t="s">
        <v>1129</v>
      </c>
      <c r="C194" s="434" t="s">
        <v>15</v>
      </c>
      <c r="D194" s="465">
        <f>104.1/2</f>
        <v>52.05</v>
      </c>
    </row>
    <row r="195" spans="1:4" x14ac:dyDescent="0.25">
      <c r="A195" s="421"/>
      <c r="B195" s="434" t="s">
        <v>1130</v>
      </c>
      <c r="C195" s="434" t="s">
        <v>29</v>
      </c>
      <c r="D195" s="466">
        <f>97.36/2</f>
        <v>48.68</v>
      </c>
    </row>
    <row r="196" spans="1:4" x14ac:dyDescent="0.25">
      <c r="A196" s="421"/>
      <c r="B196" s="424" t="s">
        <v>1131</v>
      </c>
      <c r="C196" s="424" t="s">
        <v>29</v>
      </c>
      <c r="D196" s="468">
        <f>166.65/2</f>
        <v>83.325000000000003</v>
      </c>
    </row>
    <row r="197" spans="1:4" x14ac:dyDescent="0.25">
      <c r="A197" s="421"/>
      <c r="B197" s="424" t="s">
        <v>1132</v>
      </c>
      <c r="C197" s="424" t="s">
        <v>15</v>
      </c>
      <c r="D197" s="469">
        <f>4.16/2</f>
        <v>2.08</v>
      </c>
    </row>
    <row r="198" spans="1:4" x14ac:dyDescent="0.25">
      <c r="A198" s="421"/>
      <c r="B198" s="424" t="s">
        <v>1156</v>
      </c>
      <c r="C198" s="424" t="s">
        <v>15</v>
      </c>
      <c r="D198" s="467">
        <f>1.95/2</f>
        <v>0.97499999999999998</v>
      </c>
    </row>
    <row r="199" spans="1:4" x14ac:dyDescent="0.25">
      <c r="A199" s="421"/>
      <c r="B199" s="434" t="s">
        <v>1133</v>
      </c>
      <c r="C199" s="434" t="s">
        <v>15</v>
      </c>
      <c r="D199" s="427">
        <f>3.52/2</f>
        <v>1.76</v>
      </c>
    </row>
    <row r="200" spans="1:4" x14ac:dyDescent="0.25">
      <c r="A200" s="421"/>
      <c r="B200" s="434" t="s">
        <v>1134</v>
      </c>
      <c r="C200" s="434" t="s">
        <v>15</v>
      </c>
      <c r="D200" s="422">
        <f>8.8/2</f>
        <v>4.4000000000000004</v>
      </c>
    </row>
    <row r="201" spans="1:4" x14ac:dyDescent="0.25">
      <c r="A201" s="421"/>
      <c r="B201" s="434" t="s">
        <v>1135</v>
      </c>
      <c r="C201" s="434" t="s">
        <v>14</v>
      </c>
      <c r="D201" s="422">
        <f>21.4/2</f>
        <v>10.7</v>
      </c>
    </row>
    <row r="202" spans="1:4" x14ac:dyDescent="0.25">
      <c r="A202" s="421"/>
      <c r="B202" s="434" t="s">
        <v>1136</v>
      </c>
      <c r="C202" s="434" t="s">
        <v>14</v>
      </c>
      <c r="D202" s="427">
        <f>6.3/2</f>
        <v>3.15</v>
      </c>
    </row>
    <row r="203" spans="1:4" x14ac:dyDescent="0.25">
      <c r="A203" s="421"/>
      <c r="B203" s="434" t="s">
        <v>1157</v>
      </c>
      <c r="C203" s="434" t="s">
        <v>12</v>
      </c>
      <c r="D203" s="427">
        <f>4/2</f>
        <v>2</v>
      </c>
    </row>
    <row r="204" spans="1:4" x14ac:dyDescent="0.25">
      <c r="A204" s="421"/>
      <c r="B204" s="434" t="s">
        <v>1137</v>
      </c>
      <c r="C204" s="434" t="s">
        <v>12</v>
      </c>
      <c r="D204" s="427">
        <v>2</v>
      </c>
    </row>
    <row r="205" spans="1:4" x14ac:dyDescent="0.25">
      <c r="A205" s="421"/>
      <c r="B205" s="434" t="s">
        <v>1138</v>
      </c>
      <c r="C205" s="434" t="s">
        <v>12</v>
      </c>
      <c r="D205" s="427">
        <v>2</v>
      </c>
    </row>
    <row r="206" spans="1:4" x14ac:dyDescent="0.25">
      <c r="A206" s="421"/>
      <c r="B206" s="434" t="s">
        <v>1152</v>
      </c>
      <c r="C206" s="434" t="s">
        <v>12</v>
      </c>
      <c r="D206" s="427">
        <v>6</v>
      </c>
    </row>
    <row r="207" spans="1:4" hidden="1" x14ac:dyDescent="0.25">
      <c r="A207" s="421">
        <v>2</v>
      </c>
      <c r="B207" s="438" t="s">
        <v>1153</v>
      </c>
      <c r="C207" s="434"/>
      <c r="D207" s="427"/>
    </row>
    <row r="208" spans="1:4" hidden="1" x14ac:dyDescent="0.25">
      <c r="A208" s="421"/>
      <c r="B208" s="434" t="s">
        <v>1158</v>
      </c>
      <c r="C208" s="434" t="s">
        <v>15</v>
      </c>
      <c r="D208" s="427">
        <v>51.48</v>
      </c>
    </row>
    <row r="209" spans="1:9" hidden="1" x14ac:dyDescent="0.25">
      <c r="A209" s="421"/>
      <c r="B209" s="434" t="s">
        <v>1150</v>
      </c>
      <c r="C209" s="434" t="s">
        <v>12</v>
      </c>
      <c r="D209" s="427">
        <v>8</v>
      </c>
    </row>
    <row r="210" spans="1:9" hidden="1" x14ac:dyDescent="0.25">
      <c r="A210" s="421"/>
      <c r="B210" s="438" t="s">
        <v>1142</v>
      </c>
      <c r="C210" s="434"/>
      <c r="D210" s="422"/>
    </row>
    <row r="211" spans="1:9" hidden="1" x14ac:dyDescent="0.25">
      <c r="A211" s="421"/>
      <c r="B211" s="434" t="s">
        <v>1143</v>
      </c>
      <c r="C211" s="434" t="s">
        <v>15</v>
      </c>
      <c r="D211" s="461">
        <v>31.68</v>
      </c>
    </row>
    <row r="212" spans="1:9" hidden="1" x14ac:dyDescent="0.25">
      <c r="A212" s="421"/>
      <c r="B212" s="434" t="s">
        <v>1159</v>
      </c>
      <c r="C212" s="434" t="s">
        <v>15</v>
      </c>
      <c r="D212" s="462">
        <v>8.24</v>
      </c>
    </row>
    <row r="213" spans="1:9" hidden="1" x14ac:dyDescent="0.25">
      <c r="A213" s="421"/>
      <c r="B213" s="434" t="s">
        <v>1144</v>
      </c>
      <c r="C213" s="434" t="s">
        <v>8</v>
      </c>
      <c r="D213" s="458">
        <v>6</v>
      </c>
    </row>
    <row r="214" spans="1:9" hidden="1" x14ac:dyDescent="0.25">
      <c r="A214" s="421"/>
      <c r="B214" s="434" t="s">
        <v>850</v>
      </c>
      <c r="C214" s="434" t="s">
        <v>8</v>
      </c>
      <c r="D214" s="460">
        <v>1.84</v>
      </c>
    </row>
    <row r="215" spans="1:9" x14ac:dyDescent="0.25">
      <c r="B215" s="434" t="s">
        <v>1193</v>
      </c>
      <c r="C215" s="434"/>
      <c r="D215" s="470">
        <v>16</v>
      </c>
    </row>
    <row r="216" spans="1:9" x14ac:dyDescent="0.25">
      <c r="B216" s="428" t="s">
        <v>1457</v>
      </c>
    </row>
    <row r="217" spans="1:9" x14ac:dyDescent="0.25">
      <c r="B217" s="649" t="s">
        <v>1456</v>
      </c>
    </row>
    <row r="218" spans="1:9" x14ac:dyDescent="0.25">
      <c r="G218" s="288">
        <v>2</v>
      </c>
      <c r="I218" s="288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opLeftCell="C7" workbookViewId="0">
      <selection activeCell="N2" sqref="N2"/>
    </sheetView>
  </sheetViews>
  <sheetFormatPr defaultColWidth="9" defaultRowHeight="13.8" x14ac:dyDescent="0.25"/>
  <cols>
    <col min="1" max="1" width="9" style="288" customWidth="1"/>
    <col min="2" max="2" width="39.33203125" style="288" customWidth="1"/>
    <col min="3" max="6" width="9" style="288" customWidth="1"/>
    <col min="7" max="7" width="9.6640625" style="288" customWidth="1"/>
    <col min="8" max="8" width="5.44140625" style="288" customWidth="1"/>
    <col min="9" max="9" width="27" style="288" customWidth="1"/>
    <col min="10" max="13" width="9" style="288" customWidth="1"/>
    <col min="14" max="16384" width="9" style="288"/>
  </cols>
  <sheetData>
    <row r="1" spans="1:18" x14ac:dyDescent="0.25">
      <c r="N1" s="288" t="s">
        <v>1527</v>
      </c>
      <c r="O1" s="288" t="s">
        <v>1038</v>
      </c>
      <c r="P1" s="288" t="s">
        <v>638</v>
      </c>
    </row>
    <row r="2" spans="1:18" ht="14.4" thickBot="1" x14ac:dyDescent="0.3">
      <c r="I2" s="288" t="s">
        <v>1030</v>
      </c>
      <c r="N2" s="585" t="s">
        <v>1273</v>
      </c>
      <c r="O2" s="434">
        <f>SUM(O3:O10)</f>
        <v>58.37</v>
      </c>
      <c r="P2" s="585">
        <f>O2*P3</f>
        <v>627.47749999999996</v>
      </c>
    </row>
    <row r="3" spans="1:18" ht="15" thickTop="1" thickBot="1" x14ac:dyDescent="0.3">
      <c r="A3" s="415" t="s">
        <v>917</v>
      </c>
      <c r="B3" s="416" t="s">
        <v>918</v>
      </c>
      <c r="C3" s="416" t="s">
        <v>919</v>
      </c>
      <c r="D3" s="417" t="s">
        <v>920</v>
      </c>
      <c r="H3" s="288" t="s">
        <v>917</v>
      </c>
      <c r="I3" s="288" t="s">
        <v>918</v>
      </c>
      <c r="J3" s="288" t="s">
        <v>919</v>
      </c>
      <c r="K3" s="288" t="s">
        <v>920</v>
      </c>
      <c r="O3" s="288">
        <f>19.6+0.38</f>
        <v>19.98</v>
      </c>
      <c r="P3" s="288">
        <f>1.3+9.45</f>
        <v>10.75</v>
      </c>
      <c r="R3" s="288" t="s">
        <v>1351</v>
      </c>
    </row>
    <row r="4" spans="1:18" ht="14.4" thickTop="1" x14ac:dyDescent="0.25">
      <c r="A4" s="418"/>
      <c r="B4" s="419" t="s">
        <v>995</v>
      </c>
      <c r="C4" s="419"/>
      <c r="D4" s="420"/>
      <c r="I4" s="288" t="s">
        <v>1029</v>
      </c>
      <c r="O4" s="288">
        <f>19.6+0.38</f>
        <v>19.98</v>
      </c>
    </row>
    <row r="5" spans="1:18" x14ac:dyDescent="0.25">
      <c r="A5" s="421"/>
      <c r="B5" s="408"/>
      <c r="C5" s="408"/>
      <c r="D5" s="422"/>
      <c r="O5" s="288">
        <v>0.51</v>
      </c>
    </row>
    <row r="6" spans="1:18" x14ac:dyDescent="0.25">
      <c r="A6" s="421">
        <v>1</v>
      </c>
      <c r="B6" s="408" t="s">
        <v>996</v>
      </c>
      <c r="C6" s="408" t="s">
        <v>14</v>
      </c>
      <c r="D6" s="422">
        <v>753.67</v>
      </c>
      <c r="F6" s="288">
        <f>D6+D18+D25</f>
        <v>1664.22</v>
      </c>
      <c r="H6" s="288">
        <v>1</v>
      </c>
      <c r="I6" s="288" t="s">
        <v>1035</v>
      </c>
      <c r="J6" s="288" t="s">
        <v>14</v>
      </c>
      <c r="K6" s="288">
        <v>753.67</v>
      </c>
      <c r="M6" s="288">
        <f>K6+K18+K25</f>
        <v>1669.77</v>
      </c>
      <c r="O6" s="288">
        <v>0.51</v>
      </c>
    </row>
    <row r="7" spans="1:18" x14ac:dyDescent="0.25">
      <c r="A7" s="421">
        <v>2</v>
      </c>
      <c r="B7" s="408" t="s">
        <v>991</v>
      </c>
      <c r="C7" s="408" t="s">
        <v>14</v>
      </c>
      <c r="D7" s="422">
        <v>79.150000000000006</v>
      </c>
      <c r="F7" s="288">
        <f>D7+D19+D26</f>
        <v>173.34000000000003</v>
      </c>
      <c r="H7" s="288">
        <v>2</v>
      </c>
      <c r="I7" s="288" t="s">
        <v>991</v>
      </c>
      <c r="J7" s="288" t="s">
        <v>14</v>
      </c>
      <c r="K7" s="288">
        <v>79.150000000000006</v>
      </c>
      <c r="M7" s="288">
        <f>K7+K19+K26</f>
        <v>173.34000000000003</v>
      </c>
      <c r="O7" s="288">
        <v>1.17</v>
      </c>
    </row>
    <row r="8" spans="1:18" x14ac:dyDescent="0.25">
      <c r="A8" s="421"/>
      <c r="B8" s="434"/>
      <c r="C8" s="434"/>
      <c r="D8" s="422"/>
      <c r="O8" s="288">
        <v>1.17</v>
      </c>
    </row>
    <row r="9" spans="1:18" x14ac:dyDescent="0.25">
      <c r="A9" s="421"/>
      <c r="B9" s="434"/>
      <c r="C9" s="434"/>
      <c r="D9" s="422"/>
      <c r="O9" s="288">
        <f>6.08+6.68+0.23+0.23</f>
        <v>13.22</v>
      </c>
    </row>
    <row r="10" spans="1:18" x14ac:dyDescent="0.25">
      <c r="A10" s="421"/>
      <c r="B10" s="434"/>
      <c r="C10" s="434"/>
      <c r="D10" s="422"/>
      <c r="O10" s="288">
        <v>1.83</v>
      </c>
    </row>
    <row r="11" spans="1:18" x14ac:dyDescent="0.25">
      <c r="A11" s="421">
        <v>3</v>
      </c>
      <c r="B11" s="408" t="s">
        <v>992</v>
      </c>
      <c r="C11" s="408" t="s">
        <v>14</v>
      </c>
      <c r="D11" s="422">
        <v>52.38</v>
      </c>
      <c r="F11" s="288">
        <f>D11+D20+D27</f>
        <v>97.080000000000013</v>
      </c>
      <c r="H11" s="288">
        <v>3</v>
      </c>
      <c r="I11" s="288" t="s">
        <v>992</v>
      </c>
      <c r="J11" s="288" t="s">
        <v>14</v>
      </c>
      <c r="K11" s="288">
        <v>52.38</v>
      </c>
      <c r="M11" s="288">
        <f>K11+K20+K27</f>
        <v>97.080000000000013</v>
      </c>
      <c r="N11" s="591" t="s">
        <v>1274</v>
      </c>
      <c r="O11" s="434">
        <f>SUM(O12:O15)</f>
        <v>87.98</v>
      </c>
      <c r="P11" s="591">
        <f>O11*P12+O16*P13</f>
        <v>959.84500000000003</v>
      </c>
    </row>
    <row r="12" spans="1:18" x14ac:dyDescent="0.25">
      <c r="A12" s="421">
        <v>4</v>
      </c>
      <c r="B12" s="408" t="s">
        <v>993</v>
      </c>
      <c r="C12" s="408" t="s">
        <v>14</v>
      </c>
      <c r="D12" s="422">
        <v>67.91</v>
      </c>
      <c r="F12" s="288">
        <f>D12+D21+D28</f>
        <v>126.59</v>
      </c>
      <c r="H12" s="288">
        <v>4</v>
      </c>
      <c r="I12" s="288" t="s">
        <v>993</v>
      </c>
      <c r="J12" s="288" t="s">
        <v>14</v>
      </c>
      <c r="K12" s="288">
        <v>67.91</v>
      </c>
      <c r="M12" s="288">
        <f>K12+K21+K28</f>
        <v>126.59</v>
      </c>
      <c r="O12" s="288">
        <f>36.4+0.38</f>
        <v>36.78</v>
      </c>
      <c r="P12" s="288">
        <f>1.6+9.15</f>
        <v>10.75</v>
      </c>
    </row>
    <row r="13" spans="1:18" x14ac:dyDescent="0.25">
      <c r="A13" s="423">
        <v>5</v>
      </c>
      <c r="B13" s="424" t="s">
        <v>994</v>
      </c>
      <c r="C13" s="424" t="s">
        <v>29</v>
      </c>
      <c r="D13" s="425">
        <v>100</v>
      </c>
      <c r="F13" s="288">
        <f>D13+D22+D29</f>
        <v>165.26</v>
      </c>
      <c r="H13" s="288">
        <v>5</v>
      </c>
      <c r="I13" s="288" t="s">
        <v>994</v>
      </c>
      <c r="J13" s="288" t="s">
        <v>29</v>
      </c>
      <c r="K13" s="288">
        <v>100</v>
      </c>
      <c r="M13" s="288">
        <f>K13+K22+K29</f>
        <v>165.26</v>
      </c>
      <c r="O13" s="288">
        <f>36.4-0.78-0.23+0.19</f>
        <v>35.58</v>
      </c>
      <c r="P13" s="288">
        <v>1.9</v>
      </c>
    </row>
    <row r="14" spans="1:18" x14ac:dyDescent="0.25">
      <c r="A14" s="418"/>
      <c r="B14" s="426" t="s">
        <v>956</v>
      </c>
      <c r="C14" s="419"/>
      <c r="D14" s="420"/>
      <c r="I14" s="288" t="s">
        <v>956</v>
      </c>
      <c r="O14" s="288">
        <f>6.08+7.25+0.23+0.26</f>
        <v>13.82</v>
      </c>
    </row>
    <row r="15" spans="1:18" x14ac:dyDescent="0.25">
      <c r="A15" s="418"/>
      <c r="B15" s="426"/>
      <c r="C15" s="419"/>
      <c r="D15" s="420"/>
      <c r="O15" s="288">
        <f>1.77-0.23+0.26</f>
        <v>1.8</v>
      </c>
    </row>
    <row r="16" spans="1:18" x14ac:dyDescent="0.25">
      <c r="A16" s="418"/>
      <c r="B16" s="426"/>
      <c r="C16" s="419"/>
      <c r="D16" s="420"/>
      <c r="O16" s="288">
        <f>(1.6+0.25)*4</f>
        <v>7.4</v>
      </c>
    </row>
    <row r="17" spans="1:16" x14ac:dyDescent="0.25">
      <c r="A17" s="421"/>
      <c r="B17" s="408"/>
      <c r="C17" s="408"/>
      <c r="D17" s="422"/>
      <c r="N17" s="588" t="s">
        <v>1275</v>
      </c>
      <c r="O17" s="434">
        <f>SUM(O18:O22)</f>
        <v>53</v>
      </c>
      <c r="P17" s="588">
        <f>O17*P18</f>
        <v>569.75</v>
      </c>
    </row>
    <row r="18" spans="1:16" x14ac:dyDescent="0.25">
      <c r="A18" s="421">
        <v>1</v>
      </c>
      <c r="B18" s="408" t="s">
        <v>996</v>
      </c>
      <c r="C18" s="408" t="s">
        <v>14</v>
      </c>
      <c r="D18" s="422">
        <v>513.33000000000004</v>
      </c>
      <c r="H18" s="288">
        <v>1</v>
      </c>
      <c r="I18" s="288" t="s">
        <v>1035</v>
      </c>
      <c r="J18" s="288" t="s">
        <v>14</v>
      </c>
      <c r="K18" s="288">
        <v>516.1</v>
      </c>
      <c r="O18" s="288">
        <f>19.6+0.38</f>
        <v>19.98</v>
      </c>
      <c r="P18" s="288">
        <f>1.3+9.45</f>
        <v>10.75</v>
      </c>
    </row>
    <row r="19" spans="1:16" x14ac:dyDescent="0.25">
      <c r="A19" s="421">
        <v>2</v>
      </c>
      <c r="B19" s="408" t="s">
        <v>991</v>
      </c>
      <c r="C19" s="408" t="s">
        <v>14</v>
      </c>
      <c r="D19" s="422">
        <v>52.08</v>
      </c>
      <c r="H19" s="288">
        <v>2</v>
      </c>
      <c r="I19" s="288" t="s">
        <v>991</v>
      </c>
      <c r="J19" s="288" t="s">
        <v>14</v>
      </c>
      <c r="K19" s="288">
        <v>52.08</v>
      </c>
      <c r="O19" s="288">
        <f>19.6+0.38</f>
        <v>19.98</v>
      </c>
    </row>
    <row r="20" spans="1:16" x14ac:dyDescent="0.25">
      <c r="A20" s="421">
        <v>3</v>
      </c>
      <c r="B20" s="408" t="s">
        <v>992</v>
      </c>
      <c r="C20" s="408" t="s">
        <v>14</v>
      </c>
      <c r="D20" s="422">
        <v>22.35</v>
      </c>
      <c r="H20" s="288">
        <v>3</v>
      </c>
      <c r="I20" s="288" t="s">
        <v>992</v>
      </c>
      <c r="J20" s="288" t="s">
        <v>14</v>
      </c>
      <c r="K20" s="288">
        <v>22.35</v>
      </c>
      <c r="O20" s="288">
        <v>0.51</v>
      </c>
    </row>
    <row r="21" spans="1:16" x14ac:dyDescent="0.25">
      <c r="A21" s="421">
        <v>4</v>
      </c>
      <c r="B21" s="408" t="s">
        <v>993</v>
      </c>
      <c r="C21" s="408" t="s">
        <v>14</v>
      </c>
      <c r="D21" s="422">
        <v>29.34</v>
      </c>
      <c r="H21" s="288">
        <v>4</v>
      </c>
      <c r="I21" s="288" t="s">
        <v>993</v>
      </c>
      <c r="J21" s="288" t="s">
        <v>14</v>
      </c>
      <c r="K21" s="288">
        <v>29.34</v>
      </c>
      <c r="O21" s="288">
        <v>0.51</v>
      </c>
    </row>
    <row r="22" spans="1:16" x14ac:dyDescent="0.25">
      <c r="A22" s="423">
        <v>5</v>
      </c>
      <c r="B22" s="424" t="s">
        <v>994</v>
      </c>
      <c r="C22" s="424" t="s">
        <v>29</v>
      </c>
      <c r="D22" s="425">
        <v>39.200000000000003</v>
      </c>
      <c r="H22" s="288">
        <v>5</v>
      </c>
      <c r="I22" s="288" t="s">
        <v>994</v>
      </c>
      <c r="J22" s="288" t="s">
        <v>29</v>
      </c>
      <c r="K22" s="288">
        <v>39.200000000000003</v>
      </c>
      <c r="O22" s="288">
        <f>6.08+4.01+1.89-0.19+0.23</f>
        <v>12.020000000000001</v>
      </c>
    </row>
    <row r="23" spans="1:16" x14ac:dyDescent="0.25">
      <c r="A23" s="418"/>
      <c r="B23" s="426" t="s">
        <v>961</v>
      </c>
      <c r="C23" s="419"/>
      <c r="D23" s="420"/>
      <c r="I23" s="288" t="s">
        <v>961</v>
      </c>
    </row>
    <row r="24" spans="1:16" x14ac:dyDescent="0.25">
      <c r="A24" s="421"/>
      <c r="B24" s="408"/>
      <c r="C24" s="408"/>
      <c r="D24" s="422"/>
      <c r="N24" s="587" t="s">
        <v>1276</v>
      </c>
      <c r="O24" s="434">
        <f>SUM(O25:O28)</f>
        <v>88.05</v>
      </c>
      <c r="P24" s="587">
        <f>O24*P25</f>
        <v>946.53750000000002</v>
      </c>
    </row>
    <row r="25" spans="1:16" x14ac:dyDescent="0.25">
      <c r="A25" s="421">
        <v>1</v>
      </c>
      <c r="B25" s="408" t="s">
        <v>996</v>
      </c>
      <c r="C25" s="408" t="s">
        <v>14</v>
      </c>
      <c r="D25" s="422">
        <v>397.22</v>
      </c>
      <c r="H25" s="288">
        <v>1</v>
      </c>
      <c r="I25" s="288" t="s">
        <v>1035</v>
      </c>
      <c r="J25" s="288" t="s">
        <v>14</v>
      </c>
      <c r="K25" s="288">
        <v>400</v>
      </c>
      <c r="O25" s="288">
        <f>36.4+0.38</f>
        <v>36.78</v>
      </c>
      <c r="P25" s="288">
        <f>1.6+9.15</f>
        <v>10.75</v>
      </c>
    </row>
    <row r="26" spans="1:16" x14ac:dyDescent="0.25">
      <c r="A26" s="421">
        <v>2</v>
      </c>
      <c r="B26" s="408" t="s">
        <v>991</v>
      </c>
      <c r="C26" s="408" t="s">
        <v>14</v>
      </c>
      <c r="D26" s="422">
        <v>42.11</v>
      </c>
      <c r="H26" s="288">
        <v>2</v>
      </c>
      <c r="I26" s="288" t="s">
        <v>991</v>
      </c>
      <c r="J26" s="288" t="s">
        <v>14</v>
      </c>
      <c r="K26" s="288">
        <v>42.11</v>
      </c>
      <c r="O26" s="288">
        <f>36.4+0.38</f>
        <v>36.78</v>
      </c>
    </row>
    <row r="27" spans="1:16" x14ac:dyDescent="0.25">
      <c r="A27" s="421">
        <v>3</v>
      </c>
      <c r="B27" s="408" t="s">
        <v>992</v>
      </c>
      <c r="C27" s="408" t="s">
        <v>14</v>
      </c>
      <c r="D27" s="422">
        <v>22.35</v>
      </c>
      <c r="H27" s="288">
        <v>3</v>
      </c>
      <c r="I27" s="288" t="s">
        <v>992</v>
      </c>
      <c r="J27" s="288" t="s">
        <v>14</v>
      </c>
      <c r="K27" s="288">
        <v>22.35</v>
      </c>
      <c r="O27" s="288">
        <f>13.33+0.26+0.23</f>
        <v>13.82</v>
      </c>
    </row>
    <row r="28" spans="1:16" x14ac:dyDescent="0.25">
      <c r="A28" s="421">
        <v>4</v>
      </c>
      <c r="B28" s="408" t="s">
        <v>993</v>
      </c>
      <c r="C28" s="408" t="s">
        <v>14</v>
      </c>
      <c r="D28" s="422">
        <v>29.34</v>
      </c>
      <c r="H28" s="288">
        <v>4</v>
      </c>
      <c r="I28" s="288" t="s">
        <v>993</v>
      </c>
      <c r="J28" s="288" t="s">
        <v>14</v>
      </c>
      <c r="K28" s="288">
        <v>29.34</v>
      </c>
      <c r="O28" s="288">
        <f>0.64-0.23+0.26</f>
        <v>0.67</v>
      </c>
    </row>
    <row r="29" spans="1:16" x14ac:dyDescent="0.25">
      <c r="A29" s="421">
        <v>5</v>
      </c>
      <c r="B29" s="408" t="s">
        <v>994</v>
      </c>
      <c r="C29" s="408" t="s">
        <v>29</v>
      </c>
      <c r="D29" s="422">
        <v>26.06</v>
      </c>
      <c r="H29" s="288">
        <v>5</v>
      </c>
      <c r="I29" s="288" t="s">
        <v>994</v>
      </c>
      <c r="J29" s="288" t="s">
        <v>29</v>
      </c>
      <c r="K29" s="288">
        <v>26.06</v>
      </c>
    </row>
    <row r="30" spans="1:16" x14ac:dyDescent="0.25">
      <c r="A30" s="421"/>
      <c r="B30" s="408"/>
      <c r="C30" s="408"/>
      <c r="D30" s="427"/>
    </row>
    <row r="31" spans="1:16" x14ac:dyDescent="0.25">
      <c r="A31" s="421"/>
      <c r="B31" s="438" t="s">
        <v>1033</v>
      </c>
      <c r="C31" s="408"/>
      <c r="D31" s="422"/>
    </row>
    <row r="32" spans="1:16" x14ac:dyDescent="0.25">
      <c r="A32" s="421" t="s">
        <v>917</v>
      </c>
      <c r="B32" s="408" t="s">
        <v>918</v>
      </c>
      <c r="C32" s="408" t="s">
        <v>919</v>
      </c>
      <c r="D32" s="422" t="s">
        <v>920</v>
      </c>
    </row>
    <row r="33" spans="1:4" x14ac:dyDescent="0.25">
      <c r="A33" s="421"/>
      <c r="B33" s="408" t="s">
        <v>1029</v>
      </c>
      <c r="C33" s="408"/>
      <c r="D33" s="422"/>
    </row>
    <row r="34" spans="1:4" x14ac:dyDescent="0.25">
      <c r="A34" s="421">
        <v>1</v>
      </c>
      <c r="B34" s="408" t="s">
        <v>794</v>
      </c>
      <c r="C34" s="408"/>
      <c r="D34" s="422"/>
    </row>
    <row r="35" spans="1:4" x14ac:dyDescent="0.25">
      <c r="A35" s="421"/>
      <c r="B35" s="408" t="s">
        <v>1031</v>
      </c>
      <c r="C35" s="408" t="s">
        <v>14</v>
      </c>
      <c r="D35" s="427">
        <v>238.6</v>
      </c>
    </row>
    <row r="36" spans="1:4" x14ac:dyDescent="0.25">
      <c r="A36" s="421"/>
      <c r="B36" s="408" t="s">
        <v>1032</v>
      </c>
      <c r="C36" s="408"/>
      <c r="D36" s="427"/>
    </row>
    <row r="37" spans="1:4" x14ac:dyDescent="0.25">
      <c r="A37" s="421">
        <v>1</v>
      </c>
      <c r="B37" s="408" t="s">
        <v>794</v>
      </c>
      <c r="C37" s="408"/>
      <c r="D37" s="427"/>
    </row>
    <row r="38" spans="1:4" x14ac:dyDescent="0.25">
      <c r="A38" s="421"/>
      <c r="B38" s="408" t="s">
        <v>1031</v>
      </c>
      <c r="C38" s="408" t="s">
        <v>14</v>
      </c>
      <c r="D38" s="422">
        <v>240.5</v>
      </c>
    </row>
    <row r="39" spans="1:4" x14ac:dyDescent="0.25">
      <c r="A39" s="421"/>
      <c r="B39" s="408"/>
      <c r="C39" s="408"/>
      <c r="D39" s="427"/>
    </row>
    <row r="40" spans="1:4" x14ac:dyDescent="0.25">
      <c r="A40" s="421"/>
      <c r="B40" s="408"/>
      <c r="C40" s="408"/>
      <c r="D40" s="427"/>
    </row>
    <row r="41" spans="1:4" x14ac:dyDescent="0.25">
      <c r="A41" s="421"/>
      <c r="B41" s="408"/>
      <c r="C41" s="408"/>
      <c r="D41" s="422"/>
    </row>
    <row r="42" spans="1:4" x14ac:dyDescent="0.25">
      <c r="A42" s="421"/>
      <c r="B42" s="408"/>
      <c r="C42" s="408"/>
      <c r="D42" s="427"/>
    </row>
    <row r="43" spans="1:4" x14ac:dyDescent="0.25">
      <c r="A43" s="421"/>
      <c r="B43" s="408"/>
      <c r="C43" s="408"/>
      <c r="D43" s="427"/>
    </row>
    <row r="44" spans="1:4" x14ac:dyDescent="0.25">
      <c r="A44" s="421"/>
      <c r="B44" s="408"/>
      <c r="C44" s="408"/>
      <c r="D44" s="422"/>
    </row>
    <row r="45" spans="1:4" x14ac:dyDescent="0.25">
      <c r="A45" s="421"/>
      <c r="B45" s="408"/>
      <c r="C45" s="408"/>
      <c r="D45" s="427"/>
    </row>
    <row r="46" spans="1:4" x14ac:dyDescent="0.25">
      <c r="A46" s="421"/>
      <c r="B46" s="408"/>
      <c r="C46" s="408"/>
      <c r="D46" s="422"/>
    </row>
    <row r="47" spans="1:4" x14ac:dyDescent="0.25">
      <c r="A47" s="421"/>
      <c r="B47" s="408"/>
      <c r="C47" s="408"/>
      <c r="D47" s="427"/>
    </row>
    <row r="48" spans="1:4" x14ac:dyDescent="0.25">
      <c r="A48" s="421"/>
      <c r="B48" s="408"/>
      <c r="C48" s="408"/>
      <c r="D48" s="427"/>
    </row>
    <row r="49" spans="1:4" x14ac:dyDescent="0.25">
      <c r="A49" s="421"/>
      <c r="B49" s="408"/>
      <c r="C49" s="408"/>
      <c r="D49" s="422"/>
    </row>
    <row r="50" spans="1:4" x14ac:dyDescent="0.25">
      <c r="A50" s="421"/>
      <c r="B50" s="408"/>
      <c r="C50" s="408"/>
      <c r="D50" s="422"/>
    </row>
    <row r="51" spans="1:4" x14ac:dyDescent="0.25">
      <c r="A51" s="421"/>
      <c r="B51" s="408"/>
      <c r="C51" s="408"/>
      <c r="D51" s="422"/>
    </row>
    <row r="52" spans="1:4" x14ac:dyDescent="0.25">
      <c r="A52" s="421"/>
      <c r="B52" s="408"/>
      <c r="C52" s="408"/>
      <c r="D52" s="427"/>
    </row>
    <row r="53" spans="1:4" x14ac:dyDescent="0.25">
      <c r="A53" s="421"/>
      <c r="B53" s="408"/>
      <c r="C53" s="408"/>
      <c r="D53" s="422"/>
    </row>
    <row r="54" spans="1:4" x14ac:dyDescent="0.25">
      <c r="A54" s="421"/>
      <c r="B54" s="408"/>
      <c r="C54" s="408"/>
      <c r="D54" s="427"/>
    </row>
    <row r="55" spans="1:4" x14ac:dyDescent="0.25">
      <c r="A55" s="421"/>
      <c r="B55" s="408"/>
      <c r="C55" s="408"/>
      <c r="D55" s="422"/>
    </row>
    <row r="56" spans="1:4" x14ac:dyDescent="0.25">
      <c r="A56" s="421"/>
      <c r="B56" s="408"/>
      <c r="C56" s="408"/>
      <c r="D56" s="422"/>
    </row>
    <row r="57" spans="1:4" x14ac:dyDescent="0.25">
      <c r="A57" s="421"/>
      <c r="B57" s="408"/>
      <c r="C57" s="408"/>
      <c r="D57" s="427"/>
    </row>
    <row r="58" spans="1:4" x14ac:dyDescent="0.25">
      <c r="A58" s="421"/>
      <c r="B58" s="408"/>
      <c r="C58" s="408"/>
      <c r="D58" s="422"/>
    </row>
    <row r="59" spans="1:4" x14ac:dyDescent="0.25">
      <c r="A59" s="421"/>
      <c r="B59" s="408"/>
      <c r="C59" s="408"/>
      <c r="D59" s="422"/>
    </row>
    <row r="60" spans="1:4" x14ac:dyDescent="0.25">
      <c r="A60" s="421"/>
      <c r="B60" s="408"/>
      <c r="C60" s="408"/>
      <c r="D60" s="427"/>
    </row>
    <row r="61" spans="1:4" x14ac:dyDescent="0.25">
      <c r="A61" s="421"/>
      <c r="B61" s="408"/>
      <c r="C61" s="408"/>
      <c r="D61" s="422"/>
    </row>
    <row r="62" spans="1:4" x14ac:dyDescent="0.25">
      <c r="A62" s="421"/>
      <c r="B62" s="408"/>
      <c r="C62" s="408"/>
      <c r="D62" s="422"/>
    </row>
    <row r="63" spans="1:4" x14ac:dyDescent="0.25">
      <c r="A63" s="421"/>
      <c r="B63" s="408"/>
      <c r="C63" s="408"/>
      <c r="D63" s="422"/>
    </row>
    <row r="64" spans="1:4" x14ac:dyDescent="0.25">
      <c r="A64" s="421"/>
      <c r="B64" s="408"/>
      <c r="C64" s="408"/>
      <c r="D64" s="422"/>
    </row>
    <row r="65" spans="1:4" x14ac:dyDescent="0.25">
      <c r="A65" s="421"/>
      <c r="B65" s="408"/>
      <c r="C65" s="408"/>
      <c r="D65" s="427"/>
    </row>
    <row r="66" spans="1:4" x14ac:dyDescent="0.25">
      <c r="A66" s="421"/>
      <c r="B66" s="408"/>
      <c r="C66" s="408"/>
      <c r="D66" s="427"/>
    </row>
    <row r="67" spans="1:4" x14ac:dyDescent="0.25">
      <c r="A67" s="421"/>
      <c r="B67" s="408"/>
      <c r="C67" s="408"/>
      <c r="D67" s="427"/>
    </row>
    <row r="68" spans="1:4" x14ac:dyDescent="0.25">
      <c r="A68" s="421"/>
      <c r="B68" s="428"/>
      <c r="C68" s="408"/>
      <c r="D68" s="427"/>
    </row>
    <row r="69" spans="1:4" x14ac:dyDescent="0.25">
      <c r="A69" s="421"/>
      <c r="B69" s="408"/>
      <c r="C69" s="408"/>
      <c r="D69" s="422"/>
    </row>
    <row r="70" spans="1:4" x14ac:dyDescent="0.25">
      <c r="A70" s="421"/>
      <c r="B70" s="408"/>
      <c r="C70" s="408"/>
      <c r="D70" s="422"/>
    </row>
    <row r="71" spans="1:4" x14ac:dyDescent="0.25">
      <c r="A71" s="421"/>
      <c r="B71" s="408"/>
      <c r="C71" s="408"/>
      <c r="D71" s="422"/>
    </row>
    <row r="72" spans="1:4" x14ac:dyDescent="0.25">
      <c r="A72" s="421"/>
      <c r="B72" s="408"/>
      <c r="C72" s="408"/>
      <c r="D72" s="422"/>
    </row>
    <row r="73" spans="1:4" x14ac:dyDescent="0.25">
      <c r="A73" s="421"/>
      <c r="B73" s="408"/>
      <c r="C73" s="408"/>
      <c r="D73" s="422"/>
    </row>
    <row r="74" spans="1:4" x14ac:dyDescent="0.25">
      <c r="A74" s="421"/>
      <c r="B74" s="408"/>
      <c r="C74" s="408"/>
      <c r="D74" s="422"/>
    </row>
    <row r="75" spans="1:4" x14ac:dyDescent="0.25">
      <c r="A75" s="421"/>
      <c r="B75" s="408"/>
      <c r="C75" s="408"/>
      <c r="D75" s="422"/>
    </row>
    <row r="76" spans="1:4" x14ac:dyDescent="0.25">
      <c r="A76" s="421"/>
      <c r="B76" s="408"/>
      <c r="C76" s="408"/>
      <c r="D76" s="427"/>
    </row>
    <row r="77" spans="1:4" x14ac:dyDescent="0.25">
      <c r="A77" s="421"/>
      <c r="B77" s="408"/>
      <c r="C77" s="408"/>
      <c r="D77" s="422"/>
    </row>
    <row r="78" spans="1:4" x14ac:dyDescent="0.25">
      <c r="A78" s="421"/>
      <c r="B78" s="408"/>
      <c r="C78" s="408"/>
      <c r="D78" s="422"/>
    </row>
    <row r="79" spans="1:4" x14ac:dyDescent="0.25">
      <c r="A79" s="421"/>
      <c r="B79" s="408"/>
      <c r="C79" s="408"/>
      <c r="D79" s="427"/>
    </row>
    <row r="80" spans="1:4" x14ac:dyDescent="0.25">
      <c r="A80" s="421"/>
      <c r="B80" s="408"/>
      <c r="C80" s="408"/>
      <c r="D80" s="427"/>
    </row>
    <row r="81" spans="1:4" x14ac:dyDescent="0.25">
      <c r="A81" s="421"/>
      <c r="B81" s="408"/>
      <c r="C81" s="408"/>
      <c r="D81" s="429"/>
    </row>
    <row r="82" spans="1:4" x14ac:dyDescent="0.25">
      <c r="A82" s="421"/>
      <c r="B82" s="408"/>
      <c r="C82" s="408"/>
      <c r="D82" s="422"/>
    </row>
    <row r="83" spans="1:4" x14ac:dyDescent="0.25">
      <c r="A83" s="421"/>
      <c r="B83" s="408"/>
      <c r="C83" s="408"/>
      <c r="D83" s="422"/>
    </row>
    <row r="84" spans="1:4" x14ac:dyDescent="0.25">
      <c r="A84" s="421"/>
      <c r="B84" s="408"/>
      <c r="C84" s="408"/>
      <c r="D84" s="422"/>
    </row>
    <row r="85" spans="1:4" x14ac:dyDescent="0.25">
      <c r="A85" s="421"/>
      <c r="B85" s="408"/>
      <c r="C85" s="408"/>
      <c r="D85" s="422"/>
    </row>
    <row r="86" spans="1:4" x14ac:dyDescent="0.25">
      <c r="A86" s="421"/>
      <c r="B86" s="408"/>
      <c r="C86" s="408"/>
      <c r="D86" s="422"/>
    </row>
    <row r="87" spans="1:4" x14ac:dyDescent="0.25">
      <c r="A87" s="421"/>
      <c r="B87" s="408"/>
      <c r="C87" s="408"/>
      <c r="D87" s="427"/>
    </row>
    <row r="88" spans="1:4" x14ac:dyDescent="0.25">
      <c r="A88" s="421"/>
      <c r="B88" s="408"/>
      <c r="C88" s="408"/>
      <c r="D88" s="422"/>
    </row>
    <row r="89" spans="1:4" x14ac:dyDescent="0.25">
      <c r="A89" s="421"/>
      <c r="B89" s="408"/>
      <c r="C89" s="408"/>
      <c r="D89" s="422"/>
    </row>
    <row r="90" spans="1:4" x14ac:dyDescent="0.25">
      <c r="A90" s="421"/>
      <c r="B90" s="408"/>
      <c r="C90" s="408"/>
      <c r="D90" s="422"/>
    </row>
    <row r="91" spans="1:4" x14ac:dyDescent="0.25">
      <c r="A91" s="421"/>
      <c r="B91" s="408"/>
      <c r="C91" s="408"/>
      <c r="D91" s="422"/>
    </row>
    <row r="92" spans="1:4" x14ac:dyDescent="0.25">
      <c r="A92" s="421"/>
      <c r="B92" s="408"/>
      <c r="C92" s="408"/>
      <c r="D92" s="427"/>
    </row>
    <row r="93" spans="1:4" x14ac:dyDescent="0.25">
      <c r="A93" s="421"/>
      <c r="B93" s="408"/>
      <c r="C93" s="408"/>
      <c r="D93" s="427"/>
    </row>
    <row r="94" spans="1:4" x14ac:dyDescent="0.25">
      <c r="A94" s="421"/>
      <c r="B94" s="408"/>
      <c r="C94" s="408"/>
      <c r="D94" s="427"/>
    </row>
    <row r="95" spans="1:4" x14ac:dyDescent="0.25">
      <c r="A95" s="421"/>
      <c r="B95" s="408"/>
      <c r="C95" s="408"/>
      <c r="D95" s="422"/>
    </row>
    <row r="96" spans="1:4" x14ac:dyDescent="0.25">
      <c r="A96" s="421"/>
      <c r="B96" s="408"/>
      <c r="C96" s="408"/>
      <c r="D96" s="427"/>
    </row>
    <row r="97" spans="1:4" x14ac:dyDescent="0.25">
      <c r="A97" s="421"/>
      <c r="B97" s="408"/>
      <c r="C97" s="408"/>
      <c r="D97" s="427"/>
    </row>
    <row r="98" spans="1:4" x14ac:dyDescent="0.25">
      <c r="A98" s="421"/>
      <c r="B98" s="408"/>
      <c r="C98" s="408"/>
      <c r="D98" s="422"/>
    </row>
    <row r="99" spans="1:4" x14ac:dyDescent="0.25">
      <c r="A99" s="421"/>
      <c r="B99" s="408"/>
      <c r="C99" s="408"/>
      <c r="D99" s="427"/>
    </row>
    <row r="100" spans="1:4" x14ac:dyDescent="0.25">
      <c r="A100" s="421"/>
      <c r="B100" s="408"/>
      <c r="C100" s="408"/>
      <c r="D100" s="427"/>
    </row>
    <row r="101" spans="1:4" x14ac:dyDescent="0.25">
      <c r="A101" s="421"/>
      <c r="B101" s="408"/>
      <c r="C101" s="408"/>
      <c r="D101" s="422"/>
    </row>
    <row r="102" spans="1:4" x14ac:dyDescent="0.25">
      <c r="A102" s="421"/>
      <c r="B102" s="408"/>
      <c r="C102" s="408"/>
      <c r="D102" s="427"/>
    </row>
    <row r="103" spans="1:4" x14ac:dyDescent="0.25">
      <c r="A103" s="421"/>
      <c r="B103" s="408"/>
      <c r="C103" s="408"/>
      <c r="D103" s="422"/>
    </row>
    <row r="104" spans="1:4" x14ac:dyDescent="0.25">
      <c r="A104" s="421"/>
      <c r="B104" s="408"/>
      <c r="C104" s="408"/>
      <c r="D104" s="427"/>
    </row>
    <row r="105" spans="1:4" x14ac:dyDescent="0.25">
      <c r="A105" s="421"/>
      <c r="B105" s="408"/>
      <c r="C105" s="408"/>
      <c r="D105" s="427"/>
    </row>
    <row r="106" spans="1:4" x14ac:dyDescent="0.25">
      <c r="A106" s="421"/>
      <c r="B106" s="408"/>
      <c r="C106" s="408"/>
      <c r="D106" s="422"/>
    </row>
    <row r="107" spans="1:4" x14ac:dyDescent="0.25">
      <c r="A107" s="421"/>
      <c r="B107" s="408"/>
      <c r="C107" s="408"/>
      <c r="D107" s="422"/>
    </row>
    <row r="108" spans="1:4" x14ac:dyDescent="0.25">
      <c r="A108" s="421"/>
      <c r="B108" s="408"/>
      <c r="C108" s="408"/>
      <c r="D108" s="422"/>
    </row>
    <row r="109" spans="1:4" x14ac:dyDescent="0.25">
      <c r="A109" s="421"/>
      <c r="B109" s="408"/>
      <c r="C109" s="408"/>
      <c r="D109" s="427"/>
    </row>
    <row r="110" spans="1:4" x14ac:dyDescent="0.25">
      <c r="A110" s="421"/>
      <c r="B110" s="408"/>
      <c r="C110" s="408"/>
      <c r="D110" s="422"/>
    </row>
    <row r="111" spans="1:4" x14ac:dyDescent="0.25">
      <c r="A111" s="421"/>
      <c r="B111" s="408"/>
      <c r="C111" s="408"/>
      <c r="D111" s="427"/>
    </row>
    <row r="112" spans="1:4" x14ac:dyDescent="0.25">
      <c r="A112" s="421"/>
      <c r="B112" s="408"/>
      <c r="C112" s="408"/>
      <c r="D112" s="422"/>
    </row>
    <row r="113" spans="1:4" x14ac:dyDescent="0.25">
      <c r="A113" s="421"/>
      <c r="B113" s="408"/>
      <c r="C113" s="408"/>
      <c r="D113" s="422"/>
    </row>
    <row r="114" spans="1:4" x14ac:dyDescent="0.25">
      <c r="A114" s="421"/>
      <c r="B114" s="408"/>
      <c r="C114" s="408"/>
      <c r="D114" s="427"/>
    </row>
    <row r="115" spans="1:4" x14ac:dyDescent="0.25">
      <c r="A115" s="421"/>
      <c r="B115" s="408"/>
      <c r="C115" s="408"/>
      <c r="D115" s="422"/>
    </row>
    <row r="116" spans="1:4" x14ac:dyDescent="0.25">
      <c r="A116" s="421"/>
      <c r="B116" s="408"/>
      <c r="C116" s="408"/>
      <c r="D116" s="422"/>
    </row>
    <row r="117" spans="1:4" x14ac:dyDescent="0.25">
      <c r="A117" s="421"/>
      <c r="B117" s="408"/>
      <c r="C117" s="408"/>
      <c r="D117" s="427"/>
    </row>
    <row r="118" spans="1:4" x14ac:dyDescent="0.25">
      <c r="A118" s="421"/>
      <c r="B118" s="408"/>
      <c r="C118" s="408"/>
      <c r="D118" s="422"/>
    </row>
    <row r="119" spans="1:4" x14ac:dyDescent="0.25">
      <c r="A119" s="421"/>
      <c r="B119" s="408"/>
      <c r="C119" s="408"/>
      <c r="D119" s="422"/>
    </row>
    <row r="120" spans="1:4" x14ac:dyDescent="0.25">
      <c r="A120" s="421"/>
      <c r="B120" s="408"/>
      <c r="C120" s="408"/>
      <c r="D120" s="422"/>
    </row>
    <row r="121" spans="1:4" x14ac:dyDescent="0.25">
      <c r="A121" s="421"/>
      <c r="B121" s="408"/>
      <c r="C121" s="408"/>
      <c r="D121" s="422"/>
    </row>
    <row r="122" spans="1:4" x14ac:dyDescent="0.25">
      <c r="A122" s="421"/>
      <c r="B122" s="408"/>
      <c r="C122" s="408"/>
      <c r="D122" s="427"/>
    </row>
    <row r="123" spans="1:4" x14ac:dyDescent="0.25">
      <c r="A123" s="421"/>
      <c r="B123" s="408"/>
      <c r="C123" s="408"/>
      <c r="D123" s="427"/>
    </row>
    <row r="124" spans="1:4" x14ac:dyDescent="0.25">
      <c r="A124" s="421"/>
      <c r="B124" s="408"/>
      <c r="C124" s="408"/>
      <c r="D124" s="427"/>
    </row>
    <row r="125" spans="1:4" x14ac:dyDescent="0.25">
      <c r="A125" s="421"/>
      <c r="B125" s="408"/>
      <c r="C125" s="408"/>
      <c r="D125" s="422"/>
    </row>
    <row r="126" spans="1:4" x14ac:dyDescent="0.25">
      <c r="A126" s="421"/>
      <c r="B126" s="408"/>
      <c r="C126" s="408"/>
      <c r="D126" s="422"/>
    </row>
    <row r="127" spans="1:4" x14ac:dyDescent="0.25">
      <c r="A127" s="421"/>
      <c r="B127" s="408"/>
      <c r="C127" s="408"/>
      <c r="D127" s="422"/>
    </row>
    <row r="128" spans="1:4" x14ac:dyDescent="0.25">
      <c r="A128" s="421"/>
      <c r="B128" s="408"/>
      <c r="C128" s="408"/>
      <c r="D128" s="427"/>
    </row>
    <row r="129" spans="1:4" x14ac:dyDescent="0.25">
      <c r="A129" s="421"/>
      <c r="B129" s="428"/>
      <c r="C129" s="408"/>
      <c r="D129" s="427"/>
    </row>
    <row r="130" spans="1:4" x14ac:dyDescent="0.25">
      <c r="A130" s="421"/>
      <c r="B130" s="408"/>
      <c r="C130" s="408"/>
      <c r="D130" s="422"/>
    </row>
    <row r="131" spans="1:4" x14ac:dyDescent="0.25">
      <c r="A131" s="421"/>
      <c r="B131" s="408"/>
      <c r="C131" s="408"/>
      <c r="D131" s="422"/>
    </row>
    <row r="132" spans="1:4" x14ac:dyDescent="0.25">
      <c r="A132" s="421"/>
      <c r="B132" s="408"/>
      <c r="C132" s="408"/>
      <c r="D132" s="422"/>
    </row>
    <row r="133" spans="1:4" x14ac:dyDescent="0.25">
      <c r="A133" s="421"/>
      <c r="B133" s="408"/>
      <c r="C133" s="408"/>
      <c r="D133" s="422"/>
    </row>
    <row r="134" spans="1:4" x14ac:dyDescent="0.25">
      <c r="A134" s="421"/>
      <c r="B134" s="408"/>
      <c r="C134" s="408"/>
      <c r="D134" s="422"/>
    </row>
    <row r="135" spans="1:4" x14ac:dyDescent="0.25">
      <c r="A135" s="421"/>
      <c r="B135" s="408"/>
      <c r="C135" s="408"/>
      <c r="D135" s="422"/>
    </row>
    <row r="136" spans="1:4" x14ac:dyDescent="0.25">
      <c r="A136" s="421"/>
      <c r="B136" s="408"/>
      <c r="C136" s="408"/>
      <c r="D136" s="422"/>
    </row>
    <row r="137" spans="1:4" x14ac:dyDescent="0.25">
      <c r="A137" s="421"/>
      <c r="B137" s="408"/>
      <c r="C137" s="408"/>
      <c r="D137" s="427"/>
    </row>
    <row r="138" spans="1:4" x14ac:dyDescent="0.25">
      <c r="A138" s="421"/>
      <c r="B138" s="408"/>
      <c r="C138" s="408"/>
      <c r="D138" s="422"/>
    </row>
    <row r="139" spans="1:4" x14ac:dyDescent="0.25">
      <c r="A139" s="421"/>
      <c r="B139" s="408"/>
      <c r="C139" s="408"/>
      <c r="D139" s="422"/>
    </row>
    <row r="140" spans="1:4" x14ac:dyDescent="0.25">
      <c r="A140" s="421"/>
      <c r="B140" s="408"/>
      <c r="C140" s="408"/>
      <c r="D140" s="427"/>
    </row>
    <row r="141" spans="1:4" x14ac:dyDescent="0.25">
      <c r="A141" s="421"/>
      <c r="B141" s="408"/>
      <c r="C141" s="408"/>
      <c r="D141" s="427"/>
    </row>
    <row r="142" spans="1:4" x14ac:dyDescent="0.25">
      <c r="A142" s="421"/>
      <c r="B142" s="408"/>
      <c r="C142" s="408"/>
      <c r="D142" s="429"/>
    </row>
    <row r="143" spans="1:4" x14ac:dyDescent="0.25">
      <c r="A143" s="421"/>
      <c r="B143" s="408"/>
      <c r="C143" s="408"/>
      <c r="D143" s="422"/>
    </row>
    <row r="144" spans="1:4" x14ac:dyDescent="0.25">
      <c r="A144" s="421"/>
      <c r="B144" s="408"/>
      <c r="C144" s="408"/>
      <c r="D144" s="422"/>
    </row>
    <row r="145" spans="1:4" x14ac:dyDescent="0.25">
      <c r="A145" s="421"/>
      <c r="B145" s="408"/>
      <c r="C145" s="408"/>
      <c r="D145" s="422"/>
    </row>
    <row r="146" spans="1:4" x14ac:dyDescent="0.25">
      <c r="A146" s="421"/>
      <c r="B146" s="408"/>
      <c r="C146" s="408"/>
      <c r="D146" s="422"/>
    </row>
    <row r="147" spans="1:4" x14ac:dyDescent="0.25">
      <c r="A147" s="421"/>
      <c r="B147" s="408"/>
      <c r="C147" s="408"/>
      <c r="D147" s="422"/>
    </row>
    <row r="148" spans="1:4" x14ac:dyDescent="0.25">
      <c r="A148" s="421"/>
      <c r="B148" s="408"/>
      <c r="C148" s="408"/>
      <c r="D148" s="427"/>
    </row>
    <row r="149" spans="1:4" x14ac:dyDescent="0.25">
      <c r="A149" s="421"/>
      <c r="B149" s="408"/>
      <c r="C149" s="408"/>
      <c r="D149" s="422"/>
    </row>
    <row r="150" spans="1:4" x14ac:dyDescent="0.25">
      <c r="A150" s="421"/>
      <c r="B150" s="408"/>
      <c r="C150" s="408"/>
      <c r="D150" s="422"/>
    </row>
    <row r="151" spans="1:4" x14ac:dyDescent="0.25">
      <c r="A151" s="421"/>
      <c r="B151" s="408"/>
      <c r="C151" s="408"/>
      <c r="D151" s="422"/>
    </row>
    <row r="152" spans="1:4" x14ac:dyDescent="0.25">
      <c r="A152" s="421"/>
      <c r="B152" s="408"/>
      <c r="C152" s="408"/>
      <c r="D152" s="422"/>
    </row>
    <row r="153" spans="1:4" x14ac:dyDescent="0.25">
      <c r="A153" s="421"/>
      <c r="B153" s="408"/>
      <c r="C153" s="408"/>
      <c r="D153" s="427"/>
    </row>
    <row r="154" spans="1:4" x14ac:dyDescent="0.25">
      <c r="A154" s="421"/>
      <c r="B154" s="408"/>
      <c r="C154" s="408"/>
      <c r="D154" s="427"/>
    </row>
    <row r="155" spans="1:4" x14ac:dyDescent="0.25">
      <c r="A155" s="421"/>
      <c r="B155" s="408"/>
      <c r="C155" s="408"/>
      <c r="D155" s="427"/>
    </row>
    <row r="156" spans="1:4" x14ac:dyDescent="0.25">
      <c r="A156" s="421"/>
      <c r="B156" s="408"/>
      <c r="C156" s="408"/>
      <c r="D156" s="422"/>
    </row>
    <row r="157" spans="1:4" x14ac:dyDescent="0.25">
      <c r="A157" s="421"/>
      <c r="B157" s="408"/>
      <c r="C157" s="408"/>
      <c r="D157" s="427"/>
    </row>
    <row r="158" spans="1:4" x14ac:dyDescent="0.25">
      <c r="A158" s="421"/>
      <c r="B158" s="408"/>
      <c r="C158" s="408"/>
      <c r="D158" s="427"/>
    </row>
    <row r="159" spans="1:4" x14ac:dyDescent="0.25">
      <c r="A159" s="421"/>
      <c r="B159" s="408"/>
      <c r="C159" s="408"/>
      <c r="D159" s="422"/>
    </row>
    <row r="160" spans="1:4" x14ac:dyDescent="0.25">
      <c r="A160" s="421"/>
      <c r="B160" s="408"/>
      <c r="C160" s="408"/>
      <c r="D160" s="427"/>
    </row>
    <row r="161" spans="1:4" x14ac:dyDescent="0.25">
      <c r="A161" s="421"/>
      <c r="B161" s="408"/>
      <c r="C161" s="408"/>
      <c r="D161" s="427"/>
    </row>
    <row r="162" spans="1:4" x14ac:dyDescent="0.25">
      <c r="A162" s="421"/>
      <c r="B162" s="408"/>
      <c r="C162" s="408"/>
      <c r="D162" s="422"/>
    </row>
    <row r="163" spans="1:4" x14ac:dyDescent="0.25">
      <c r="A163" s="421"/>
      <c r="B163" s="408"/>
      <c r="C163" s="408"/>
      <c r="D163" s="427"/>
    </row>
    <row r="164" spans="1:4" x14ac:dyDescent="0.25">
      <c r="A164" s="421"/>
      <c r="B164" s="408"/>
      <c r="C164" s="408"/>
      <c r="D164" s="422"/>
    </row>
    <row r="165" spans="1:4" x14ac:dyDescent="0.25">
      <c r="A165" s="421"/>
      <c r="B165" s="408"/>
      <c r="C165" s="408"/>
      <c r="D165" s="427"/>
    </row>
    <row r="166" spans="1:4" x14ac:dyDescent="0.25">
      <c r="A166" s="421"/>
      <c r="B166" s="408"/>
      <c r="C166" s="408"/>
      <c r="D166" s="427"/>
    </row>
    <row r="167" spans="1:4" x14ac:dyDescent="0.25">
      <c r="A167" s="421"/>
      <c r="B167" s="408"/>
      <c r="C167" s="408"/>
      <c r="D167" s="422"/>
    </row>
    <row r="168" spans="1:4" x14ac:dyDescent="0.25">
      <c r="A168" s="421"/>
      <c r="B168" s="408"/>
      <c r="C168" s="408"/>
      <c r="D168" s="422"/>
    </row>
    <row r="169" spans="1:4" x14ac:dyDescent="0.25">
      <c r="A169" s="421"/>
      <c r="B169" s="408"/>
      <c r="C169" s="408"/>
      <c r="D169" s="422"/>
    </row>
    <row r="170" spans="1:4" x14ac:dyDescent="0.25">
      <c r="A170" s="421"/>
      <c r="B170" s="408"/>
      <c r="C170" s="408"/>
      <c r="D170" s="427"/>
    </row>
    <row r="171" spans="1:4" x14ac:dyDescent="0.25">
      <c r="A171" s="421"/>
      <c r="B171" s="408"/>
      <c r="C171" s="408"/>
      <c r="D171" s="422"/>
    </row>
    <row r="172" spans="1:4" x14ac:dyDescent="0.25">
      <c r="A172" s="421"/>
      <c r="B172" s="408"/>
      <c r="C172" s="408"/>
      <c r="D172" s="427"/>
    </row>
    <row r="173" spans="1:4" x14ac:dyDescent="0.25">
      <c r="A173" s="421"/>
      <c r="B173" s="408"/>
      <c r="C173" s="408"/>
      <c r="D173" s="422"/>
    </row>
    <row r="174" spans="1:4" x14ac:dyDescent="0.25">
      <c r="A174" s="421"/>
      <c r="B174" s="408"/>
      <c r="C174" s="408"/>
      <c r="D174" s="422"/>
    </row>
    <row r="175" spans="1:4" x14ac:dyDescent="0.25">
      <c r="A175" s="421"/>
      <c r="B175" s="408"/>
      <c r="C175" s="408"/>
      <c r="D175" s="427"/>
    </row>
    <row r="176" spans="1:4" x14ac:dyDescent="0.25">
      <c r="A176" s="421"/>
      <c r="B176" s="408"/>
      <c r="C176" s="408"/>
      <c r="D176" s="422"/>
    </row>
    <row r="177" spans="1:4" x14ac:dyDescent="0.25">
      <c r="A177" s="421"/>
      <c r="B177" s="408"/>
      <c r="C177" s="408"/>
      <c r="D177" s="422"/>
    </row>
    <row r="178" spans="1:4" x14ac:dyDescent="0.25">
      <c r="A178" s="421"/>
      <c r="B178" s="408"/>
      <c r="C178" s="408"/>
      <c r="D178" s="427"/>
    </row>
    <row r="179" spans="1:4" x14ac:dyDescent="0.25">
      <c r="A179" s="421"/>
      <c r="B179" s="408"/>
      <c r="C179" s="408"/>
      <c r="D179" s="422"/>
    </row>
    <row r="180" spans="1:4" x14ac:dyDescent="0.25">
      <c r="A180" s="421"/>
      <c r="B180" s="408"/>
      <c r="C180" s="408"/>
      <c r="D180" s="422"/>
    </row>
    <row r="181" spans="1:4" x14ac:dyDescent="0.25">
      <c r="A181" s="421"/>
      <c r="B181" s="408"/>
      <c r="C181" s="408"/>
      <c r="D181" s="422"/>
    </row>
    <row r="182" spans="1:4" x14ac:dyDescent="0.25">
      <c r="A182" s="421"/>
      <c r="B182" s="408"/>
      <c r="C182" s="408"/>
      <c r="D182" s="422"/>
    </row>
    <row r="183" spans="1:4" x14ac:dyDescent="0.25">
      <c r="A183" s="421"/>
      <c r="B183" s="408"/>
      <c r="C183" s="408"/>
      <c r="D183" s="427"/>
    </row>
    <row r="184" spans="1:4" x14ac:dyDescent="0.25">
      <c r="A184" s="421"/>
      <c r="B184" s="408"/>
      <c r="C184" s="408"/>
      <c r="D184" s="427"/>
    </row>
    <row r="185" spans="1:4" x14ac:dyDescent="0.25">
      <c r="A185" s="421"/>
      <c r="B185" s="408"/>
      <c r="C185" s="408"/>
      <c r="D185" s="427"/>
    </row>
    <row r="186" spans="1:4" x14ac:dyDescent="0.25">
      <c r="A186" s="421"/>
      <c r="B186" s="408"/>
      <c r="C186" s="408"/>
      <c r="D186" s="422"/>
    </row>
    <row r="187" spans="1:4" x14ac:dyDescent="0.25">
      <c r="A187" s="421"/>
      <c r="B187" s="408"/>
      <c r="C187" s="408"/>
      <c r="D187" s="422"/>
    </row>
    <row r="188" spans="1:4" x14ac:dyDescent="0.25">
      <c r="A188" s="421"/>
      <c r="B188" s="408"/>
      <c r="C188" s="408"/>
      <c r="D188" s="422"/>
    </row>
    <row r="189" spans="1:4" x14ac:dyDescent="0.25">
      <c r="A189" s="421"/>
      <c r="B189" s="408"/>
      <c r="C189" s="408"/>
      <c r="D189" s="4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4"/>
  <sheetViews>
    <sheetView topLeftCell="A22" workbookViewId="0">
      <selection activeCell="D43" sqref="D43"/>
    </sheetView>
  </sheetViews>
  <sheetFormatPr defaultRowHeight="14.4" x14ac:dyDescent="0.25"/>
  <cols>
    <col min="1" max="1" width="23.77734375" customWidth="1"/>
  </cols>
  <sheetData>
    <row r="1" spans="1:26" x14ac:dyDescent="0.25">
      <c r="A1" s="288"/>
      <c r="B1" s="607" t="s">
        <v>1273</v>
      </c>
      <c r="C1" s="348"/>
      <c r="D1" s="34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x14ac:dyDescent="0.25">
      <c r="A2" s="310" t="s">
        <v>1377</v>
      </c>
      <c r="B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</row>
    <row r="3" spans="1:26" x14ac:dyDescent="0.25">
      <c r="A3" s="289"/>
      <c r="B3" s="288">
        <v>2</v>
      </c>
      <c r="C3" s="288">
        <v>0.17</v>
      </c>
      <c r="D3" s="288">
        <f>B3*C3</f>
        <v>0.34</v>
      </c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</row>
    <row r="4" spans="1:26" x14ac:dyDescent="0.25">
      <c r="A4" s="289"/>
      <c r="B4" s="288">
        <v>2</v>
      </c>
      <c r="C4" s="288">
        <v>48.3</v>
      </c>
      <c r="D4" s="288">
        <f t="shared" ref="D4:D9" si="0">B4*C4</f>
        <v>96.6</v>
      </c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</row>
    <row r="5" spans="1:26" x14ac:dyDescent="0.25">
      <c r="A5" s="289"/>
      <c r="B5" s="288">
        <v>2</v>
      </c>
      <c r="C5" s="288">
        <v>48.3</v>
      </c>
      <c r="D5" s="288">
        <f t="shared" si="0"/>
        <v>96.6</v>
      </c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</row>
    <row r="6" spans="1:26" x14ac:dyDescent="0.25">
      <c r="A6" s="289"/>
      <c r="B6" s="288">
        <v>2</v>
      </c>
      <c r="C6" s="288">
        <v>49.42</v>
      </c>
      <c r="D6" s="288">
        <f t="shared" si="0"/>
        <v>98.84</v>
      </c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</row>
    <row r="7" spans="1:26" x14ac:dyDescent="0.25">
      <c r="A7" s="289"/>
      <c r="B7" s="288">
        <v>2</v>
      </c>
      <c r="C7" s="288">
        <v>49.42</v>
      </c>
      <c r="D7" s="288">
        <f t="shared" si="0"/>
        <v>98.84</v>
      </c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</row>
    <row r="8" spans="1:26" x14ac:dyDescent="0.25">
      <c r="A8" s="289"/>
      <c r="B8" s="288">
        <v>4</v>
      </c>
      <c r="C8" s="288">
        <v>4.76</v>
      </c>
      <c r="D8" s="288">
        <f t="shared" si="0"/>
        <v>19.04</v>
      </c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</row>
    <row r="9" spans="1:26" x14ac:dyDescent="0.25">
      <c r="A9" s="405"/>
      <c r="B9" s="288">
        <v>2</v>
      </c>
      <c r="C9" s="288">
        <v>9.3000000000000007</v>
      </c>
      <c r="D9" s="288">
        <f t="shared" si="0"/>
        <v>18.600000000000001</v>
      </c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</row>
    <row r="10" spans="1:26" x14ac:dyDescent="0.25">
      <c r="A10" s="289"/>
      <c r="B10" s="288"/>
      <c r="C10" s="288"/>
      <c r="D10" s="609">
        <f>SUM(D3:D9)</f>
        <v>428.86000000000007</v>
      </c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8"/>
    </row>
    <row r="11" spans="1:26" x14ac:dyDescent="0.25">
      <c r="A11" s="289"/>
      <c r="B11" s="625" t="s">
        <v>1274</v>
      </c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8"/>
    </row>
    <row r="12" spans="1:26" x14ac:dyDescent="0.25">
      <c r="A12" s="405"/>
      <c r="B12" s="288">
        <v>2</v>
      </c>
      <c r="C12" s="288">
        <v>49</v>
      </c>
      <c r="D12" s="288">
        <f t="shared" ref="D12:D18" si="1">B12*C12</f>
        <v>98</v>
      </c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</row>
    <row r="13" spans="1:26" x14ac:dyDescent="0.25">
      <c r="A13" s="289"/>
      <c r="B13" s="288">
        <v>2</v>
      </c>
      <c r="C13" s="288">
        <v>49</v>
      </c>
      <c r="D13" s="288">
        <f t="shared" si="1"/>
        <v>98</v>
      </c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</row>
    <row r="14" spans="1:26" x14ac:dyDescent="0.25">
      <c r="A14" s="288"/>
      <c r="B14" s="288">
        <v>2</v>
      </c>
      <c r="C14" s="288">
        <v>49.1</v>
      </c>
      <c r="D14" s="288">
        <f t="shared" si="1"/>
        <v>98.2</v>
      </c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</row>
    <row r="15" spans="1:26" x14ac:dyDescent="0.25">
      <c r="A15" s="290"/>
      <c r="B15" s="288">
        <v>2</v>
      </c>
      <c r="C15" s="288">
        <v>49.1</v>
      </c>
      <c r="D15" s="288">
        <f t="shared" si="1"/>
        <v>98.2</v>
      </c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</row>
    <row r="16" spans="1:26" x14ac:dyDescent="0.25">
      <c r="A16" s="288"/>
      <c r="B16" s="288">
        <v>16</v>
      </c>
      <c r="C16" s="288">
        <v>0.9</v>
      </c>
      <c r="D16" s="288">
        <f t="shared" si="1"/>
        <v>14.4</v>
      </c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</row>
    <row r="17" spans="1:26" x14ac:dyDescent="0.25">
      <c r="A17" s="288"/>
      <c r="B17" s="288">
        <v>4</v>
      </c>
      <c r="C17" s="288">
        <v>8</v>
      </c>
      <c r="D17" s="288">
        <f t="shared" si="1"/>
        <v>32</v>
      </c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</row>
    <row r="18" spans="1:26" x14ac:dyDescent="0.25">
      <c r="A18" s="290"/>
      <c r="B18" s="288">
        <v>2</v>
      </c>
      <c r="C18" s="288">
        <v>3.7</v>
      </c>
      <c r="D18" s="288">
        <f t="shared" si="1"/>
        <v>7.4</v>
      </c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</row>
    <row r="19" spans="1:26" x14ac:dyDescent="0.25">
      <c r="A19" s="288"/>
      <c r="B19" s="288"/>
      <c r="C19" s="288"/>
      <c r="D19" s="626">
        <f>SUM(D12:D18)</f>
        <v>446.19999999999993</v>
      </c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</row>
    <row r="20" spans="1:26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</row>
    <row r="21" spans="1:26" x14ac:dyDescent="0.25">
      <c r="A21" s="288"/>
      <c r="B21" s="631" t="s">
        <v>1275</v>
      </c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</row>
    <row r="22" spans="1:26" x14ac:dyDescent="0.25">
      <c r="A22" s="290"/>
      <c r="B22" s="288">
        <v>2</v>
      </c>
      <c r="C22" s="288">
        <v>0.17</v>
      </c>
      <c r="D22" s="288">
        <f t="shared" ref="D22:D28" si="2">B22*C22</f>
        <v>0.34</v>
      </c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</row>
    <row r="23" spans="1:26" x14ac:dyDescent="0.25">
      <c r="A23" s="288"/>
      <c r="B23" s="288">
        <v>2</v>
      </c>
      <c r="C23" s="288">
        <v>48.3</v>
      </c>
      <c r="D23" s="288">
        <f t="shared" si="2"/>
        <v>96.6</v>
      </c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</row>
    <row r="24" spans="1:26" x14ac:dyDescent="0.25">
      <c r="A24" s="288"/>
      <c r="B24" s="288">
        <v>2</v>
      </c>
      <c r="C24" s="288">
        <v>48.3</v>
      </c>
      <c r="D24" s="288">
        <f t="shared" si="2"/>
        <v>96.6</v>
      </c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</row>
    <row r="25" spans="1:26" x14ac:dyDescent="0.25">
      <c r="A25" s="288"/>
      <c r="B25" s="288">
        <v>2</v>
      </c>
      <c r="C25" s="288">
        <v>49.42</v>
      </c>
      <c r="D25" s="288">
        <f t="shared" si="2"/>
        <v>98.84</v>
      </c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</row>
    <row r="26" spans="1:26" x14ac:dyDescent="0.25">
      <c r="A26" s="288"/>
      <c r="B26" s="288">
        <v>2</v>
      </c>
      <c r="C26" s="288">
        <v>49.42</v>
      </c>
      <c r="D26" s="288">
        <f t="shared" si="2"/>
        <v>98.84</v>
      </c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</row>
    <row r="27" spans="1:26" x14ac:dyDescent="0.25">
      <c r="A27" s="288"/>
      <c r="B27" s="288">
        <v>4</v>
      </c>
      <c r="C27" s="288">
        <v>4.76</v>
      </c>
      <c r="D27" s="288">
        <f t="shared" si="2"/>
        <v>19.04</v>
      </c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</row>
    <row r="28" spans="1:26" x14ac:dyDescent="0.25">
      <c r="A28" s="288"/>
      <c r="B28" s="288">
        <v>2</v>
      </c>
      <c r="C28" s="288">
        <v>9.3000000000000007</v>
      </c>
      <c r="D28" s="288">
        <f t="shared" si="2"/>
        <v>18.600000000000001</v>
      </c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</row>
    <row r="29" spans="1:26" x14ac:dyDescent="0.25">
      <c r="A29" s="288"/>
      <c r="B29" s="288"/>
      <c r="C29" s="288"/>
      <c r="D29" s="632">
        <f>SUM(D22:D28)</f>
        <v>428.86000000000007</v>
      </c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</row>
    <row r="30" spans="1:26" x14ac:dyDescent="0.25">
      <c r="A30" s="288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</row>
    <row r="31" spans="1:26" x14ac:dyDescent="0.25">
      <c r="A31" s="288" t="s">
        <v>1521</v>
      </c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</row>
    <row r="32" spans="1:26" x14ac:dyDescent="0.25">
      <c r="A32" s="288" t="s">
        <v>1275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</row>
    <row r="33" spans="1:26" x14ac:dyDescent="0.25">
      <c r="A33" s="288" t="s">
        <v>1522</v>
      </c>
      <c r="B33" s="288">
        <v>1</v>
      </c>
      <c r="C33" s="288">
        <v>69.72</v>
      </c>
      <c r="D33" s="288">
        <f>B33*C33</f>
        <v>69.72</v>
      </c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</row>
    <row r="34" spans="1:26" x14ac:dyDescent="0.25">
      <c r="A34" s="288"/>
      <c r="B34" s="288">
        <v>2</v>
      </c>
      <c r="C34" s="288">
        <v>4.9459999999999997</v>
      </c>
      <c r="D34" s="288">
        <f>B34*C34</f>
        <v>9.8919999999999995</v>
      </c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88"/>
      <c r="Y34" s="288"/>
      <c r="Z34" s="288"/>
    </row>
    <row r="35" spans="1:26" x14ac:dyDescent="0.25">
      <c r="A35" s="288"/>
      <c r="B35" s="288">
        <v>4</v>
      </c>
      <c r="C35" s="288">
        <v>0.754</v>
      </c>
      <c r="D35" s="288">
        <f>B35*C35</f>
        <v>3.016</v>
      </c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/>
      <c r="W35" s="288"/>
      <c r="X35" s="288"/>
      <c r="Y35" s="288"/>
      <c r="Z35" s="288"/>
    </row>
    <row r="36" spans="1:26" x14ac:dyDescent="0.25">
      <c r="A36" s="288"/>
      <c r="B36" s="288">
        <v>2</v>
      </c>
      <c r="C36" s="288">
        <v>0.87</v>
      </c>
      <c r="D36" s="288">
        <f>B36*C36</f>
        <v>1.74</v>
      </c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</row>
    <row r="37" spans="1:26" x14ac:dyDescent="0.25">
      <c r="A37" s="288"/>
      <c r="B37" s="288"/>
      <c r="C37" s="288"/>
      <c r="D37" s="632">
        <f>SUM(D33:D36)</f>
        <v>84.367999999999995</v>
      </c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88"/>
      <c r="Y37" s="288"/>
      <c r="Z37" s="288"/>
    </row>
    <row r="38" spans="1:26" x14ac:dyDescent="0.25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</row>
    <row r="39" spans="1:26" x14ac:dyDescent="0.25">
      <c r="A39" s="288" t="s">
        <v>1523</v>
      </c>
      <c r="B39" s="288">
        <v>1</v>
      </c>
      <c r="C39" s="288">
        <v>69.72</v>
      </c>
      <c r="D39" s="288">
        <f>B39*C39</f>
        <v>69.72</v>
      </c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</row>
    <row r="40" spans="1:26" x14ac:dyDescent="0.25">
      <c r="A40" s="288"/>
      <c r="B40" s="288">
        <v>2</v>
      </c>
      <c r="C40" s="288">
        <v>4.9459999999999997</v>
      </c>
      <c r="D40" s="288">
        <f>B40*C40</f>
        <v>9.8919999999999995</v>
      </c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</row>
    <row r="41" spans="1:26" x14ac:dyDescent="0.25">
      <c r="A41" s="288"/>
      <c r="B41" s="288">
        <v>2</v>
      </c>
      <c r="C41" s="288">
        <v>0.754</v>
      </c>
      <c r="D41" s="288">
        <f>B41*C41</f>
        <v>1.508</v>
      </c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8"/>
      <c r="X41" s="288"/>
      <c r="Y41" s="288"/>
      <c r="Z41" s="288"/>
    </row>
    <row r="42" spans="1:26" x14ac:dyDescent="0.25">
      <c r="A42" s="288"/>
      <c r="B42" s="288">
        <v>2</v>
      </c>
      <c r="C42" s="288">
        <v>0.87</v>
      </c>
      <c r="D42" s="288">
        <f>B42*C42</f>
        <v>1.74</v>
      </c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8"/>
      <c r="Z42" s="288"/>
    </row>
    <row r="43" spans="1:26" x14ac:dyDescent="0.25">
      <c r="A43" s="288"/>
      <c r="B43" s="288"/>
      <c r="C43" s="288"/>
      <c r="D43" s="632">
        <f>SUM(D39:D42)</f>
        <v>82.859999999999985</v>
      </c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</row>
    <row r="44" spans="1:26" x14ac:dyDescent="0.25">
      <c r="A44" s="288"/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/>
      <c r="W44" s="288"/>
      <c r="X44" s="288"/>
      <c r="Y44" s="288"/>
      <c r="Z44" s="288"/>
    </row>
    <row r="45" spans="1:26" x14ac:dyDescent="0.25">
      <c r="A45" s="288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</row>
    <row r="46" spans="1:26" x14ac:dyDescent="0.25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</row>
    <row r="47" spans="1:26" x14ac:dyDescent="0.25">
      <c r="A47" s="288"/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</row>
    <row r="48" spans="1:26" x14ac:dyDescent="0.25">
      <c r="A48" s="288"/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</row>
    <row r="49" spans="1:26" x14ac:dyDescent="0.25">
      <c r="A49" s="288"/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</row>
    <row r="50" spans="1:26" x14ac:dyDescent="0.25">
      <c r="A50" s="288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</row>
    <row r="51" spans="1:26" x14ac:dyDescent="0.25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</row>
    <row r="52" spans="1:26" x14ac:dyDescent="0.25">
      <c r="A52" s="288"/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</row>
    <row r="53" spans="1:26" x14ac:dyDescent="0.25">
      <c r="A53" s="288"/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</row>
    <row r="54" spans="1:26" x14ac:dyDescent="0.25">
      <c r="A54" s="288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</row>
    <row r="55" spans="1:26" x14ac:dyDescent="0.25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  <c r="W55" s="288"/>
      <c r="X55" s="288"/>
      <c r="Y55" s="288"/>
      <c r="Z55" s="288"/>
    </row>
    <row r="56" spans="1:26" x14ac:dyDescent="0.25">
      <c r="A56" s="288"/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</row>
    <row r="57" spans="1:26" x14ac:dyDescent="0.25">
      <c r="A57" s="288"/>
      <c r="B57" s="28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  <c r="W57" s="288"/>
      <c r="X57" s="288"/>
      <c r="Y57" s="288"/>
      <c r="Z57" s="288"/>
    </row>
    <row r="58" spans="1:26" x14ac:dyDescent="0.25">
      <c r="A58" s="288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  <c r="W58" s="288"/>
      <c r="X58" s="288"/>
      <c r="Y58" s="288"/>
      <c r="Z58" s="288"/>
    </row>
    <row r="59" spans="1:26" x14ac:dyDescent="0.25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8"/>
      <c r="V59" s="288"/>
      <c r="W59" s="288"/>
      <c r="X59" s="288"/>
      <c r="Y59" s="288"/>
      <c r="Z59" s="288"/>
    </row>
    <row r="60" spans="1:26" x14ac:dyDescent="0.25">
      <c r="A60" s="288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</row>
    <row r="61" spans="1:26" x14ac:dyDescent="0.25">
      <c r="A61" s="288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  <c r="W61" s="288"/>
      <c r="X61" s="288"/>
      <c r="Y61" s="288"/>
      <c r="Z61" s="288"/>
    </row>
    <row r="62" spans="1:26" x14ac:dyDescent="0.25">
      <c r="A62" s="288"/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</row>
    <row r="63" spans="1:26" x14ac:dyDescent="0.25">
      <c r="A63" s="288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</row>
    <row r="64" spans="1:26" x14ac:dyDescent="0.25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</row>
    <row r="65" spans="1:26" x14ac:dyDescent="0.25">
      <c r="A65" s="288"/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</row>
    <row r="66" spans="1:26" x14ac:dyDescent="0.25">
      <c r="A66" s="288"/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X66" s="288"/>
      <c r="Y66" s="288"/>
      <c r="Z66" s="288"/>
    </row>
    <row r="67" spans="1:26" x14ac:dyDescent="0.25">
      <c r="A67" s="288"/>
      <c r="B67" s="288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</row>
    <row r="68" spans="1:26" x14ac:dyDescent="0.25">
      <c r="A68" s="288"/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X68" s="288"/>
      <c r="Y68" s="288"/>
      <c r="Z68" s="288"/>
    </row>
    <row r="69" spans="1:26" x14ac:dyDescent="0.25">
      <c r="A69" s="288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  <c r="W69" s="288"/>
      <c r="X69" s="288"/>
      <c r="Y69" s="288"/>
      <c r="Z69" s="288"/>
    </row>
    <row r="70" spans="1:26" x14ac:dyDescent="0.25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</row>
    <row r="71" spans="1:26" x14ac:dyDescent="0.25">
      <c r="A71" s="288"/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</row>
    <row r="72" spans="1:26" x14ac:dyDescent="0.25">
      <c r="A72" s="288"/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</row>
    <row r="73" spans="1:26" x14ac:dyDescent="0.25">
      <c r="A73" s="288"/>
      <c r="B73" s="288"/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</row>
    <row r="74" spans="1:26" x14ac:dyDescent="0.25">
      <c r="A74" s="288"/>
      <c r="B74" s="288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  <c r="N74" s="288"/>
      <c r="O74" s="288"/>
      <c r="P74" s="288"/>
      <c r="Q74" s="288"/>
      <c r="R74" s="288"/>
      <c r="S74" s="288"/>
      <c r="T74" s="288"/>
      <c r="U74" s="288"/>
      <c r="V74" s="288"/>
      <c r="W74" s="288"/>
      <c r="X74" s="288"/>
      <c r="Y74" s="288"/>
      <c r="Z74" s="288"/>
    </row>
    <row r="75" spans="1:26" x14ac:dyDescent="0.25">
      <c r="A75" s="288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288"/>
      <c r="Z75" s="288"/>
    </row>
    <row r="76" spans="1:26" x14ac:dyDescent="0.25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8"/>
      <c r="R76" s="288"/>
      <c r="S76" s="288"/>
      <c r="T76" s="288"/>
      <c r="U76" s="288"/>
      <c r="V76" s="288"/>
      <c r="W76" s="288"/>
      <c r="X76" s="288"/>
      <c r="Y76" s="288"/>
      <c r="Z76" s="288"/>
    </row>
    <row r="77" spans="1:26" x14ac:dyDescent="0.25">
      <c r="A77" s="288"/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</row>
    <row r="78" spans="1:26" x14ac:dyDescent="0.25">
      <c r="A78" s="288"/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25">
      <c r="A79" s="288"/>
      <c r="B79" s="288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25">
      <c r="A80" s="288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:26" x14ac:dyDescent="0.25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8"/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:26" x14ac:dyDescent="0.25">
      <c r="A82" s="288"/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:26" x14ac:dyDescent="0.25">
      <c r="A83" s="288"/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:26" x14ac:dyDescent="0.25">
      <c r="A84" s="288"/>
      <c r="B84" s="288"/>
      <c r="C84" s="288"/>
      <c r="D84" s="288"/>
      <c r="E84" s="288"/>
      <c r="F84" s="288"/>
      <c r="G84" s="288"/>
      <c r="H84" s="288"/>
      <c r="I84" s="288"/>
      <c r="J84" s="288"/>
      <c r="K84" s="288"/>
      <c r="L84" s="288"/>
      <c r="M84" s="288"/>
      <c r="N84" s="288"/>
      <c r="O84" s="288"/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:26" x14ac:dyDescent="0.25">
      <c r="A85" s="288"/>
      <c r="B85" s="288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  <c r="N85" s="288"/>
      <c r="O85" s="288"/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:26" x14ac:dyDescent="0.25">
      <c r="A86" s="288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88"/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:26" x14ac:dyDescent="0.25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88"/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:26" x14ac:dyDescent="0.25">
      <c r="A88" s="288"/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:26" x14ac:dyDescent="0.25">
      <c r="A89" s="288"/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:26" x14ac:dyDescent="0.25">
      <c r="A90" s="288"/>
      <c r="B90" s="288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  <c r="N90" s="288"/>
      <c r="O90" s="288"/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:26" x14ac:dyDescent="0.25">
      <c r="A91" s="288"/>
      <c r="B91" s="288"/>
      <c r="C91" s="288"/>
      <c r="D91" s="288"/>
      <c r="E91" s="288"/>
      <c r="F91" s="288"/>
      <c r="G91" s="288"/>
      <c r="H91" s="288"/>
      <c r="I91" s="288"/>
      <c r="J91" s="288"/>
      <c r="K91" s="288"/>
      <c r="L91" s="288"/>
      <c r="M91" s="288"/>
      <c r="N91" s="288"/>
      <c r="O91" s="288"/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:26" x14ac:dyDescent="0.25">
      <c r="A92" s="288"/>
      <c r="B92" s="288"/>
      <c r="C92" s="288"/>
      <c r="D92" s="288"/>
      <c r="E92" s="288"/>
      <c r="F92" s="288"/>
      <c r="G92" s="288"/>
      <c r="H92" s="288"/>
      <c r="I92" s="288"/>
      <c r="J92" s="288"/>
      <c r="K92" s="288"/>
      <c r="L92" s="288"/>
      <c r="M92" s="288"/>
      <c r="N92" s="288"/>
      <c r="O92" s="288"/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  <row r="93" spans="1:26" x14ac:dyDescent="0.25">
      <c r="A93" s="288"/>
      <c r="B93" s="288"/>
      <c r="C93" s="288"/>
      <c r="D93" s="288"/>
      <c r="E93" s="288"/>
      <c r="F93" s="288"/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88"/>
      <c r="W93" s="288"/>
      <c r="X93" s="288"/>
      <c r="Y93" s="288"/>
      <c r="Z93" s="288"/>
    </row>
    <row r="94" spans="1:26" x14ac:dyDescent="0.25">
      <c r="A94" s="288"/>
      <c r="B94" s="288"/>
      <c r="C94" s="288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X94" s="288"/>
      <c r="Y94" s="288"/>
      <c r="Z94" s="288"/>
    </row>
    <row r="95" spans="1:26" x14ac:dyDescent="0.25">
      <c r="A95" s="288"/>
      <c r="B95" s="288"/>
      <c r="C95" s="288"/>
      <c r="D95" s="288"/>
      <c r="E95" s="288"/>
      <c r="F95" s="288"/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88"/>
      <c r="W95" s="288"/>
      <c r="X95" s="288"/>
      <c r="Y95" s="288"/>
      <c r="Z95" s="288"/>
    </row>
    <row r="96" spans="1:26" x14ac:dyDescent="0.25">
      <c r="A96" s="288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88"/>
      <c r="P96" s="288"/>
      <c r="Q96" s="288"/>
      <c r="R96" s="288"/>
      <c r="S96" s="288"/>
      <c r="T96" s="288"/>
      <c r="U96" s="288"/>
      <c r="V96" s="288"/>
      <c r="W96" s="288"/>
      <c r="X96" s="288"/>
      <c r="Y96" s="288"/>
      <c r="Z96" s="288"/>
    </row>
    <row r="97" spans="1:26" x14ac:dyDescent="0.25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  <c r="S97" s="288"/>
      <c r="T97" s="288"/>
      <c r="U97" s="288"/>
      <c r="V97" s="288"/>
      <c r="W97" s="288"/>
      <c r="X97" s="288"/>
      <c r="Y97" s="288"/>
      <c r="Z97" s="288"/>
    </row>
    <row r="98" spans="1:26" x14ac:dyDescent="0.25">
      <c r="A98" s="288"/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</row>
    <row r="99" spans="1:26" x14ac:dyDescent="0.25">
      <c r="A99" s="288"/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</row>
    <row r="100" spans="1:26" x14ac:dyDescent="0.25">
      <c r="A100" s="288"/>
      <c r="B100" s="288"/>
      <c r="C100" s="288"/>
      <c r="D100" s="288"/>
      <c r="E100" s="288"/>
      <c r="F100" s="288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88"/>
      <c r="W100" s="288"/>
      <c r="X100" s="288"/>
      <c r="Y100" s="288"/>
      <c r="Z100" s="288"/>
    </row>
    <row r="101" spans="1:26" x14ac:dyDescent="0.25">
      <c r="A101" s="288"/>
      <c r="B101" s="288"/>
      <c r="C101" s="288"/>
      <c r="D101" s="288"/>
      <c r="E101" s="288"/>
      <c r="F101" s="288"/>
      <c r="G101" s="288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88"/>
      <c r="W101" s="288"/>
      <c r="X101" s="288"/>
      <c r="Y101" s="288"/>
      <c r="Z101" s="288"/>
    </row>
    <row r="102" spans="1:26" x14ac:dyDescent="0.25">
      <c r="A102" s="288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88"/>
      <c r="W102" s="288"/>
      <c r="X102" s="288"/>
      <c r="Y102" s="288"/>
      <c r="Z102" s="288"/>
    </row>
    <row r="103" spans="1:26" x14ac:dyDescent="0.25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88"/>
      <c r="W103" s="288"/>
      <c r="X103" s="288"/>
      <c r="Y103" s="288"/>
      <c r="Z103" s="288"/>
    </row>
    <row r="104" spans="1:26" x14ac:dyDescent="0.25">
      <c r="A104" s="288"/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</row>
    <row r="105" spans="1:26" x14ac:dyDescent="0.25">
      <c r="A105" s="288"/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</row>
    <row r="106" spans="1:26" x14ac:dyDescent="0.25">
      <c r="A106" s="288"/>
      <c r="B106" s="288"/>
      <c r="C106" s="288"/>
      <c r="D106" s="288"/>
      <c r="E106" s="288"/>
      <c r="F106" s="288"/>
      <c r="G106" s="288"/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</row>
    <row r="107" spans="1:26" x14ac:dyDescent="0.25">
      <c r="A107" s="288"/>
      <c r="B107" s="288"/>
      <c r="C107" s="288"/>
      <c r="D107" s="288"/>
      <c r="E107" s="288"/>
      <c r="F107" s="288"/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88"/>
      <c r="W107" s="288"/>
      <c r="X107" s="288"/>
      <c r="Y107" s="288"/>
      <c r="Z107" s="288"/>
    </row>
    <row r="108" spans="1:26" x14ac:dyDescent="0.25">
      <c r="A108" s="288"/>
      <c r="B108" s="288"/>
      <c r="C108" s="288"/>
      <c r="D108" s="288"/>
      <c r="E108" s="288"/>
      <c r="F108" s="288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88"/>
      <c r="W108" s="288"/>
      <c r="X108" s="288"/>
      <c r="Y108" s="288"/>
      <c r="Z108" s="288"/>
    </row>
    <row r="109" spans="1:26" x14ac:dyDescent="0.25">
      <c r="A109" s="288"/>
      <c r="B109" s="288"/>
      <c r="C109" s="288"/>
      <c r="D109" s="288"/>
      <c r="E109" s="288"/>
      <c r="F109" s="288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88"/>
      <c r="W109" s="288"/>
      <c r="X109" s="288"/>
      <c r="Y109" s="288"/>
      <c r="Z109" s="288"/>
    </row>
    <row r="110" spans="1:26" x14ac:dyDescent="0.25">
      <c r="A110" s="288"/>
      <c r="B110" s="288"/>
      <c r="C110" s="288"/>
      <c r="D110" s="288"/>
      <c r="E110" s="288"/>
      <c r="F110" s="288"/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88"/>
      <c r="W110" s="288"/>
      <c r="X110" s="288"/>
      <c r="Y110" s="288"/>
      <c r="Z110" s="288"/>
    </row>
    <row r="111" spans="1:26" x14ac:dyDescent="0.25">
      <c r="A111" s="288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88"/>
      <c r="W111" s="288"/>
      <c r="X111" s="288"/>
      <c r="Y111" s="288"/>
      <c r="Z111" s="288"/>
    </row>
    <row r="112" spans="1:26" x14ac:dyDescent="0.25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88"/>
      <c r="W112" s="288"/>
      <c r="X112" s="288"/>
      <c r="Y112" s="288"/>
      <c r="Z112" s="288"/>
    </row>
    <row r="113" spans="1:26" x14ac:dyDescent="0.25">
      <c r="A113" s="288"/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</row>
    <row r="114" spans="1:26" x14ac:dyDescent="0.25">
      <c r="A114" s="288"/>
      <c r="B114" s="288"/>
      <c r="C114" s="288"/>
      <c r="D114" s="288"/>
      <c r="E114" s="288"/>
      <c r="F114" s="288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88"/>
      <c r="W114" s="288"/>
      <c r="X114" s="288"/>
      <c r="Y114" s="288"/>
      <c r="Z114" s="288"/>
    </row>
    <row r="115" spans="1:26" x14ac:dyDescent="0.25">
      <c r="A115" s="288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88"/>
      <c r="W115" s="288"/>
      <c r="X115" s="288"/>
      <c r="Y115" s="288"/>
      <c r="Z115" s="288"/>
    </row>
    <row r="116" spans="1:26" x14ac:dyDescent="0.25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88"/>
      <c r="W116" s="288"/>
      <c r="X116" s="288"/>
      <c r="Y116" s="288"/>
      <c r="Z116" s="288"/>
    </row>
    <row r="117" spans="1:26" x14ac:dyDescent="0.25">
      <c r="A117" s="288"/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</row>
    <row r="118" spans="1:26" x14ac:dyDescent="0.25">
      <c r="A118" s="288"/>
      <c r="B118" s="288"/>
      <c r="C118" s="288"/>
      <c r="D118" s="288"/>
      <c r="E118" s="288"/>
      <c r="F118" s="288"/>
      <c r="G118" s="288"/>
      <c r="H118" s="288"/>
      <c r="I118" s="288"/>
      <c r="J118" s="288"/>
      <c r="K118" s="288"/>
      <c r="L118" s="288"/>
      <c r="M118" s="288"/>
      <c r="N118" s="288"/>
      <c r="O118" s="288"/>
      <c r="P118" s="288"/>
      <c r="Q118" s="288"/>
      <c r="R118" s="288"/>
      <c r="S118" s="288"/>
      <c r="T118" s="288"/>
      <c r="U118" s="288"/>
      <c r="V118" s="288"/>
      <c r="W118" s="288"/>
      <c r="X118" s="288"/>
      <c r="Y118" s="288"/>
      <c r="Z118" s="288"/>
    </row>
    <row r="119" spans="1:26" x14ac:dyDescent="0.25">
      <c r="A119" s="288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88"/>
      <c r="P119" s="288"/>
      <c r="Q119" s="288"/>
      <c r="R119" s="288"/>
      <c r="S119" s="288"/>
      <c r="T119" s="288"/>
      <c r="U119" s="288"/>
      <c r="V119" s="288"/>
      <c r="W119" s="288"/>
      <c r="X119" s="288"/>
      <c r="Y119" s="288"/>
      <c r="Z119" s="288"/>
    </row>
    <row r="120" spans="1:26" x14ac:dyDescent="0.25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88"/>
      <c r="P120" s="288"/>
      <c r="Q120" s="288"/>
      <c r="R120" s="288"/>
      <c r="S120" s="288"/>
      <c r="T120" s="288"/>
      <c r="U120" s="288"/>
      <c r="V120" s="288"/>
      <c r="W120" s="288"/>
      <c r="X120" s="288"/>
      <c r="Y120" s="288"/>
      <c r="Z120" s="288"/>
    </row>
    <row r="121" spans="1:26" x14ac:dyDescent="0.25">
      <c r="A121" s="288"/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</row>
    <row r="122" spans="1:26" x14ac:dyDescent="0.25">
      <c r="A122" s="288"/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</row>
    <row r="123" spans="1:26" x14ac:dyDescent="0.25">
      <c r="A123" s="288"/>
      <c r="B123" s="288"/>
      <c r="C123" s="288"/>
      <c r="D123" s="288"/>
      <c r="E123" s="288"/>
      <c r="F123" s="288"/>
      <c r="G123" s="288"/>
      <c r="H123" s="288"/>
      <c r="I123" s="288"/>
      <c r="J123" s="288"/>
      <c r="K123" s="288"/>
      <c r="L123" s="288"/>
      <c r="M123" s="288"/>
      <c r="N123" s="288"/>
      <c r="O123" s="288"/>
      <c r="P123" s="288"/>
      <c r="Q123" s="288"/>
      <c r="R123" s="288"/>
      <c r="S123" s="288"/>
      <c r="T123" s="288"/>
      <c r="U123" s="288"/>
      <c r="V123" s="288"/>
      <c r="W123" s="288"/>
      <c r="X123" s="288"/>
      <c r="Y123" s="288"/>
      <c r="Z123" s="288"/>
    </row>
    <row r="124" spans="1:26" x14ac:dyDescent="0.25">
      <c r="A124" s="288"/>
      <c r="B124" s="288"/>
      <c r="C124" s="288"/>
      <c r="D124" s="288"/>
      <c r="E124" s="288"/>
      <c r="F124" s="288"/>
      <c r="G124" s="288"/>
      <c r="H124" s="288"/>
      <c r="I124" s="288"/>
      <c r="J124" s="288"/>
      <c r="K124" s="288"/>
      <c r="L124" s="288"/>
      <c r="M124" s="288"/>
      <c r="N124" s="288"/>
      <c r="O124" s="288"/>
      <c r="P124" s="288"/>
      <c r="Q124" s="288"/>
      <c r="R124" s="288"/>
      <c r="S124" s="288"/>
      <c r="T124" s="288"/>
      <c r="U124" s="288"/>
      <c r="V124" s="288"/>
      <c r="W124" s="288"/>
      <c r="X124" s="288"/>
      <c r="Y124" s="288"/>
      <c r="Z124" s="288"/>
    </row>
    <row r="125" spans="1:26" x14ac:dyDescent="0.25">
      <c r="A125" s="288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  <c r="U125" s="288"/>
      <c r="V125" s="288"/>
      <c r="W125" s="288"/>
      <c r="X125" s="288"/>
      <c r="Y125" s="288"/>
      <c r="Z125" s="288"/>
    </row>
    <row r="126" spans="1:26" x14ac:dyDescent="0.25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88"/>
      <c r="P126" s="288"/>
      <c r="Q126" s="288"/>
      <c r="R126" s="288"/>
      <c r="S126" s="288"/>
      <c r="T126" s="288"/>
      <c r="U126" s="288"/>
      <c r="V126" s="288"/>
      <c r="W126" s="288"/>
      <c r="X126" s="288"/>
      <c r="Y126" s="288"/>
      <c r="Z126" s="288"/>
    </row>
    <row r="127" spans="1:26" x14ac:dyDescent="0.25">
      <c r="A127" s="288"/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</row>
    <row r="128" spans="1:26" x14ac:dyDescent="0.25">
      <c r="A128" s="288"/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</row>
    <row r="129" spans="1:26" x14ac:dyDescent="0.25">
      <c r="A129" s="288"/>
      <c r="B129" s="288"/>
      <c r="C129" s="288"/>
      <c r="D129" s="288"/>
      <c r="E129" s="288"/>
      <c r="F129" s="288"/>
      <c r="G129" s="288"/>
      <c r="H129" s="288"/>
      <c r="I129" s="288"/>
      <c r="J129" s="288"/>
      <c r="K129" s="288"/>
      <c r="L129" s="288"/>
      <c r="M129" s="288"/>
      <c r="N129" s="288"/>
      <c r="O129" s="288"/>
      <c r="P129" s="288"/>
      <c r="Q129" s="288"/>
      <c r="R129" s="288"/>
      <c r="S129" s="288"/>
      <c r="T129" s="288"/>
      <c r="U129" s="288"/>
      <c r="V129" s="288"/>
      <c r="W129" s="288"/>
      <c r="X129" s="288"/>
      <c r="Y129" s="288"/>
      <c r="Z129" s="288"/>
    </row>
    <row r="130" spans="1:26" x14ac:dyDescent="0.25">
      <c r="A130" s="288"/>
      <c r="B130" s="288"/>
      <c r="C130" s="288"/>
      <c r="D130" s="288"/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288"/>
      <c r="P130" s="288"/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</row>
    <row r="131" spans="1:26" x14ac:dyDescent="0.25">
      <c r="A131" s="288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88"/>
      <c r="P131" s="288"/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</row>
    <row r="132" spans="1:26" x14ac:dyDescent="0.25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88"/>
      <c r="P132" s="288"/>
      <c r="Q132" s="288"/>
      <c r="R132" s="288"/>
      <c r="S132" s="288"/>
      <c r="T132" s="288"/>
      <c r="U132" s="288"/>
      <c r="V132" s="288"/>
      <c r="W132" s="288"/>
      <c r="X132" s="288"/>
      <c r="Y132" s="288"/>
      <c r="Z132" s="288"/>
    </row>
    <row r="133" spans="1:26" x14ac:dyDescent="0.25">
      <c r="A133" s="288"/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</row>
    <row r="134" spans="1:26" x14ac:dyDescent="0.25">
      <c r="A134" s="288"/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</row>
    <row r="135" spans="1:26" x14ac:dyDescent="0.25">
      <c r="A135" s="288"/>
      <c r="B135" s="288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  <c r="S135" s="288"/>
      <c r="T135" s="288"/>
      <c r="U135" s="288"/>
      <c r="V135" s="288"/>
      <c r="W135" s="288"/>
      <c r="X135" s="288"/>
      <c r="Y135" s="288"/>
      <c r="Z135" s="288"/>
    </row>
    <row r="136" spans="1:26" x14ac:dyDescent="0.25">
      <c r="A136" s="288"/>
      <c r="B136" s="288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  <c r="W136" s="288"/>
      <c r="X136" s="288"/>
      <c r="Y136" s="288"/>
      <c r="Z136" s="288"/>
    </row>
    <row r="137" spans="1:26" x14ac:dyDescent="0.25">
      <c r="A137" s="288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88"/>
      <c r="P137" s="288"/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</row>
    <row r="138" spans="1:26" x14ac:dyDescent="0.25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88"/>
      <c r="P138" s="288"/>
      <c r="Q138" s="288"/>
      <c r="R138" s="288"/>
      <c r="S138" s="288"/>
      <c r="T138" s="288"/>
      <c r="U138" s="288"/>
      <c r="V138" s="288"/>
      <c r="W138" s="288"/>
      <c r="X138" s="288"/>
      <c r="Y138" s="288"/>
      <c r="Z138" s="288"/>
    </row>
    <row r="139" spans="1:26" x14ac:dyDescent="0.25">
      <c r="A139" s="288"/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</row>
    <row r="140" spans="1:26" x14ac:dyDescent="0.25">
      <c r="A140" s="288"/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</row>
    <row r="141" spans="1:26" x14ac:dyDescent="0.25">
      <c r="A141" s="288"/>
      <c r="B141" s="288"/>
      <c r="C141" s="288"/>
      <c r="D141" s="288"/>
      <c r="E141" s="288"/>
      <c r="F141" s="288"/>
      <c r="G141" s="288"/>
      <c r="H141" s="288"/>
      <c r="I141" s="288"/>
      <c r="J141" s="288"/>
      <c r="K141" s="288"/>
      <c r="L141" s="288"/>
      <c r="M141" s="288"/>
      <c r="N141" s="288"/>
      <c r="O141" s="288"/>
      <c r="P141" s="288"/>
      <c r="Q141" s="288"/>
      <c r="R141" s="288"/>
      <c r="S141" s="288"/>
      <c r="T141" s="288"/>
      <c r="U141" s="288"/>
      <c r="V141" s="288"/>
      <c r="W141" s="288"/>
      <c r="X141" s="288"/>
      <c r="Y141" s="288"/>
      <c r="Z141" s="288"/>
    </row>
    <row r="142" spans="1:26" x14ac:dyDescent="0.25">
      <c r="A142" s="288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88"/>
      <c r="P142" s="288"/>
      <c r="Q142" s="288"/>
      <c r="R142" s="288"/>
      <c r="S142" s="288"/>
      <c r="T142" s="288"/>
      <c r="U142" s="288"/>
      <c r="V142" s="288"/>
      <c r="W142" s="288"/>
      <c r="X142" s="288"/>
      <c r="Y142" s="288"/>
      <c r="Z142" s="288"/>
    </row>
    <row r="143" spans="1:26" x14ac:dyDescent="0.25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  <c r="W143" s="288"/>
      <c r="X143" s="288"/>
      <c r="Y143" s="288"/>
      <c r="Z143" s="288"/>
    </row>
    <row r="144" spans="1:26" x14ac:dyDescent="0.25">
      <c r="A144" s="288"/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</row>
    <row r="145" spans="1:26" x14ac:dyDescent="0.25">
      <c r="A145" s="288"/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</row>
    <row r="146" spans="1:26" x14ac:dyDescent="0.25">
      <c r="A146" s="288"/>
      <c r="B146" s="288"/>
      <c r="C146" s="288"/>
      <c r="D146" s="288"/>
      <c r="E146" s="288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  <c r="W146" s="288"/>
      <c r="X146" s="288"/>
      <c r="Y146" s="288"/>
      <c r="Z146" s="288"/>
    </row>
    <row r="147" spans="1:26" x14ac:dyDescent="0.25">
      <c r="A147" s="288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</row>
    <row r="148" spans="1:26" x14ac:dyDescent="0.25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  <c r="W148" s="288"/>
      <c r="X148" s="288"/>
      <c r="Y148" s="288"/>
      <c r="Z148" s="288"/>
    </row>
    <row r="149" spans="1:26" x14ac:dyDescent="0.25">
      <c r="A149" s="288"/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</row>
    <row r="150" spans="1:26" x14ac:dyDescent="0.25">
      <c r="A150" s="288"/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</row>
    <row r="151" spans="1:26" x14ac:dyDescent="0.25">
      <c r="A151" s="288"/>
      <c r="B151" s="288"/>
      <c r="C151" s="288"/>
      <c r="D151" s="288"/>
      <c r="E151" s="288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  <c r="W151" s="288"/>
      <c r="X151" s="288"/>
      <c r="Y151" s="288"/>
      <c r="Z151" s="288"/>
    </row>
    <row r="152" spans="1:26" x14ac:dyDescent="0.25">
      <c r="A152" s="288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</row>
    <row r="153" spans="1:26" x14ac:dyDescent="0.25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  <c r="W153" s="288"/>
      <c r="X153" s="288"/>
      <c r="Y153" s="288"/>
      <c r="Z153" s="288"/>
    </row>
    <row r="154" spans="1:26" x14ac:dyDescent="0.25">
      <c r="A154" s="288"/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</row>
    <row r="155" spans="1:26" x14ac:dyDescent="0.25">
      <c r="A155" s="288"/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</row>
    <row r="156" spans="1:26" x14ac:dyDescent="0.25">
      <c r="A156" s="288"/>
      <c r="B156" s="288"/>
      <c r="C156" s="288"/>
      <c r="D156" s="288"/>
      <c r="E156" s="288"/>
      <c r="F156" s="288"/>
      <c r="G156" s="288"/>
      <c r="H156" s="288"/>
      <c r="I156" s="288"/>
      <c r="J156" s="288"/>
      <c r="K156" s="288"/>
      <c r="L156" s="288"/>
      <c r="M156" s="288"/>
      <c r="N156" s="288"/>
      <c r="O156" s="288"/>
      <c r="P156" s="288"/>
      <c r="Q156" s="288"/>
      <c r="R156" s="288"/>
      <c r="S156" s="288"/>
      <c r="T156" s="288"/>
      <c r="U156" s="288"/>
      <c r="V156" s="288"/>
      <c r="W156" s="288"/>
      <c r="X156" s="288"/>
      <c r="Y156" s="288"/>
      <c r="Z156" s="288"/>
    </row>
    <row r="157" spans="1:26" x14ac:dyDescent="0.25">
      <c r="A157" s="288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88"/>
      <c r="P157" s="288"/>
      <c r="Q157" s="288"/>
      <c r="R157" s="288"/>
      <c r="S157" s="288"/>
      <c r="T157" s="288"/>
      <c r="U157" s="288"/>
      <c r="V157" s="288"/>
      <c r="W157" s="288"/>
      <c r="X157" s="288"/>
      <c r="Y157" s="288"/>
      <c r="Z157" s="288"/>
    </row>
    <row r="158" spans="1:26" x14ac:dyDescent="0.25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8"/>
      <c r="P158" s="288"/>
      <c r="Q158" s="288"/>
      <c r="R158" s="288"/>
      <c r="S158" s="288"/>
      <c r="T158" s="288"/>
      <c r="U158" s="288"/>
      <c r="V158" s="288"/>
      <c r="W158" s="288"/>
      <c r="X158" s="288"/>
      <c r="Y158" s="288"/>
      <c r="Z158" s="288"/>
    </row>
    <row r="159" spans="1:26" x14ac:dyDescent="0.25">
      <c r="A159" s="288"/>
      <c r="B159" s="288"/>
      <c r="C159" s="288"/>
      <c r="D159" s="288"/>
      <c r="E159" s="288"/>
      <c r="F159" s="288"/>
      <c r="G159" s="288"/>
      <c r="H159" s="288"/>
      <c r="I159" s="288"/>
      <c r="J159" s="288"/>
      <c r="K159" s="288"/>
      <c r="L159" s="288"/>
      <c r="M159" s="288"/>
      <c r="N159" s="288"/>
      <c r="O159" s="288"/>
      <c r="P159" s="288"/>
      <c r="Q159" s="288"/>
      <c r="R159" s="288"/>
      <c r="S159" s="288"/>
      <c r="T159" s="288"/>
      <c r="U159" s="288"/>
      <c r="V159" s="288"/>
      <c r="W159" s="288"/>
      <c r="X159" s="288"/>
      <c r="Y159" s="288"/>
      <c r="Z159" s="288"/>
    </row>
    <row r="160" spans="1:26" x14ac:dyDescent="0.25">
      <c r="A160" s="288"/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</row>
    <row r="161" spans="1:26" x14ac:dyDescent="0.25">
      <c r="A161" s="288"/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</row>
    <row r="162" spans="1:26" x14ac:dyDescent="0.25">
      <c r="A162" s="288"/>
      <c r="B162" s="288"/>
      <c r="C162" s="288"/>
      <c r="D162" s="288"/>
      <c r="E162" s="288"/>
      <c r="F162" s="288"/>
      <c r="G162" s="288"/>
      <c r="H162" s="288"/>
      <c r="I162" s="288"/>
      <c r="J162" s="288"/>
      <c r="K162" s="288"/>
      <c r="L162" s="288"/>
      <c r="M162" s="288"/>
      <c r="N162" s="288"/>
      <c r="O162" s="288"/>
      <c r="P162" s="288"/>
      <c r="Q162" s="288"/>
      <c r="R162" s="288"/>
      <c r="S162" s="288"/>
      <c r="T162" s="288"/>
      <c r="U162" s="288"/>
      <c r="V162" s="288"/>
      <c r="W162" s="288"/>
      <c r="X162" s="288"/>
      <c r="Y162" s="288"/>
      <c r="Z162" s="288"/>
    </row>
    <row r="163" spans="1:26" x14ac:dyDescent="0.25">
      <c r="A163" s="288"/>
      <c r="B163" s="288"/>
      <c r="C163" s="288"/>
      <c r="D163" s="288"/>
      <c r="E163" s="288"/>
      <c r="F163" s="288"/>
      <c r="G163" s="288"/>
      <c r="H163" s="288"/>
      <c r="I163" s="288"/>
      <c r="J163" s="288"/>
      <c r="K163" s="288"/>
      <c r="L163" s="288"/>
      <c r="M163" s="288"/>
      <c r="N163" s="288"/>
      <c r="O163" s="288"/>
      <c r="P163" s="288"/>
      <c r="Q163" s="288"/>
      <c r="R163" s="288"/>
      <c r="S163" s="288"/>
      <c r="T163" s="288"/>
      <c r="U163" s="288"/>
      <c r="V163" s="288"/>
      <c r="W163" s="288"/>
      <c r="X163" s="288"/>
      <c r="Y163" s="288"/>
      <c r="Z163" s="288"/>
    </row>
    <row r="164" spans="1:26" x14ac:dyDescent="0.25">
      <c r="A164" s="288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88"/>
      <c r="P164" s="288"/>
      <c r="Q164" s="288"/>
      <c r="R164" s="288"/>
      <c r="S164" s="288"/>
      <c r="T164" s="288"/>
      <c r="U164" s="288"/>
      <c r="V164" s="288"/>
      <c r="W164" s="288"/>
      <c r="X164" s="288"/>
      <c r="Y164" s="288"/>
      <c r="Z164" s="288"/>
    </row>
    <row r="165" spans="1:26" x14ac:dyDescent="0.25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288"/>
    </row>
    <row r="166" spans="1:26" x14ac:dyDescent="0.25">
      <c r="A166" s="288"/>
      <c r="B166" s="288"/>
      <c r="C166" s="288"/>
      <c r="D166" s="288"/>
      <c r="E166" s="288"/>
      <c r="F166" s="288"/>
      <c r="G166" s="288"/>
      <c r="H166" s="288"/>
      <c r="I166" s="288"/>
      <c r="J166" s="288"/>
      <c r="K166" s="288"/>
      <c r="L166" s="288"/>
      <c r="M166" s="288"/>
      <c r="N166" s="288"/>
      <c r="O166" s="288"/>
      <c r="P166" s="288"/>
      <c r="Q166" s="288"/>
      <c r="R166" s="288"/>
      <c r="S166" s="288"/>
      <c r="T166" s="288"/>
      <c r="U166" s="288"/>
      <c r="V166" s="288"/>
      <c r="W166" s="288"/>
      <c r="X166" s="288"/>
      <c r="Y166" s="288"/>
      <c r="Z166" s="288"/>
    </row>
    <row r="167" spans="1:26" x14ac:dyDescent="0.25">
      <c r="A167" s="288"/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</row>
    <row r="168" spans="1:26" x14ac:dyDescent="0.25">
      <c r="A168" s="288"/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</row>
    <row r="169" spans="1:26" x14ac:dyDescent="0.25">
      <c r="A169" s="288"/>
      <c r="B169" s="288"/>
      <c r="C169" s="288"/>
      <c r="D169" s="288"/>
      <c r="E169" s="288"/>
      <c r="F169" s="288"/>
      <c r="G169" s="288"/>
      <c r="H169" s="288"/>
      <c r="I169" s="288"/>
      <c r="J169" s="288"/>
      <c r="K169" s="288"/>
      <c r="L169" s="288"/>
      <c r="M169" s="288"/>
      <c r="N169" s="288"/>
      <c r="O169" s="288"/>
      <c r="P169" s="288"/>
      <c r="Q169" s="288"/>
      <c r="R169" s="288"/>
      <c r="S169" s="288"/>
      <c r="T169" s="288"/>
      <c r="U169" s="288"/>
      <c r="V169" s="288"/>
      <c r="W169" s="288"/>
      <c r="X169" s="288"/>
      <c r="Y169" s="288"/>
      <c r="Z169" s="288"/>
    </row>
    <row r="170" spans="1:26" x14ac:dyDescent="0.25">
      <c r="A170" s="288"/>
      <c r="B170" s="288"/>
      <c r="C170" s="288"/>
      <c r="D170" s="288"/>
      <c r="E170" s="288"/>
      <c r="F170" s="288"/>
      <c r="G170" s="288"/>
      <c r="H170" s="288"/>
      <c r="I170" s="288"/>
      <c r="J170" s="288"/>
      <c r="K170" s="288"/>
      <c r="L170" s="288"/>
      <c r="M170" s="288"/>
      <c r="N170" s="288"/>
      <c r="O170" s="288"/>
      <c r="P170" s="288"/>
      <c r="Q170" s="288"/>
      <c r="R170" s="288"/>
      <c r="S170" s="288"/>
      <c r="T170" s="288"/>
      <c r="U170" s="288"/>
      <c r="V170" s="288"/>
      <c r="W170" s="288"/>
      <c r="X170" s="288"/>
      <c r="Y170" s="288"/>
      <c r="Z170" s="288"/>
    </row>
    <row r="171" spans="1:26" x14ac:dyDescent="0.25">
      <c r="A171" s="288"/>
      <c r="B171" s="288"/>
      <c r="C171" s="288"/>
      <c r="D171" s="288"/>
      <c r="E171" s="288"/>
      <c r="F171" s="288"/>
      <c r="G171" s="288"/>
      <c r="H171" s="288"/>
      <c r="I171" s="288"/>
      <c r="J171" s="288"/>
      <c r="K171" s="288"/>
      <c r="L171" s="288"/>
      <c r="M171" s="288"/>
      <c r="N171" s="288"/>
      <c r="O171" s="288"/>
      <c r="P171" s="288"/>
      <c r="Q171" s="288"/>
      <c r="R171" s="288"/>
      <c r="S171" s="288"/>
      <c r="T171" s="288"/>
      <c r="U171" s="288"/>
      <c r="V171" s="288"/>
      <c r="W171" s="288"/>
      <c r="X171" s="288"/>
      <c r="Y171" s="288"/>
      <c r="Z171" s="288"/>
    </row>
    <row r="172" spans="1:26" x14ac:dyDescent="0.25">
      <c r="A172" s="288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88"/>
      <c r="P172" s="288"/>
      <c r="Q172" s="288"/>
      <c r="R172" s="288"/>
      <c r="S172" s="288"/>
      <c r="T172" s="288"/>
      <c r="U172" s="288"/>
      <c r="V172" s="288"/>
      <c r="W172" s="288"/>
      <c r="X172" s="288"/>
      <c r="Y172" s="288"/>
      <c r="Z172" s="288"/>
    </row>
    <row r="173" spans="1:26" x14ac:dyDescent="0.25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88"/>
      <c r="P173" s="288"/>
      <c r="Q173" s="288"/>
      <c r="R173" s="288"/>
      <c r="S173" s="288"/>
      <c r="T173" s="288"/>
      <c r="U173" s="288"/>
      <c r="V173" s="288"/>
      <c r="W173" s="288"/>
      <c r="X173" s="288"/>
      <c r="Y173" s="288"/>
      <c r="Z173" s="288"/>
    </row>
    <row r="174" spans="1:26" x14ac:dyDescent="0.25">
      <c r="A174" s="288"/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</row>
    <row r="175" spans="1:26" x14ac:dyDescent="0.25">
      <c r="A175" s="288"/>
      <c r="B175" s="288"/>
      <c r="C175" s="288"/>
      <c r="D175" s="288"/>
      <c r="E175" s="288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/>
      <c r="W175" s="288"/>
      <c r="X175" s="288"/>
      <c r="Y175" s="288"/>
      <c r="Z175" s="288"/>
    </row>
    <row r="176" spans="1:26" x14ac:dyDescent="0.25">
      <c r="A176" s="288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  <c r="S176" s="288"/>
      <c r="T176" s="288"/>
      <c r="U176" s="288"/>
      <c r="V176" s="288"/>
      <c r="W176" s="288"/>
      <c r="X176" s="288"/>
      <c r="Y176" s="288"/>
      <c r="Z176" s="288"/>
    </row>
    <row r="177" spans="1:26" x14ac:dyDescent="0.25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88"/>
      <c r="P177" s="288"/>
      <c r="Q177" s="288"/>
      <c r="R177" s="288"/>
      <c r="S177" s="288"/>
      <c r="T177" s="288"/>
      <c r="U177" s="288"/>
      <c r="V177" s="288"/>
      <c r="W177" s="288"/>
      <c r="X177" s="288"/>
      <c r="Y177" s="288"/>
      <c r="Z177" s="288"/>
    </row>
    <row r="178" spans="1:26" x14ac:dyDescent="0.25">
      <c r="A178" s="288"/>
      <c r="B178" s="288"/>
      <c r="C178" s="288"/>
      <c r="D178" s="288"/>
      <c r="E178" s="288"/>
      <c r="F178" s="288"/>
      <c r="G178" s="288"/>
      <c r="H178" s="288"/>
      <c r="I178" s="288"/>
      <c r="J178" s="288"/>
      <c r="K178" s="288"/>
      <c r="L178" s="288"/>
      <c r="M178" s="288"/>
      <c r="N178" s="288"/>
      <c r="O178" s="288"/>
      <c r="P178" s="288"/>
      <c r="Q178" s="288"/>
      <c r="R178" s="288"/>
      <c r="S178" s="288"/>
      <c r="T178" s="288"/>
      <c r="U178" s="288"/>
      <c r="V178" s="288"/>
      <c r="W178" s="288"/>
      <c r="X178" s="288"/>
      <c r="Y178" s="288"/>
      <c r="Z178" s="288"/>
    </row>
    <row r="179" spans="1:26" x14ac:dyDescent="0.25">
      <c r="A179" s="288"/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</row>
    <row r="180" spans="1:26" x14ac:dyDescent="0.25">
      <c r="A180" s="288"/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</row>
    <row r="181" spans="1:26" x14ac:dyDescent="0.25">
      <c r="A181" s="288"/>
      <c r="B181" s="288"/>
      <c r="C181" s="288"/>
      <c r="D181" s="288"/>
      <c r="E181" s="288"/>
      <c r="F181" s="288"/>
      <c r="G181" s="288"/>
      <c r="H181" s="288"/>
      <c r="I181" s="288"/>
      <c r="J181" s="288"/>
      <c r="K181" s="288"/>
      <c r="L181" s="288"/>
      <c r="M181" s="288"/>
      <c r="N181" s="288"/>
      <c r="O181" s="288"/>
      <c r="P181" s="288"/>
      <c r="Q181" s="288"/>
      <c r="R181" s="288"/>
      <c r="S181" s="288"/>
      <c r="T181" s="288"/>
      <c r="U181" s="288"/>
      <c r="V181" s="288"/>
      <c r="W181" s="288"/>
      <c r="X181" s="288"/>
      <c r="Y181" s="288"/>
      <c r="Z181" s="288"/>
    </row>
    <row r="182" spans="1:26" x14ac:dyDescent="0.25">
      <c r="A182" s="288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88"/>
      <c r="P182" s="288"/>
      <c r="Q182" s="288"/>
      <c r="R182" s="288"/>
      <c r="S182" s="288"/>
      <c r="T182" s="288"/>
      <c r="U182" s="288"/>
      <c r="V182" s="288"/>
      <c r="W182" s="288"/>
      <c r="X182" s="288"/>
      <c r="Y182" s="288"/>
      <c r="Z182" s="288"/>
    </row>
    <row r="183" spans="1:26" x14ac:dyDescent="0.25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88"/>
      <c r="P183" s="288"/>
      <c r="Q183" s="288"/>
      <c r="R183" s="288"/>
      <c r="S183" s="288"/>
      <c r="T183" s="288"/>
      <c r="U183" s="288"/>
      <c r="V183" s="288"/>
      <c r="W183" s="288"/>
      <c r="X183" s="288"/>
      <c r="Y183" s="288"/>
      <c r="Z183" s="288"/>
    </row>
    <row r="184" spans="1:26" x14ac:dyDescent="0.25">
      <c r="A184" s="288"/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</row>
    <row r="185" spans="1:26" x14ac:dyDescent="0.25">
      <c r="A185" s="288"/>
      <c r="B185" s="288"/>
      <c r="C185" s="288"/>
      <c r="D185" s="288"/>
      <c r="E185" s="288"/>
      <c r="F185" s="288"/>
      <c r="G185" s="288"/>
      <c r="H185" s="288"/>
      <c r="I185" s="288"/>
      <c r="J185" s="288"/>
      <c r="K185" s="288"/>
      <c r="L185" s="288"/>
      <c r="M185" s="288"/>
      <c r="N185" s="288"/>
      <c r="O185" s="288"/>
      <c r="P185" s="288"/>
      <c r="Q185" s="288"/>
      <c r="R185" s="288"/>
      <c r="S185" s="288"/>
      <c r="T185" s="288"/>
      <c r="U185" s="288"/>
      <c r="V185" s="288"/>
      <c r="W185" s="288"/>
      <c r="X185" s="288"/>
      <c r="Y185" s="288"/>
      <c r="Z185" s="288"/>
    </row>
    <row r="186" spans="1:26" x14ac:dyDescent="0.25">
      <c r="A186" s="288"/>
      <c r="B186" s="288"/>
      <c r="C186" s="288"/>
      <c r="D186" s="288"/>
      <c r="E186" s="288"/>
      <c r="F186" s="288"/>
      <c r="G186" s="288"/>
      <c r="H186" s="288"/>
      <c r="I186" s="288"/>
      <c r="J186" s="288"/>
      <c r="K186" s="288"/>
      <c r="L186" s="288"/>
      <c r="M186" s="288"/>
      <c r="N186" s="288"/>
      <c r="O186" s="288"/>
      <c r="P186" s="288"/>
      <c r="Q186" s="288"/>
      <c r="R186" s="288"/>
      <c r="S186" s="288"/>
      <c r="T186" s="288"/>
      <c r="U186" s="288"/>
      <c r="V186" s="288"/>
      <c r="W186" s="288"/>
      <c r="X186" s="288"/>
      <c r="Y186" s="288"/>
      <c r="Z186" s="288"/>
    </row>
    <row r="187" spans="1:26" x14ac:dyDescent="0.25">
      <c r="A187" s="288"/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288"/>
    </row>
    <row r="188" spans="1:26" x14ac:dyDescent="0.25">
      <c r="A188" s="288"/>
      <c r="B188" s="288"/>
      <c r="C188" s="288"/>
      <c r="D188" s="288"/>
      <c r="E188" s="288"/>
      <c r="F188" s="288"/>
      <c r="G188" s="288"/>
      <c r="H188" s="288"/>
      <c r="I188" s="288"/>
      <c r="J188" s="288"/>
      <c r="K188" s="288"/>
      <c r="L188" s="288"/>
      <c r="M188" s="288"/>
      <c r="N188" s="288"/>
      <c r="O188" s="288"/>
      <c r="P188" s="288"/>
      <c r="Q188" s="288"/>
      <c r="R188" s="288"/>
      <c r="S188" s="288"/>
      <c r="T188" s="288"/>
      <c r="U188" s="288"/>
      <c r="V188" s="288"/>
      <c r="W188" s="288"/>
      <c r="X188" s="288"/>
      <c r="Y188" s="288"/>
      <c r="Z188" s="288"/>
    </row>
    <row r="189" spans="1:26" x14ac:dyDescent="0.25">
      <c r="A189" s="288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88"/>
      <c r="P189" s="288"/>
      <c r="Q189" s="288"/>
      <c r="R189" s="288"/>
      <c r="S189" s="288"/>
      <c r="T189" s="288"/>
      <c r="U189" s="288"/>
      <c r="V189" s="288"/>
      <c r="W189" s="288"/>
      <c r="X189" s="288"/>
      <c r="Y189" s="288"/>
      <c r="Z189" s="288"/>
    </row>
    <row r="190" spans="1:26" x14ac:dyDescent="0.25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88"/>
      <c r="P190" s="288"/>
      <c r="Q190" s="288"/>
      <c r="R190" s="288"/>
      <c r="S190" s="288"/>
      <c r="T190" s="288"/>
      <c r="U190" s="288"/>
      <c r="V190" s="288"/>
      <c r="W190" s="288"/>
      <c r="X190" s="288"/>
      <c r="Y190" s="288"/>
      <c r="Z190" s="288"/>
    </row>
    <row r="191" spans="1:26" x14ac:dyDescent="0.25">
      <c r="A191" s="288"/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</row>
    <row r="192" spans="1:26" x14ac:dyDescent="0.25">
      <c r="A192" s="288"/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</row>
    <row r="193" spans="1:26" x14ac:dyDescent="0.25">
      <c r="A193" s="288"/>
      <c r="B193" s="288"/>
      <c r="C193" s="288"/>
      <c r="D193" s="288"/>
      <c r="E193" s="288"/>
      <c r="F193" s="288"/>
      <c r="G193" s="288"/>
      <c r="H193" s="288"/>
      <c r="I193" s="288"/>
      <c r="J193" s="288"/>
      <c r="K193" s="288"/>
      <c r="L193" s="288"/>
      <c r="M193" s="288"/>
      <c r="N193" s="288"/>
      <c r="O193" s="288"/>
      <c r="P193" s="288"/>
      <c r="Q193" s="288"/>
      <c r="R193" s="288"/>
      <c r="S193" s="288"/>
      <c r="T193" s="288"/>
      <c r="U193" s="288"/>
      <c r="V193" s="288"/>
      <c r="W193" s="288"/>
      <c r="X193" s="288"/>
      <c r="Y193" s="288"/>
      <c r="Z193" s="288"/>
    </row>
    <row r="194" spans="1:26" x14ac:dyDescent="0.25">
      <c r="A194" s="288"/>
      <c r="B194" s="288"/>
      <c r="C194" s="288"/>
      <c r="D194" s="288"/>
      <c r="E194" s="288"/>
      <c r="F194" s="288"/>
      <c r="G194" s="288"/>
      <c r="H194" s="288"/>
      <c r="I194" s="288"/>
      <c r="J194" s="288"/>
      <c r="K194" s="288"/>
      <c r="L194" s="288"/>
      <c r="M194" s="288"/>
      <c r="N194" s="288"/>
      <c r="O194" s="288"/>
      <c r="P194" s="288"/>
      <c r="Q194" s="288"/>
      <c r="R194" s="288"/>
      <c r="S194" s="288"/>
      <c r="T194" s="288"/>
      <c r="U194" s="288"/>
      <c r="V194" s="288"/>
      <c r="W194" s="288"/>
      <c r="X194" s="288"/>
      <c r="Y194" s="288"/>
      <c r="Z194" s="288"/>
    </row>
    <row r="195" spans="1:26" x14ac:dyDescent="0.25">
      <c r="A195" s="288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88"/>
      <c r="P195" s="288"/>
      <c r="Q195" s="288"/>
      <c r="R195" s="288"/>
      <c r="S195" s="288"/>
      <c r="T195" s="288"/>
      <c r="U195" s="288"/>
      <c r="V195" s="288"/>
      <c r="W195" s="288"/>
      <c r="X195" s="288"/>
      <c r="Y195" s="288"/>
      <c r="Z195" s="288"/>
    </row>
    <row r="196" spans="1:26" x14ac:dyDescent="0.25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88"/>
      <c r="P196" s="288"/>
      <c r="Q196" s="288"/>
      <c r="R196" s="288"/>
      <c r="S196" s="288"/>
      <c r="T196" s="288"/>
      <c r="U196" s="288"/>
      <c r="V196" s="288"/>
      <c r="W196" s="288"/>
      <c r="X196" s="288"/>
      <c r="Y196" s="288"/>
      <c r="Z196" s="288"/>
    </row>
    <row r="197" spans="1:26" x14ac:dyDescent="0.25">
      <c r="A197" s="288"/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</row>
    <row r="198" spans="1:26" x14ac:dyDescent="0.25">
      <c r="A198" s="288"/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</row>
    <row r="199" spans="1:26" x14ac:dyDescent="0.25">
      <c r="A199" s="288"/>
      <c r="B199" s="288"/>
      <c r="C199" s="288"/>
      <c r="D199" s="288"/>
      <c r="E199" s="288"/>
      <c r="F199" s="288"/>
      <c r="G199" s="288"/>
      <c r="H199" s="288"/>
      <c r="I199" s="288"/>
      <c r="J199" s="288"/>
      <c r="K199" s="288"/>
      <c r="L199" s="288"/>
      <c r="M199" s="288"/>
      <c r="N199" s="288"/>
      <c r="O199" s="288"/>
      <c r="P199" s="288"/>
      <c r="Q199" s="288"/>
      <c r="R199" s="288"/>
      <c r="S199" s="288"/>
      <c r="T199" s="288"/>
      <c r="U199" s="288"/>
      <c r="V199" s="288"/>
      <c r="W199" s="288"/>
      <c r="X199" s="288"/>
      <c r="Y199" s="288"/>
      <c r="Z199" s="288"/>
    </row>
    <row r="200" spans="1:26" x14ac:dyDescent="0.25">
      <c r="A200" s="288"/>
      <c r="B200" s="288"/>
      <c r="C200" s="288"/>
      <c r="D200" s="288"/>
      <c r="E200" s="288"/>
      <c r="F200" s="288"/>
      <c r="G200" s="288"/>
      <c r="H200" s="288"/>
      <c r="I200" s="288"/>
      <c r="J200" s="288"/>
      <c r="K200" s="288"/>
      <c r="L200" s="288"/>
      <c r="M200" s="288"/>
      <c r="N200" s="288"/>
      <c r="O200" s="288"/>
      <c r="P200" s="288"/>
      <c r="Q200" s="288"/>
      <c r="R200" s="288"/>
      <c r="S200" s="288"/>
      <c r="T200" s="288"/>
      <c r="U200" s="288"/>
      <c r="V200" s="288"/>
      <c r="W200" s="288"/>
      <c r="X200" s="288"/>
      <c r="Y200" s="288"/>
      <c r="Z200" s="288"/>
    </row>
    <row r="201" spans="1:26" x14ac:dyDescent="0.25">
      <c r="A201" s="288"/>
      <c r="B201" s="288"/>
      <c r="C201" s="288"/>
      <c r="D201" s="288"/>
      <c r="E201" s="288"/>
      <c r="F201" s="288"/>
      <c r="G201" s="288"/>
      <c r="H201" s="288"/>
      <c r="I201" s="288"/>
      <c r="J201" s="288"/>
      <c r="K201" s="288"/>
      <c r="L201" s="288"/>
      <c r="M201" s="288"/>
      <c r="N201" s="288"/>
      <c r="O201" s="288"/>
      <c r="P201" s="288"/>
      <c r="Q201" s="288"/>
      <c r="R201" s="288"/>
      <c r="S201" s="288"/>
      <c r="T201" s="288"/>
      <c r="U201" s="288"/>
      <c r="V201" s="288"/>
      <c r="W201" s="288"/>
      <c r="X201" s="288"/>
      <c r="Y201" s="288"/>
      <c r="Z201" s="288"/>
    </row>
    <row r="202" spans="1:26" x14ac:dyDescent="0.25">
      <c r="A202" s="288"/>
      <c r="B202" s="288"/>
      <c r="C202" s="288"/>
      <c r="D202" s="288"/>
      <c r="E202" s="288"/>
      <c r="F202" s="288"/>
      <c r="G202" s="288"/>
      <c r="H202" s="288"/>
      <c r="I202" s="288"/>
      <c r="J202" s="288"/>
      <c r="K202" s="288"/>
      <c r="L202" s="288"/>
      <c r="M202" s="288"/>
      <c r="N202" s="288"/>
      <c r="O202" s="288"/>
      <c r="P202" s="288"/>
      <c r="Q202" s="288"/>
      <c r="R202" s="288"/>
      <c r="S202" s="288"/>
      <c r="T202" s="288"/>
      <c r="U202" s="288"/>
      <c r="V202" s="288"/>
      <c r="W202" s="288"/>
      <c r="X202" s="288"/>
      <c r="Y202" s="288"/>
      <c r="Z202" s="288"/>
    </row>
    <row r="203" spans="1:26" x14ac:dyDescent="0.25">
      <c r="A203" s="288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</row>
    <row r="204" spans="1:26" x14ac:dyDescent="0.25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/>
      <c r="W204" s="288"/>
      <c r="X204" s="288"/>
      <c r="Y204" s="288"/>
      <c r="Z204" s="288"/>
    </row>
    <row r="205" spans="1:26" x14ac:dyDescent="0.25">
      <c r="A205" s="288"/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</row>
    <row r="206" spans="1:26" x14ac:dyDescent="0.25">
      <c r="A206" s="288"/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</row>
    <row r="207" spans="1:26" x14ac:dyDescent="0.25">
      <c r="A207" s="288"/>
      <c r="B207" s="288"/>
      <c r="C207" s="288"/>
      <c r="D207" s="288"/>
      <c r="E207" s="288"/>
      <c r="F207" s="288"/>
      <c r="G207" s="288"/>
      <c r="H207" s="288"/>
      <c r="I207" s="288"/>
      <c r="J207" s="288"/>
      <c r="K207" s="288"/>
      <c r="L207" s="288"/>
      <c r="M207" s="288"/>
      <c r="N207" s="288"/>
      <c r="O207" s="288"/>
      <c r="P207" s="288"/>
      <c r="Q207" s="288"/>
      <c r="R207" s="288"/>
      <c r="S207" s="288"/>
      <c r="T207" s="288"/>
      <c r="U207" s="288"/>
      <c r="V207" s="288"/>
      <c r="W207" s="288"/>
      <c r="X207" s="288"/>
      <c r="Y207" s="288"/>
      <c r="Z207" s="288"/>
    </row>
    <row r="208" spans="1:26" x14ac:dyDescent="0.25">
      <c r="A208" s="288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  <c r="T208" s="288"/>
      <c r="U208" s="288"/>
      <c r="V208" s="288"/>
      <c r="W208" s="288"/>
      <c r="X208" s="288"/>
      <c r="Y208" s="288"/>
      <c r="Z208" s="288"/>
    </row>
    <row r="209" spans="1:26" x14ac:dyDescent="0.25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88"/>
      <c r="P209" s="288"/>
      <c r="Q209" s="288"/>
      <c r="R209" s="288"/>
      <c r="S209" s="288"/>
      <c r="T209" s="288"/>
      <c r="U209" s="288"/>
      <c r="V209" s="288"/>
      <c r="W209" s="288"/>
      <c r="X209" s="288"/>
      <c r="Y209" s="288"/>
      <c r="Z209" s="288"/>
    </row>
    <row r="210" spans="1:26" x14ac:dyDescent="0.25">
      <c r="A210" s="288"/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</row>
    <row r="211" spans="1:26" x14ac:dyDescent="0.25">
      <c r="A211" s="288"/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</row>
    <row r="212" spans="1:26" x14ac:dyDescent="0.25">
      <c r="A212" s="288"/>
      <c r="B212" s="288"/>
      <c r="C212" s="288"/>
      <c r="D212" s="288"/>
      <c r="E212" s="288"/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  <c r="T212" s="288"/>
      <c r="U212" s="288"/>
      <c r="V212" s="288"/>
      <c r="W212" s="288"/>
      <c r="X212" s="288"/>
      <c r="Y212" s="288"/>
      <c r="Z212" s="288"/>
    </row>
    <row r="213" spans="1:26" x14ac:dyDescent="0.25">
      <c r="A213" s="288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88"/>
      <c r="P213" s="288"/>
      <c r="Q213" s="288"/>
      <c r="R213" s="288"/>
      <c r="S213" s="288"/>
      <c r="T213" s="288"/>
      <c r="U213" s="288"/>
      <c r="V213" s="288"/>
      <c r="W213" s="288"/>
      <c r="X213" s="288"/>
      <c r="Y213" s="288"/>
      <c r="Z213" s="288"/>
    </row>
    <row r="214" spans="1:26" x14ac:dyDescent="0.25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88"/>
      <c r="P214" s="288"/>
      <c r="Q214" s="288"/>
      <c r="R214" s="288"/>
      <c r="S214" s="288"/>
      <c r="T214" s="288"/>
      <c r="U214" s="288"/>
      <c r="V214" s="288"/>
      <c r="W214" s="288"/>
      <c r="X214" s="288"/>
      <c r="Y214" s="288"/>
      <c r="Z214" s="288"/>
    </row>
    <row r="215" spans="1:26" x14ac:dyDescent="0.25">
      <c r="A215" s="288"/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</row>
    <row r="216" spans="1:26" x14ac:dyDescent="0.25">
      <c r="A216" s="288"/>
      <c r="B216" s="288"/>
      <c r="C216" s="288"/>
      <c r="D216" s="288"/>
      <c r="E216" s="288"/>
      <c r="F216" s="288"/>
      <c r="G216" s="288"/>
      <c r="H216" s="288"/>
      <c r="I216" s="288"/>
      <c r="J216" s="288"/>
      <c r="K216" s="288"/>
      <c r="L216" s="288"/>
      <c r="M216" s="288"/>
      <c r="N216" s="288"/>
      <c r="O216" s="288"/>
      <c r="P216" s="288"/>
      <c r="Q216" s="288"/>
      <c r="R216" s="288"/>
      <c r="S216" s="288"/>
      <c r="T216" s="288"/>
      <c r="U216" s="288"/>
      <c r="V216" s="288"/>
      <c r="W216" s="288"/>
      <c r="X216" s="288"/>
      <c r="Y216" s="288"/>
      <c r="Z216" s="288"/>
    </row>
    <row r="217" spans="1:26" x14ac:dyDescent="0.25">
      <c r="A217" s="288"/>
      <c r="B217" s="288"/>
      <c r="C217" s="288"/>
      <c r="D217" s="288"/>
      <c r="E217" s="288"/>
      <c r="F217" s="288"/>
      <c r="G217" s="288"/>
      <c r="H217" s="288"/>
      <c r="I217" s="288"/>
      <c r="J217" s="288"/>
      <c r="K217" s="288"/>
      <c r="L217" s="288"/>
      <c r="M217" s="288"/>
      <c r="N217" s="288"/>
      <c r="O217" s="288"/>
      <c r="P217" s="288"/>
      <c r="Q217" s="288"/>
      <c r="R217" s="288"/>
      <c r="S217" s="288"/>
      <c r="T217" s="288"/>
      <c r="U217" s="288"/>
      <c r="V217" s="288"/>
      <c r="W217" s="288"/>
      <c r="X217" s="288"/>
      <c r="Y217" s="288"/>
      <c r="Z217" s="288"/>
    </row>
    <row r="218" spans="1:26" x14ac:dyDescent="0.25">
      <c r="A218" s="288"/>
      <c r="B218" s="288"/>
      <c r="C218" s="288"/>
      <c r="D218" s="288"/>
      <c r="E218" s="288"/>
      <c r="F218" s="288"/>
      <c r="G218" s="288"/>
      <c r="H218" s="288"/>
      <c r="I218" s="288"/>
      <c r="J218" s="288"/>
      <c r="K218" s="288"/>
      <c r="L218" s="288"/>
      <c r="M218" s="288"/>
      <c r="N218" s="288"/>
      <c r="O218" s="288"/>
      <c r="P218" s="288"/>
      <c r="Q218" s="288"/>
      <c r="R218" s="288"/>
      <c r="S218" s="288"/>
      <c r="T218" s="288"/>
      <c r="U218" s="288"/>
      <c r="V218" s="288"/>
      <c r="W218" s="288"/>
      <c r="X218" s="288"/>
      <c r="Y218" s="288"/>
      <c r="Z218" s="288"/>
    </row>
    <row r="219" spans="1:26" x14ac:dyDescent="0.25">
      <c r="A219" s="288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88"/>
      <c r="P219" s="288"/>
      <c r="Q219" s="288"/>
      <c r="R219" s="288"/>
      <c r="S219" s="288"/>
      <c r="T219" s="288"/>
      <c r="U219" s="288"/>
      <c r="V219" s="288"/>
      <c r="W219" s="288"/>
      <c r="X219" s="288"/>
      <c r="Y219" s="288"/>
      <c r="Z219" s="288"/>
    </row>
    <row r="220" spans="1:26" x14ac:dyDescent="0.25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88"/>
      <c r="P220" s="288"/>
      <c r="Q220" s="288"/>
      <c r="R220" s="288"/>
      <c r="S220" s="288"/>
      <c r="T220" s="288"/>
      <c r="U220" s="288"/>
      <c r="V220" s="288"/>
      <c r="W220" s="288"/>
      <c r="X220" s="288"/>
      <c r="Y220" s="288"/>
      <c r="Z220" s="288"/>
    </row>
    <row r="221" spans="1:26" x14ac:dyDescent="0.25">
      <c r="A221" s="288"/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</row>
    <row r="222" spans="1:26" x14ac:dyDescent="0.25">
      <c r="A222" s="288"/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</row>
    <row r="223" spans="1:26" x14ac:dyDescent="0.25">
      <c r="A223" s="288"/>
      <c r="B223" s="288"/>
      <c r="C223" s="288"/>
      <c r="D223" s="288"/>
      <c r="E223" s="288"/>
      <c r="F223" s="288"/>
      <c r="G223" s="288"/>
      <c r="H223" s="288"/>
      <c r="I223" s="288"/>
      <c r="J223" s="288"/>
      <c r="K223" s="288"/>
      <c r="L223" s="288"/>
      <c r="M223" s="288"/>
      <c r="N223" s="288"/>
      <c r="O223" s="288"/>
      <c r="P223" s="288"/>
      <c r="Q223" s="288"/>
      <c r="R223" s="288"/>
      <c r="S223" s="288"/>
      <c r="T223" s="288"/>
      <c r="U223" s="288"/>
      <c r="V223" s="288"/>
      <c r="W223" s="288"/>
      <c r="X223" s="288"/>
      <c r="Y223" s="288"/>
      <c r="Z223" s="288"/>
    </row>
    <row r="224" spans="1:26" x14ac:dyDescent="0.25">
      <c r="A224" s="288"/>
      <c r="B224" s="288"/>
      <c r="C224" s="288"/>
      <c r="D224" s="288"/>
      <c r="E224" s="288"/>
      <c r="F224" s="288"/>
      <c r="G224" s="288"/>
      <c r="H224" s="288"/>
      <c r="I224" s="288"/>
      <c r="J224" s="288"/>
      <c r="K224" s="288"/>
      <c r="L224" s="288"/>
      <c r="M224" s="288"/>
      <c r="N224" s="288"/>
      <c r="O224" s="288"/>
      <c r="P224" s="288"/>
      <c r="Q224" s="288"/>
      <c r="R224" s="288"/>
      <c r="S224" s="288"/>
      <c r="T224" s="288"/>
      <c r="U224" s="288"/>
      <c r="V224" s="288"/>
      <c r="W224" s="288"/>
      <c r="X224" s="288"/>
      <c r="Y224" s="288"/>
      <c r="Z224" s="288"/>
    </row>
    <row r="225" spans="1:26" x14ac:dyDescent="0.25">
      <c r="A225" s="288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88"/>
      <c r="P225" s="288"/>
      <c r="Q225" s="288"/>
      <c r="R225" s="288"/>
      <c r="S225" s="288"/>
      <c r="T225" s="288"/>
      <c r="U225" s="288"/>
      <c r="V225" s="288"/>
      <c r="W225" s="288"/>
      <c r="X225" s="288"/>
      <c r="Y225" s="288"/>
      <c r="Z225" s="288"/>
    </row>
    <row r="226" spans="1:26" x14ac:dyDescent="0.25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88"/>
      <c r="P226" s="288"/>
      <c r="Q226" s="288"/>
      <c r="R226" s="288"/>
      <c r="S226" s="288"/>
      <c r="T226" s="288"/>
      <c r="U226" s="288"/>
      <c r="V226" s="288"/>
      <c r="W226" s="288"/>
      <c r="X226" s="288"/>
      <c r="Y226" s="288"/>
      <c r="Z226" s="288"/>
    </row>
    <row r="227" spans="1:26" x14ac:dyDescent="0.25">
      <c r="A227" s="288"/>
      <c r="B227" s="288"/>
      <c r="C227" s="288"/>
      <c r="D227" s="288"/>
      <c r="E227" s="288"/>
      <c r="F227" s="288"/>
      <c r="G227" s="288"/>
      <c r="H227" s="288"/>
      <c r="I227" s="288"/>
      <c r="J227" s="288"/>
      <c r="K227" s="288"/>
      <c r="L227" s="288"/>
      <c r="M227" s="288"/>
      <c r="N227" s="288"/>
      <c r="O227" s="288"/>
      <c r="P227" s="288"/>
      <c r="Q227" s="288"/>
      <c r="R227" s="288"/>
      <c r="S227" s="288"/>
      <c r="T227" s="288"/>
      <c r="U227" s="288"/>
      <c r="V227" s="288"/>
      <c r="W227" s="288"/>
      <c r="X227" s="288"/>
      <c r="Y227" s="288"/>
      <c r="Z227" s="288"/>
    </row>
    <row r="228" spans="1:26" x14ac:dyDescent="0.25">
      <c r="A228" s="288"/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</row>
    <row r="229" spans="1:26" x14ac:dyDescent="0.25">
      <c r="A229" s="288"/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</row>
    <row r="230" spans="1:26" x14ac:dyDescent="0.25">
      <c r="A230" s="288"/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288"/>
    </row>
    <row r="231" spans="1:26" x14ac:dyDescent="0.25">
      <c r="A231" s="288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88"/>
      <c r="P231" s="288"/>
      <c r="Q231" s="288"/>
      <c r="R231" s="288"/>
      <c r="S231" s="288"/>
      <c r="T231" s="288"/>
      <c r="U231" s="288"/>
      <c r="V231" s="288"/>
      <c r="W231" s="288"/>
      <c r="X231" s="288"/>
      <c r="Y231" s="288"/>
      <c r="Z231" s="288"/>
    </row>
    <row r="232" spans="1:26" x14ac:dyDescent="0.25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  <c r="P232" s="288"/>
      <c r="Q232" s="288"/>
      <c r="R232" s="288"/>
      <c r="S232" s="288"/>
      <c r="T232" s="288"/>
      <c r="U232" s="288"/>
      <c r="V232" s="288"/>
      <c r="W232" s="288"/>
      <c r="X232" s="288"/>
      <c r="Y232" s="288"/>
      <c r="Z232" s="288"/>
    </row>
    <row r="233" spans="1:26" x14ac:dyDescent="0.25">
      <c r="A233" s="288"/>
      <c r="B233" s="288"/>
      <c r="C233" s="288"/>
      <c r="D233" s="288"/>
      <c r="E233" s="288"/>
      <c r="F233" s="288"/>
      <c r="G233" s="288"/>
      <c r="H233" s="288"/>
      <c r="I233" s="288"/>
      <c r="J233" s="288"/>
      <c r="K233" s="288"/>
      <c r="L233" s="288"/>
      <c r="M233" s="288"/>
      <c r="N233" s="288"/>
      <c r="O233" s="288"/>
      <c r="P233" s="288"/>
      <c r="Q233" s="288"/>
      <c r="R233" s="288"/>
      <c r="S233" s="288"/>
      <c r="T233" s="288"/>
      <c r="U233" s="288"/>
      <c r="V233" s="288"/>
      <c r="W233" s="288"/>
      <c r="X233" s="288"/>
      <c r="Y233" s="288"/>
      <c r="Z233" s="288"/>
    </row>
    <row r="234" spans="1:26" x14ac:dyDescent="0.25">
      <c r="A234" s="288"/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</row>
    <row r="235" spans="1:26" x14ac:dyDescent="0.25">
      <c r="A235" s="288"/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</row>
    <row r="236" spans="1:26" x14ac:dyDescent="0.25">
      <c r="A236" s="288"/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288"/>
    </row>
    <row r="237" spans="1:26" x14ac:dyDescent="0.25">
      <c r="A237" s="288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88"/>
      <c r="P237" s="288"/>
      <c r="Q237" s="288"/>
      <c r="R237" s="288"/>
      <c r="S237" s="288"/>
      <c r="T237" s="288"/>
      <c r="U237" s="288"/>
      <c r="V237" s="288"/>
      <c r="W237" s="288"/>
      <c r="X237" s="288"/>
      <c r="Y237" s="288"/>
      <c r="Z237" s="288"/>
    </row>
    <row r="238" spans="1:26" x14ac:dyDescent="0.25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88"/>
      <c r="P238" s="288"/>
      <c r="Q238" s="288"/>
      <c r="R238" s="288"/>
      <c r="S238" s="288"/>
      <c r="T238" s="288"/>
      <c r="U238" s="288"/>
      <c r="V238" s="288"/>
      <c r="W238" s="288"/>
      <c r="X238" s="288"/>
      <c r="Y238" s="288"/>
      <c r="Z238" s="288"/>
    </row>
    <row r="239" spans="1:26" x14ac:dyDescent="0.25">
      <c r="A239" s="288"/>
      <c r="B239" s="288"/>
      <c r="C239" s="288"/>
      <c r="D239" s="288"/>
      <c r="E239" s="288"/>
      <c r="F239" s="288"/>
      <c r="G239" s="288"/>
      <c r="H239" s="288"/>
      <c r="I239" s="288"/>
      <c r="J239" s="288"/>
      <c r="K239" s="288"/>
      <c r="L239" s="288"/>
      <c r="M239" s="288"/>
      <c r="N239" s="288"/>
      <c r="O239" s="288"/>
      <c r="P239" s="288"/>
      <c r="Q239" s="288"/>
      <c r="R239" s="288"/>
      <c r="S239" s="288"/>
      <c r="T239" s="288"/>
      <c r="U239" s="288"/>
      <c r="V239" s="288"/>
      <c r="W239" s="288"/>
      <c r="X239" s="288"/>
      <c r="Y239" s="288"/>
      <c r="Z239" s="288"/>
    </row>
    <row r="240" spans="1:26" x14ac:dyDescent="0.25">
      <c r="A240" s="288"/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</row>
    <row r="241" spans="1:26" x14ac:dyDescent="0.25">
      <c r="A241" s="288"/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</row>
    <row r="242" spans="1:26" x14ac:dyDescent="0.25">
      <c r="A242" s="288"/>
      <c r="B242" s="288"/>
      <c r="C242" s="288"/>
      <c r="D242" s="288"/>
      <c r="E242" s="288"/>
      <c r="F242" s="288"/>
      <c r="G242" s="288"/>
      <c r="H242" s="288"/>
      <c r="I242" s="288"/>
      <c r="J242" s="288"/>
      <c r="K242" s="288"/>
      <c r="L242" s="288"/>
      <c r="M242" s="288"/>
      <c r="N242" s="288"/>
      <c r="O242" s="288"/>
      <c r="P242" s="288"/>
      <c r="Q242" s="288"/>
      <c r="R242" s="288"/>
      <c r="S242" s="288"/>
      <c r="T242" s="288"/>
      <c r="U242" s="288"/>
      <c r="V242" s="288"/>
      <c r="W242" s="288"/>
      <c r="X242" s="288"/>
      <c r="Y242" s="288"/>
      <c r="Z242" s="288"/>
    </row>
    <row r="243" spans="1:26" x14ac:dyDescent="0.25">
      <c r="A243" s="288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88"/>
      <c r="P243" s="288"/>
      <c r="Q243" s="288"/>
      <c r="R243" s="288"/>
      <c r="S243" s="288"/>
      <c r="T243" s="288"/>
      <c r="U243" s="288"/>
      <c r="V243" s="288"/>
      <c r="W243" s="288"/>
      <c r="X243" s="288"/>
      <c r="Y243" s="288"/>
      <c r="Z243" s="288"/>
    </row>
    <row r="244" spans="1:26" x14ac:dyDescent="0.25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88"/>
      <c r="P244" s="288"/>
      <c r="Q244" s="288"/>
      <c r="R244" s="288"/>
      <c r="S244" s="288"/>
      <c r="T244" s="288"/>
      <c r="U244" s="288"/>
      <c r="V244" s="288"/>
      <c r="W244" s="288"/>
      <c r="X244" s="288"/>
      <c r="Y244" s="288"/>
      <c r="Z244" s="288"/>
    </row>
    <row r="245" spans="1:26" x14ac:dyDescent="0.25">
      <c r="A245" s="288"/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</row>
    <row r="246" spans="1:26" x14ac:dyDescent="0.25">
      <c r="A246" s="288"/>
      <c r="B246" s="288"/>
      <c r="C246" s="288"/>
      <c r="D246" s="288"/>
      <c r="E246" s="288"/>
      <c r="F246" s="288"/>
      <c r="G246" s="288"/>
      <c r="H246" s="288"/>
      <c r="I246" s="288"/>
      <c r="J246" s="288"/>
      <c r="K246" s="288"/>
      <c r="L246" s="288"/>
      <c r="M246" s="288"/>
      <c r="N246" s="288"/>
      <c r="O246" s="288"/>
      <c r="P246" s="288"/>
      <c r="Q246" s="288"/>
      <c r="R246" s="288"/>
      <c r="S246" s="288"/>
      <c r="T246" s="288"/>
      <c r="U246" s="288"/>
      <c r="V246" s="288"/>
      <c r="W246" s="288"/>
      <c r="X246" s="288"/>
      <c r="Y246" s="288"/>
      <c r="Z246" s="288"/>
    </row>
    <row r="247" spans="1:26" x14ac:dyDescent="0.25">
      <c r="A247" s="288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288"/>
    </row>
    <row r="248" spans="1:26" x14ac:dyDescent="0.25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88"/>
      <c r="P248" s="288"/>
      <c r="Q248" s="288"/>
      <c r="R248" s="288"/>
      <c r="S248" s="288"/>
      <c r="T248" s="288"/>
      <c r="U248" s="288"/>
      <c r="V248" s="288"/>
      <c r="W248" s="288"/>
      <c r="X248" s="288"/>
      <c r="Y248" s="288"/>
      <c r="Z248" s="288"/>
    </row>
    <row r="249" spans="1:26" x14ac:dyDescent="0.25">
      <c r="A249" s="288"/>
      <c r="B249" s="288"/>
      <c r="C249" s="288"/>
      <c r="D249" s="288"/>
      <c r="E249" s="288"/>
      <c r="F249" s="288"/>
      <c r="G249" s="288"/>
      <c r="H249" s="288"/>
      <c r="I249" s="288"/>
      <c r="J249" s="288"/>
      <c r="K249" s="288"/>
      <c r="L249" s="288"/>
      <c r="M249" s="288"/>
      <c r="N249" s="288"/>
      <c r="O249" s="288"/>
      <c r="P249" s="288"/>
      <c r="Q249" s="288"/>
      <c r="R249" s="288"/>
      <c r="S249" s="288"/>
      <c r="T249" s="288"/>
      <c r="U249" s="288"/>
      <c r="V249" s="288"/>
      <c r="W249" s="288"/>
      <c r="X249" s="288"/>
      <c r="Y249" s="288"/>
      <c r="Z249" s="288"/>
    </row>
    <row r="250" spans="1:26" x14ac:dyDescent="0.25">
      <c r="A250" s="288"/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</row>
    <row r="251" spans="1:26" x14ac:dyDescent="0.25">
      <c r="A251" s="288"/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</row>
    <row r="252" spans="1:26" x14ac:dyDescent="0.25">
      <c r="A252" s="288"/>
      <c r="B252" s="288"/>
      <c r="C252" s="288"/>
      <c r="D252" s="288"/>
      <c r="E252" s="288"/>
      <c r="F252" s="288"/>
      <c r="G252" s="288"/>
      <c r="H252" s="288"/>
      <c r="I252" s="288"/>
      <c r="J252" s="288"/>
      <c r="K252" s="288"/>
      <c r="L252" s="288"/>
      <c r="M252" s="288"/>
      <c r="N252" s="288"/>
      <c r="O252" s="288"/>
      <c r="P252" s="288"/>
      <c r="Q252" s="288"/>
      <c r="R252" s="288"/>
      <c r="S252" s="288"/>
      <c r="T252" s="288"/>
      <c r="U252" s="288"/>
      <c r="V252" s="288"/>
      <c r="W252" s="288"/>
      <c r="X252" s="288"/>
      <c r="Y252" s="288"/>
      <c r="Z252" s="288"/>
    </row>
    <row r="253" spans="1:26" x14ac:dyDescent="0.25">
      <c r="A253" s="288"/>
      <c r="B253" s="288"/>
      <c r="C253" s="288"/>
      <c r="D253" s="288"/>
      <c r="E253" s="288"/>
      <c r="F253" s="288"/>
      <c r="G253" s="288"/>
      <c r="H253" s="288"/>
      <c r="I253" s="288"/>
      <c r="J253" s="288"/>
      <c r="K253" s="288"/>
      <c r="L253" s="288"/>
      <c r="M253" s="288"/>
      <c r="N253" s="288"/>
      <c r="O253" s="288"/>
      <c r="P253" s="288"/>
      <c r="Q253" s="288"/>
      <c r="R253" s="288"/>
      <c r="S253" s="288"/>
      <c r="T253" s="288"/>
      <c r="U253" s="288"/>
      <c r="V253" s="288"/>
      <c r="W253" s="288"/>
      <c r="X253" s="288"/>
      <c r="Y253" s="288"/>
      <c r="Z253" s="288"/>
    </row>
    <row r="254" spans="1:26" x14ac:dyDescent="0.25">
      <c r="A254" s="288"/>
      <c r="B254" s="288"/>
      <c r="C254" s="288"/>
      <c r="D254" s="288"/>
      <c r="E254" s="288"/>
      <c r="F254" s="288"/>
      <c r="G254" s="288"/>
      <c r="H254" s="288"/>
      <c r="I254" s="288"/>
      <c r="J254" s="288"/>
      <c r="K254" s="288"/>
      <c r="L254" s="288"/>
      <c r="M254" s="288"/>
      <c r="N254" s="288"/>
      <c r="O254" s="288"/>
      <c r="P254" s="288"/>
      <c r="Q254" s="288"/>
      <c r="R254" s="288"/>
      <c r="S254" s="288"/>
      <c r="T254" s="288"/>
      <c r="U254" s="288"/>
      <c r="V254" s="288"/>
      <c r="W254" s="288"/>
      <c r="X254" s="288"/>
      <c r="Y254" s="288"/>
      <c r="Z254" s="288"/>
    </row>
    <row r="255" spans="1:26" x14ac:dyDescent="0.25">
      <c r="A255" s="288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88"/>
      <c r="P255" s="288"/>
      <c r="Q255" s="288"/>
      <c r="R255" s="288"/>
      <c r="S255" s="288"/>
      <c r="T255" s="288"/>
      <c r="U255" s="288"/>
      <c r="V255" s="288"/>
      <c r="W255" s="288"/>
      <c r="X255" s="288"/>
      <c r="Y255" s="288"/>
      <c r="Z255" s="288"/>
    </row>
    <row r="256" spans="1:26" x14ac:dyDescent="0.25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88"/>
      <c r="P256" s="288"/>
      <c r="Q256" s="288"/>
      <c r="R256" s="288"/>
      <c r="S256" s="288"/>
      <c r="T256" s="288"/>
      <c r="U256" s="288"/>
      <c r="V256" s="288"/>
      <c r="W256" s="288"/>
      <c r="X256" s="288"/>
      <c r="Y256" s="288"/>
      <c r="Z256" s="288"/>
    </row>
    <row r="257" spans="1:26" x14ac:dyDescent="0.25">
      <c r="A257" s="288"/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</row>
    <row r="258" spans="1:26" x14ac:dyDescent="0.25">
      <c r="A258" s="288"/>
      <c r="B258" s="288"/>
      <c r="C258" s="288"/>
      <c r="D258" s="288"/>
      <c r="E258" s="288"/>
      <c r="F258" s="288"/>
      <c r="G258" s="288"/>
      <c r="H258" s="288"/>
      <c r="I258" s="288"/>
      <c r="J258" s="288"/>
      <c r="K258" s="288"/>
      <c r="L258" s="288"/>
      <c r="M258" s="288"/>
      <c r="N258" s="288"/>
      <c r="O258" s="288"/>
      <c r="P258" s="288"/>
      <c r="Q258" s="288"/>
      <c r="R258" s="288"/>
      <c r="S258" s="288"/>
      <c r="T258" s="288"/>
      <c r="U258" s="288"/>
      <c r="V258" s="288"/>
      <c r="W258" s="288"/>
      <c r="X258" s="288"/>
      <c r="Y258" s="288"/>
      <c r="Z258" s="288"/>
    </row>
    <row r="259" spans="1:26" x14ac:dyDescent="0.25">
      <c r="A259" s="288"/>
      <c r="B259" s="288"/>
      <c r="C259" s="288"/>
      <c r="D259" s="288"/>
      <c r="E259" s="288"/>
      <c r="F259" s="288"/>
      <c r="G259" s="288"/>
      <c r="H259" s="288"/>
      <c r="I259" s="288"/>
      <c r="J259" s="288"/>
      <c r="K259" s="288"/>
      <c r="L259" s="288"/>
      <c r="M259" s="288"/>
      <c r="N259" s="288"/>
      <c r="O259" s="288"/>
      <c r="P259" s="288"/>
      <c r="Q259" s="288"/>
      <c r="R259" s="288"/>
      <c r="S259" s="288"/>
      <c r="T259" s="288"/>
      <c r="U259" s="288"/>
      <c r="V259" s="288"/>
      <c r="W259" s="288"/>
      <c r="X259" s="288"/>
      <c r="Y259" s="288"/>
      <c r="Z259" s="288"/>
    </row>
    <row r="260" spans="1:26" x14ac:dyDescent="0.25">
      <c r="A260" s="288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88"/>
      <c r="P260" s="288"/>
      <c r="Q260" s="288"/>
      <c r="R260" s="288"/>
      <c r="S260" s="288"/>
      <c r="T260" s="288"/>
      <c r="U260" s="288"/>
      <c r="V260" s="288"/>
      <c r="W260" s="288"/>
      <c r="X260" s="288"/>
      <c r="Y260" s="288"/>
      <c r="Z260" s="288"/>
    </row>
    <row r="261" spans="1:26" x14ac:dyDescent="0.25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88"/>
      <c r="P261" s="288"/>
      <c r="Q261" s="288"/>
      <c r="R261" s="288"/>
      <c r="S261" s="288"/>
      <c r="T261" s="288"/>
      <c r="U261" s="288"/>
      <c r="V261" s="288"/>
      <c r="W261" s="288"/>
      <c r="X261" s="288"/>
      <c r="Y261" s="288"/>
      <c r="Z261" s="288"/>
    </row>
    <row r="262" spans="1:26" x14ac:dyDescent="0.25">
      <c r="A262" s="288"/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</row>
    <row r="263" spans="1:26" x14ac:dyDescent="0.25">
      <c r="A263" s="288"/>
      <c r="B263" s="288"/>
      <c r="C263" s="288"/>
      <c r="D263" s="288"/>
      <c r="E263" s="288"/>
      <c r="F263" s="288"/>
      <c r="G263" s="288"/>
      <c r="H263" s="288"/>
      <c r="I263" s="288"/>
      <c r="J263" s="288"/>
      <c r="K263" s="288"/>
      <c r="L263" s="288"/>
      <c r="M263" s="288"/>
      <c r="N263" s="288"/>
      <c r="O263" s="288"/>
      <c r="P263" s="288"/>
      <c r="Q263" s="288"/>
      <c r="R263" s="288"/>
      <c r="S263" s="288"/>
      <c r="T263" s="288"/>
      <c r="U263" s="288"/>
      <c r="V263" s="288"/>
      <c r="W263" s="288"/>
      <c r="X263" s="288"/>
      <c r="Y263" s="288"/>
      <c r="Z263" s="288"/>
    </row>
    <row r="264" spans="1:26" x14ac:dyDescent="0.25">
      <c r="A264" s="288"/>
      <c r="B264" s="288"/>
      <c r="C264" s="288"/>
      <c r="D264" s="288"/>
      <c r="E264" s="288"/>
      <c r="F264" s="288"/>
      <c r="G264" s="288"/>
      <c r="H264" s="288"/>
      <c r="I264" s="288"/>
      <c r="J264" s="288"/>
      <c r="K264" s="288"/>
      <c r="L264" s="288"/>
      <c r="M264" s="288"/>
      <c r="N264" s="288"/>
      <c r="O264" s="288"/>
      <c r="P264" s="288"/>
      <c r="Q264" s="288"/>
      <c r="R264" s="288"/>
      <c r="S264" s="288"/>
      <c r="T264" s="288"/>
      <c r="U264" s="288"/>
      <c r="V264" s="288"/>
      <c r="W264" s="288"/>
      <c r="X264" s="288"/>
      <c r="Y264" s="288"/>
      <c r="Z264" s="288"/>
    </row>
    <row r="265" spans="1:26" x14ac:dyDescent="0.25">
      <c r="A265" s="288"/>
      <c r="B265" s="288"/>
      <c r="C265" s="288"/>
      <c r="D265" s="288"/>
      <c r="E265" s="288"/>
      <c r="F265" s="288"/>
      <c r="G265" s="288"/>
      <c r="H265" s="288"/>
      <c r="I265" s="288"/>
      <c r="J265" s="288"/>
      <c r="K265" s="288"/>
      <c r="L265" s="288"/>
      <c r="M265" s="288"/>
      <c r="N265" s="288"/>
      <c r="O265" s="288"/>
      <c r="P265" s="288"/>
      <c r="Q265" s="288"/>
      <c r="R265" s="288"/>
      <c r="S265" s="288"/>
      <c r="T265" s="288"/>
      <c r="U265" s="288"/>
      <c r="V265" s="288"/>
      <c r="W265" s="288"/>
      <c r="X265" s="288"/>
      <c r="Y265" s="288"/>
      <c r="Z265" s="288"/>
    </row>
    <row r="266" spans="1:26" x14ac:dyDescent="0.25">
      <c r="A266" s="288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88"/>
      <c r="P266" s="288"/>
      <c r="Q266" s="288"/>
      <c r="R266" s="288"/>
      <c r="S266" s="288"/>
      <c r="T266" s="288"/>
      <c r="U266" s="288"/>
      <c r="V266" s="288"/>
      <c r="W266" s="288"/>
      <c r="X266" s="288"/>
      <c r="Y266" s="288"/>
      <c r="Z266" s="288"/>
    </row>
    <row r="267" spans="1:26" x14ac:dyDescent="0.25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88"/>
      <c r="P267" s="288"/>
      <c r="Q267" s="288"/>
      <c r="R267" s="288"/>
      <c r="S267" s="288"/>
      <c r="T267" s="288"/>
      <c r="U267" s="288"/>
      <c r="V267" s="288"/>
      <c r="W267" s="288"/>
      <c r="X267" s="288"/>
      <c r="Y267" s="288"/>
      <c r="Z267" s="288"/>
    </row>
    <row r="268" spans="1:26" x14ac:dyDescent="0.25">
      <c r="A268" s="288"/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</row>
    <row r="269" spans="1:26" x14ac:dyDescent="0.25">
      <c r="A269" s="288"/>
      <c r="B269" s="288"/>
      <c r="C269" s="288"/>
      <c r="D269" s="288"/>
      <c r="E269" s="288"/>
      <c r="F269" s="288"/>
      <c r="G269" s="288"/>
      <c r="H269" s="288"/>
      <c r="I269" s="288"/>
      <c r="J269" s="288"/>
      <c r="K269" s="288"/>
      <c r="L269" s="288"/>
      <c r="M269" s="288"/>
      <c r="N269" s="288"/>
      <c r="O269" s="288"/>
      <c r="P269" s="288"/>
      <c r="Q269" s="288"/>
      <c r="R269" s="288"/>
      <c r="S269" s="288"/>
      <c r="T269" s="288"/>
      <c r="U269" s="288"/>
      <c r="V269" s="288"/>
      <c r="W269" s="288"/>
      <c r="X269" s="288"/>
      <c r="Y269" s="288"/>
      <c r="Z269" s="288"/>
    </row>
    <row r="270" spans="1:26" x14ac:dyDescent="0.25">
      <c r="A270" s="288"/>
      <c r="B270" s="288"/>
      <c r="C270" s="288"/>
      <c r="D270" s="288"/>
      <c r="E270" s="288"/>
      <c r="F270" s="288"/>
      <c r="G270" s="288"/>
      <c r="H270" s="288"/>
      <c r="I270" s="288"/>
      <c r="J270" s="288"/>
      <c r="K270" s="288"/>
      <c r="L270" s="288"/>
      <c r="M270" s="288"/>
      <c r="N270" s="288"/>
      <c r="O270" s="288"/>
      <c r="P270" s="288"/>
      <c r="Q270" s="288"/>
      <c r="R270" s="288"/>
      <c r="S270" s="288"/>
      <c r="T270" s="288"/>
      <c r="U270" s="288"/>
      <c r="V270" s="288"/>
      <c r="W270" s="288"/>
      <c r="X270" s="288"/>
      <c r="Y270" s="288"/>
      <c r="Z270" s="288"/>
    </row>
    <row r="271" spans="1:26" x14ac:dyDescent="0.25">
      <c r="A271" s="288"/>
      <c r="B271" s="288"/>
      <c r="C271" s="288"/>
      <c r="D271" s="288"/>
      <c r="E271" s="288"/>
      <c r="F271" s="288"/>
      <c r="G271" s="288"/>
      <c r="H271" s="288"/>
      <c r="I271" s="288"/>
      <c r="J271" s="288"/>
      <c r="K271" s="288"/>
      <c r="L271" s="288"/>
      <c r="M271" s="288"/>
      <c r="N271" s="288"/>
      <c r="O271" s="288"/>
      <c r="P271" s="288"/>
      <c r="Q271" s="288"/>
      <c r="R271" s="288"/>
      <c r="S271" s="288"/>
      <c r="T271" s="288"/>
      <c r="U271" s="288"/>
      <c r="V271" s="288"/>
      <c r="W271" s="288"/>
      <c r="X271" s="288"/>
      <c r="Y271" s="288"/>
      <c r="Z271" s="288"/>
    </row>
    <row r="272" spans="1:26" x14ac:dyDescent="0.25">
      <c r="A272" s="288"/>
      <c r="B272" s="288"/>
      <c r="C272" s="288"/>
      <c r="D272" s="288"/>
      <c r="E272" s="288"/>
      <c r="F272" s="288"/>
      <c r="G272" s="288"/>
      <c r="H272" s="288"/>
      <c r="I272" s="288"/>
      <c r="J272" s="288"/>
      <c r="K272" s="288"/>
      <c r="L272" s="288"/>
      <c r="M272" s="288"/>
      <c r="N272" s="288"/>
      <c r="O272" s="288"/>
      <c r="P272" s="288"/>
      <c r="Q272" s="288"/>
      <c r="R272" s="288"/>
      <c r="S272" s="288"/>
      <c r="T272" s="288"/>
      <c r="U272" s="288"/>
      <c r="V272" s="288"/>
      <c r="W272" s="288"/>
      <c r="X272" s="288"/>
      <c r="Y272" s="288"/>
      <c r="Z272" s="288"/>
    </row>
    <row r="273" spans="1:26" x14ac:dyDescent="0.25">
      <c r="A273" s="288"/>
      <c r="B273" s="288"/>
      <c r="C273" s="288"/>
      <c r="D273" s="288"/>
      <c r="E273" s="288"/>
      <c r="F273" s="288"/>
      <c r="G273" s="288"/>
      <c r="H273" s="288"/>
      <c r="I273" s="288"/>
      <c r="J273" s="288"/>
      <c r="K273" s="288"/>
      <c r="L273" s="288"/>
      <c r="M273" s="288"/>
      <c r="N273" s="288"/>
      <c r="O273" s="288"/>
      <c r="P273" s="288"/>
      <c r="Q273" s="288"/>
      <c r="R273" s="288"/>
      <c r="S273" s="288"/>
      <c r="T273" s="288"/>
      <c r="U273" s="288"/>
      <c r="V273" s="288"/>
      <c r="W273" s="288"/>
      <c r="X273" s="288"/>
      <c r="Y273" s="288"/>
      <c r="Z273" s="288"/>
    </row>
    <row r="274" spans="1:26" x14ac:dyDescent="0.25">
      <c r="A274" s="288"/>
      <c r="B274" s="288"/>
      <c r="C274" s="288"/>
      <c r="D274" s="288"/>
      <c r="E274" s="288"/>
      <c r="F274" s="288"/>
      <c r="G274" s="288"/>
      <c r="H274" s="288"/>
      <c r="I274" s="288"/>
      <c r="J274" s="288"/>
      <c r="K274" s="288"/>
      <c r="L274" s="288"/>
      <c r="M274" s="288"/>
      <c r="N274" s="288"/>
      <c r="O274" s="288"/>
      <c r="P274" s="288"/>
      <c r="Q274" s="288"/>
      <c r="R274" s="288"/>
      <c r="S274" s="288"/>
      <c r="T274" s="288"/>
      <c r="U274" s="288"/>
      <c r="V274" s="288"/>
      <c r="W274" s="288"/>
      <c r="X274" s="288"/>
      <c r="Y274" s="288"/>
      <c r="Z274" s="288"/>
    </row>
    <row r="275" spans="1:26" x14ac:dyDescent="0.25">
      <c r="A275" s="288"/>
      <c r="B275" s="288"/>
      <c r="C275" s="288"/>
      <c r="D275" s="288"/>
      <c r="E275" s="288"/>
      <c r="F275" s="288"/>
      <c r="G275" s="288"/>
      <c r="H275" s="288"/>
      <c r="I275" s="288"/>
      <c r="J275" s="288"/>
      <c r="K275" s="288"/>
      <c r="L275" s="288"/>
      <c r="M275" s="288"/>
      <c r="N275" s="288"/>
      <c r="O275" s="288"/>
      <c r="P275" s="288"/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</row>
    <row r="276" spans="1:26" x14ac:dyDescent="0.25">
      <c r="A276" s="288"/>
      <c r="B276" s="288"/>
      <c r="C276" s="288"/>
      <c r="D276" s="288"/>
      <c r="E276" s="288"/>
      <c r="F276" s="288"/>
      <c r="G276" s="288"/>
      <c r="H276" s="288"/>
      <c r="I276" s="288"/>
      <c r="J276" s="288"/>
      <c r="K276" s="288"/>
      <c r="L276" s="288"/>
      <c r="M276" s="288"/>
      <c r="N276" s="288"/>
      <c r="O276" s="288"/>
      <c r="P276" s="288"/>
      <c r="Q276" s="288"/>
      <c r="R276" s="288"/>
      <c r="S276" s="288"/>
      <c r="T276" s="288"/>
      <c r="U276" s="288"/>
      <c r="V276" s="288"/>
      <c r="W276" s="288"/>
      <c r="X276" s="288"/>
      <c r="Y276" s="288"/>
      <c r="Z276" s="288"/>
    </row>
    <row r="277" spans="1:26" x14ac:dyDescent="0.25">
      <c r="A277" s="288"/>
      <c r="B277" s="288"/>
      <c r="C277" s="288"/>
      <c r="D277" s="288"/>
      <c r="E277" s="288"/>
      <c r="F277" s="288"/>
      <c r="G277" s="288"/>
      <c r="H277" s="288"/>
      <c r="I277" s="288"/>
      <c r="J277" s="288"/>
      <c r="K277" s="288"/>
      <c r="L277" s="288"/>
      <c r="M277" s="288"/>
      <c r="N277" s="288"/>
      <c r="O277" s="288"/>
      <c r="P277" s="288"/>
      <c r="Q277" s="288"/>
      <c r="R277" s="288"/>
      <c r="S277" s="288"/>
      <c r="T277" s="288"/>
      <c r="U277" s="288"/>
      <c r="V277" s="288"/>
      <c r="W277" s="288"/>
      <c r="X277" s="288"/>
      <c r="Y277" s="288"/>
      <c r="Z277" s="288"/>
    </row>
    <row r="278" spans="1:26" x14ac:dyDescent="0.25">
      <c r="A278" s="288"/>
      <c r="B278" s="288"/>
      <c r="C278" s="288"/>
      <c r="D278" s="288"/>
      <c r="E278" s="288"/>
      <c r="F278" s="288"/>
      <c r="G278" s="288"/>
      <c r="H278" s="288"/>
      <c r="I278" s="288"/>
      <c r="J278" s="288"/>
      <c r="K278" s="288"/>
      <c r="L278" s="288"/>
      <c r="M278" s="288"/>
      <c r="N278" s="288"/>
      <c r="O278" s="288"/>
      <c r="P278" s="288"/>
      <c r="Q278" s="288"/>
      <c r="R278" s="288"/>
      <c r="S278" s="288"/>
      <c r="T278" s="288"/>
      <c r="U278" s="288"/>
      <c r="V278" s="288"/>
      <c r="W278" s="288"/>
      <c r="X278" s="288"/>
      <c r="Y278" s="288"/>
      <c r="Z278" s="288"/>
    </row>
    <row r="279" spans="1:26" x14ac:dyDescent="0.25">
      <c r="A279" s="288"/>
      <c r="B279" s="288"/>
      <c r="C279" s="288"/>
      <c r="D279" s="288"/>
      <c r="E279" s="288"/>
      <c r="F279" s="288"/>
      <c r="G279" s="288"/>
      <c r="H279" s="288"/>
      <c r="I279" s="288"/>
      <c r="J279" s="288"/>
      <c r="K279" s="288"/>
      <c r="L279" s="288"/>
      <c r="M279" s="288"/>
      <c r="N279" s="288"/>
      <c r="O279" s="288"/>
      <c r="P279" s="288"/>
      <c r="Q279" s="288"/>
      <c r="R279" s="288"/>
      <c r="S279" s="288"/>
      <c r="T279" s="288"/>
      <c r="U279" s="288"/>
      <c r="V279" s="288"/>
      <c r="W279" s="288"/>
      <c r="X279" s="288"/>
      <c r="Y279" s="288"/>
      <c r="Z279" s="288"/>
    </row>
    <row r="280" spans="1:26" x14ac:dyDescent="0.25">
      <c r="A280" s="288"/>
      <c r="B280" s="288"/>
      <c r="C280" s="288"/>
      <c r="D280" s="288"/>
      <c r="E280" s="288"/>
      <c r="F280" s="288"/>
      <c r="G280" s="288"/>
      <c r="H280" s="288"/>
      <c r="I280" s="288"/>
      <c r="J280" s="288"/>
      <c r="K280" s="288"/>
      <c r="L280" s="288"/>
      <c r="M280" s="288"/>
      <c r="N280" s="288"/>
      <c r="O280" s="288"/>
      <c r="P280" s="288"/>
      <c r="Q280" s="288"/>
      <c r="R280" s="288"/>
      <c r="S280" s="288"/>
      <c r="T280" s="288"/>
      <c r="U280" s="288"/>
      <c r="V280" s="288"/>
      <c r="W280" s="288"/>
      <c r="X280" s="288"/>
      <c r="Y280" s="288"/>
      <c r="Z280" s="288"/>
    </row>
    <row r="281" spans="1:26" x14ac:dyDescent="0.25">
      <c r="A281" s="288"/>
      <c r="B281" s="288"/>
      <c r="C281" s="288"/>
      <c r="D281" s="288"/>
      <c r="E281" s="288"/>
      <c r="F281" s="288"/>
      <c r="G281" s="288"/>
      <c r="H281" s="288"/>
      <c r="I281" s="288"/>
      <c r="J281" s="288"/>
      <c r="K281" s="288"/>
      <c r="L281" s="288"/>
      <c r="M281" s="288"/>
      <c r="N281" s="288"/>
      <c r="O281" s="288"/>
      <c r="P281" s="288"/>
      <c r="Q281" s="288"/>
      <c r="R281" s="288"/>
      <c r="S281" s="288"/>
      <c r="T281" s="288"/>
      <c r="U281" s="288"/>
      <c r="V281" s="288"/>
      <c r="W281" s="288"/>
      <c r="X281" s="288"/>
      <c r="Y281" s="288"/>
      <c r="Z281" s="288"/>
    </row>
    <row r="282" spans="1:26" x14ac:dyDescent="0.25">
      <c r="A282" s="288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88"/>
      <c r="P282" s="288"/>
      <c r="Q282" s="288"/>
      <c r="R282" s="288"/>
      <c r="S282" s="288"/>
      <c r="T282" s="288"/>
      <c r="U282" s="288"/>
      <c r="V282" s="288"/>
      <c r="W282" s="288"/>
      <c r="X282" s="288"/>
      <c r="Y282" s="288"/>
      <c r="Z282" s="288"/>
    </row>
    <row r="283" spans="1:26" x14ac:dyDescent="0.25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88"/>
      <c r="P283" s="288"/>
      <c r="Q283" s="288"/>
      <c r="R283" s="288"/>
      <c r="S283" s="288"/>
      <c r="T283" s="288"/>
      <c r="U283" s="288"/>
      <c r="V283" s="288"/>
      <c r="W283" s="288"/>
      <c r="X283" s="288"/>
      <c r="Y283" s="288"/>
      <c r="Z283" s="288"/>
    </row>
    <row r="284" spans="1:26" x14ac:dyDescent="0.25">
      <c r="A284" s="28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288"/>
      <c r="P284" s="288"/>
      <c r="Q284" s="288"/>
      <c r="R284" s="288"/>
      <c r="S284" s="288"/>
      <c r="T284" s="288"/>
      <c r="U284" s="288"/>
      <c r="V284" s="288"/>
      <c r="W284" s="288"/>
      <c r="X284" s="288"/>
      <c r="Y284" s="288"/>
      <c r="Z284" s="288"/>
    </row>
    <row r="285" spans="1:26" x14ac:dyDescent="0.25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288"/>
      <c r="P285" s="288"/>
      <c r="Q285" s="288"/>
      <c r="R285" s="288"/>
      <c r="S285" s="288"/>
      <c r="T285" s="288"/>
      <c r="U285" s="288"/>
      <c r="V285" s="288"/>
      <c r="W285" s="288"/>
      <c r="X285" s="288"/>
      <c r="Y285" s="288"/>
      <c r="Z285" s="288"/>
    </row>
    <row r="286" spans="1:26" x14ac:dyDescent="0.25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</row>
    <row r="287" spans="1:26" x14ac:dyDescent="0.25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288"/>
      <c r="P287" s="288"/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</row>
    <row r="288" spans="1:26" x14ac:dyDescent="0.25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288"/>
      <c r="P288" s="288"/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</row>
    <row r="289" spans="1:26" x14ac:dyDescent="0.25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288"/>
      <c r="P289" s="288"/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</row>
    <row r="290" spans="1:26" x14ac:dyDescent="0.25">
      <c r="A290" s="288"/>
      <c r="B290" s="288"/>
      <c r="C290" s="288"/>
      <c r="D290" s="288"/>
      <c r="E290" s="288"/>
      <c r="F290" s="288"/>
      <c r="G290" s="288"/>
      <c r="H290" s="288"/>
      <c r="I290" s="288"/>
      <c r="J290" s="288"/>
      <c r="K290" s="288"/>
      <c r="L290" s="288"/>
      <c r="M290" s="288"/>
      <c r="N290" s="288"/>
      <c r="O290" s="288"/>
      <c r="P290" s="288"/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</row>
    <row r="291" spans="1:26" x14ac:dyDescent="0.25">
      <c r="A291" s="288"/>
      <c r="B291" s="288"/>
      <c r="C291" s="288"/>
      <c r="D291" s="288"/>
      <c r="E291" s="288"/>
      <c r="F291" s="288"/>
      <c r="G291" s="288"/>
      <c r="H291" s="288"/>
      <c r="I291" s="288"/>
      <c r="J291" s="288"/>
      <c r="K291" s="288"/>
      <c r="L291" s="288"/>
      <c r="M291" s="288"/>
      <c r="N291" s="288"/>
      <c r="O291" s="288"/>
      <c r="P291" s="288"/>
      <c r="Q291" s="288"/>
      <c r="R291" s="288"/>
      <c r="S291" s="288"/>
      <c r="T291" s="288"/>
      <c r="U291" s="288"/>
      <c r="V291" s="288"/>
      <c r="W291" s="288"/>
      <c r="X291" s="288"/>
      <c r="Y291" s="288"/>
      <c r="Z291" s="288"/>
    </row>
    <row r="292" spans="1:26" x14ac:dyDescent="0.25">
      <c r="A292" s="288"/>
      <c r="B292" s="288"/>
      <c r="C292" s="288"/>
      <c r="D292" s="288"/>
      <c r="E292" s="288"/>
      <c r="F292" s="288"/>
      <c r="G292" s="288"/>
      <c r="H292" s="288"/>
      <c r="I292" s="288"/>
      <c r="J292" s="288"/>
      <c r="K292" s="288"/>
      <c r="L292" s="288"/>
      <c r="M292" s="288"/>
      <c r="N292" s="288"/>
      <c r="O292" s="288"/>
      <c r="P292" s="288"/>
      <c r="Q292" s="288"/>
      <c r="R292" s="288"/>
      <c r="S292" s="288"/>
      <c r="T292" s="288"/>
      <c r="U292" s="288"/>
      <c r="V292" s="288"/>
      <c r="W292" s="288"/>
      <c r="X292" s="288"/>
      <c r="Y292" s="288"/>
      <c r="Z292" s="288"/>
    </row>
    <row r="293" spans="1:26" x14ac:dyDescent="0.25">
      <c r="A293" s="288"/>
      <c r="B293" s="288"/>
      <c r="C293" s="288"/>
      <c r="D293" s="288"/>
      <c r="E293" s="288"/>
      <c r="F293" s="288"/>
      <c r="G293" s="288"/>
      <c r="H293" s="288"/>
      <c r="I293" s="288"/>
      <c r="J293" s="288"/>
      <c r="K293" s="288"/>
      <c r="L293" s="288"/>
      <c r="M293" s="288"/>
      <c r="N293" s="288"/>
      <c r="O293" s="288"/>
      <c r="P293" s="288"/>
      <c r="Q293" s="288"/>
      <c r="R293" s="288"/>
      <c r="S293" s="288"/>
      <c r="T293" s="288"/>
      <c r="U293" s="288"/>
      <c r="V293" s="288"/>
      <c r="W293" s="288"/>
      <c r="X293" s="288"/>
      <c r="Y293" s="288"/>
      <c r="Z293" s="288"/>
    </row>
    <row r="294" spans="1:26" x14ac:dyDescent="0.25">
      <c r="A294" s="288"/>
      <c r="B294" s="288"/>
      <c r="C294" s="288"/>
      <c r="D294" s="288"/>
      <c r="E294" s="288"/>
      <c r="F294" s="288"/>
      <c r="G294" s="288"/>
      <c r="H294" s="288"/>
      <c r="I294" s="288"/>
      <c r="J294" s="288"/>
      <c r="K294" s="288"/>
      <c r="L294" s="288"/>
      <c r="M294" s="288"/>
      <c r="N294" s="288"/>
      <c r="O294" s="288"/>
      <c r="P294" s="288"/>
      <c r="Q294" s="288"/>
      <c r="R294" s="288"/>
      <c r="S294" s="288"/>
      <c r="T294" s="288"/>
      <c r="U294" s="288"/>
      <c r="V294" s="288"/>
      <c r="W294" s="288"/>
      <c r="X294" s="288"/>
      <c r="Y294" s="288"/>
      <c r="Z294" s="288"/>
    </row>
    <row r="295" spans="1:26" x14ac:dyDescent="0.25">
      <c r="A295" s="288"/>
      <c r="B295" s="288"/>
      <c r="C295" s="288"/>
      <c r="D295" s="288"/>
      <c r="E295" s="288"/>
      <c r="F295" s="288"/>
      <c r="G295" s="288"/>
      <c r="H295" s="288"/>
      <c r="I295" s="288"/>
      <c r="J295" s="288"/>
      <c r="K295" s="288"/>
      <c r="L295" s="288"/>
      <c r="M295" s="288"/>
      <c r="N295" s="288"/>
      <c r="O295" s="288"/>
      <c r="P295" s="288"/>
      <c r="Q295" s="288"/>
      <c r="R295" s="288"/>
      <c r="S295" s="288"/>
      <c r="T295" s="288"/>
      <c r="U295" s="288"/>
      <c r="V295" s="288"/>
      <c r="W295" s="288"/>
      <c r="X295" s="288"/>
      <c r="Y295" s="288"/>
      <c r="Z295" s="288"/>
    </row>
    <row r="296" spans="1:26" x14ac:dyDescent="0.25">
      <c r="A296" s="288"/>
      <c r="B296" s="288"/>
      <c r="C296" s="288"/>
      <c r="D296" s="288"/>
      <c r="E296" s="288"/>
      <c r="F296" s="288"/>
      <c r="G296" s="288"/>
      <c r="H296" s="288"/>
      <c r="I296" s="288"/>
      <c r="J296" s="288"/>
      <c r="K296" s="288"/>
      <c r="L296" s="288"/>
      <c r="M296" s="288"/>
      <c r="N296" s="288"/>
      <c r="O296" s="288"/>
      <c r="P296" s="288"/>
      <c r="Q296" s="288"/>
      <c r="R296" s="288"/>
      <c r="S296" s="288"/>
      <c r="T296" s="288"/>
      <c r="U296" s="288"/>
      <c r="V296" s="288"/>
      <c r="W296" s="288"/>
      <c r="X296" s="288"/>
      <c r="Y296" s="288"/>
      <c r="Z296" s="288"/>
    </row>
    <row r="297" spans="1:26" x14ac:dyDescent="0.25">
      <c r="A297" s="288"/>
      <c r="B297" s="288"/>
      <c r="C297" s="288"/>
      <c r="D297" s="288"/>
      <c r="E297" s="288"/>
      <c r="F297" s="288"/>
      <c r="G297" s="288"/>
      <c r="H297" s="288"/>
      <c r="I297" s="288"/>
      <c r="J297" s="288"/>
      <c r="K297" s="288"/>
      <c r="L297" s="288"/>
      <c r="M297" s="288"/>
      <c r="N297" s="288"/>
      <c r="O297" s="288"/>
      <c r="P297" s="288"/>
      <c r="Q297" s="288"/>
      <c r="R297" s="288"/>
      <c r="S297" s="288"/>
      <c r="T297" s="288"/>
      <c r="U297" s="288"/>
      <c r="V297" s="288"/>
      <c r="W297" s="288"/>
      <c r="X297" s="288"/>
      <c r="Y297" s="288"/>
      <c r="Z297" s="288"/>
    </row>
    <row r="298" spans="1:26" x14ac:dyDescent="0.25">
      <c r="A298" s="288"/>
      <c r="B298" s="288"/>
      <c r="C298" s="288"/>
      <c r="D298" s="288"/>
      <c r="E298" s="288"/>
      <c r="F298" s="288"/>
      <c r="G298" s="288"/>
      <c r="H298" s="288"/>
      <c r="I298" s="288"/>
      <c r="J298" s="288"/>
      <c r="K298" s="288"/>
      <c r="L298" s="288"/>
      <c r="M298" s="288"/>
      <c r="N298" s="288"/>
      <c r="O298" s="288"/>
      <c r="P298" s="288"/>
      <c r="Q298" s="288"/>
      <c r="R298" s="288"/>
      <c r="S298" s="288"/>
      <c r="T298" s="288"/>
      <c r="U298" s="288"/>
      <c r="V298" s="288"/>
      <c r="W298" s="288"/>
      <c r="X298" s="288"/>
      <c r="Y298" s="288"/>
      <c r="Z298" s="288"/>
    </row>
    <row r="299" spans="1:26" x14ac:dyDescent="0.25">
      <c r="A299" s="288"/>
      <c r="B299" s="288"/>
      <c r="C299" s="288"/>
      <c r="D299" s="288"/>
      <c r="E299" s="288"/>
      <c r="F299" s="288"/>
      <c r="G299" s="288"/>
      <c r="H299" s="288"/>
      <c r="I299" s="288"/>
      <c r="J299" s="288"/>
      <c r="K299" s="288"/>
      <c r="L299" s="288"/>
      <c r="M299" s="288"/>
      <c r="N299" s="288"/>
      <c r="O299" s="288"/>
      <c r="P299" s="288"/>
      <c r="Q299" s="288"/>
      <c r="R299" s="288"/>
      <c r="S299" s="288"/>
      <c r="T299" s="288"/>
      <c r="U299" s="288"/>
      <c r="V299" s="288"/>
      <c r="W299" s="288"/>
      <c r="X299" s="288"/>
      <c r="Y299" s="288"/>
      <c r="Z299" s="288"/>
    </row>
    <row r="300" spans="1:26" x14ac:dyDescent="0.25">
      <c r="A300" s="288"/>
      <c r="B300" s="288"/>
      <c r="C300" s="288"/>
      <c r="D300" s="288"/>
      <c r="E300" s="288"/>
      <c r="F300" s="288"/>
      <c r="G300" s="288"/>
      <c r="H300" s="288"/>
      <c r="I300" s="288"/>
      <c r="J300" s="288"/>
      <c r="K300" s="288"/>
      <c r="L300" s="288"/>
      <c r="M300" s="288"/>
      <c r="N300" s="288"/>
      <c r="O300" s="288"/>
      <c r="P300" s="288"/>
      <c r="Q300" s="288"/>
      <c r="R300" s="288"/>
      <c r="S300" s="288"/>
      <c r="T300" s="288"/>
      <c r="U300" s="288"/>
      <c r="V300" s="288"/>
      <c r="W300" s="288"/>
      <c r="X300" s="288"/>
      <c r="Y300" s="288"/>
      <c r="Z300" s="288"/>
    </row>
    <row r="301" spans="1:26" x14ac:dyDescent="0.25">
      <c r="A301" s="288"/>
      <c r="B301" s="288"/>
      <c r="C301" s="288"/>
      <c r="D301" s="288"/>
      <c r="E301" s="288"/>
      <c r="F301" s="288"/>
      <c r="G301" s="288"/>
      <c r="H301" s="288"/>
      <c r="I301" s="288"/>
      <c r="J301" s="288"/>
      <c r="K301" s="288"/>
      <c r="L301" s="288"/>
      <c r="M301" s="288"/>
      <c r="N301" s="288"/>
      <c r="O301" s="288"/>
      <c r="P301" s="288"/>
      <c r="Q301" s="288"/>
      <c r="R301" s="288"/>
      <c r="S301" s="288"/>
      <c r="T301" s="288"/>
      <c r="U301" s="288"/>
      <c r="V301" s="288"/>
      <c r="W301" s="288"/>
      <c r="X301" s="288"/>
      <c r="Y301" s="288"/>
      <c r="Z301" s="288"/>
    </row>
    <row r="302" spans="1:26" x14ac:dyDescent="0.25">
      <c r="A302" s="288"/>
      <c r="B302" s="288"/>
      <c r="C302" s="288"/>
      <c r="D302" s="288"/>
      <c r="E302" s="288"/>
      <c r="F302" s="288"/>
      <c r="G302" s="288"/>
      <c r="H302" s="288"/>
      <c r="I302" s="288"/>
      <c r="J302" s="288"/>
      <c r="K302" s="288"/>
      <c r="L302" s="288"/>
      <c r="M302" s="288"/>
      <c r="N302" s="288"/>
      <c r="O302" s="288"/>
      <c r="P302" s="288"/>
      <c r="Q302" s="288"/>
      <c r="R302" s="288"/>
      <c r="S302" s="288"/>
      <c r="T302" s="288"/>
      <c r="U302" s="288"/>
      <c r="V302" s="288"/>
      <c r="W302" s="288"/>
      <c r="X302" s="288"/>
      <c r="Y302" s="288"/>
      <c r="Z302" s="288"/>
    </row>
    <row r="303" spans="1:26" x14ac:dyDescent="0.25">
      <c r="A303" s="288"/>
      <c r="B303" s="288"/>
      <c r="C303" s="288"/>
      <c r="D303" s="288"/>
      <c r="E303" s="288"/>
      <c r="F303" s="288"/>
      <c r="G303" s="288"/>
      <c r="H303" s="288"/>
      <c r="I303" s="288"/>
      <c r="J303" s="288"/>
      <c r="K303" s="288"/>
      <c r="L303" s="288"/>
      <c r="M303" s="288"/>
      <c r="N303" s="288"/>
      <c r="O303" s="288"/>
      <c r="P303" s="288"/>
      <c r="Q303" s="288"/>
      <c r="R303" s="288"/>
      <c r="S303" s="288"/>
      <c r="T303" s="288"/>
      <c r="U303" s="288"/>
      <c r="V303" s="288"/>
      <c r="W303" s="288"/>
      <c r="X303" s="288"/>
      <c r="Y303" s="288"/>
      <c r="Z303" s="288"/>
    </row>
    <row r="304" spans="1:26" x14ac:dyDescent="0.25">
      <c r="A304" s="288"/>
      <c r="B304" s="288"/>
      <c r="C304" s="288"/>
      <c r="D304" s="288"/>
      <c r="E304" s="288"/>
      <c r="F304" s="288"/>
      <c r="G304" s="288"/>
      <c r="H304" s="288"/>
      <c r="I304" s="288"/>
      <c r="J304" s="288"/>
      <c r="K304" s="288"/>
      <c r="L304" s="288"/>
      <c r="M304" s="288"/>
      <c r="N304" s="288"/>
      <c r="O304" s="288"/>
      <c r="P304" s="288"/>
      <c r="Q304" s="288"/>
      <c r="R304" s="288"/>
      <c r="S304" s="288"/>
      <c r="T304" s="288"/>
      <c r="U304" s="288"/>
      <c r="V304" s="288"/>
      <c r="W304" s="288"/>
      <c r="X304" s="288"/>
      <c r="Y304" s="288"/>
      <c r="Z304" s="28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"/>
  <sheetViews>
    <sheetView workbookViewId="0">
      <selection activeCell="D18" sqref="D18"/>
    </sheetView>
  </sheetViews>
  <sheetFormatPr defaultRowHeight="14.4" x14ac:dyDescent="0.25"/>
  <cols>
    <col min="1" max="1" width="34.6640625" customWidth="1"/>
  </cols>
  <sheetData>
    <row r="1" spans="1:14" x14ac:dyDescent="0.25">
      <c r="A1" s="310"/>
      <c r="D1" s="289" t="s">
        <v>638</v>
      </c>
      <c r="E1" s="289" t="s">
        <v>1038</v>
      </c>
      <c r="F1" s="311" t="s">
        <v>1382</v>
      </c>
    </row>
    <row r="2" spans="1:14" x14ac:dyDescent="0.25">
      <c r="A2" s="608" t="s">
        <v>1273</v>
      </c>
      <c r="B2" s="525">
        <f>6.4+3.2+10-0.19-0.19</f>
        <v>19.22</v>
      </c>
      <c r="C2" s="522">
        <f>6.08+6.68-0.15-0.15</f>
        <v>12.459999999999999</v>
      </c>
      <c r="D2" s="288">
        <f>B2*C2</f>
        <v>239.48119999999997</v>
      </c>
      <c r="E2" s="288">
        <f>B2*2+C2*2</f>
        <v>63.36</v>
      </c>
      <c r="F2" s="288">
        <f>E2*0.98</f>
        <v>62.092799999999997</v>
      </c>
      <c r="G2" s="288"/>
      <c r="H2" s="288"/>
      <c r="I2" s="288"/>
      <c r="J2" s="288"/>
      <c r="K2" s="288"/>
      <c r="L2" s="288"/>
      <c r="M2" s="288"/>
      <c r="N2" s="288"/>
    </row>
    <row r="3" spans="1:14" x14ac:dyDescent="0.25">
      <c r="A3" s="289"/>
      <c r="B3" s="523">
        <v>0.51</v>
      </c>
      <c r="C3" s="300">
        <v>2.82</v>
      </c>
      <c r="D3" s="288">
        <f>B3*C3</f>
        <v>1.4381999999999999</v>
      </c>
      <c r="E3" s="288">
        <f>B3*2+C3*2</f>
        <v>6.66</v>
      </c>
      <c r="F3" s="288">
        <f>E3*0.98</f>
        <v>6.5267999999999997</v>
      </c>
      <c r="G3" s="288"/>
      <c r="H3" s="288"/>
      <c r="I3" s="288"/>
      <c r="J3" s="288"/>
      <c r="K3" s="288"/>
      <c r="L3" s="288"/>
      <c r="M3" s="288"/>
      <c r="N3" s="288"/>
    </row>
    <row r="4" spans="1:14" x14ac:dyDescent="0.25">
      <c r="A4" s="289"/>
      <c r="B4" s="523"/>
      <c r="C4" s="300"/>
      <c r="D4" s="585">
        <f>SUM(D2:D3)</f>
        <v>240.91939999999997</v>
      </c>
      <c r="E4" s="585">
        <f>SUM(E2:E3)</f>
        <v>70.02</v>
      </c>
      <c r="F4" s="585">
        <f>SUM(F2:F3)</f>
        <v>68.619599999999991</v>
      </c>
      <c r="G4" s="288"/>
      <c r="H4" s="288"/>
      <c r="I4" s="288"/>
      <c r="J4" s="288"/>
      <c r="K4" s="288"/>
      <c r="L4" s="288"/>
      <c r="M4" s="288"/>
      <c r="N4" s="288"/>
    </row>
    <row r="5" spans="1:14" x14ac:dyDescent="0.25">
      <c r="A5" s="289"/>
      <c r="B5" s="523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</row>
    <row r="6" spans="1:14" x14ac:dyDescent="0.25">
      <c r="A6" s="616" t="s">
        <v>1274</v>
      </c>
      <c r="B6" s="525">
        <f>36.4-0.38</f>
        <v>36.019999999999996</v>
      </c>
      <c r="C6" s="511">
        <f>6.08+7.25-0.12-0.15</f>
        <v>13.06</v>
      </c>
      <c r="D6" s="288">
        <f>B6*C6</f>
        <v>470.42119999999994</v>
      </c>
      <c r="E6" s="288">
        <f>B6*2+C6*2</f>
        <v>98.16</v>
      </c>
      <c r="F6" s="288">
        <f>E6*0.98</f>
        <v>96.196799999999996</v>
      </c>
      <c r="G6" s="288"/>
      <c r="H6" s="288"/>
      <c r="I6" s="288"/>
      <c r="J6" s="288"/>
      <c r="K6" s="288"/>
      <c r="L6" s="288"/>
      <c r="M6" s="288"/>
      <c r="N6" s="288"/>
    </row>
    <row r="7" spans="1:14" x14ac:dyDescent="0.25">
      <c r="A7" s="289"/>
      <c r="B7" s="511">
        <v>0</v>
      </c>
      <c r="C7" s="300">
        <v>0</v>
      </c>
      <c r="D7" s="288">
        <f>B7*C7</f>
        <v>0</v>
      </c>
      <c r="E7" s="288">
        <f>B7*2+C7*2</f>
        <v>0</v>
      </c>
      <c r="F7" s="288">
        <f>E7*0.98</f>
        <v>0</v>
      </c>
      <c r="G7" s="288"/>
      <c r="H7" s="288"/>
      <c r="I7" s="288"/>
      <c r="J7" s="288"/>
      <c r="K7" s="288"/>
      <c r="L7" s="288"/>
      <c r="M7" s="288"/>
      <c r="N7" s="288"/>
    </row>
    <row r="8" spans="1:14" x14ac:dyDescent="0.25">
      <c r="A8" s="289"/>
      <c r="B8" s="523"/>
      <c r="C8" s="300"/>
      <c r="D8" s="591">
        <f>SUM(D6:D7)</f>
        <v>470.42119999999994</v>
      </c>
      <c r="E8" s="591">
        <f>SUM(E6:E7)</f>
        <v>98.16</v>
      </c>
      <c r="F8" s="591">
        <f>SUM(F6:F7)</f>
        <v>96.196799999999996</v>
      </c>
      <c r="G8" s="288"/>
      <c r="H8" s="288"/>
      <c r="I8" s="288"/>
      <c r="J8" s="288"/>
      <c r="K8" s="288"/>
      <c r="L8" s="288"/>
      <c r="M8" s="288"/>
      <c r="N8" s="288"/>
    </row>
    <row r="9" spans="1:14" x14ac:dyDescent="0.25">
      <c r="B9" s="288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</row>
    <row r="10" spans="1:14" x14ac:dyDescent="0.25">
      <c r="A10" s="617" t="s">
        <v>1275</v>
      </c>
      <c r="B10" s="525">
        <f>6.4+3.2+10-0.19-0.19</f>
        <v>19.22</v>
      </c>
      <c r="C10" s="522">
        <f>6.08+6.68-0.15-0.15</f>
        <v>12.459999999999999</v>
      </c>
      <c r="D10" s="288">
        <f>B10*C10</f>
        <v>239.48119999999997</v>
      </c>
      <c r="E10" s="288">
        <f>B10*2+C10*2</f>
        <v>63.36</v>
      </c>
      <c r="F10" s="288">
        <f>E10*0.98</f>
        <v>62.092799999999997</v>
      </c>
      <c r="G10" s="288"/>
      <c r="H10" s="288"/>
      <c r="I10" s="288"/>
      <c r="J10" s="288"/>
      <c r="K10" s="288"/>
      <c r="L10" s="288"/>
      <c r="M10" s="288"/>
      <c r="N10" s="288"/>
    </row>
    <row r="11" spans="1:14" x14ac:dyDescent="0.25">
      <c r="A11" s="289"/>
      <c r="B11" s="523">
        <v>0.51</v>
      </c>
      <c r="C11" s="300">
        <v>2.82</v>
      </c>
      <c r="D11" s="288">
        <f>B11*C11</f>
        <v>1.4381999999999999</v>
      </c>
      <c r="E11" s="288">
        <f>B11*2+C11*2</f>
        <v>6.66</v>
      </c>
      <c r="F11" s="288">
        <f>E11*0.98</f>
        <v>6.5267999999999997</v>
      </c>
      <c r="G11" s="288"/>
      <c r="H11" s="288"/>
      <c r="I11" s="288"/>
      <c r="J11" s="288"/>
      <c r="K11" s="288"/>
      <c r="L11" s="288"/>
      <c r="M11" s="288"/>
      <c r="N11" s="288"/>
    </row>
    <row r="12" spans="1:14" x14ac:dyDescent="0.25">
      <c r="A12" s="289"/>
      <c r="B12" s="523"/>
      <c r="C12" s="300"/>
      <c r="D12" s="618">
        <f>SUM(D10:D11)</f>
        <v>240.91939999999997</v>
      </c>
      <c r="E12" s="618">
        <f>SUM(E10:E11)</f>
        <v>70.02</v>
      </c>
      <c r="F12" s="618">
        <f>SUM(F10:F11)</f>
        <v>68.619599999999991</v>
      </c>
      <c r="G12" s="288"/>
      <c r="H12" s="288"/>
      <c r="I12" s="288"/>
      <c r="J12" s="288"/>
      <c r="K12" s="288"/>
      <c r="L12" s="288"/>
      <c r="M12" s="288"/>
      <c r="N12" s="288"/>
    </row>
    <row r="13" spans="1:14" x14ac:dyDescent="0.25">
      <c r="A13" s="507"/>
      <c r="B13" s="508"/>
      <c r="C13" s="508"/>
      <c r="D13" s="508"/>
      <c r="E13" s="508"/>
      <c r="F13" s="508"/>
      <c r="G13" s="508"/>
      <c r="H13" s="508"/>
      <c r="I13" s="508"/>
      <c r="J13" s="288"/>
      <c r="K13" s="288"/>
      <c r="L13" s="288"/>
      <c r="M13" s="288"/>
      <c r="N13" s="288"/>
    </row>
    <row r="14" spans="1:14" x14ac:dyDescent="0.25">
      <c r="A14" s="619" t="s">
        <v>1276</v>
      </c>
      <c r="B14" s="525">
        <f>36.4-0.38</f>
        <v>36.019999999999996</v>
      </c>
      <c r="C14" s="511">
        <f>6.08+7.25-0.12-0.15</f>
        <v>13.06</v>
      </c>
      <c r="D14" s="288">
        <f>B14*C14</f>
        <v>470.42119999999994</v>
      </c>
      <c r="E14" s="288">
        <f>B14*2+C14*2</f>
        <v>98.16</v>
      </c>
      <c r="F14" s="288">
        <f>E14*0.98</f>
        <v>96.196799999999996</v>
      </c>
      <c r="G14" s="508"/>
      <c r="H14" s="508"/>
      <c r="I14" s="508"/>
      <c r="J14" s="288"/>
      <c r="K14" s="288"/>
      <c r="L14" s="288"/>
      <c r="M14" s="288"/>
      <c r="N14" s="288"/>
    </row>
    <row r="15" spans="1:14" x14ac:dyDescent="0.25">
      <c r="A15" s="289"/>
      <c r="B15" s="511">
        <v>0</v>
      </c>
      <c r="C15" s="300">
        <v>0</v>
      </c>
      <c r="D15" s="288">
        <f>B15*C15</f>
        <v>0</v>
      </c>
      <c r="E15" s="288">
        <f>B15*2+C15*2</f>
        <v>0</v>
      </c>
      <c r="F15" s="288">
        <f>E15*0.98</f>
        <v>0</v>
      </c>
      <c r="G15" s="508"/>
      <c r="H15" s="508"/>
      <c r="I15" s="508"/>
      <c r="J15" s="288"/>
      <c r="K15" s="288"/>
      <c r="L15" s="288"/>
      <c r="M15" s="288"/>
      <c r="N15" s="288"/>
    </row>
    <row r="16" spans="1:14" x14ac:dyDescent="0.25">
      <c r="A16" s="289"/>
      <c r="B16" s="523"/>
      <c r="C16" s="300"/>
      <c r="D16" s="587">
        <f>SUM(D14:D15)</f>
        <v>470.42119999999994</v>
      </c>
      <c r="E16" s="587">
        <f>SUM(E14:E15)</f>
        <v>98.16</v>
      </c>
      <c r="F16" s="587">
        <f>SUM(F14:F15)</f>
        <v>96.196799999999996</v>
      </c>
      <c r="G16" s="508"/>
      <c r="H16" s="508"/>
      <c r="I16" s="508"/>
      <c r="J16" s="288"/>
      <c r="K16" s="288"/>
      <c r="L16" s="288"/>
      <c r="M16" s="288"/>
      <c r="N16" s="288"/>
    </row>
    <row r="17" spans="1:17" x14ac:dyDescent="0.25">
      <c r="A17" s="288"/>
      <c r="B17" s="288"/>
      <c r="C17" s="289"/>
      <c r="F17" s="288"/>
      <c r="G17" s="288"/>
      <c r="H17" s="288"/>
      <c r="I17" s="288"/>
      <c r="J17" s="288"/>
      <c r="K17" s="288"/>
      <c r="L17" s="288"/>
      <c r="M17" s="288"/>
      <c r="N17" s="288"/>
    </row>
    <row r="18" spans="1:17" x14ac:dyDescent="0.25">
      <c r="A18" s="288"/>
      <c r="B18" s="288"/>
      <c r="C18" s="289"/>
      <c r="F18" s="288"/>
      <c r="G18" s="288"/>
      <c r="H18" s="288"/>
      <c r="I18" s="288"/>
      <c r="J18" s="288"/>
      <c r="K18" s="288"/>
      <c r="L18" s="288"/>
      <c r="M18" s="288"/>
      <c r="N18" s="288"/>
    </row>
    <row r="19" spans="1:17" x14ac:dyDescent="0.25">
      <c r="A19" s="288"/>
      <c r="C19" s="288"/>
      <c r="F19" s="288"/>
      <c r="G19" s="288"/>
      <c r="H19" s="288"/>
      <c r="I19" s="288"/>
      <c r="J19" s="288"/>
      <c r="K19" s="288"/>
      <c r="L19" s="288"/>
      <c r="M19" s="288"/>
      <c r="N19" s="288"/>
    </row>
    <row r="20" spans="1:17" x14ac:dyDescent="0.25">
      <c r="A20" s="288"/>
      <c r="C20" s="288"/>
      <c r="F20" s="288"/>
      <c r="G20" s="288"/>
      <c r="H20" s="288"/>
      <c r="I20" s="288"/>
      <c r="J20" s="288"/>
      <c r="K20" s="288"/>
      <c r="L20" s="288"/>
      <c r="M20" s="288"/>
      <c r="N20" s="288"/>
    </row>
    <row r="21" spans="1:17" x14ac:dyDescent="0.25">
      <c r="A21" s="289"/>
      <c r="B21" s="288"/>
      <c r="C21" s="288"/>
    </row>
    <row r="22" spans="1:17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</row>
    <row r="23" spans="1:17" x14ac:dyDescent="0.25">
      <c r="A23" s="290"/>
      <c r="B23" s="288"/>
      <c r="C23" s="288"/>
      <c r="D23" s="290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</row>
    <row r="24" spans="1:17" x14ac:dyDescent="0.25">
      <c r="A24" s="289"/>
      <c r="B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</row>
    <row r="25" spans="1:17" x14ac:dyDescent="0.25">
      <c r="A25" s="289"/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</row>
    <row r="26" spans="1:17" x14ac:dyDescent="0.25">
      <c r="A26" s="289"/>
      <c r="B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</row>
    <row r="27" spans="1:17" x14ac:dyDescent="0.25">
      <c r="A27" s="289"/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</row>
    <row r="28" spans="1:17" x14ac:dyDescent="0.25">
      <c r="A28" s="289"/>
      <c r="B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</row>
    <row r="29" spans="1:17" x14ac:dyDescent="0.25">
      <c r="A29" s="289"/>
      <c r="B29" s="288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</row>
    <row r="30" spans="1:17" x14ac:dyDescent="0.25">
      <c r="A30" s="310"/>
      <c r="B30" s="288"/>
      <c r="C30" s="288"/>
      <c r="D30" s="290"/>
      <c r="E30" s="288"/>
      <c r="F30" s="288"/>
      <c r="G30" s="288"/>
      <c r="I30" s="288"/>
      <c r="J30" s="288"/>
      <c r="K30" s="288"/>
      <c r="L30" s="288"/>
      <c r="M30" s="288"/>
      <c r="N30" s="288"/>
      <c r="O30" s="288"/>
      <c r="P30" s="288"/>
      <c r="Q30" s="288"/>
    </row>
    <row r="31" spans="1:17" x14ac:dyDescent="0.25">
      <c r="A31" s="289"/>
      <c r="B31" s="288"/>
      <c r="C31" s="288"/>
      <c r="D31" s="288"/>
      <c r="E31" s="288"/>
      <c r="F31" s="288"/>
      <c r="G31" s="288"/>
      <c r="I31" s="288"/>
      <c r="J31" s="288"/>
      <c r="K31" s="288"/>
      <c r="L31" s="288"/>
      <c r="M31" s="288"/>
      <c r="N31" s="288"/>
      <c r="O31" s="288"/>
      <c r="P31" s="288"/>
      <c r="Q31" s="288"/>
    </row>
    <row r="32" spans="1:17" x14ac:dyDescent="0.25">
      <c r="A32" s="289"/>
      <c r="B32" s="288"/>
      <c r="C32" s="288"/>
      <c r="D32" s="288"/>
      <c r="E32" s="288"/>
      <c r="F32" s="288"/>
      <c r="G32" s="288"/>
      <c r="I32" s="288"/>
      <c r="J32" s="288"/>
      <c r="K32" s="288"/>
      <c r="L32" s="288"/>
      <c r="M32" s="288"/>
      <c r="N32" s="288"/>
      <c r="O32" s="288"/>
      <c r="P32" s="288"/>
      <c r="Q32" s="288"/>
    </row>
    <row r="33" spans="1:18" x14ac:dyDescent="0.25">
      <c r="A33" s="289"/>
      <c r="B33" s="288"/>
      <c r="C33" s="288"/>
      <c r="D33" s="288"/>
      <c r="E33" s="288"/>
      <c r="F33" s="288"/>
      <c r="G33" s="288"/>
      <c r="I33" s="288"/>
      <c r="J33" s="288"/>
      <c r="K33" s="288"/>
      <c r="L33" s="288"/>
      <c r="M33" s="288"/>
      <c r="N33" s="288"/>
      <c r="O33" s="288"/>
      <c r="P33" s="288"/>
      <c r="Q33" s="288"/>
    </row>
    <row r="34" spans="1:18" x14ac:dyDescent="0.25">
      <c r="A34" s="289"/>
      <c r="B34" s="288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</row>
    <row r="35" spans="1:18" x14ac:dyDescent="0.25">
      <c r="A35" s="310"/>
      <c r="B35" s="28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</row>
    <row r="36" spans="1:18" x14ac:dyDescent="0.25">
      <c r="A36" s="289"/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</row>
    <row r="37" spans="1:18" x14ac:dyDescent="0.25">
      <c r="A37" s="310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Q37" s="288"/>
    </row>
    <row r="38" spans="1:18" ht="68.25" customHeight="1" x14ac:dyDescent="0.25">
      <c r="A38" s="290"/>
      <c r="B38" s="314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</row>
    <row r="39" spans="1:18" x14ac:dyDescent="0.25">
      <c r="A39" s="288"/>
      <c r="B39" s="288"/>
      <c r="C39" s="300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346"/>
    </row>
    <row r="40" spans="1:18" x14ac:dyDescent="0.25">
      <c r="A40" s="288"/>
      <c r="B40" s="288"/>
      <c r="C40" s="300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346"/>
    </row>
    <row r="41" spans="1:18" x14ac:dyDescent="0.25">
      <c r="A41" s="288"/>
      <c r="B41" s="288"/>
      <c r="C41" s="300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</row>
    <row r="42" spans="1:18" ht="26.25" customHeight="1" x14ac:dyDescent="0.25">
      <c r="A42" s="316"/>
      <c r="B42" s="288"/>
      <c r="C42" s="300"/>
      <c r="D42" s="288"/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346"/>
    </row>
    <row r="43" spans="1:18" ht="26.25" customHeight="1" x14ac:dyDescent="0.25">
      <c r="A43" s="316"/>
      <c r="B43" s="288"/>
      <c r="C43" s="300"/>
      <c r="D43" s="288"/>
      <c r="E43" s="288"/>
      <c r="F43" s="300"/>
      <c r="G43" s="300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346"/>
    </row>
    <row r="44" spans="1:18" x14ac:dyDescent="0.25">
      <c r="A44" s="288"/>
      <c r="B44" s="288"/>
      <c r="C44" s="300"/>
      <c r="D44" s="288"/>
      <c r="E44" s="300"/>
      <c r="F44" s="300"/>
      <c r="G44" s="300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346"/>
    </row>
    <row r="45" spans="1:18" x14ac:dyDescent="0.25">
      <c r="A45" s="288"/>
      <c r="B45" s="288"/>
      <c r="C45" s="300"/>
      <c r="D45" s="288"/>
      <c r="E45" s="288"/>
      <c r="F45" s="300"/>
      <c r="G45" s="300"/>
      <c r="H45" s="300"/>
      <c r="I45" s="300"/>
      <c r="J45" s="288"/>
      <c r="K45" s="288"/>
      <c r="L45" s="288"/>
      <c r="M45" s="288"/>
      <c r="N45" s="288"/>
      <c r="O45" s="288"/>
      <c r="P45" s="288"/>
      <c r="Q45" s="288"/>
      <c r="R45" s="346"/>
    </row>
    <row r="46" spans="1:18" x14ac:dyDescent="0.25">
      <c r="A46" s="288"/>
      <c r="B46" s="288"/>
      <c r="C46" s="300"/>
      <c r="D46" s="288"/>
      <c r="E46" s="288"/>
      <c r="F46" s="300"/>
      <c r="G46" s="300"/>
      <c r="H46" s="288"/>
      <c r="I46" s="300"/>
      <c r="J46" s="288"/>
      <c r="K46" s="288"/>
      <c r="L46" s="288"/>
      <c r="M46" s="288"/>
      <c r="N46" s="288"/>
      <c r="O46" s="288"/>
      <c r="P46" s="288"/>
      <c r="Q46" s="288"/>
    </row>
    <row r="47" spans="1:18" x14ac:dyDescent="0.25">
      <c r="A47" s="318"/>
      <c r="B47" s="288"/>
      <c r="C47" s="300"/>
      <c r="D47" s="288"/>
      <c r="E47" s="288"/>
      <c r="F47" s="300"/>
      <c r="G47" s="300"/>
      <c r="H47" s="288"/>
      <c r="I47" s="300"/>
      <c r="J47" s="288"/>
      <c r="K47" s="288"/>
      <c r="L47" s="288"/>
      <c r="M47" s="288"/>
      <c r="N47" s="288"/>
      <c r="O47" s="288"/>
      <c r="P47" s="288"/>
      <c r="Q47" s="318"/>
      <c r="R47" s="346"/>
    </row>
    <row r="48" spans="1:18" x14ac:dyDescent="0.25">
      <c r="A48" s="317"/>
      <c r="B48" s="288"/>
      <c r="C48" s="300"/>
      <c r="D48" s="288"/>
      <c r="E48" s="288"/>
      <c r="F48" s="300"/>
      <c r="G48" s="300"/>
      <c r="H48" s="288"/>
      <c r="I48" s="300"/>
      <c r="J48" s="288"/>
      <c r="K48" s="288"/>
      <c r="L48" s="288"/>
      <c r="M48" s="288"/>
      <c r="N48" s="288"/>
      <c r="O48" s="288"/>
      <c r="P48" s="288"/>
      <c r="Q48" s="318"/>
      <c r="R48" s="345"/>
    </row>
    <row r="49" spans="1:18" x14ac:dyDescent="0.25">
      <c r="A49" s="288"/>
      <c r="B49" s="288"/>
      <c r="C49" s="300"/>
      <c r="D49" s="288"/>
      <c r="E49" s="288"/>
      <c r="F49" s="300"/>
      <c r="G49" s="300"/>
      <c r="H49" s="288"/>
      <c r="I49" s="300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x14ac:dyDescent="0.25">
      <c r="A50" s="288"/>
      <c r="B50" s="288"/>
      <c r="C50" s="288"/>
      <c r="D50" s="288"/>
      <c r="E50" s="288"/>
      <c r="F50" s="288"/>
      <c r="G50" s="300"/>
      <c r="H50" s="288"/>
      <c r="I50" s="300"/>
      <c r="J50" s="288"/>
      <c r="K50" s="288"/>
      <c r="L50" s="288"/>
      <c r="M50" s="288"/>
      <c r="N50" s="288"/>
      <c r="O50" s="288"/>
      <c r="P50" s="288"/>
      <c r="Q50" s="288"/>
      <c r="R50" s="345"/>
    </row>
    <row r="51" spans="1:18" x14ac:dyDescent="0.25">
      <c r="A51" s="316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x14ac:dyDescent="0.25">
      <c r="A52" s="289"/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Q52" s="288"/>
      <c r="R52" s="345"/>
    </row>
    <row r="53" spans="1:18" x14ac:dyDescent="0.25">
      <c r="A53" s="316"/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Q53" s="288"/>
      <c r="R53" s="345"/>
    </row>
    <row r="54" spans="1:18" x14ac:dyDescent="0.25">
      <c r="A54" s="288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Q54" s="288"/>
      <c r="R54" s="345"/>
    </row>
    <row r="55" spans="1:18" x14ac:dyDescent="0.25">
      <c r="A55" s="316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Q55" s="288"/>
      <c r="R55" s="288"/>
    </row>
    <row r="56" spans="1:18" x14ac:dyDescent="0.25">
      <c r="A56" s="316"/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345"/>
    </row>
    <row r="57" spans="1:18" x14ac:dyDescent="0.25">
      <c r="A57" s="316"/>
      <c r="B57" s="28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</row>
    <row r="58" spans="1:18" x14ac:dyDescent="0.25">
      <c r="A58" s="290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</row>
    <row r="59" spans="1:18" x14ac:dyDescent="0.25">
      <c r="A59" s="312"/>
      <c r="B59" s="288"/>
      <c r="C59" s="289"/>
      <c r="D59" s="288"/>
      <c r="E59" s="288"/>
    </row>
    <row r="60" spans="1:18" x14ac:dyDescent="0.25">
      <c r="A60" s="288"/>
      <c r="B60" s="288"/>
      <c r="C60" s="289"/>
      <c r="D60" s="288"/>
      <c r="E60" s="288"/>
    </row>
    <row r="61" spans="1:18" x14ac:dyDescent="0.25">
      <c r="A61" s="290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</row>
    <row r="62" spans="1:18" x14ac:dyDescent="0.25">
      <c r="A62" s="312"/>
      <c r="B62" s="288"/>
      <c r="C62" s="289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</row>
    <row r="63" spans="1:18" x14ac:dyDescent="0.25">
      <c r="A63" s="288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</row>
    <row r="64" spans="1:18" x14ac:dyDescent="0.25">
      <c r="A64" s="288"/>
      <c r="B64" s="288"/>
      <c r="C64" s="289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</row>
    <row r="65" spans="1:20" x14ac:dyDescent="0.25">
      <c r="A65" s="288"/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</row>
    <row r="66" spans="1:20" x14ac:dyDescent="0.25">
      <c r="A66" s="290"/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</row>
    <row r="67" spans="1:20" x14ac:dyDescent="0.25">
      <c r="A67" s="288"/>
      <c r="B67" s="288"/>
      <c r="C67" s="289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</row>
    <row r="68" spans="1:20" x14ac:dyDescent="0.25">
      <c r="A68" s="290"/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</row>
    <row r="69" spans="1:20" x14ac:dyDescent="0.25">
      <c r="A69" s="288"/>
      <c r="B69" s="288"/>
      <c r="C69" s="289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</row>
    <row r="70" spans="1:20" x14ac:dyDescent="0.25">
      <c r="A70" s="288"/>
      <c r="B70" s="288"/>
      <c r="C70" s="289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</row>
    <row r="72" spans="1:20" x14ac:dyDescent="0.25">
      <c r="A72" s="290"/>
    </row>
    <row r="73" spans="1:20" x14ac:dyDescent="0.25">
      <c r="A73" s="288"/>
      <c r="B73" s="288"/>
      <c r="C73" s="289"/>
    </row>
    <row r="75" spans="1:20" x14ac:dyDescent="0.25">
      <c r="A75" s="290"/>
      <c r="B75" s="348"/>
      <c r="C75" s="349"/>
      <c r="D75" s="349"/>
      <c r="E75" s="348"/>
      <c r="F75" s="348"/>
    </row>
    <row r="76" spans="1:20" ht="27.6" x14ac:dyDescent="0.25">
      <c r="A76" s="347" t="s">
        <v>651</v>
      </c>
      <c r="B76" s="288">
        <f>F84</f>
        <v>12.899999999999999</v>
      </c>
      <c r="C76" s="288">
        <f>G84</f>
        <v>143.4</v>
      </c>
      <c r="D76" s="288">
        <f>H84</f>
        <v>60.000000000000007</v>
      </c>
      <c r="E76" s="288"/>
      <c r="F76" s="288"/>
      <c r="G76" s="348" t="s">
        <v>652</v>
      </c>
      <c r="H76" s="288"/>
      <c r="I76" s="288"/>
      <c r="J76" s="348" t="s">
        <v>653</v>
      </c>
      <c r="L76" s="288"/>
      <c r="M76" s="348" t="s">
        <v>658</v>
      </c>
      <c r="O76" s="288"/>
      <c r="P76" s="348" t="s">
        <v>654</v>
      </c>
      <c r="R76" s="288"/>
      <c r="S76" s="348" t="s">
        <v>655</v>
      </c>
    </row>
    <row r="77" spans="1:20" ht="27.6" x14ac:dyDescent="0.25">
      <c r="A77" s="347" t="s">
        <v>650</v>
      </c>
      <c r="B77" s="288">
        <f>I84+L84</f>
        <v>55.400000000000006</v>
      </c>
      <c r="C77" s="288">
        <f>J84+M84</f>
        <v>374.00000000000006</v>
      </c>
      <c r="D77" s="288">
        <f>K84+N84</f>
        <v>242</v>
      </c>
      <c r="E77" s="288"/>
      <c r="F77" s="348" t="s">
        <v>641</v>
      </c>
      <c r="G77" s="349" t="s">
        <v>648</v>
      </c>
      <c r="H77" s="349" t="s">
        <v>649</v>
      </c>
      <c r="I77" s="348" t="s">
        <v>641</v>
      </c>
      <c r="J77" s="349" t="s">
        <v>648</v>
      </c>
      <c r="K77" s="349" t="s">
        <v>649</v>
      </c>
      <c r="L77" s="348" t="s">
        <v>641</v>
      </c>
      <c r="M77" s="349" t="s">
        <v>648</v>
      </c>
      <c r="N77" s="349" t="s">
        <v>649</v>
      </c>
      <c r="O77" s="348" t="s">
        <v>641</v>
      </c>
      <c r="P77" s="349" t="s">
        <v>648</v>
      </c>
      <c r="Q77" s="349" t="s">
        <v>649</v>
      </c>
      <c r="R77" s="348" t="s">
        <v>641</v>
      </c>
      <c r="S77" s="349" t="s">
        <v>648</v>
      </c>
      <c r="T77" s="349" t="s">
        <v>649</v>
      </c>
    </row>
    <row r="78" spans="1:20" x14ac:dyDescent="0.25">
      <c r="A78" s="288" t="s">
        <v>659</v>
      </c>
      <c r="B78" s="288">
        <f>O84+R84</f>
        <v>30.9</v>
      </c>
      <c r="C78" s="288">
        <f>P84+S84</f>
        <v>357.1</v>
      </c>
      <c r="D78" s="288">
        <f>Q84+T84</f>
        <v>144</v>
      </c>
      <c r="E78" s="288" t="s">
        <v>656</v>
      </c>
      <c r="F78" s="288">
        <v>4.3</v>
      </c>
      <c r="G78" s="288">
        <v>16.7</v>
      </c>
      <c r="H78" s="288">
        <v>2.4</v>
      </c>
      <c r="I78" s="288">
        <v>13.8</v>
      </c>
      <c r="J78" s="288">
        <v>28.6</v>
      </c>
      <c r="K78" s="288">
        <v>6.4</v>
      </c>
      <c r="L78" s="288"/>
      <c r="M78" s="288"/>
      <c r="N78" s="288"/>
      <c r="O78" s="288">
        <v>4.3</v>
      </c>
      <c r="P78" s="288">
        <v>24.1</v>
      </c>
      <c r="Q78" s="288">
        <v>2.4</v>
      </c>
      <c r="R78" s="288">
        <v>6</v>
      </c>
      <c r="S78" s="288">
        <v>20.100000000000001</v>
      </c>
      <c r="T78" s="288">
        <v>4.2</v>
      </c>
    </row>
    <row r="79" spans="1:20" x14ac:dyDescent="0.25">
      <c r="A79" s="288" t="s">
        <v>660</v>
      </c>
      <c r="B79" s="288">
        <f>R84</f>
        <v>18</v>
      </c>
      <c r="C79" s="288">
        <f>S84</f>
        <v>169.5</v>
      </c>
      <c r="D79" s="288">
        <f>T84</f>
        <v>84</v>
      </c>
      <c r="E79" s="288"/>
      <c r="F79" s="288"/>
      <c r="G79" s="288">
        <v>16</v>
      </c>
      <c r="H79" s="288">
        <v>2.4</v>
      </c>
      <c r="I79" s="288"/>
      <c r="J79" s="288">
        <v>41.2</v>
      </c>
      <c r="K79" s="288">
        <v>10.4</v>
      </c>
      <c r="L79" s="288"/>
      <c r="M79" s="288"/>
      <c r="N79" s="288"/>
      <c r="P79" s="288">
        <v>20</v>
      </c>
      <c r="Q79" s="288">
        <v>2.4</v>
      </c>
      <c r="S79" s="288">
        <v>18.7</v>
      </c>
      <c r="T79" s="288">
        <v>4.2</v>
      </c>
    </row>
    <row r="80" spans="1:20" x14ac:dyDescent="0.25">
      <c r="A80" s="288"/>
      <c r="B80" s="288"/>
      <c r="C80" s="288"/>
      <c r="D80" s="288"/>
      <c r="E80" s="288"/>
      <c r="F80" s="288"/>
      <c r="G80" s="288">
        <v>17.100000000000001</v>
      </c>
      <c r="H80" s="288">
        <v>2.4</v>
      </c>
      <c r="I80" s="288"/>
      <c r="J80" s="288">
        <v>50.2</v>
      </c>
      <c r="K80" s="288">
        <v>10.4</v>
      </c>
      <c r="L80" s="288"/>
      <c r="M80" s="288"/>
      <c r="N80" s="288"/>
      <c r="P80" s="288">
        <v>20</v>
      </c>
      <c r="Q80" s="288">
        <v>2.4</v>
      </c>
      <c r="S80" s="288">
        <v>18.7</v>
      </c>
      <c r="T80" s="288">
        <v>4.2</v>
      </c>
    </row>
    <row r="81" spans="1:20" x14ac:dyDescent="0.25">
      <c r="A81" s="288"/>
      <c r="B81" s="288"/>
      <c r="C81" s="288"/>
      <c r="D81" s="288"/>
      <c r="E81" s="288" t="s">
        <v>657</v>
      </c>
      <c r="F81" s="288">
        <v>8.6</v>
      </c>
      <c r="G81" s="288">
        <v>27.9</v>
      </c>
      <c r="H81" s="288">
        <v>17.600000000000001</v>
      </c>
      <c r="I81" s="288">
        <v>27.6</v>
      </c>
      <c r="J81" s="288">
        <v>51.6</v>
      </c>
      <c r="K81" s="288">
        <v>56</v>
      </c>
      <c r="L81" s="288">
        <v>14</v>
      </c>
      <c r="M81" s="288">
        <v>19.600000000000001</v>
      </c>
      <c r="N81" s="288">
        <v>15.6</v>
      </c>
      <c r="O81" s="288">
        <v>8.6</v>
      </c>
      <c r="P81" s="288">
        <v>43.5</v>
      </c>
      <c r="Q81" s="288">
        <v>17.600000000000001</v>
      </c>
      <c r="R81" s="288">
        <v>12</v>
      </c>
      <c r="S81" s="288">
        <v>37.200000000000003</v>
      </c>
      <c r="T81" s="288">
        <v>23.8</v>
      </c>
    </row>
    <row r="82" spans="1:20" x14ac:dyDescent="0.25">
      <c r="A82" s="288"/>
      <c r="B82" s="288"/>
      <c r="C82" s="288"/>
      <c r="D82" s="288"/>
      <c r="E82" s="288"/>
      <c r="F82" s="288"/>
      <c r="G82" s="288">
        <v>32</v>
      </c>
      <c r="H82" s="288">
        <v>17.600000000000001</v>
      </c>
      <c r="I82" s="288"/>
      <c r="J82" s="288">
        <v>82.4</v>
      </c>
      <c r="K82" s="288">
        <v>71.599999999999994</v>
      </c>
      <c r="L82" s="288"/>
      <c r="M82" s="288"/>
      <c r="N82" s="288"/>
      <c r="P82" s="288">
        <v>40</v>
      </c>
      <c r="Q82" s="288">
        <v>17.600000000000001</v>
      </c>
      <c r="S82" s="288">
        <v>37.4</v>
      </c>
      <c r="T82" s="288">
        <v>23.8</v>
      </c>
    </row>
    <row r="83" spans="1:20" x14ac:dyDescent="0.25">
      <c r="A83" s="288"/>
      <c r="B83" s="288"/>
      <c r="C83" s="288"/>
      <c r="D83" s="288"/>
      <c r="E83" s="288"/>
      <c r="F83" s="288"/>
      <c r="G83" s="288">
        <v>33.700000000000003</v>
      </c>
      <c r="H83" s="288">
        <v>17.600000000000001</v>
      </c>
      <c r="I83" s="288"/>
      <c r="J83" s="288">
        <v>100.4</v>
      </c>
      <c r="K83" s="288">
        <v>71.599999999999994</v>
      </c>
      <c r="L83" s="288"/>
      <c r="M83" s="288"/>
      <c r="N83" s="288"/>
      <c r="P83" s="288">
        <v>40</v>
      </c>
      <c r="Q83" s="288">
        <v>17.600000000000001</v>
      </c>
      <c r="S83" s="288">
        <v>37.4</v>
      </c>
      <c r="T83" s="288">
        <v>23.8</v>
      </c>
    </row>
    <row r="84" spans="1:20" x14ac:dyDescent="0.25">
      <c r="A84" s="288"/>
      <c r="B84" s="288"/>
      <c r="C84" s="288"/>
      <c r="D84" s="288"/>
      <c r="E84" s="288"/>
      <c r="F84" s="288">
        <f>SUM(F78:F83)</f>
        <v>12.899999999999999</v>
      </c>
      <c r="G84" s="288">
        <f>SUM(G78:G83)</f>
        <v>143.4</v>
      </c>
      <c r="H84" s="288">
        <f>SUM(H78:H83)</f>
        <v>60.000000000000007</v>
      </c>
      <c r="I84" s="288">
        <f t="shared" ref="I84:T84" si="0">SUM(I78:I83)</f>
        <v>41.400000000000006</v>
      </c>
      <c r="J84" s="288">
        <f t="shared" si="0"/>
        <v>354.40000000000003</v>
      </c>
      <c r="K84" s="288">
        <f t="shared" si="0"/>
        <v>226.4</v>
      </c>
      <c r="L84" s="288">
        <f t="shared" si="0"/>
        <v>14</v>
      </c>
      <c r="M84" s="288">
        <f t="shared" si="0"/>
        <v>19.600000000000001</v>
      </c>
      <c r="N84" s="288">
        <f t="shared" si="0"/>
        <v>15.6</v>
      </c>
      <c r="O84" s="288">
        <f t="shared" si="0"/>
        <v>12.899999999999999</v>
      </c>
      <c r="P84" s="288">
        <f t="shared" si="0"/>
        <v>187.6</v>
      </c>
      <c r="Q84" s="288">
        <f t="shared" si="0"/>
        <v>60.000000000000007</v>
      </c>
      <c r="R84" s="288">
        <f t="shared" si="0"/>
        <v>18</v>
      </c>
      <c r="S84" s="288">
        <f t="shared" si="0"/>
        <v>169.5</v>
      </c>
      <c r="T84" s="288">
        <f t="shared" si="0"/>
        <v>84</v>
      </c>
    </row>
    <row r="85" spans="1:20" x14ac:dyDescent="0.25">
      <c r="A85" s="288"/>
      <c r="B85" s="288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  <c r="N85" s="288"/>
    </row>
    <row r="86" spans="1:20" x14ac:dyDescent="0.25">
      <c r="A86" s="290" t="s">
        <v>661</v>
      </c>
      <c r="B86" s="288"/>
      <c r="C86" s="288"/>
      <c r="D86" s="288"/>
      <c r="E86" s="288">
        <f>SUM(E87:E92)</f>
        <v>232.614</v>
      </c>
      <c r="F86" s="288">
        <f>SUM(F87:F92)</f>
        <v>54.120000000000005</v>
      </c>
      <c r="G86" s="333" t="s">
        <v>663</v>
      </c>
      <c r="H86" s="288"/>
      <c r="I86" s="288"/>
      <c r="J86" s="288"/>
      <c r="K86" s="288"/>
      <c r="L86" s="288"/>
      <c r="M86" s="288"/>
      <c r="N86" s="288"/>
    </row>
    <row r="87" spans="1:20" x14ac:dyDescent="0.25">
      <c r="A87" s="288"/>
      <c r="B87" s="288">
        <v>1.6</v>
      </c>
      <c r="C87" s="288">
        <v>1.5</v>
      </c>
      <c r="D87" s="288">
        <v>27</v>
      </c>
      <c r="E87" s="288">
        <f t="shared" ref="E87:E92" si="1">B87*C87*D87</f>
        <v>64.800000000000011</v>
      </c>
      <c r="F87" s="288">
        <f>B87*D87*0.4</f>
        <v>17.28</v>
      </c>
      <c r="G87" s="288"/>
      <c r="H87" s="288"/>
      <c r="I87" s="288"/>
      <c r="J87" s="288"/>
      <c r="K87" s="288"/>
      <c r="L87" s="288"/>
      <c r="M87" s="288"/>
      <c r="N87" s="288"/>
    </row>
    <row r="88" spans="1:20" x14ac:dyDescent="0.25">
      <c r="A88" s="288"/>
      <c r="B88" s="288">
        <v>1.9</v>
      </c>
      <c r="C88" s="288">
        <v>1.5</v>
      </c>
      <c r="D88" s="288">
        <v>27</v>
      </c>
      <c r="E88" s="288">
        <f t="shared" si="1"/>
        <v>76.949999999999989</v>
      </c>
      <c r="F88" s="288">
        <f>B88*D88*0.4</f>
        <v>20.52</v>
      </c>
      <c r="G88" s="288"/>
      <c r="H88" s="288"/>
      <c r="I88" s="288"/>
      <c r="J88" s="288"/>
      <c r="K88" s="288"/>
      <c r="L88" s="288"/>
      <c r="M88" s="288"/>
      <c r="N88" s="288"/>
    </row>
    <row r="89" spans="1:20" x14ac:dyDescent="0.25">
      <c r="A89" s="288"/>
      <c r="B89" s="288">
        <v>0.8</v>
      </c>
      <c r="C89" s="288">
        <v>1.5</v>
      </c>
      <c r="D89" s="288">
        <v>39</v>
      </c>
      <c r="E89" s="288">
        <f t="shared" si="1"/>
        <v>46.800000000000004</v>
      </c>
      <c r="F89" s="288">
        <f>B89*D89*0.4</f>
        <v>12.480000000000002</v>
      </c>
      <c r="G89" s="288"/>
      <c r="H89" s="288"/>
      <c r="I89" s="288"/>
      <c r="J89" s="288"/>
      <c r="K89" s="288"/>
      <c r="L89" s="288"/>
      <c r="M89" s="288"/>
      <c r="N89" s="288"/>
    </row>
    <row r="90" spans="1:20" x14ac:dyDescent="0.25">
      <c r="A90" s="288"/>
      <c r="B90" s="288">
        <v>1.6</v>
      </c>
      <c r="C90" s="288">
        <v>1.2</v>
      </c>
      <c r="D90" s="288">
        <v>6</v>
      </c>
      <c r="E90" s="288">
        <f t="shared" si="1"/>
        <v>11.52</v>
      </c>
      <c r="F90" s="288">
        <f>B90*D90*0.4</f>
        <v>3.8400000000000007</v>
      </c>
      <c r="G90" s="288"/>
      <c r="H90" s="288"/>
      <c r="I90" s="288"/>
      <c r="J90" s="288"/>
      <c r="K90" s="288"/>
      <c r="L90" s="288"/>
      <c r="M90" s="288"/>
      <c r="N90" s="288"/>
    </row>
    <row r="91" spans="1:20" x14ac:dyDescent="0.25">
      <c r="A91" s="290" t="s">
        <v>662</v>
      </c>
      <c r="B91" s="288">
        <v>0.8</v>
      </c>
      <c r="C91" s="288">
        <v>2.2599999999999998</v>
      </c>
      <c r="D91" s="288">
        <v>9</v>
      </c>
      <c r="E91" s="288">
        <f t="shared" si="1"/>
        <v>16.271999999999998</v>
      </c>
      <c r="F91" s="288"/>
      <c r="G91" s="288"/>
      <c r="H91" s="288"/>
      <c r="I91" s="288"/>
      <c r="J91" s="288"/>
      <c r="K91" s="288"/>
      <c r="L91" s="288"/>
      <c r="M91" s="288"/>
      <c r="N91" s="288"/>
    </row>
    <row r="92" spans="1:20" x14ac:dyDescent="0.25">
      <c r="A92" s="288"/>
      <c r="B92" s="288">
        <v>0.8</v>
      </c>
      <c r="C92" s="288">
        <v>2.2599999999999998</v>
      </c>
      <c r="D92" s="288">
        <v>9</v>
      </c>
      <c r="E92" s="288">
        <f t="shared" si="1"/>
        <v>16.271999999999998</v>
      </c>
      <c r="F92" s="288"/>
      <c r="G92" s="288"/>
      <c r="H92" s="288"/>
      <c r="I92" s="288"/>
      <c r="J92" s="288"/>
      <c r="K92" s="288"/>
      <c r="L92" s="288"/>
      <c r="M92" s="288"/>
      <c r="N92" s="288"/>
    </row>
    <row r="93" spans="1:20" x14ac:dyDescent="0.25">
      <c r="A93" s="288"/>
      <c r="B93" s="288"/>
      <c r="C93" s="288"/>
      <c r="D93" s="288"/>
      <c r="E93" s="288"/>
      <c r="F93" s="288"/>
      <c r="G93" s="288"/>
      <c r="H93" s="288"/>
      <c r="I93" s="288"/>
      <c r="J93" s="288"/>
      <c r="K93" s="288"/>
      <c r="L93" s="288"/>
      <c r="M93" s="288"/>
      <c r="N93" s="288"/>
    </row>
    <row r="94" spans="1:20" x14ac:dyDescent="0.25">
      <c r="A94" s="288"/>
      <c r="B94" s="288" t="s">
        <v>719</v>
      </c>
      <c r="C94" s="288" t="s">
        <v>638</v>
      </c>
      <c r="D94" s="288" t="s">
        <v>720</v>
      </c>
      <c r="E94" s="288"/>
      <c r="F94" s="288"/>
      <c r="G94" s="288"/>
      <c r="H94" s="288"/>
      <c r="I94" s="288"/>
      <c r="J94" s="288"/>
      <c r="K94" s="288"/>
      <c r="L94" s="288"/>
      <c r="M94" s="288"/>
      <c r="N94" s="288"/>
    </row>
    <row r="95" spans="1:20" x14ac:dyDescent="0.25">
      <c r="A95" s="290" t="s">
        <v>718</v>
      </c>
      <c r="B95" s="288">
        <v>1.71</v>
      </c>
      <c r="C95" s="288">
        <f>B125*0.08</f>
        <v>4.1592000000000011</v>
      </c>
      <c r="D95" s="376">
        <f>C95*3</f>
        <v>12.477600000000002</v>
      </c>
      <c r="E95" s="288"/>
      <c r="F95" s="288"/>
      <c r="G95" s="288"/>
      <c r="H95" s="288"/>
      <c r="I95" s="288"/>
      <c r="J95" s="288"/>
      <c r="K95" s="288"/>
      <c r="L95" s="288"/>
      <c r="M95" s="288"/>
      <c r="N95" s="288"/>
    </row>
    <row r="96" spans="1:20" x14ac:dyDescent="0.25">
      <c r="A96" s="288"/>
      <c r="B96" s="288">
        <v>1.1299999999999999</v>
      </c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</row>
    <row r="97" spans="1:14" x14ac:dyDescent="0.25">
      <c r="A97" s="288"/>
      <c r="B97" s="288">
        <v>1.76</v>
      </c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</row>
    <row r="98" spans="1:14" x14ac:dyDescent="0.25">
      <c r="A98" s="288"/>
      <c r="B98" s="288">
        <v>1.71</v>
      </c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</row>
    <row r="99" spans="1:14" x14ac:dyDescent="0.25">
      <c r="A99" s="288"/>
      <c r="B99" s="288">
        <v>2.88</v>
      </c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</row>
    <row r="100" spans="1:14" x14ac:dyDescent="0.25">
      <c r="A100" s="288"/>
      <c r="B100" s="288">
        <v>1.73</v>
      </c>
      <c r="C100" s="288"/>
      <c r="D100" s="288"/>
      <c r="E100" s="288"/>
      <c r="F100" s="288"/>
      <c r="G100" s="288"/>
      <c r="H100" s="288"/>
      <c r="I100" s="288"/>
      <c r="J100" s="288"/>
      <c r="K100" s="288"/>
      <c r="L100" s="288"/>
      <c r="M100" s="288"/>
      <c r="N100" s="288"/>
    </row>
    <row r="101" spans="1:14" x14ac:dyDescent="0.25">
      <c r="A101" s="288"/>
      <c r="B101" s="288">
        <v>1.76</v>
      </c>
      <c r="C101" s="288"/>
      <c r="D101" s="288"/>
      <c r="E101" s="288"/>
      <c r="F101" s="288"/>
      <c r="G101" s="288"/>
      <c r="H101" s="288"/>
      <c r="I101" s="288"/>
      <c r="J101" s="288"/>
      <c r="K101" s="288"/>
      <c r="L101" s="288"/>
      <c r="M101" s="288"/>
      <c r="N101" s="288"/>
    </row>
    <row r="102" spans="1:14" x14ac:dyDescent="0.25">
      <c r="A102" s="288"/>
      <c r="B102" s="288">
        <v>1.71</v>
      </c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</row>
    <row r="103" spans="1:14" x14ac:dyDescent="0.25">
      <c r="A103" s="288"/>
      <c r="B103" s="288">
        <v>1.71</v>
      </c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</row>
    <row r="104" spans="1:14" x14ac:dyDescent="0.25">
      <c r="A104" s="288"/>
      <c r="B104" s="288">
        <v>1.1299999999999999</v>
      </c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</row>
    <row r="105" spans="1:14" x14ac:dyDescent="0.25">
      <c r="A105" s="288"/>
      <c r="B105" s="288">
        <v>1.1299999999999999</v>
      </c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</row>
    <row r="106" spans="1:14" x14ac:dyDescent="0.25">
      <c r="A106" s="288"/>
      <c r="B106" s="288">
        <v>1.76</v>
      </c>
      <c r="C106" s="288"/>
      <c r="D106" s="288"/>
      <c r="E106" s="288"/>
      <c r="F106" s="288"/>
      <c r="G106" s="288"/>
      <c r="H106" s="288"/>
      <c r="I106" s="288"/>
      <c r="J106" s="288"/>
      <c r="K106" s="288"/>
      <c r="L106" s="288"/>
      <c r="M106" s="288"/>
      <c r="N106" s="288"/>
    </row>
    <row r="107" spans="1:14" x14ac:dyDescent="0.25">
      <c r="A107" s="288"/>
      <c r="B107" s="288">
        <v>1.71</v>
      </c>
      <c r="C107" s="288"/>
      <c r="D107" s="288"/>
      <c r="E107" s="288"/>
      <c r="F107" s="288"/>
      <c r="G107" s="288"/>
      <c r="H107" s="288"/>
      <c r="I107" s="288"/>
      <c r="J107" s="288"/>
      <c r="K107" s="288"/>
      <c r="L107" s="288"/>
      <c r="M107" s="288"/>
      <c r="N107" s="288"/>
    </row>
    <row r="108" spans="1:14" x14ac:dyDescent="0.25">
      <c r="A108" s="288"/>
      <c r="B108" s="288">
        <v>1.71</v>
      </c>
      <c r="C108" s="288"/>
      <c r="D108" s="288"/>
      <c r="E108" s="288"/>
      <c r="F108" s="288"/>
      <c r="G108" s="288"/>
      <c r="H108" s="288"/>
      <c r="I108" s="288"/>
      <c r="J108" s="288"/>
      <c r="K108" s="288"/>
      <c r="L108" s="288"/>
      <c r="M108" s="288"/>
      <c r="N108" s="288"/>
    </row>
    <row r="109" spans="1:14" x14ac:dyDescent="0.25">
      <c r="A109" s="288"/>
      <c r="B109" s="288">
        <v>1.74</v>
      </c>
      <c r="C109" s="288"/>
      <c r="D109" s="288"/>
      <c r="E109" s="288"/>
      <c r="F109" s="288"/>
      <c r="G109" s="288"/>
      <c r="H109" s="288"/>
      <c r="I109" s="288"/>
      <c r="J109" s="288"/>
      <c r="K109" s="288"/>
      <c r="L109" s="288"/>
      <c r="M109" s="288"/>
      <c r="N109" s="288"/>
    </row>
    <row r="110" spans="1:14" x14ac:dyDescent="0.25">
      <c r="A110" s="288"/>
      <c r="B110" s="288">
        <v>1.74</v>
      </c>
      <c r="C110" s="288"/>
      <c r="D110" s="288"/>
      <c r="E110" s="288"/>
      <c r="F110" s="288"/>
      <c r="G110" s="288"/>
      <c r="H110" s="288"/>
      <c r="I110" s="288"/>
      <c r="J110" s="288"/>
      <c r="K110" s="288"/>
      <c r="L110" s="288"/>
      <c r="M110" s="288"/>
      <c r="N110" s="288"/>
    </row>
    <row r="111" spans="1:14" x14ac:dyDescent="0.25">
      <c r="A111" s="288"/>
      <c r="B111" s="288">
        <v>1.74</v>
      </c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</row>
    <row r="112" spans="1:14" x14ac:dyDescent="0.25">
      <c r="A112" s="288"/>
      <c r="B112" s="288">
        <v>2.1</v>
      </c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</row>
    <row r="113" spans="1:14" x14ac:dyDescent="0.25">
      <c r="A113" s="288"/>
      <c r="B113" s="288">
        <v>2.0099999999999998</v>
      </c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</row>
    <row r="114" spans="1:14" x14ac:dyDescent="0.25">
      <c r="B114" s="288">
        <v>1.74</v>
      </c>
    </row>
    <row r="115" spans="1:14" x14ac:dyDescent="0.25">
      <c r="B115" s="288">
        <v>1.76</v>
      </c>
    </row>
    <row r="116" spans="1:14" x14ac:dyDescent="0.25">
      <c r="B116" s="288">
        <v>1.1299999999999999</v>
      </c>
    </row>
    <row r="117" spans="1:14" x14ac:dyDescent="0.25">
      <c r="B117" s="288">
        <v>1.71</v>
      </c>
    </row>
    <row r="118" spans="1:14" x14ac:dyDescent="0.25">
      <c r="B118" s="288">
        <v>1.71</v>
      </c>
    </row>
    <row r="119" spans="1:14" x14ac:dyDescent="0.25">
      <c r="B119" s="288">
        <v>1.74</v>
      </c>
    </row>
    <row r="120" spans="1:14" x14ac:dyDescent="0.25">
      <c r="B120" s="288">
        <v>1.74</v>
      </c>
    </row>
    <row r="121" spans="1:14" x14ac:dyDescent="0.25">
      <c r="B121" s="288">
        <v>2.1</v>
      </c>
    </row>
    <row r="122" spans="1:14" x14ac:dyDescent="0.25">
      <c r="B122" s="288">
        <v>1.74</v>
      </c>
    </row>
    <row r="123" spans="1:14" x14ac:dyDescent="0.25">
      <c r="B123" s="288">
        <v>2.0099999999999998</v>
      </c>
    </row>
    <row r="124" spans="1:14" x14ac:dyDescent="0.25">
      <c r="B124" s="288">
        <v>1.74</v>
      </c>
    </row>
    <row r="125" spans="1:14" x14ac:dyDescent="0.25">
      <c r="B125" s="290">
        <f>SUM(B95:B124)</f>
        <v>51.990000000000009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57" workbookViewId="0">
      <selection activeCell="C79" sqref="C79"/>
    </sheetView>
  </sheetViews>
  <sheetFormatPr defaultRowHeight="14.4" x14ac:dyDescent="0.25"/>
  <cols>
    <col min="1" max="1" width="17.77734375" customWidth="1"/>
  </cols>
  <sheetData>
    <row r="1" spans="1:10" x14ac:dyDescent="0.25">
      <c r="A1" s="288"/>
      <c r="B1" s="288"/>
      <c r="C1" s="288"/>
      <c r="D1" s="288"/>
      <c r="E1" s="288"/>
      <c r="F1" s="288"/>
      <c r="G1" s="288"/>
      <c r="H1" s="288"/>
      <c r="I1" s="288"/>
      <c r="J1" s="288"/>
    </row>
    <row r="2" spans="1:10" x14ac:dyDescent="0.25">
      <c r="A2" s="288" t="s">
        <v>757</v>
      </c>
      <c r="B2" s="288">
        <v>7</v>
      </c>
      <c r="C2" s="288"/>
      <c r="D2" s="288">
        <v>6</v>
      </c>
      <c r="E2" s="288">
        <v>6</v>
      </c>
      <c r="F2" s="288"/>
      <c r="G2" s="288"/>
      <c r="H2" s="288"/>
      <c r="I2" s="288">
        <f>SUM(B2:H2)</f>
        <v>19</v>
      </c>
      <c r="J2" s="288"/>
    </row>
    <row r="3" spans="1:10" x14ac:dyDescent="0.25">
      <c r="A3" s="288" t="s">
        <v>758</v>
      </c>
      <c r="B3" s="288">
        <v>7</v>
      </c>
      <c r="C3" s="288">
        <v>7</v>
      </c>
      <c r="D3" s="288">
        <v>7</v>
      </c>
      <c r="E3" s="288">
        <v>7</v>
      </c>
      <c r="F3" s="288"/>
      <c r="G3" s="288"/>
      <c r="H3" s="288"/>
      <c r="I3" s="288">
        <f>SUM(B3:H3)</f>
        <v>28</v>
      </c>
      <c r="J3" s="288"/>
    </row>
    <row r="4" spans="1:10" x14ac:dyDescent="0.25">
      <c r="A4" s="288" t="s">
        <v>783</v>
      </c>
      <c r="B4" s="288">
        <v>7</v>
      </c>
      <c r="C4" s="288">
        <v>7</v>
      </c>
      <c r="D4" s="288"/>
      <c r="E4" s="288"/>
      <c r="F4" s="288"/>
      <c r="G4" s="288"/>
      <c r="H4" s="288"/>
      <c r="I4" s="288">
        <f>SUM(B4:H4)</f>
        <v>14</v>
      </c>
      <c r="J4" s="288"/>
    </row>
    <row r="5" spans="1:10" x14ac:dyDescent="0.25">
      <c r="A5" s="288" t="s">
        <v>759</v>
      </c>
      <c r="B5" s="288"/>
      <c r="C5" s="288"/>
      <c r="D5" s="288"/>
      <c r="E5" s="288"/>
      <c r="F5" s="288"/>
      <c r="G5" s="288"/>
      <c r="H5" s="288"/>
      <c r="I5" s="288"/>
      <c r="J5" s="288"/>
    </row>
    <row r="6" spans="1:10" x14ac:dyDescent="0.25">
      <c r="A6" s="288" t="s">
        <v>760</v>
      </c>
      <c r="B6" s="288"/>
      <c r="C6" s="288"/>
      <c r="D6" s="288"/>
      <c r="E6" s="288"/>
      <c r="F6" s="288"/>
      <c r="G6" s="288"/>
      <c r="H6" s="288"/>
      <c r="I6" s="288"/>
      <c r="J6" s="288"/>
    </row>
    <row r="7" spans="1:10" x14ac:dyDescent="0.25">
      <c r="A7" s="288" t="s">
        <v>761</v>
      </c>
      <c r="B7" s="288"/>
      <c r="C7" s="288"/>
      <c r="D7" s="288"/>
      <c r="E7" s="288"/>
      <c r="F7" s="288"/>
      <c r="G7" s="288"/>
      <c r="H7" s="288"/>
      <c r="I7" s="288"/>
      <c r="J7" s="288"/>
    </row>
    <row r="8" spans="1:10" x14ac:dyDescent="0.25">
      <c r="A8" s="288" t="s">
        <v>762</v>
      </c>
      <c r="B8" s="288"/>
      <c r="C8" s="288"/>
      <c r="D8" s="288"/>
      <c r="E8" s="288"/>
      <c r="F8" s="288"/>
      <c r="G8" s="288"/>
      <c r="H8" s="288"/>
      <c r="I8" s="288"/>
      <c r="J8" s="288"/>
    </row>
    <row r="9" spans="1:10" x14ac:dyDescent="0.25">
      <c r="A9" s="288" t="s">
        <v>774</v>
      </c>
      <c r="B9" s="288"/>
      <c r="C9" s="288"/>
      <c r="D9" s="288"/>
      <c r="E9" s="288"/>
      <c r="F9" s="288"/>
      <c r="G9" s="288"/>
      <c r="H9" s="288"/>
      <c r="I9" s="288"/>
      <c r="J9" s="288"/>
    </row>
    <row r="10" spans="1:10" x14ac:dyDescent="0.25">
      <c r="A10" s="288" t="s">
        <v>775</v>
      </c>
      <c r="B10" s="288"/>
      <c r="C10" s="288"/>
      <c r="D10" s="288"/>
      <c r="E10" s="288"/>
      <c r="F10" s="288"/>
      <c r="G10" s="288"/>
      <c r="H10" s="288"/>
      <c r="I10" s="288"/>
      <c r="J10" s="288"/>
    </row>
    <row r="11" spans="1:10" x14ac:dyDescent="0.25">
      <c r="A11" s="288" t="s">
        <v>763</v>
      </c>
      <c r="B11" s="288"/>
      <c r="C11" s="288"/>
      <c r="D11" s="288"/>
      <c r="E11" s="288"/>
      <c r="F11" s="288"/>
      <c r="G11" s="288"/>
      <c r="H11" s="288"/>
      <c r="I11" s="288"/>
      <c r="J11" s="288"/>
    </row>
    <row r="12" spans="1:10" x14ac:dyDescent="0.25">
      <c r="A12" s="288" t="s">
        <v>764</v>
      </c>
      <c r="B12" s="288"/>
      <c r="C12" s="288"/>
      <c r="D12" s="288"/>
      <c r="E12" s="288"/>
      <c r="F12" s="288"/>
      <c r="G12" s="288"/>
      <c r="H12" s="288"/>
      <c r="I12" s="288"/>
      <c r="J12" s="288"/>
    </row>
    <row r="13" spans="1:10" x14ac:dyDescent="0.25">
      <c r="A13" s="288" t="s">
        <v>765</v>
      </c>
      <c r="B13" s="288"/>
      <c r="C13" s="288"/>
      <c r="D13" s="288"/>
      <c r="E13" s="288"/>
      <c r="F13" s="288"/>
      <c r="G13" s="288"/>
      <c r="H13" s="288"/>
      <c r="I13" s="288"/>
      <c r="J13" s="288"/>
    </row>
    <row r="14" spans="1:10" x14ac:dyDescent="0.25">
      <c r="A14" s="288" t="s">
        <v>766</v>
      </c>
      <c r="B14" s="288"/>
      <c r="C14" s="288"/>
      <c r="D14" s="288"/>
      <c r="E14" s="288"/>
      <c r="F14" s="288"/>
      <c r="G14" s="288"/>
      <c r="H14" s="288"/>
      <c r="I14" s="288"/>
      <c r="J14" s="288"/>
    </row>
    <row r="15" spans="1:10" x14ac:dyDescent="0.25">
      <c r="A15" s="288" t="s">
        <v>767</v>
      </c>
      <c r="B15" s="288">
        <v>140</v>
      </c>
      <c r="C15" s="288">
        <v>80</v>
      </c>
      <c r="D15" s="288">
        <v>140</v>
      </c>
      <c r="E15" s="288">
        <v>140</v>
      </c>
      <c r="F15" s="288">
        <v>80</v>
      </c>
      <c r="G15" s="288">
        <v>80</v>
      </c>
      <c r="H15" s="288"/>
      <c r="I15" s="288">
        <f>SUM(B15:H15)</f>
        <v>660</v>
      </c>
      <c r="J15" s="288"/>
    </row>
    <row r="16" spans="1:10" x14ac:dyDescent="0.25">
      <c r="A16" s="288" t="s">
        <v>768</v>
      </c>
      <c r="B16" s="288">
        <v>70</v>
      </c>
      <c r="C16" s="288">
        <v>90</v>
      </c>
      <c r="D16" s="288">
        <v>70</v>
      </c>
      <c r="E16" s="288">
        <v>70</v>
      </c>
      <c r="F16" s="288">
        <v>90</v>
      </c>
      <c r="G16" s="288">
        <v>90</v>
      </c>
      <c r="H16" s="288"/>
      <c r="I16" s="288">
        <f t="shared" ref="I16:I21" si="0">SUM(B16:H16)</f>
        <v>480</v>
      </c>
      <c r="J16" s="288"/>
    </row>
    <row r="17" spans="1:10" x14ac:dyDescent="0.25">
      <c r="A17" s="288" t="s">
        <v>769</v>
      </c>
      <c r="B17" s="288">
        <v>1.5</v>
      </c>
      <c r="C17" s="288"/>
      <c r="D17" s="288">
        <v>1.5</v>
      </c>
      <c r="E17" s="288">
        <v>1.5</v>
      </c>
      <c r="F17" s="288"/>
      <c r="G17" s="288"/>
      <c r="H17" s="288"/>
      <c r="I17" s="288">
        <f t="shared" si="0"/>
        <v>4.5</v>
      </c>
      <c r="J17" s="288"/>
    </row>
    <row r="18" spans="1:10" x14ac:dyDescent="0.25">
      <c r="A18" s="288" t="s">
        <v>770</v>
      </c>
      <c r="B18" s="288">
        <v>5</v>
      </c>
      <c r="C18" s="288">
        <v>3</v>
      </c>
      <c r="D18" s="288">
        <v>5</v>
      </c>
      <c r="E18" s="288">
        <v>5</v>
      </c>
      <c r="F18" s="288">
        <v>3</v>
      </c>
      <c r="G18" s="288">
        <v>3</v>
      </c>
      <c r="H18" s="288"/>
      <c r="I18" s="288">
        <f t="shared" si="0"/>
        <v>24</v>
      </c>
      <c r="J18" s="288"/>
    </row>
    <row r="19" spans="1:10" x14ac:dyDescent="0.25">
      <c r="A19" s="288" t="s">
        <v>771</v>
      </c>
      <c r="B19" s="288">
        <v>70</v>
      </c>
      <c r="C19" s="288">
        <v>39</v>
      </c>
      <c r="D19" s="288">
        <v>70</v>
      </c>
      <c r="E19" s="288">
        <v>70</v>
      </c>
      <c r="F19" s="288">
        <v>39</v>
      </c>
      <c r="G19" s="288">
        <v>39</v>
      </c>
      <c r="H19" s="288"/>
      <c r="I19" s="288">
        <f t="shared" si="0"/>
        <v>327</v>
      </c>
      <c r="J19" s="288"/>
    </row>
    <row r="20" spans="1:10" x14ac:dyDescent="0.25">
      <c r="A20" s="288" t="s">
        <v>772</v>
      </c>
      <c r="B20" s="288">
        <v>10</v>
      </c>
      <c r="C20" s="288">
        <v>40</v>
      </c>
      <c r="D20" s="288">
        <v>10</v>
      </c>
      <c r="E20" s="288">
        <v>10</v>
      </c>
      <c r="F20" s="288">
        <v>40</v>
      </c>
      <c r="G20" s="288">
        <v>40</v>
      </c>
      <c r="H20" s="288"/>
      <c r="I20" s="288">
        <f t="shared" si="0"/>
        <v>150</v>
      </c>
      <c r="J20" s="288"/>
    </row>
    <row r="21" spans="1:10" x14ac:dyDescent="0.25">
      <c r="A21" s="288" t="s">
        <v>773</v>
      </c>
      <c r="B21" s="288">
        <v>16</v>
      </c>
      <c r="C21" s="288">
        <v>62</v>
      </c>
      <c r="D21" s="288">
        <v>16</v>
      </c>
      <c r="E21" s="288">
        <v>16</v>
      </c>
      <c r="F21" s="288">
        <v>62</v>
      </c>
      <c r="G21" s="288">
        <v>62</v>
      </c>
      <c r="H21" s="288"/>
      <c r="I21" s="288">
        <f t="shared" si="0"/>
        <v>234</v>
      </c>
      <c r="J21" s="288"/>
    </row>
    <row r="22" spans="1:10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</row>
    <row r="23" spans="1:10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</row>
    <row r="24" spans="1:10" x14ac:dyDescent="0.25">
      <c r="A24" s="288" t="s">
        <v>776</v>
      </c>
      <c r="B24" s="288"/>
      <c r="C24" s="288"/>
      <c r="D24" s="288"/>
      <c r="E24" s="288"/>
      <c r="F24" s="288"/>
      <c r="G24" s="288"/>
      <c r="H24" s="288"/>
      <c r="I24" s="288"/>
      <c r="J24" s="288"/>
    </row>
    <row r="25" spans="1:10" x14ac:dyDescent="0.25">
      <c r="A25" s="288" t="s">
        <v>777</v>
      </c>
      <c r="B25" s="288">
        <v>9.24</v>
      </c>
      <c r="C25" s="288">
        <v>7.24</v>
      </c>
      <c r="D25" s="288">
        <v>7.24</v>
      </c>
      <c r="E25" s="288"/>
      <c r="F25" s="288"/>
      <c r="G25" s="288"/>
      <c r="H25" s="288"/>
      <c r="I25" s="288">
        <f>SUM(B25:H25)</f>
        <v>23.72</v>
      </c>
      <c r="J25" s="288"/>
    </row>
    <row r="26" spans="1:10" x14ac:dyDescent="0.25">
      <c r="A26" s="288" t="s">
        <v>782</v>
      </c>
      <c r="B26" s="288">
        <v>0.8</v>
      </c>
      <c r="C26" s="288">
        <v>0.8</v>
      </c>
      <c r="D26" s="288">
        <v>0.8</v>
      </c>
      <c r="E26" s="288"/>
      <c r="F26" s="288"/>
      <c r="G26" s="288"/>
      <c r="H26" s="288"/>
      <c r="I26" s="288">
        <f>SUM(B26:H26)</f>
        <v>2.4000000000000004</v>
      </c>
      <c r="J26" s="288"/>
    </row>
    <row r="27" spans="1:10" x14ac:dyDescent="0.25">
      <c r="D27" s="288"/>
      <c r="E27" s="288"/>
      <c r="F27" s="288"/>
      <c r="G27" s="288"/>
      <c r="H27" s="288"/>
      <c r="I27" s="288"/>
      <c r="J27" s="288"/>
    </row>
    <row r="28" spans="1:10" x14ac:dyDescent="0.25">
      <c r="D28" s="288"/>
      <c r="E28" s="288"/>
      <c r="F28" s="288"/>
      <c r="G28" s="288"/>
      <c r="H28" s="288"/>
      <c r="I28" s="288"/>
      <c r="J28" s="288"/>
    </row>
    <row r="29" spans="1:10" x14ac:dyDescent="0.25">
      <c r="A29" s="288"/>
      <c r="B29" s="288"/>
      <c r="C29" s="288"/>
      <c r="D29" s="288"/>
      <c r="E29" s="288"/>
      <c r="F29" s="288"/>
      <c r="G29" s="288"/>
      <c r="H29" s="288"/>
      <c r="I29" s="288"/>
      <c r="J29" s="288"/>
    </row>
    <row r="30" spans="1:10" x14ac:dyDescent="0.25">
      <c r="A30" s="288" t="s">
        <v>781</v>
      </c>
      <c r="B30" s="288">
        <v>0.11</v>
      </c>
      <c r="C30" s="288">
        <v>0.11</v>
      </c>
      <c r="D30" s="288">
        <v>0.11</v>
      </c>
      <c r="E30" s="288"/>
      <c r="F30" s="288"/>
      <c r="G30" s="288"/>
      <c r="H30" s="288"/>
      <c r="I30" s="288">
        <f>SUM(B30:H30)</f>
        <v>0.33</v>
      </c>
      <c r="J30" s="288"/>
    </row>
    <row r="31" spans="1:10" x14ac:dyDescent="0.25">
      <c r="A31" s="288"/>
      <c r="B31" s="288"/>
      <c r="C31" s="288"/>
      <c r="D31" s="288"/>
      <c r="E31" s="288"/>
      <c r="F31" s="288"/>
      <c r="G31" s="288"/>
      <c r="H31" s="288"/>
      <c r="I31" s="288"/>
      <c r="J31" s="288"/>
    </row>
    <row r="32" spans="1:10" x14ac:dyDescent="0.25">
      <c r="A32" s="288"/>
      <c r="B32" s="288"/>
      <c r="C32" s="288"/>
      <c r="D32" s="288"/>
      <c r="E32" s="288"/>
      <c r="F32" s="288"/>
      <c r="G32" s="288"/>
      <c r="H32" s="288"/>
      <c r="I32" s="288"/>
      <c r="J32" s="288"/>
    </row>
    <row r="35" spans="1:9" x14ac:dyDescent="0.25">
      <c r="A35" s="288" t="s">
        <v>778</v>
      </c>
      <c r="B35" s="288">
        <v>14</v>
      </c>
      <c r="C35" s="288">
        <v>0.33</v>
      </c>
    </row>
    <row r="36" spans="1:9" x14ac:dyDescent="0.25">
      <c r="A36" s="288" t="s">
        <v>779</v>
      </c>
      <c r="B36" s="288">
        <v>22</v>
      </c>
      <c r="C36" s="288">
        <v>0.21</v>
      </c>
    </row>
    <row r="37" spans="1:9" x14ac:dyDescent="0.25">
      <c r="A37" s="288" t="s">
        <v>780</v>
      </c>
      <c r="B37" s="288">
        <v>8</v>
      </c>
      <c r="C37" s="288">
        <v>0.1</v>
      </c>
    </row>
    <row r="39" spans="1:9" x14ac:dyDescent="0.25">
      <c r="A39" s="288" t="s">
        <v>905</v>
      </c>
      <c r="B39" s="348" t="s">
        <v>864</v>
      </c>
      <c r="C39" s="348" t="s">
        <v>865</v>
      </c>
      <c r="D39" s="348" t="s">
        <v>866</v>
      </c>
    </row>
    <row r="40" spans="1:9" x14ac:dyDescent="0.25">
      <c r="A40" s="288" t="s">
        <v>906</v>
      </c>
      <c r="B40" s="288">
        <f>16*0.87</f>
        <v>13.92</v>
      </c>
      <c r="C40" s="288">
        <f>16*0.87</f>
        <v>13.92</v>
      </c>
      <c r="D40" s="288">
        <f>20*0.87</f>
        <v>17.399999999999999</v>
      </c>
      <c r="E40" s="288"/>
      <c r="F40" s="288"/>
      <c r="G40" s="288"/>
      <c r="H40" s="288"/>
      <c r="I40" s="288"/>
    </row>
    <row r="41" spans="1:9" x14ac:dyDescent="0.25">
      <c r="A41" s="288" t="s">
        <v>907</v>
      </c>
      <c r="B41" s="288">
        <f>10*0.87</f>
        <v>8.6999999999999993</v>
      </c>
      <c r="C41" s="288">
        <f>10*0.87</f>
        <v>8.6999999999999993</v>
      </c>
      <c r="D41" s="288">
        <f>10*0.87</f>
        <v>8.6999999999999993</v>
      </c>
      <c r="E41" s="288"/>
      <c r="F41" s="288"/>
      <c r="G41" s="288"/>
      <c r="H41" s="288"/>
      <c r="I41" s="288"/>
    </row>
    <row r="42" spans="1:9" x14ac:dyDescent="0.25">
      <c r="B42" s="288"/>
      <c r="C42" s="288"/>
      <c r="D42" s="288"/>
      <c r="E42" s="288"/>
      <c r="F42" s="288"/>
      <c r="G42" s="288"/>
      <c r="H42" s="288"/>
      <c r="I42" s="288"/>
    </row>
    <row r="43" spans="1:9" x14ac:dyDescent="0.25">
      <c r="A43" s="290" t="s">
        <v>1231</v>
      </c>
      <c r="B43" s="288"/>
      <c r="C43" s="288"/>
      <c r="D43" s="288"/>
      <c r="E43" s="288"/>
      <c r="F43" s="288"/>
      <c r="G43" s="288"/>
      <c r="H43" s="288"/>
      <c r="I43" s="288"/>
    </row>
    <row r="44" spans="1:9" x14ac:dyDescent="0.25">
      <c r="A44" s="289" t="s">
        <v>984</v>
      </c>
      <c r="B44" s="288">
        <v>1</v>
      </c>
      <c r="C44" s="288">
        <v>32.26</v>
      </c>
      <c r="D44" s="288">
        <f>B44*C44</f>
        <v>32.26</v>
      </c>
      <c r="E44" s="288"/>
      <c r="F44" s="288"/>
      <c r="G44" s="288"/>
      <c r="H44" s="288"/>
      <c r="I44" s="288"/>
    </row>
    <row r="45" spans="1:9" x14ac:dyDescent="0.25">
      <c r="A45" s="289" t="s">
        <v>985</v>
      </c>
      <c r="B45" s="288">
        <v>1</v>
      </c>
      <c r="C45" s="288">
        <v>20.63</v>
      </c>
      <c r="D45" s="288">
        <f t="shared" ref="D45:D50" si="1">B45*C45</f>
        <v>20.63</v>
      </c>
      <c r="E45" s="288"/>
      <c r="F45" s="288"/>
      <c r="G45" s="288"/>
      <c r="H45" s="288"/>
      <c r="I45" s="288"/>
    </row>
    <row r="46" spans="1:9" x14ac:dyDescent="0.25">
      <c r="A46" s="289" t="s">
        <v>986</v>
      </c>
      <c r="B46" s="288">
        <v>1</v>
      </c>
      <c r="C46" s="288">
        <v>29.2</v>
      </c>
      <c r="D46" s="288">
        <f t="shared" si="1"/>
        <v>29.2</v>
      </c>
      <c r="E46" s="288"/>
      <c r="F46" s="288"/>
      <c r="G46" s="288"/>
      <c r="H46" s="288"/>
      <c r="I46" s="288"/>
    </row>
    <row r="47" spans="1:9" x14ac:dyDescent="0.25">
      <c r="A47" s="289" t="s">
        <v>987</v>
      </c>
      <c r="B47" s="288">
        <v>1</v>
      </c>
      <c r="C47" s="288">
        <v>2.16</v>
      </c>
      <c r="D47" s="288">
        <f t="shared" si="1"/>
        <v>2.16</v>
      </c>
      <c r="E47" s="288"/>
      <c r="F47" s="288"/>
      <c r="G47" s="288"/>
      <c r="H47" s="288"/>
      <c r="I47" s="288"/>
    </row>
    <row r="48" spans="1:9" x14ac:dyDescent="0.25">
      <c r="A48" s="289" t="s">
        <v>988</v>
      </c>
      <c r="B48" s="288">
        <v>7</v>
      </c>
      <c r="C48" s="288">
        <v>0.78</v>
      </c>
      <c r="D48" s="288">
        <f t="shared" si="1"/>
        <v>5.46</v>
      </c>
      <c r="E48" s="288"/>
      <c r="F48" s="288"/>
      <c r="G48" s="288"/>
      <c r="H48" s="288"/>
      <c r="I48" s="288"/>
    </row>
    <row r="49" spans="1:9" x14ac:dyDescent="0.25">
      <c r="A49" s="289" t="s">
        <v>989</v>
      </c>
      <c r="B49" s="288">
        <v>2</v>
      </c>
      <c r="C49" s="288">
        <v>1.25</v>
      </c>
      <c r="D49" s="288">
        <f t="shared" si="1"/>
        <v>2.5</v>
      </c>
      <c r="E49" s="288"/>
      <c r="F49" s="288"/>
      <c r="G49" s="288"/>
      <c r="H49" s="288"/>
      <c r="I49" s="288"/>
    </row>
    <row r="50" spans="1:9" x14ac:dyDescent="0.25">
      <c r="A50" s="289" t="s">
        <v>990</v>
      </c>
      <c r="B50" s="288">
        <v>5</v>
      </c>
      <c r="C50" s="288">
        <v>0.67</v>
      </c>
      <c r="D50" s="288">
        <f t="shared" si="1"/>
        <v>3.35</v>
      </c>
      <c r="E50" s="288"/>
      <c r="F50" s="288"/>
      <c r="G50" s="288"/>
      <c r="H50" s="288"/>
      <c r="I50" s="288"/>
    </row>
    <row r="51" spans="1:9" x14ac:dyDescent="0.25">
      <c r="B51" s="288"/>
      <c r="C51" s="288"/>
      <c r="D51" s="408">
        <f>SUM(D44:D50)</f>
        <v>95.559999999999988</v>
      </c>
      <c r="E51" s="288"/>
      <c r="F51" s="288"/>
      <c r="G51" s="288"/>
      <c r="H51" s="288"/>
      <c r="I51" s="288"/>
    </row>
    <row r="52" spans="1:9" x14ac:dyDescent="0.25">
      <c r="B52" s="288"/>
      <c r="C52" s="288"/>
      <c r="D52" s="288"/>
      <c r="E52" s="288"/>
      <c r="F52" s="288"/>
      <c r="G52" s="288"/>
      <c r="H52" s="288"/>
      <c r="I52" s="288"/>
    </row>
    <row r="53" spans="1:9" x14ac:dyDescent="0.25">
      <c r="A53" s="290" t="s">
        <v>1230</v>
      </c>
      <c r="B53" s="288"/>
      <c r="C53" s="288"/>
      <c r="D53" s="288"/>
      <c r="E53" s="288"/>
      <c r="F53" s="288"/>
      <c r="G53" s="288"/>
      <c r="H53" s="288"/>
      <c r="I53" s="288"/>
    </row>
    <row r="54" spans="1:9" x14ac:dyDescent="0.25">
      <c r="A54" s="289" t="s">
        <v>999</v>
      </c>
      <c r="B54" s="288">
        <v>1</v>
      </c>
      <c r="C54" s="288">
        <v>29.25</v>
      </c>
      <c r="D54" s="288">
        <f t="shared" ref="D54:D60" si="2">B54*C54</f>
        <v>29.25</v>
      </c>
      <c r="E54" s="288"/>
      <c r="F54" s="288"/>
      <c r="G54" s="288"/>
      <c r="H54" s="288"/>
      <c r="I54" s="288"/>
    </row>
    <row r="55" spans="1:9" x14ac:dyDescent="0.25">
      <c r="A55" s="289" t="s">
        <v>1000</v>
      </c>
      <c r="B55" s="288">
        <v>1</v>
      </c>
      <c r="C55" s="288">
        <v>16.690000000000001</v>
      </c>
      <c r="D55" s="288">
        <f t="shared" si="2"/>
        <v>16.690000000000001</v>
      </c>
      <c r="E55" s="288"/>
      <c r="F55" s="288"/>
      <c r="G55" s="288"/>
      <c r="H55" s="288"/>
      <c r="I55" s="288"/>
    </row>
    <row r="56" spans="1:9" x14ac:dyDescent="0.25">
      <c r="A56" s="289" t="s">
        <v>1001</v>
      </c>
      <c r="B56">
        <v>1</v>
      </c>
      <c r="C56" s="288">
        <v>25.13</v>
      </c>
      <c r="D56" s="288">
        <f t="shared" si="2"/>
        <v>25.13</v>
      </c>
    </row>
    <row r="57" spans="1:9" x14ac:dyDescent="0.25">
      <c r="A57" s="289" t="s">
        <v>987</v>
      </c>
      <c r="B57" s="288">
        <v>1</v>
      </c>
      <c r="C57" s="288">
        <v>2.16</v>
      </c>
      <c r="D57" s="288">
        <f t="shared" si="2"/>
        <v>2.16</v>
      </c>
    </row>
    <row r="58" spans="1:9" x14ac:dyDescent="0.25">
      <c r="A58" s="289" t="s">
        <v>988</v>
      </c>
      <c r="B58" s="288">
        <v>6</v>
      </c>
      <c r="C58" s="288">
        <v>0.78</v>
      </c>
      <c r="D58" s="288">
        <f t="shared" si="2"/>
        <v>4.68</v>
      </c>
    </row>
    <row r="59" spans="1:9" x14ac:dyDescent="0.25">
      <c r="A59" s="289" t="s">
        <v>989</v>
      </c>
      <c r="B59" s="288">
        <v>2</v>
      </c>
      <c r="C59" s="288">
        <v>1.25</v>
      </c>
      <c r="D59" s="288">
        <f t="shared" si="2"/>
        <v>2.5</v>
      </c>
    </row>
    <row r="60" spans="1:9" x14ac:dyDescent="0.25">
      <c r="A60" s="289" t="s">
        <v>990</v>
      </c>
      <c r="B60" s="288">
        <v>4</v>
      </c>
      <c r="C60" s="288">
        <v>0.67</v>
      </c>
      <c r="D60" s="288">
        <f t="shared" si="2"/>
        <v>2.68</v>
      </c>
    </row>
    <row r="61" spans="1:9" x14ac:dyDescent="0.25">
      <c r="D61" s="408">
        <f>SUM(D54:D60)</f>
        <v>83.09</v>
      </c>
      <c r="F61">
        <f>D61*6</f>
        <v>498.54</v>
      </c>
    </row>
    <row r="63" spans="1:9" x14ac:dyDescent="0.25">
      <c r="A63" s="290" t="s">
        <v>1229</v>
      </c>
    </row>
    <row r="64" spans="1:9" x14ac:dyDescent="0.25">
      <c r="A64" s="289" t="s">
        <v>1002</v>
      </c>
      <c r="B64" s="288">
        <v>1</v>
      </c>
      <c r="C64" s="288">
        <f>8*1.96+14*0.53</f>
        <v>23.1</v>
      </c>
      <c r="D64" s="288">
        <f t="shared" ref="D64:D70" si="3">B64*C64</f>
        <v>23.1</v>
      </c>
    </row>
    <row r="65" spans="1:4" x14ac:dyDescent="0.25">
      <c r="A65" s="289" t="s">
        <v>1003</v>
      </c>
      <c r="B65" s="288">
        <v>1</v>
      </c>
      <c r="C65" s="288">
        <f>8*0.78+5*0.53</f>
        <v>8.89</v>
      </c>
      <c r="D65" s="288">
        <f t="shared" si="3"/>
        <v>8.89</v>
      </c>
    </row>
    <row r="66" spans="1:4" x14ac:dyDescent="0.25">
      <c r="A66" s="289" t="s">
        <v>1004</v>
      </c>
      <c r="B66" s="288">
        <v>1</v>
      </c>
      <c r="C66" s="288">
        <f>8*1.7+11*0.53</f>
        <v>19.43</v>
      </c>
      <c r="D66" s="288">
        <f t="shared" si="3"/>
        <v>19.43</v>
      </c>
    </row>
    <row r="67" spans="1:4" x14ac:dyDescent="0.25">
      <c r="A67" s="289" t="s">
        <v>987</v>
      </c>
      <c r="B67" s="288">
        <v>1</v>
      </c>
      <c r="C67" s="288">
        <v>2.16</v>
      </c>
      <c r="D67" s="288">
        <f t="shared" si="3"/>
        <v>2.16</v>
      </c>
    </row>
    <row r="68" spans="1:4" x14ac:dyDescent="0.25">
      <c r="A68" s="289" t="s">
        <v>988</v>
      </c>
      <c r="B68" s="288">
        <v>5</v>
      </c>
      <c r="C68" s="288">
        <v>0.78</v>
      </c>
      <c r="D68" s="288">
        <f t="shared" si="3"/>
        <v>3.9000000000000004</v>
      </c>
    </row>
    <row r="69" spans="1:4" x14ac:dyDescent="0.25">
      <c r="A69" s="289" t="s">
        <v>989</v>
      </c>
      <c r="B69" s="288">
        <v>2</v>
      </c>
      <c r="C69" s="288">
        <v>1.25</v>
      </c>
      <c r="D69" s="288">
        <f t="shared" si="3"/>
        <v>2.5</v>
      </c>
    </row>
    <row r="70" spans="1:4" x14ac:dyDescent="0.25">
      <c r="A70" s="289" t="s">
        <v>990</v>
      </c>
      <c r="B70" s="288">
        <v>3</v>
      </c>
      <c r="C70" s="288">
        <v>0.67</v>
      </c>
      <c r="D70" s="288">
        <f t="shared" si="3"/>
        <v>2.0100000000000002</v>
      </c>
    </row>
    <row r="71" spans="1:4" x14ac:dyDescent="0.25">
      <c r="B71" s="288"/>
      <c r="C71" s="288"/>
      <c r="D71" s="408">
        <f>SUM(D64:D70)</f>
        <v>61.989999999999995</v>
      </c>
    </row>
    <row r="72" spans="1:4" x14ac:dyDescent="0.25">
      <c r="B72" s="288"/>
      <c r="C72" s="288"/>
    </row>
    <row r="73" spans="1:4" x14ac:dyDescent="0.25">
      <c r="A73" s="290" t="s">
        <v>1235</v>
      </c>
      <c r="B73" s="288"/>
      <c r="C73" s="288">
        <v>30.2</v>
      </c>
    </row>
    <row r="74" spans="1:4" x14ac:dyDescent="0.25">
      <c r="B74" s="288"/>
      <c r="C74" s="288">
        <v>0.66</v>
      </c>
    </row>
    <row r="75" spans="1:4" x14ac:dyDescent="0.25">
      <c r="B75" s="288"/>
      <c r="C75" s="288">
        <v>4.54</v>
      </c>
    </row>
    <row r="76" spans="1:4" x14ac:dyDescent="0.25">
      <c r="B76" s="288"/>
      <c r="C76" s="288">
        <v>30.3</v>
      </c>
    </row>
    <row r="77" spans="1:4" x14ac:dyDescent="0.25">
      <c r="B77" s="288"/>
      <c r="C77" s="288">
        <v>28.98</v>
      </c>
    </row>
    <row r="78" spans="1:4" x14ac:dyDescent="0.25">
      <c r="B78" s="288"/>
      <c r="C78" s="288">
        <v>3.78</v>
      </c>
    </row>
    <row r="79" spans="1:4" x14ac:dyDescent="0.25">
      <c r="B79" s="288"/>
      <c r="C79" s="434">
        <f>SUM(C73:C78)</f>
        <v>98.460000000000008</v>
      </c>
    </row>
    <row r="80" spans="1:4" x14ac:dyDescent="0.25">
      <c r="B80" s="288"/>
      <c r="C80" s="288"/>
    </row>
    <row r="81" spans="2:3" x14ac:dyDescent="0.25">
      <c r="B81" s="288"/>
      <c r="C81" s="28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workbookViewId="0">
      <pane ySplit="1" topLeftCell="A53" activePane="bottomLeft" state="frozen"/>
      <selection pane="bottomLeft" activeCell="O70" sqref="O70"/>
    </sheetView>
  </sheetViews>
  <sheetFormatPr defaultRowHeight="14.4" x14ac:dyDescent="0.25"/>
  <cols>
    <col min="1" max="1" width="21.6640625" hidden="1" customWidth="1"/>
    <col min="2" max="2" width="9" hidden="1" customWidth="1"/>
    <col min="3" max="9" width="0" hidden="1" customWidth="1"/>
  </cols>
  <sheetData>
    <row r="1" spans="1:19" x14ac:dyDescent="0.25">
      <c r="A1" s="310"/>
      <c r="B1" s="288" t="s">
        <v>727</v>
      </c>
      <c r="C1" s="288" t="s">
        <v>728</v>
      </c>
      <c r="D1" s="288" t="s">
        <v>726</v>
      </c>
      <c r="E1" s="288" t="s">
        <v>729</v>
      </c>
      <c r="F1" s="288" t="s">
        <v>730</v>
      </c>
      <c r="G1" s="288" t="s">
        <v>913</v>
      </c>
      <c r="H1" s="288" t="s">
        <v>910</v>
      </c>
      <c r="I1" s="288"/>
      <c r="J1" s="288"/>
      <c r="K1" s="288"/>
    </row>
    <row r="2" spans="1:19" x14ac:dyDescent="0.25">
      <c r="A2" s="288" t="s">
        <v>725</v>
      </c>
      <c r="B2" s="288"/>
      <c r="C2" s="288"/>
      <c r="D2" s="288"/>
      <c r="E2" s="288"/>
      <c r="F2" s="288"/>
      <c r="G2" s="288"/>
      <c r="H2" s="288"/>
      <c r="I2" s="288"/>
      <c r="J2" s="288" t="s">
        <v>725</v>
      </c>
      <c r="K2" s="288"/>
      <c r="L2" s="288"/>
      <c r="M2" s="288"/>
      <c r="N2" s="288"/>
      <c r="O2" s="288"/>
      <c r="P2" s="288"/>
      <c r="Q2" s="288"/>
      <c r="R2" s="288"/>
      <c r="S2" s="288"/>
    </row>
    <row r="3" spans="1:19" x14ac:dyDescent="0.25">
      <c r="B3" s="288"/>
      <c r="C3" s="288"/>
      <c r="D3" s="288"/>
      <c r="E3" s="288"/>
      <c r="F3" s="288"/>
      <c r="G3" s="288"/>
      <c r="H3" s="288"/>
      <c r="I3" s="288"/>
      <c r="J3" s="289" t="s">
        <v>1275</v>
      </c>
      <c r="K3" s="288">
        <v>204</v>
      </c>
      <c r="L3" s="288">
        <v>3.24</v>
      </c>
      <c r="M3" s="288">
        <f>K3*L3</f>
        <v>660.96</v>
      </c>
      <c r="N3" s="288"/>
      <c r="O3" s="288"/>
      <c r="Q3" s="288"/>
      <c r="R3" s="288"/>
      <c r="S3" s="288"/>
    </row>
    <row r="4" spans="1:19" x14ac:dyDescent="0.25">
      <c r="A4" s="289"/>
      <c r="B4" s="288"/>
      <c r="C4" s="288"/>
      <c r="D4" s="288"/>
      <c r="E4" s="288"/>
      <c r="I4" s="288"/>
      <c r="J4" s="288"/>
      <c r="K4" s="288">
        <v>1374</v>
      </c>
      <c r="L4" s="288">
        <v>1.58</v>
      </c>
      <c r="M4" s="288">
        <f t="shared" ref="M4:M14" si="0">K4*L4</f>
        <v>2170.92</v>
      </c>
      <c r="N4" s="288"/>
      <c r="O4" s="288"/>
      <c r="P4" s="288"/>
      <c r="Q4" s="288"/>
      <c r="R4" s="288"/>
      <c r="S4" s="288"/>
    </row>
    <row r="5" spans="1:19" x14ac:dyDescent="0.25">
      <c r="A5" s="293"/>
      <c r="B5" s="288"/>
      <c r="C5" s="288"/>
      <c r="D5" s="288"/>
      <c r="E5" s="288"/>
      <c r="F5" s="294"/>
      <c r="G5" s="294"/>
      <c r="H5" s="294"/>
      <c r="I5" s="288"/>
      <c r="J5" s="294"/>
      <c r="K5" s="288">
        <v>204</v>
      </c>
      <c r="L5" s="288">
        <v>4.1900000000000004</v>
      </c>
      <c r="M5" s="288">
        <f t="shared" si="0"/>
        <v>854.7600000000001</v>
      </c>
      <c r="N5" s="288"/>
      <c r="O5" s="288"/>
      <c r="P5" s="288"/>
      <c r="Q5" s="288"/>
      <c r="R5" s="288"/>
      <c r="S5" s="288"/>
    </row>
    <row r="6" spans="1:19" x14ac:dyDescent="0.25">
      <c r="A6" s="295"/>
      <c r="B6" s="288"/>
      <c r="C6" s="288"/>
      <c r="D6" s="288"/>
      <c r="E6" s="288"/>
      <c r="F6" s="296"/>
      <c r="G6" s="296"/>
      <c r="H6" s="296"/>
      <c r="I6" s="288"/>
      <c r="J6" s="296"/>
      <c r="K6" s="288">
        <v>196</v>
      </c>
      <c r="L6" s="288">
        <v>3.71</v>
      </c>
      <c r="M6" s="288">
        <f t="shared" si="0"/>
        <v>727.16</v>
      </c>
      <c r="N6" s="288"/>
      <c r="O6" s="288"/>
      <c r="P6" s="288"/>
      <c r="Q6" s="288"/>
      <c r="R6" s="288"/>
      <c r="S6" s="288"/>
    </row>
    <row r="7" spans="1:19" x14ac:dyDescent="0.25">
      <c r="A7" s="289"/>
      <c r="B7" s="288"/>
      <c r="C7" s="288"/>
      <c r="D7" s="288"/>
      <c r="E7" s="288"/>
      <c r="I7" s="288"/>
      <c r="J7" s="288"/>
      <c r="K7" s="288">
        <v>94</v>
      </c>
      <c r="L7" s="288">
        <v>2.29</v>
      </c>
      <c r="M7" s="288">
        <f t="shared" si="0"/>
        <v>215.26</v>
      </c>
      <c r="N7" s="293"/>
      <c r="O7" s="288"/>
      <c r="P7" s="288"/>
      <c r="Q7" s="288"/>
      <c r="R7" s="288"/>
      <c r="S7" s="288"/>
    </row>
    <row r="8" spans="1:19" x14ac:dyDescent="0.25">
      <c r="A8" s="291"/>
      <c r="B8" s="288"/>
      <c r="C8" s="288"/>
      <c r="D8" s="288"/>
      <c r="E8" s="288"/>
      <c r="F8" s="297"/>
      <c r="G8" s="297"/>
      <c r="H8" s="297"/>
      <c r="I8" s="288"/>
      <c r="J8" s="288"/>
      <c r="K8" s="288">
        <v>38</v>
      </c>
      <c r="L8" s="288">
        <v>0.75</v>
      </c>
      <c r="M8" s="288">
        <f t="shared" si="0"/>
        <v>28.5</v>
      </c>
      <c r="N8" s="295"/>
      <c r="O8" s="288"/>
      <c r="P8" s="288"/>
      <c r="Q8" s="288"/>
      <c r="R8" s="288"/>
      <c r="S8" s="288"/>
    </row>
    <row r="9" spans="1:19" x14ac:dyDescent="0.25">
      <c r="A9" s="292"/>
      <c r="B9" s="288"/>
      <c r="C9" s="288"/>
      <c r="D9" s="288"/>
      <c r="E9" s="288"/>
      <c r="F9" s="300"/>
      <c r="G9" s="300"/>
      <c r="H9" s="300"/>
      <c r="I9" s="288"/>
      <c r="J9" s="288"/>
      <c r="K9" s="288">
        <v>1100</v>
      </c>
      <c r="L9" s="288">
        <v>0.88800000000000001</v>
      </c>
      <c r="M9" s="288">
        <f t="shared" si="0"/>
        <v>976.80000000000007</v>
      </c>
      <c r="N9" s="291"/>
      <c r="O9" s="288"/>
      <c r="P9" s="288"/>
      <c r="Q9" s="288"/>
      <c r="R9" s="288"/>
      <c r="S9" s="288"/>
    </row>
    <row r="10" spans="1:19" ht="15" thickBot="1" x14ac:dyDescent="0.3">
      <c r="A10" s="292"/>
      <c r="B10" s="288"/>
      <c r="C10" s="288"/>
      <c r="D10" s="288"/>
      <c r="E10" s="288"/>
      <c r="F10" s="300"/>
      <c r="G10" s="300"/>
      <c r="H10" s="300"/>
      <c r="I10" s="288"/>
      <c r="J10" s="288"/>
      <c r="K10" s="288">
        <v>94</v>
      </c>
      <c r="L10" s="288">
        <v>1.02</v>
      </c>
      <c r="M10" s="288">
        <f t="shared" si="0"/>
        <v>95.88</v>
      </c>
      <c r="N10" s="291"/>
      <c r="O10" s="288"/>
      <c r="P10" s="288"/>
      <c r="Q10" s="288"/>
      <c r="R10" s="288"/>
      <c r="S10" s="288"/>
    </row>
    <row r="11" spans="1:19" ht="15" thickBot="1" x14ac:dyDescent="0.3">
      <c r="A11" s="292"/>
      <c r="B11" s="408">
        <f>SUM(B2:B9)</f>
        <v>0</v>
      </c>
      <c r="C11" s="408">
        <f>SUM(C2:C9)</f>
        <v>0</v>
      </c>
      <c r="D11" s="408">
        <f>SUM(D2:D9)</f>
        <v>0</v>
      </c>
      <c r="E11" s="408">
        <f>SUM(E2:E9)</f>
        <v>0</v>
      </c>
      <c r="F11" s="409">
        <f>SUM(F2:F9)</f>
        <v>0</v>
      </c>
      <c r="G11" s="411"/>
      <c r="H11" s="411"/>
      <c r="I11" s="410">
        <f>SUM(B11:F11)</f>
        <v>0</v>
      </c>
      <c r="J11" s="288"/>
      <c r="K11" s="288">
        <v>11</v>
      </c>
      <c r="L11" s="288">
        <v>1.44</v>
      </c>
      <c r="M11" s="288">
        <f t="shared" si="0"/>
        <v>15.84</v>
      </c>
      <c r="N11" s="291"/>
      <c r="O11" s="288"/>
      <c r="P11" s="288"/>
      <c r="Q11" s="288"/>
      <c r="R11" s="288"/>
      <c r="S11" s="288"/>
    </row>
    <row r="12" spans="1:19" x14ac:dyDescent="0.25">
      <c r="B12" s="288"/>
      <c r="C12" s="288"/>
      <c r="D12" s="288"/>
      <c r="E12" s="288"/>
      <c r="F12" s="300"/>
      <c r="G12" s="300"/>
      <c r="H12" s="300"/>
      <c r="I12" s="288"/>
      <c r="J12" s="288"/>
      <c r="K12" s="288">
        <v>88</v>
      </c>
      <c r="L12" s="288">
        <v>1.61</v>
      </c>
      <c r="M12" s="288">
        <f>K12*L12</f>
        <v>141.68</v>
      </c>
      <c r="N12" s="291"/>
      <c r="O12" s="288"/>
      <c r="P12" s="288"/>
      <c r="Q12" s="288"/>
      <c r="R12" s="288"/>
      <c r="S12" s="288"/>
    </row>
    <row r="13" spans="1:19" x14ac:dyDescent="0.25">
      <c r="A13" s="288" t="s">
        <v>909</v>
      </c>
      <c r="B13" s="288">
        <f>205*2.09</f>
        <v>428.45</v>
      </c>
      <c r="C13" s="288">
        <f>417*2.11</f>
        <v>879.87</v>
      </c>
      <c r="D13" s="288">
        <f>230*3.71</f>
        <v>853.3</v>
      </c>
      <c r="E13" s="288">
        <f>22*6.53</f>
        <v>143.66</v>
      </c>
      <c r="F13" s="288">
        <f>350*1.09</f>
        <v>381.5</v>
      </c>
      <c r="G13" s="288"/>
      <c r="H13" s="288"/>
      <c r="I13" s="288"/>
      <c r="J13" s="288"/>
      <c r="K13" s="288">
        <v>60</v>
      </c>
      <c r="L13" s="288">
        <v>1.42</v>
      </c>
      <c r="M13" s="288">
        <f t="shared" si="0"/>
        <v>85.199999999999989</v>
      </c>
      <c r="N13" s="291"/>
      <c r="O13" s="288"/>
      <c r="P13" s="288"/>
      <c r="Q13" s="288"/>
      <c r="R13" s="288"/>
      <c r="S13" s="288"/>
    </row>
    <row r="14" spans="1:19" ht="15" thickBot="1" x14ac:dyDescent="0.3">
      <c r="A14" s="288"/>
      <c r="B14" s="288">
        <f>387*1.55</f>
        <v>599.85</v>
      </c>
      <c r="C14" s="288">
        <f>144*1.75</f>
        <v>252</v>
      </c>
      <c r="D14" s="288">
        <f>42*2.76</f>
        <v>115.91999999999999</v>
      </c>
      <c r="E14" s="288">
        <f>12*5.06</f>
        <v>60.72</v>
      </c>
      <c r="F14" s="300"/>
      <c r="G14" s="300"/>
      <c r="H14" s="300"/>
      <c r="I14" s="288"/>
      <c r="J14" s="288"/>
      <c r="K14" s="288">
        <v>60</v>
      </c>
      <c r="L14" s="288">
        <v>1.6</v>
      </c>
      <c r="M14" s="288">
        <f t="shared" si="0"/>
        <v>96</v>
      </c>
      <c r="N14" s="291"/>
      <c r="O14" s="288"/>
      <c r="P14" s="288"/>
      <c r="Q14" s="288"/>
      <c r="R14" s="288"/>
      <c r="S14" s="288"/>
    </row>
    <row r="15" spans="1:19" ht="15" thickBot="1" x14ac:dyDescent="0.3">
      <c r="A15" s="288"/>
      <c r="B15" s="288">
        <f>144*1.29</f>
        <v>185.76</v>
      </c>
      <c r="C15" s="288">
        <f>186*1.39</f>
        <v>258.53999999999996</v>
      </c>
      <c r="D15" s="288">
        <f>125.2*1.578</f>
        <v>197.56560000000002</v>
      </c>
      <c r="E15" s="288">
        <f>104.4*2.466</f>
        <v>257.45040000000006</v>
      </c>
      <c r="F15" s="300"/>
      <c r="G15" s="300"/>
      <c r="H15" s="300"/>
      <c r="I15" s="288"/>
      <c r="J15" s="288"/>
      <c r="K15" s="288"/>
      <c r="L15" s="288"/>
      <c r="M15" s="410">
        <f>SUM(M3:M14)</f>
        <v>6068.9600000000009</v>
      </c>
      <c r="N15" s="291"/>
      <c r="O15" s="288"/>
      <c r="P15" s="288"/>
      <c r="Q15" s="288"/>
      <c r="R15" s="288"/>
      <c r="S15" s="288"/>
    </row>
    <row r="16" spans="1:19" x14ac:dyDescent="0.25">
      <c r="A16" s="288"/>
      <c r="B16" s="288">
        <f>186*1.02</f>
        <v>189.72</v>
      </c>
      <c r="C16" s="288">
        <f>86*1.03</f>
        <v>88.58</v>
      </c>
      <c r="D16" s="288"/>
      <c r="E16" s="288"/>
      <c r="F16" s="300"/>
      <c r="G16" s="300"/>
      <c r="H16" s="300"/>
      <c r="I16" s="288"/>
      <c r="J16" s="288" t="s">
        <v>1314</v>
      </c>
      <c r="K16" s="288"/>
      <c r="L16" s="288"/>
      <c r="M16" s="288"/>
      <c r="N16" s="291"/>
      <c r="O16" s="288"/>
      <c r="P16" s="288"/>
      <c r="Q16" s="288"/>
      <c r="R16" s="288"/>
      <c r="S16" s="288"/>
    </row>
    <row r="17" spans="1:19" x14ac:dyDescent="0.25">
      <c r="A17" s="292"/>
      <c r="B17" s="288">
        <f>86*0.76</f>
        <v>65.36</v>
      </c>
      <c r="C17" s="288"/>
      <c r="D17" s="288"/>
      <c r="E17" s="288"/>
      <c r="F17" s="300"/>
      <c r="G17" s="300"/>
      <c r="H17" s="300"/>
      <c r="I17" s="288"/>
      <c r="J17" s="289" t="s">
        <v>1273</v>
      </c>
      <c r="K17" s="288">
        <v>65</v>
      </c>
      <c r="L17" s="288">
        <v>32.11</v>
      </c>
      <c r="M17" s="288">
        <f t="shared" ref="M17:M46" si="1">K17*L17</f>
        <v>2087.15</v>
      </c>
      <c r="N17" s="291"/>
      <c r="O17" s="288"/>
      <c r="P17" s="288"/>
      <c r="Q17" s="288"/>
      <c r="R17" s="288"/>
      <c r="S17" s="288"/>
    </row>
    <row r="18" spans="1:19" x14ac:dyDescent="0.25">
      <c r="A18" s="292"/>
      <c r="B18" s="288">
        <f>4346*0.888</f>
        <v>3859.248</v>
      </c>
      <c r="C18" s="288"/>
      <c r="D18" s="288"/>
      <c r="E18" s="288"/>
      <c r="F18" s="300"/>
      <c r="G18" s="300"/>
      <c r="H18" s="300"/>
      <c r="I18" s="288"/>
      <c r="J18" s="288"/>
      <c r="K18" s="288">
        <v>6</v>
      </c>
      <c r="L18" s="288">
        <v>32.74</v>
      </c>
      <c r="M18" s="288">
        <f t="shared" si="1"/>
        <v>196.44</v>
      </c>
      <c r="N18" s="291"/>
      <c r="O18" s="288"/>
      <c r="P18" s="288"/>
      <c r="Q18" s="288"/>
      <c r="R18" s="288"/>
      <c r="S18" s="288"/>
    </row>
    <row r="19" spans="1:19" x14ac:dyDescent="0.25">
      <c r="A19" s="292"/>
      <c r="B19" s="288">
        <f>60*1.15</f>
        <v>69</v>
      </c>
      <c r="C19" s="288"/>
      <c r="D19" s="288"/>
      <c r="E19" s="288"/>
      <c r="F19" s="300"/>
      <c r="G19" s="300"/>
      <c r="H19" s="300"/>
      <c r="I19" s="288"/>
      <c r="J19" s="288"/>
      <c r="K19" s="288">
        <v>3</v>
      </c>
      <c r="L19" s="288">
        <v>6.86</v>
      </c>
      <c r="M19" s="288">
        <f t="shared" si="1"/>
        <v>20.580000000000002</v>
      </c>
      <c r="N19" s="291"/>
      <c r="O19" s="288"/>
      <c r="P19" s="288"/>
      <c r="Q19" s="288"/>
      <c r="R19" s="288"/>
      <c r="S19" s="288"/>
    </row>
    <row r="20" spans="1:19" x14ac:dyDescent="0.25">
      <c r="A20" s="292"/>
      <c r="B20" s="288">
        <f>30*0.89</f>
        <v>26.7</v>
      </c>
      <c r="C20" s="288"/>
      <c r="D20" s="288"/>
      <c r="E20" s="288"/>
      <c r="F20" s="300"/>
      <c r="G20" s="300"/>
      <c r="H20" s="300"/>
      <c r="I20" s="288"/>
      <c r="J20" s="288"/>
      <c r="K20" s="288">
        <v>80</v>
      </c>
      <c r="L20" s="288">
        <v>22.11</v>
      </c>
      <c r="M20" s="288">
        <f t="shared" si="1"/>
        <v>1768.8</v>
      </c>
      <c r="N20" s="291"/>
      <c r="O20" s="288"/>
      <c r="P20" s="288"/>
      <c r="Q20" s="288"/>
      <c r="R20" s="288"/>
      <c r="S20" s="288"/>
    </row>
    <row r="21" spans="1:19" x14ac:dyDescent="0.25">
      <c r="A21" s="292"/>
      <c r="B21" s="288">
        <f>30*0.62</f>
        <v>18.600000000000001</v>
      </c>
      <c r="C21" s="288"/>
      <c r="D21" s="288"/>
      <c r="E21" s="288"/>
      <c r="F21" s="300"/>
      <c r="G21" s="300"/>
      <c r="H21" s="300"/>
      <c r="I21" s="288"/>
      <c r="J21" s="288"/>
      <c r="K21" s="288">
        <v>22</v>
      </c>
      <c r="L21" s="288">
        <v>22.88</v>
      </c>
      <c r="M21" s="288">
        <f t="shared" si="1"/>
        <v>503.35999999999996</v>
      </c>
      <c r="N21" s="291"/>
      <c r="O21" s="288"/>
      <c r="P21" s="288"/>
      <c r="Q21" s="288"/>
      <c r="R21" s="288"/>
      <c r="S21" s="288"/>
    </row>
    <row r="22" spans="1:19" ht="15" thickBot="1" x14ac:dyDescent="0.3">
      <c r="A22" s="292"/>
      <c r="B22" s="288"/>
      <c r="C22" s="288"/>
      <c r="D22" s="288"/>
      <c r="E22" s="288"/>
      <c r="F22" s="300"/>
      <c r="G22" s="300"/>
      <c r="H22" s="300"/>
      <c r="I22" s="288"/>
      <c r="J22" s="288"/>
      <c r="K22" s="288">
        <v>6</v>
      </c>
      <c r="L22" s="288">
        <v>2.2799999999999998</v>
      </c>
      <c r="M22" s="288">
        <f t="shared" si="1"/>
        <v>13.68</v>
      </c>
      <c r="N22" s="291"/>
      <c r="O22" s="288"/>
      <c r="P22" s="288"/>
      <c r="Q22" s="288"/>
      <c r="R22" s="288"/>
      <c r="S22" s="288"/>
    </row>
    <row r="23" spans="1:19" ht="15" thickBot="1" x14ac:dyDescent="0.3">
      <c r="A23" s="292"/>
      <c r="B23" s="408">
        <f>SUM(B13:B21)</f>
        <v>5442.6880000000001</v>
      </c>
      <c r="C23" s="408">
        <f>SUM(C13:C21)</f>
        <v>1478.9899999999998</v>
      </c>
      <c r="D23" s="408">
        <f>SUM(D13:D21)</f>
        <v>1166.7855999999999</v>
      </c>
      <c r="E23" s="408">
        <f>SUM(E13:E21)</f>
        <v>461.83040000000005</v>
      </c>
      <c r="F23" s="409">
        <f>SUM(F13:F21)</f>
        <v>381.5</v>
      </c>
      <c r="G23" s="411"/>
      <c r="H23" s="411"/>
      <c r="I23" s="410">
        <f>SUM(B23:F23)</f>
        <v>8931.7939999999999</v>
      </c>
      <c r="J23" s="288"/>
      <c r="K23" s="288">
        <v>8</v>
      </c>
      <c r="L23" s="288">
        <v>2.68</v>
      </c>
      <c r="M23" s="288">
        <f t="shared" si="1"/>
        <v>21.44</v>
      </c>
      <c r="N23" s="291"/>
      <c r="O23" s="288"/>
      <c r="P23" s="288"/>
      <c r="Q23" s="288"/>
      <c r="R23" s="288"/>
      <c r="S23" s="288"/>
    </row>
    <row r="24" spans="1:19" x14ac:dyDescent="0.25">
      <c r="A24" s="292"/>
      <c r="B24" s="288"/>
      <c r="C24" s="288"/>
      <c r="D24" s="288"/>
      <c r="E24" s="288"/>
      <c r="F24" s="300"/>
      <c r="G24" s="300"/>
      <c r="H24" s="300"/>
      <c r="I24" s="288"/>
      <c r="J24" s="288"/>
      <c r="K24" s="288">
        <v>3</v>
      </c>
      <c r="L24" s="288">
        <v>1.77</v>
      </c>
      <c r="M24" s="288">
        <f t="shared" si="1"/>
        <v>5.3100000000000005</v>
      </c>
      <c r="N24" s="291"/>
      <c r="O24" s="288"/>
      <c r="P24" s="288"/>
      <c r="Q24" s="288"/>
      <c r="R24" s="288"/>
      <c r="S24" s="288"/>
    </row>
    <row r="25" spans="1:19" ht="15" thickBot="1" x14ac:dyDescent="0.3">
      <c r="A25" s="289" t="s">
        <v>1303</v>
      </c>
      <c r="B25" s="288"/>
      <c r="C25" s="288"/>
      <c r="D25" s="288"/>
      <c r="E25" s="288"/>
      <c r="I25" s="288"/>
      <c r="J25" s="288"/>
      <c r="K25" s="288">
        <v>42</v>
      </c>
      <c r="L25" s="288">
        <v>3.16</v>
      </c>
      <c r="M25" s="288">
        <f t="shared" si="1"/>
        <v>132.72</v>
      </c>
      <c r="N25" s="292"/>
      <c r="O25" s="288"/>
      <c r="P25" s="288"/>
      <c r="Q25" s="288"/>
      <c r="R25" s="288"/>
      <c r="S25" s="288"/>
    </row>
    <row r="26" spans="1:19" ht="15" thickBot="1" x14ac:dyDescent="0.3">
      <c r="A26" s="289" t="s">
        <v>1275</v>
      </c>
      <c r="B26" s="288">
        <v>6</v>
      </c>
      <c r="C26" s="288">
        <v>7.32</v>
      </c>
      <c r="D26" s="288">
        <f>B26*C26</f>
        <v>43.92</v>
      </c>
      <c r="E26" s="410">
        <f>SUM(D26:D31)</f>
        <v>94.53</v>
      </c>
      <c r="F26" s="304"/>
      <c r="G26" s="304"/>
      <c r="H26" s="304"/>
      <c r="I26" s="288">
        <f>211+187.3</f>
        <v>398.3</v>
      </c>
      <c r="J26" s="288"/>
      <c r="K26" s="288">
        <v>69</v>
      </c>
      <c r="L26" s="288">
        <v>4.7300000000000004</v>
      </c>
      <c r="M26" s="288">
        <f t="shared" si="1"/>
        <v>326.37</v>
      </c>
      <c r="N26" s="299"/>
      <c r="O26" s="288"/>
      <c r="P26" s="288"/>
      <c r="Q26" s="288"/>
      <c r="R26" s="288"/>
      <c r="S26" s="288"/>
    </row>
    <row r="27" spans="1:19" x14ac:dyDescent="0.25">
      <c r="A27" s="289"/>
      <c r="B27" s="288">
        <v>1</v>
      </c>
      <c r="C27" s="288">
        <v>10.42</v>
      </c>
      <c r="D27" s="288">
        <f t="shared" ref="D27:D36" si="2">B27*C27</f>
        <v>10.42</v>
      </c>
      <c r="E27" s="288"/>
      <c r="F27" s="298"/>
      <c r="G27" s="298"/>
      <c r="H27" s="298"/>
      <c r="I27" s="288"/>
      <c r="J27" s="288"/>
      <c r="K27" s="288">
        <v>181</v>
      </c>
      <c r="L27" s="288">
        <v>2.37</v>
      </c>
      <c r="M27" s="288">
        <f t="shared" si="1"/>
        <v>428.97</v>
      </c>
      <c r="N27" s="303"/>
      <c r="O27" s="288"/>
      <c r="P27" s="288"/>
      <c r="Q27" s="288"/>
      <c r="R27" s="288"/>
      <c r="S27" s="288"/>
    </row>
    <row r="28" spans="1:19" x14ac:dyDescent="0.25">
      <c r="A28" s="289"/>
      <c r="B28" s="288">
        <v>1</v>
      </c>
      <c r="C28" s="288">
        <v>11.97</v>
      </c>
      <c r="D28" s="288">
        <f t="shared" si="2"/>
        <v>11.97</v>
      </c>
      <c r="E28" s="288"/>
      <c r="K28" s="288">
        <v>21</v>
      </c>
      <c r="L28" s="288">
        <v>3.16</v>
      </c>
      <c r="M28" s="288">
        <f t="shared" si="1"/>
        <v>66.36</v>
      </c>
      <c r="N28" s="311"/>
      <c r="O28" s="288"/>
      <c r="P28" s="288"/>
      <c r="Q28" s="288"/>
      <c r="R28" s="288"/>
      <c r="S28" s="288"/>
    </row>
    <row r="29" spans="1:19" x14ac:dyDescent="0.25">
      <c r="A29" s="289"/>
      <c r="B29" s="288">
        <v>1</v>
      </c>
      <c r="C29" s="288">
        <v>13.54</v>
      </c>
      <c r="D29" s="288">
        <f t="shared" si="2"/>
        <v>13.54</v>
      </c>
      <c r="E29" s="288"/>
      <c r="K29" s="288">
        <v>101</v>
      </c>
      <c r="L29" s="288">
        <v>4.93</v>
      </c>
      <c r="M29" s="288">
        <f t="shared" si="1"/>
        <v>497.92999999999995</v>
      </c>
      <c r="N29" s="301"/>
      <c r="O29" s="288"/>
      <c r="P29" s="288"/>
      <c r="Q29" s="288"/>
      <c r="R29" s="288"/>
      <c r="S29" s="288"/>
    </row>
    <row r="30" spans="1:19" x14ac:dyDescent="0.25">
      <c r="A30" s="289"/>
      <c r="B30" s="288">
        <v>1</v>
      </c>
      <c r="C30" s="288">
        <v>5.81</v>
      </c>
      <c r="D30" s="288">
        <f t="shared" si="2"/>
        <v>5.81</v>
      </c>
      <c r="E30" s="288"/>
      <c r="F30" s="288"/>
      <c r="G30" s="288"/>
      <c r="H30" s="288"/>
      <c r="I30" s="288"/>
      <c r="J30" s="288"/>
      <c r="K30" s="288">
        <v>2</v>
      </c>
      <c r="L30" s="288">
        <v>2.48</v>
      </c>
      <c r="M30" s="288">
        <f t="shared" si="1"/>
        <v>4.96</v>
      </c>
      <c r="N30" s="288"/>
      <c r="O30" s="288"/>
      <c r="P30" s="288"/>
      <c r="Q30" s="288"/>
      <c r="R30" s="288"/>
      <c r="S30" s="288"/>
    </row>
    <row r="31" spans="1:19" x14ac:dyDescent="0.25">
      <c r="A31" s="289"/>
      <c r="B31" s="288">
        <v>1</v>
      </c>
      <c r="C31" s="288">
        <v>8.8699999999999992</v>
      </c>
      <c r="D31" s="288">
        <f t="shared" si="2"/>
        <v>8.8699999999999992</v>
      </c>
      <c r="E31" s="288"/>
      <c r="F31" s="288"/>
      <c r="G31" s="288"/>
      <c r="H31" s="288"/>
      <c r="I31" s="288"/>
      <c r="J31" s="288"/>
      <c r="K31" s="288">
        <v>2</v>
      </c>
      <c r="L31" s="288">
        <v>3.27</v>
      </c>
      <c r="M31" s="288">
        <f t="shared" si="1"/>
        <v>6.54</v>
      </c>
      <c r="N31" s="288"/>
      <c r="O31" s="288"/>
      <c r="P31" s="288"/>
      <c r="Q31" s="288"/>
      <c r="R31" s="288"/>
      <c r="S31" s="288"/>
    </row>
    <row r="32" spans="1:19" x14ac:dyDescent="0.25">
      <c r="A32" s="289"/>
      <c r="B32" s="288">
        <v>0</v>
      </c>
      <c r="C32" s="288">
        <v>0</v>
      </c>
      <c r="D32" s="288">
        <f t="shared" si="2"/>
        <v>0</v>
      </c>
      <c r="E32" s="288"/>
      <c r="I32" s="288"/>
      <c r="J32" s="288"/>
      <c r="K32" s="288">
        <v>7</v>
      </c>
      <c r="L32" s="288">
        <v>4.2</v>
      </c>
      <c r="M32" s="288">
        <f t="shared" si="1"/>
        <v>29.400000000000002</v>
      </c>
      <c r="N32" s="288"/>
      <c r="O32" s="288"/>
      <c r="P32" s="288"/>
      <c r="Q32" s="288"/>
      <c r="R32" s="288"/>
      <c r="S32" s="288"/>
    </row>
    <row r="33" spans="1:19" x14ac:dyDescent="0.25">
      <c r="A33" s="289"/>
      <c r="B33" s="288">
        <v>1</v>
      </c>
      <c r="C33" s="288">
        <v>8.91</v>
      </c>
      <c r="D33" s="288">
        <f t="shared" si="2"/>
        <v>8.91</v>
      </c>
      <c r="E33" s="288"/>
      <c r="F33" s="294"/>
      <c r="G33" s="294"/>
      <c r="H33" s="294"/>
      <c r="I33" s="288"/>
      <c r="J33" s="288"/>
      <c r="K33" s="288">
        <v>65</v>
      </c>
      <c r="L33" s="288">
        <v>32.11</v>
      </c>
      <c r="M33" s="288">
        <f t="shared" si="1"/>
        <v>2087.15</v>
      </c>
      <c r="N33" s="288"/>
      <c r="O33" s="288"/>
      <c r="P33" s="288"/>
      <c r="Q33" s="288"/>
      <c r="R33" s="288"/>
      <c r="S33" s="288"/>
    </row>
    <row r="34" spans="1:19" x14ac:dyDescent="0.25">
      <c r="A34" s="289"/>
      <c r="B34" s="288">
        <v>1</v>
      </c>
      <c r="C34" s="288">
        <v>13.54</v>
      </c>
      <c r="D34" s="288">
        <f t="shared" si="2"/>
        <v>13.54</v>
      </c>
      <c r="E34" s="288"/>
      <c r="F34" s="296"/>
      <c r="G34" s="296"/>
      <c r="H34" s="296"/>
      <c r="I34" s="288"/>
      <c r="J34" s="288"/>
      <c r="K34" s="288">
        <v>6</v>
      </c>
      <c r="L34" s="288">
        <v>32.74</v>
      </c>
      <c r="M34" s="288">
        <f t="shared" si="1"/>
        <v>196.44</v>
      </c>
      <c r="N34" s="288"/>
      <c r="O34" s="288"/>
      <c r="P34" s="288"/>
      <c r="Q34" s="288"/>
      <c r="R34" s="288"/>
      <c r="S34" s="288"/>
    </row>
    <row r="35" spans="1:19" x14ac:dyDescent="0.25">
      <c r="A35" s="289"/>
      <c r="B35" s="288">
        <v>2</v>
      </c>
      <c r="C35" s="288">
        <v>5.81</v>
      </c>
      <c r="D35" s="288">
        <f t="shared" si="2"/>
        <v>11.62</v>
      </c>
      <c r="E35" s="288"/>
      <c r="F35" s="288"/>
      <c r="G35" s="288"/>
      <c r="H35" s="288"/>
      <c r="I35" s="288"/>
      <c r="J35" s="288"/>
      <c r="K35" s="288">
        <v>3</v>
      </c>
      <c r="L35" s="288">
        <v>6.86</v>
      </c>
      <c r="M35" s="288">
        <f t="shared" si="1"/>
        <v>20.580000000000002</v>
      </c>
      <c r="N35" s="288"/>
      <c r="O35" s="288"/>
      <c r="P35" s="288"/>
      <c r="Q35" s="288"/>
      <c r="R35" s="288"/>
      <c r="S35" s="288"/>
    </row>
    <row r="36" spans="1:19" x14ac:dyDescent="0.25">
      <c r="A36" s="289"/>
      <c r="B36" s="288">
        <v>1</v>
      </c>
      <c r="C36" s="288">
        <v>11.31</v>
      </c>
      <c r="D36" s="288">
        <f t="shared" si="2"/>
        <v>11.31</v>
      </c>
      <c r="E36" s="288"/>
      <c r="F36" s="297"/>
      <c r="G36" s="297"/>
      <c r="H36" s="297"/>
      <c r="I36" s="288"/>
      <c r="J36" s="288"/>
      <c r="K36" s="288">
        <v>80</v>
      </c>
      <c r="L36" s="288">
        <v>22.11</v>
      </c>
      <c r="M36" s="288">
        <f t="shared" si="1"/>
        <v>1768.8</v>
      </c>
      <c r="N36" s="288"/>
      <c r="O36" s="288"/>
      <c r="P36" s="288"/>
      <c r="Q36" s="288"/>
      <c r="R36" s="288"/>
      <c r="S36" s="288"/>
    </row>
    <row r="37" spans="1:19" x14ac:dyDescent="0.25">
      <c r="A37" s="289"/>
      <c r="B37" s="288"/>
      <c r="C37" s="288"/>
      <c r="D37" s="288"/>
      <c r="E37" s="288"/>
      <c r="F37" s="300"/>
      <c r="G37" s="300"/>
      <c r="H37" s="300"/>
      <c r="I37" s="288"/>
      <c r="J37" s="288"/>
      <c r="K37" s="288">
        <v>22</v>
      </c>
      <c r="L37" s="288">
        <v>22.88</v>
      </c>
      <c r="M37" s="288">
        <f t="shared" si="1"/>
        <v>503.35999999999996</v>
      </c>
      <c r="N37" s="288"/>
      <c r="O37" s="288"/>
      <c r="P37" s="288"/>
      <c r="Q37" s="288"/>
      <c r="R37" s="288"/>
      <c r="S37" s="288"/>
    </row>
    <row r="38" spans="1:19" x14ac:dyDescent="0.25">
      <c r="A38" s="289"/>
      <c r="B38" s="288"/>
      <c r="C38" s="288"/>
      <c r="D38" s="288">
        <f>SUM(D26:D36)</f>
        <v>139.91</v>
      </c>
      <c r="E38" s="288"/>
      <c r="F38" s="288"/>
      <c r="G38" s="288"/>
      <c r="H38" s="288"/>
      <c r="I38" s="288"/>
      <c r="J38" s="288"/>
      <c r="K38" s="288">
        <v>6</v>
      </c>
      <c r="L38" s="288">
        <v>2.2799999999999998</v>
      </c>
      <c r="M38" s="288">
        <f t="shared" si="1"/>
        <v>13.68</v>
      </c>
      <c r="N38" s="288"/>
      <c r="O38" s="288"/>
      <c r="P38" s="288"/>
      <c r="Q38" s="288"/>
      <c r="R38" s="288"/>
      <c r="S38" s="288"/>
    </row>
    <row r="39" spans="1:19" x14ac:dyDescent="0.25">
      <c r="A39" s="289"/>
      <c r="B39" s="288"/>
      <c r="C39" s="288"/>
      <c r="D39" s="288"/>
      <c r="E39" s="288"/>
      <c r="F39" s="304"/>
      <c r="G39" s="304"/>
      <c r="H39" s="304"/>
      <c r="I39" s="288"/>
      <c r="J39" s="288"/>
      <c r="K39" s="288">
        <v>8</v>
      </c>
      <c r="L39" s="288">
        <v>2.68</v>
      </c>
      <c r="M39" s="288">
        <f t="shared" si="1"/>
        <v>21.44</v>
      </c>
      <c r="N39" s="288"/>
      <c r="O39" s="288"/>
      <c r="P39" s="288"/>
      <c r="Q39" s="288"/>
      <c r="R39" s="288"/>
      <c r="S39" s="288"/>
    </row>
    <row r="40" spans="1:19" x14ac:dyDescent="0.25">
      <c r="A40" s="289" t="s">
        <v>862</v>
      </c>
      <c r="B40" s="348" t="s">
        <v>864</v>
      </c>
      <c r="C40" s="348" t="s">
        <v>865</v>
      </c>
      <c r="D40" s="348" t="s">
        <v>866</v>
      </c>
      <c r="E40" s="348"/>
      <c r="F40" s="348"/>
      <c r="G40" s="348"/>
      <c r="H40" s="348"/>
      <c r="I40" s="348"/>
      <c r="J40" s="348"/>
      <c r="K40" s="288">
        <v>3</v>
      </c>
      <c r="L40" s="288">
        <v>1.77</v>
      </c>
      <c r="M40" s="288">
        <f t="shared" si="1"/>
        <v>5.3100000000000005</v>
      </c>
      <c r="N40" s="288"/>
      <c r="O40" s="288"/>
      <c r="P40" s="288"/>
      <c r="Q40" s="288"/>
      <c r="R40" s="288"/>
      <c r="S40" s="288"/>
    </row>
    <row r="41" spans="1:19" x14ac:dyDescent="0.25">
      <c r="A41" s="289" t="s">
        <v>863</v>
      </c>
      <c r="B41" s="348">
        <f>1467*2.02</f>
        <v>2963.34</v>
      </c>
      <c r="C41" s="348">
        <f>1467*2.02</f>
        <v>2963.34</v>
      </c>
      <c r="D41" s="348">
        <f>2390*2.02</f>
        <v>4827.8</v>
      </c>
      <c r="E41" s="348"/>
      <c r="F41" s="348">
        <f>SUM(B41:D41)</f>
        <v>10754.48</v>
      </c>
      <c r="G41" s="348"/>
      <c r="H41" s="348"/>
      <c r="I41" s="348"/>
      <c r="J41" s="348"/>
      <c r="K41" s="288">
        <v>32</v>
      </c>
      <c r="L41" s="288">
        <v>5.33</v>
      </c>
      <c r="M41" s="288">
        <f t="shared" si="1"/>
        <v>170.56</v>
      </c>
      <c r="N41" s="288"/>
      <c r="O41" s="288"/>
      <c r="P41" s="288"/>
      <c r="Q41" s="288"/>
      <c r="R41" s="288"/>
      <c r="S41" s="288"/>
    </row>
    <row r="42" spans="1:19" x14ac:dyDescent="0.25">
      <c r="A42" s="289" t="s">
        <v>867</v>
      </c>
      <c r="B42" s="348">
        <f>110*2.73</f>
        <v>300.3</v>
      </c>
      <c r="C42" s="348">
        <f>110*2.73</f>
        <v>300.3</v>
      </c>
      <c r="D42" s="348">
        <f>179*2.73</f>
        <v>488.67</v>
      </c>
      <c r="E42" s="348"/>
      <c r="F42" s="348">
        <f>SUM(B42:D42)</f>
        <v>1089.27</v>
      </c>
      <c r="G42" s="348"/>
      <c r="H42" s="348"/>
      <c r="I42" s="348"/>
      <c r="J42" s="348"/>
      <c r="K42" s="288">
        <v>202</v>
      </c>
      <c r="L42" s="288">
        <v>7.89</v>
      </c>
      <c r="M42" s="288">
        <f t="shared" si="1"/>
        <v>1593.78</v>
      </c>
      <c r="N42" s="288"/>
      <c r="O42" s="288"/>
      <c r="P42" s="288"/>
      <c r="Q42" s="288"/>
      <c r="R42" s="288"/>
      <c r="S42" s="288"/>
    </row>
    <row r="43" spans="1:19" x14ac:dyDescent="0.25">
      <c r="A43" s="289" t="s">
        <v>868</v>
      </c>
      <c r="B43" s="348">
        <f>23.1*0.617</f>
        <v>14.252700000000001</v>
      </c>
      <c r="C43" s="348">
        <f>23.1*0.617</f>
        <v>14.252700000000001</v>
      </c>
      <c r="D43" s="348">
        <f>101.8*0.617</f>
        <v>62.810600000000001</v>
      </c>
      <c r="E43" s="348"/>
      <c r="F43" s="348">
        <f>SUM(B43:D43)</f>
        <v>91.316000000000003</v>
      </c>
      <c r="G43" s="348"/>
      <c r="H43" s="348"/>
      <c r="I43" s="348"/>
      <c r="J43" s="348"/>
      <c r="K43" s="288"/>
      <c r="L43" s="288"/>
      <c r="M43" s="288">
        <f t="shared" si="1"/>
        <v>0</v>
      </c>
      <c r="N43" s="288"/>
      <c r="O43" s="288"/>
      <c r="P43" s="288"/>
      <c r="Q43" s="288"/>
      <c r="R43" s="288"/>
      <c r="S43" s="288"/>
    </row>
    <row r="44" spans="1:19" x14ac:dyDescent="0.25">
      <c r="A44" s="288"/>
      <c r="B44" s="348"/>
      <c r="C44" s="348"/>
      <c r="D44" s="348"/>
      <c r="E44" s="348"/>
      <c r="F44" s="348"/>
      <c r="G44" s="348"/>
      <c r="H44" s="348"/>
      <c r="I44" s="348"/>
      <c r="J44" s="348"/>
      <c r="K44" s="288">
        <v>643</v>
      </c>
      <c r="L44" s="288">
        <v>1.42</v>
      </c>
      <c r="M44" s="288">
        <f t="shared" si="1"/>
        <v>913.06</v>
      </c>
      <c r="N44" s="288"/>
      <c r="O44" s="288"/>
      <c r="P44" s="288"/>
      <c r="Q44" s="288"/>
      <c r="R44" s="288"/>
      <c r="S44" s="288"/>
    </row>
    <row r="45" spans="1:19" x14ac:dyDescent="0.25">
      <c r="A45" s="289" t="s">
        <v>911</v>
      </c>
      <c r="B45" s="348"/>
      <c r="C45" s="348"/>
      <c r="D45" s="348"/>
      <c r="E45" s="348"/>
      <c r="F45" s="348"/>
      <c r="G45" s="348"/>
      <c r="H45" s="348"/>
      <c r="I45" s="348"/>
      <c r="J45" s="348"/>
      <c r="K45" s="288">
        <v>207</v>
      </c>
      <c r="L45" s="288">
        <v>0.6</v>
      </c>
      <c r="M45" s="288">
        <f t="shared" si="1"/>
        <v>124.19999999999999</v>
      </c>
      <c r="N45" s="288"/>
      <c r="O45" s="288"/>
      <c r="P45" s="288"/>
      <c r="Q45" s="288"/>
      <c r="R45" s="288"/>
      <c r="S45" s="288"/>
    </row>
    <row r="46" spans="1:19" x14ac:dyDescent="0.25">
      <c r="A46" s="293" t="s">
        <v>912</v>
      </c>
      <c r="B46" s="348"/>
      <c r="C46" s="348"/>
      <c r="D46" s="348"/>
      <c r="E46" s="348"/>
      <c r="F46" s="348"/>
      <c r="G46" s="348"/>
      <c r="H46" s="348"/>
      <c r="I46" s="348"/>
      <c r="J46" s="348"/>
      <c r="K46" s="288">
        <v>152</v>
      </c>
      <c r="L46" s="288">
        <v>0.59</v>
      </c>
      <c r="M46" s="288">
        <f t="shared" si="1"/>
        <v>89.679999999999993</v>
      </c>
      <c r="N46" s="288"/>
      <c r="O46" s="288"/>
      <c r="P46" s="288"/>
      <c r="Q46" s="288"/>
      <c r="R46" s="288"/>
      <c r="S46" s="288"/>
    </row>
    <row r="47" spans="1:19" ht="15" thickBot="1" x14ac:dyDescent="0.3">
      <c r="A47" s="289" t="s">
        <v>915</v>
      </c>
      <c r="B47" s="348"/>
      <c r="C47" s="348"/>
      <c r="D47" s="348"/>
      <c r="E47" s="348"/>
      <c r="F47" s="348"/>
      <c r="G47" s="348"/>
      <c r="H47" s="348">
        <f>518.5+5.24</f>
        <v>523.74</v>
      </c>
      <c r="I47" s="348"/>
      <c r="J47" s="348"/>
      <c r="K47" s="288"/>
      <c r="L47" s="288"/>
      <c r="M47" s="288"/>
      <c r="N47" s="288"/>
      <c r="O47" s="288"/>
      <c r="P47" s="288"/>
      <c r="Q47" s="288"/>
      <c r="R47" s="288"/>
      <c r="S47" s="288"/>
    </row>
    <row r="48" spans="1:19" ht="15" thickBot="1" x14ac:dyDescent="0.3">
      <c r="A48" s="295" t="s">
        <v>914</v>
      </c>
      <c r="B48" s="348">
        <v>68.88</v>
      </c>
      <c r="C48" s="348"/>
      <c r="D48" s="348"/>
      <c r="E48" s="348"/>
      <c r="F48" s="348"/>
      <c r="G48" s="348"/>
      <c r="H48" s="348">
        <v>31.5</v>
      </c>
      <c r="I48" s="348"/>
      <c r="J48" s="348"/>
      <c r="K48" s="288"/>
      <c r="L48" s="288"/>
      <c r="M48" s="410">
        <f>SUM(M17:M46)</f>
        <v>13618.050000000001</v>
      </c>
      <c r="N48" s="288"/>
      <c r="O48" s="288"/>
      <c r="P48" s="288"/>
      <c r="Q48" s="288"/>
      <c r="R48" s="288"/>
      <c r="S48" s="288"/>
    </row>
    <row r="49" spans="1:19" x14ac:dyDescent="0.25">
      <c r="A49" s="289"/>
      <c r="B49" s="348"/>
      <c r="C49" s="348"/>
      <c r="D49" s="348"/>
      <c r="E49" s="348"/>
      <c r="F49" s="348"/>
      <c r="G49" s="348"/>
      <c r="H49" s="348">
        <v>89.1</v>
      </c>
      <c r="I49" s="348"/>
      <c r="J49" s="348"/>
      <c r="K49" s="288"/>
      <c r="L49" s="288"/>
      <c r="M49" s="288"/>
      <c r="N49" s="288"/>
      <c r="O49" s="288"/>
      <c r="P49" s="288"/>
      <c r="Q49" s="288"/>
      <c r="R49" s="288"/>
      <c r="S49" s="288"/>
    </row>
    <row r="50" spans="1:19" x14ac:dyDescent="0.25">
      <c r="A50" s="291"/>
      <c r="B50" s="348"/>
      <c r="C50" s="348"/>
      <c r="D50" s="348"/>
      <c r="E50" s="348"/>
      <c r="F50" s="348"/>
      <c r="G50" s="348">
        <v>13.33</v>
      </c>
      <c r="H50" s="348">
        <v>11.02</v>
      </c>
      <c r="I50" s="348"/>
      <c r="J50" s="348"/>
      <c r="K50" s="288">
        <v>6</v>
      </c>
      <c r="L50" s="288">
        <v>6</v>
      </c>
      <c r="M50" s="288">
        <f>K50*L50</f>
        <v>36</v>
      </c>
      <c r="N50" s="288" t="s">
        <v>1316</v>
      </c>
      <c r="O50" s="288"/>
      <c r="P50" s="288"/>
      <c r="Q50" s="288"/>
      <c r="R50" s="288"/>
      <c r="S50" s="288"/>
    </row>
    <row r="51" spans="1:19" x14ac:dyDescent="0.25">
      <c r="A51" s="292" t="s">
        <v>916</v>
      </c>
      <c r="B51" s="348"/>
      <c r="C51" s="348"/>
      <c r="D51" s="348"/>
      <c r="E51" s="348"/>
      <c r="F51" s="348"/>
      <c r="G51" s="348"/>
      <c r="H51" s="348"/>
      <c r="I51" s="348"/>
      <c r="J51" s="348"/>
      <c r="K51" s="288">
        <v>4</v>
      </c>
      <c r="L51" s="288">
        <v>6</v>
      </c>
      <c r="M51" s="288">
        <f>K51*L51</f>
        <v>24</v>
      </c>
      <c r="N51" s="288"/>
      <c r="O51" s="288"/>
      <c r="P51" s="288"/>
      <c r="Q51" s="288"/>
      <c r="R51" s="288"/>
      <c r="S51" s="288"/>
    </row>
    <row r="52" spans="1:19" x14ac:dyDescent="0.25">
      <c r="A52" s="289" t="s">
        <v>915</v>
      </c>
      <c r="B52" s="348"/>
      <c r="C52" s="348"/>
      <c r="D52" s="348"/>
      <c r="E52" s="348"/>
      <c r="F52" s="348"/>
      <c r="G52" s="348"/>
      <c r="H52" s="348">
        <f>834.68+7.97</f>
        <v>842.65</v>
      </c>
      <c r="I52" s="348"/>
      <c r="J52" s="348"/>
      <c r="K52" s="288">
        <v>1</v>
      </c>
      <c r="L52" s="288">
        <v>4.4800000000000004</v>
      </c>
      <c r="M52" s="288">
        <f>K52*L52</f>
        <v>4.4800000000000004</v>
      </c>
      <c r="N52" s="288"/>
      <c r="O52" s="288"/>
      <c r="P52" s="288"/>
      <c r="Q52" s="288"/>
      <c r="R52" s="288"/>
      <c r="S52" s="288"/>
    </row>
    <row r="53" spans="1:19" ht="15" thickBot="1" x14ac:dyDescent="0.3">
      <c r="A53" s="289" t="s">
        <v>914</v>
      </c>
      <c r="B53" s="288">
        <v>98.4</v>
      </c>
      <c r="C53" s="288"/>
      <c r="D53" s="288"/>
      <c r="E53" s="288"/>
      <c r="H53" s="348">
        <v>45</v>
      </c>
      <c r="J53" s="288"/>
      <c r="K53" s="288">
        <v>1</v>
      </c>
      <c r="L53" s="288">
        <v>6</v>
      </c>
      <c r="M53" s="288">
        <f>K53*L53</f>
        <v>6</v>
      </c>
      <c r="N53" s="288"/>
      <c r="O53" s="288"/>
      <c r="P53" s="288"/>
      <c r="Q53" s="288"/>
      <c r="R53" s="288"/>
      <c r="S53" s="288"/>
    </row>
    <row r="54" spans="1:19" ht="15" thickBot="1" x14ac:dyDescent="0.3">
      <c r="A54" s="288"/>
      <c r="B54" s="288"/>
      <c r="C54" s="288"/>
      <c r="D54" s="288"/>
      <c r="E54" s="288"/>
      <c r="F54" s="288"/>
      <c r="G54" s="288">
        <v>34.4</v>
      </c>
      <c r="H54" s="288">
        <v>20.14</v>
      </c>
      <c r="I54" s="288"/>
      <c r="J54" s="288"/>
      <c r="K54" s="288"/>
      <c r="L54" s="288"/>
      <c r="M54" s="410">
        <f>SUM(M50:M53)</f>
        <v>70.48</v>
      </c>
      <c r="N54" s="288"/>
      <c r="O54" s="288"/>
      <c r="P54" s="288"/>
      <c r="Q54" s="288"/>
      <c r="R54" s="288"/>
      <c r="S54" s="288"/>
    </row>
    <row r="55" spans="1:19" x14ac:dyDescent="0.25">
      <c r="A55" s="288"/>
      <c r="B55" s="290"/>
      <c r="C55" s="288"/>
      <c r="D55" s="288"/>
      <c r="E55" s="288"/>
      <c r="F55" s="288"/>
      <c r="G55" s="288"/>
      <c r="H55" s="288">
        <v>141.6</v>
      </c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</row>
    <row r="56" spans="1:19" x14ac:dyDescent="0.25">
      <c r="A56" s="289"/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</row>
    <row r="57" spans="1:19" x14ac:dyDescent="0.25">
      <c r="A57" s="293"/>
      <c r="B57" s="288"/>
      <c r="C57" s="288"/>
      <c r="D57" s="288"/>
      <c r="E57" s="288"/>
      <c r="F57" s="294"/>
      <c r="G57" s="294"/>
      <c r="H57" s="294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</row>
    <row r="58" spans="1:19" x14ac:dyDescent="0.25">
      <c r="A58" s="295"/>
      <c r="B58" s="288"/>
      <c r="C58" s="288"/>
      <c r="D58" s="288"/>
      <c r="E58" s="288"/>
      <c r="F58" s="296"/>
      <c r="G58" s="296"/>
      <c r="H58" s="296"/>
      <c r="I58" s="288"/>
      <c r="J58" s="289" t="s">
        <v>1276</v>
      </c>
      <c r="K58" s="288">
        <v>7</v>
      </c>
      <c r="L58" s="288">
        <v>7.32</v>
      </c>
      <c r="M58" s="288">
        <f t="shared" ref="M58:M63" si="3">K58*L58</f>
        <v>51.24</v>
      </c>
      <c r="N58" s="288" t="s">
        <v>1316</v>
      </c>
      <c r="O58" s="288"/>
      <c r="P58" s="288"/>
      <c r="Q58" s="288"/>
      <c r="R58" s="288"/>
      <c r="S58" s="288"/>
    </row>
    <row r="59" spans="1:19" x14ac:dyDescent="0.25">
      <c r="A59" s="289"/>
      <c r="B59" s="288"/>
      <c r="C59" s="288"/>
      <c r="D59" s="288"/>
      <c r="E59" s="288"/>
      <c r="I59" s="288"/>
      <c r="J59" s="288"/>
      <c r="K59" s="288">
        <v>8</v>
      </c>
      <c r="L59" s="288">
        <v>10.42</v>
      </c>
      <c r="M59" s="288">
        <f t="shared" si="3"/>
        <v>83.36</v>
      </c>
      <c r="N59" s="288"/>
      <c r="O59" s="288"/>
      <c r="P59" s="288"/>
      <c r="Q59" s="288"/>
      <c r="R59" s="288"/>
      <c r="S59" s="288"/>
    </row>
    <row r="60" spans="1:19" x14ac:dyDescent="0.25">
      <c r="A60" s="291"/>
      <c r="B60" s="289"/>
      <c r="C60" s="289"/>
      <c r="D60" s="289"/>
      <c r="E60" s="289"/>
      <c r="F60" s="297"/>
      <c r="G60" s="297"/>
      <c r="H60" s="297"/>
      <c r="I60" s="288"/>
      <c r="J60" s="288"/>
      <c r="K60" s="288">
        <v>1</v>
      </c>
      <c r="L60" s="288">
        <v>8.91</v>
      </c>
      <c r="M60" s="288">
        <f t="shared" si="3"/>
        <v>8.91</v>
      </c>
      <c r="N60" s="288"/>
      <c r="O60" s="288"/>
      <c r="P60" s="288"/>
      <c r="Q60" s="288"/>
      <c r="R60" s="288"/>
      <c r="S60" s="288"/>
    </row>
    <row r="61" spans="1:19" x14ac:dyDescent="0.25">
      <c r="A61" s="291"/>
      <c r="B61" s="289"/>
      <c r="C61" s="289"/>
      <c r="D61" s="289"/>
      <c r="E61" s="289"/>
      <c r="F61" s="297"/>
      <c r="G61" s="297"/>
      <c r="H61" s="297"/>
      <c r="I61" s="288"/>
      <c r="J61" s="288"/>
      <c r="K61" s="288">
        <v>1</v>
      </c>
      <c r="L61" s="288">
        <v>13.54</v>
      </c>
      <c r="M61" s="288">
        <f t="shared" si="3"/>
        <v>13.54</v>
      </c>
      <c r="N61" s="288"/>
      <c r="O61" s="288"/>
      <c r="P61" s="288"/>
      <c r="Q61" s="288"/>
      <c r="R61" s="288"/>
      <c r="S61" s="288"/>
    </row>
    <row r="62" spans="1:19" x14ac:dyDescent="0.25">
      <c r="A62" s="292"/>
      <c r="B62" s="288"/>
      <c r="C62" s="288"/>
      <c r="D62" s="288"/>
      <c r="E62" s="288"/>
      <c r="F62" s="300"/>
      <c r="G62" s="300"/>
      <c r="H62" s="300"/>
      <c r="I62" s="288"/>
      <c r="J62" s="288"/>
      <c r="K62" s="288">
        <v>3</v>
      </c>
      <c r="L62" s="288">
        <v>5.81</v>
      </c>
      <c r="M62" s="288">
        <f t="shared" si="3"/>
        <v>17.43</v>
      </c>
      <c r="N62" s="288"/>
      <c r="O62" s="288"/>
      <c r="P62" s="288"/>
      <c r="Q62" s="288"/>
      <c r="R62" s="288"/>
      <c r="S62" s="288"/>
    </row>
    <row r="63" spans="1:19" ht="15" thickBot="1" x14ac:dyDescent="0.3">
      <c r="A63" s="289"/>
      <c r="B63" s="288"/>
      <c r="C63" s="288"/>
      <c r="D63" s="288"/>
      <c r="E63" s="288"/>
      <c r="F63" s="288"/>
      <c r="G63" s="288"/>
      <c r="H63" s="288"/>
      <c r="I63" s="288"/>
      <c r="J63" s="288"/>
      <c r="K63" s="288">
        <v>1</v>
      </c>
      <c r="L63" s="288">
        <v>8.8699999999999992</v>
      </c>
      <c r="M63" s="288">
        <f t="shared" si="3"/>
        <v>8.8699999999999992</v>
      </c>
      <c r="N63" s="288"/>
      <c r="O63" s="288"/>
      <c r="P63" s="288"/>
      <c r="Q63" s="288"/>
      <c r="R63" s="288"/>
      <c r="S63" s="288"/>
    </row>
    <row r="64" spans="1:19" ht="15" thickBot="1" x14ac:dyDescent="0.3">
      <c r="A64" s="289"/>
      <c r="B64" s="288"/>
      <c r="C64" s="288"/>
      <c r="D64" s="288"/>
      <c r="E64" s="288"/>
      <c r="F64" s="304"/>
      <c r="G64" s="304"/>
      <c r="H64" s="304"/>
      <c r="I64" s="288"/>
      <c r="J64" s="288"/>
      <c r="K64" s="288"/>
      <c r="L64" s="288"/>
      <c r="M64" s="410">
        <f>SUM(M58:M63)</f>
        <v>183.35</v>
      </c>
      <c r="N64" s="288"/>
      <c r="O64" s="288"/>
      <c r="P64" s="288"/>
      <c r="Q64" s="288"/>
      <c r="R64" s="288"/>
      <c r="S64" s="288"/>
    </row>
    <row r="65" spans="1:19" x14ac:dyDescent="0.25">
      <c r="A65" s="299"/>
      <c r="B65" s="288"/>
      <c r="C65" s="288"/>
      <c r="D65" s="288"/>
      <c r="E65" s="288"/>
      <c r="F65" s="298"/>
      <c r="G65" s="298"/>
      <c r="H65" s="29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</row>
    <row r="66" spans="1:19" x14ac:dyDescent="0.25">
      <c r="A66" s="289"/>
      <c r="B66" s="288"/>
      <c r="C66" s="288"/>
      <c r="D66" s="288"/>
      <c r="E66" s="288"/>
      <c r="J66" s="288" t="s">
        <v>1274</v>
      </c>
      <c r="K66" s="288">
        <v>2</v>
      </c>
      <c r="L66" s="288">
        <v>9.1</v>
      </c>
      <c r="M66" s="288">
        <f t="shared" ref="M66:M73" si="4">K66*L66</f>
        <v>18.2</v>
      </c>
      <c r="N66" s="288" t="s">
        <v>1316</v>
      </c>
      <c r="O66" s="288"/>
      <c r="P66" s="288"/>
      <c r="Q66" s="288"/>
      <c r="R66" s="288"/>
      <c r="S66" s="288"/>
    </row>
    <row r="67" spans="1:19" x14ac:dyDescent="0.25">
      <c r="A67" s="289"/>
      <c r="B67" s="288"/>
      <c r="C67" s="288"/>
      <c r="D67" s="288"/>
      <c r="E67" s="288"/>
      <c r="J67" s="288"/>
      <c r="K67" s="288">
        <v>6</v>
      </c>
      <c r="L67" s="288">
        <v>9.1</v>
      </c>
      <c r="M67" s="288">
        <f t="shared" si="4"/>
        <v>54.599999999999994</v>
      </c>
      <c r="N67" s="288"/>
      <c r="O67" s="288"/>
      <c r="P67" s="288"/>
      <c r="Q67" s="288"/>
      <c r="R67" s="288"/>
      <c r="S67" s="288"/>
    </row>
    <row r="68" spans="1:19" x14ac:dyDescent="0.25">
      <c r="A68" s="288"/>
      <c r="B68" s="288"/>
      <c r="C68" s="288"/>
      <c r="D68" s="288"/>
      <c r="E68" s="288"/>
      <c r="F68" s="288"/>
      <c r="G68" s="288"/>
      <c r="H68" s="288"/>
      <c r="I68" s="288"/>
      <c r="J68" s="288"/>
      <c r="K68" s="288">
        <v>2</v>
      </c>
      <c r="L68" s="288">
        <v>5.0599999999999996</v>
      </c>
      <c r="M68" s="288">
        <f t="shared" si="4"/>
        <v>10.119999999999999</v>
      </c>
      <c r="N68" s="288"/>
      <c r="O68" s="288"/>
      <c r="P68" s="288"/>
      <c r="Q68" s="288"/>
      <c r="R68" s="288"/>
      <c r="S68" s="288"/>
    </row>
    <row r="69" spans="1:19" x14ac:dyDescent="0.25">
      <c r="A69" s="288"/>
      <c r="B69" s="290"/>
      <c r="C69" s="288"/>
      <c r="D69" s="288"/>
      <c r="E69" s="288"/>
      <c r="F69" s="288"/>
      <c r="G69" s="288"/>
      <c r="H69" s="288"/>
      <c r="I69" s="288"/>
      <c r="J69" s="288"/>
      <c r="K69" s="288">
        <v>1</v>
      </c>
      <c r="L69" s="288">
        <v>9.1</v>
      </c>
      <c r="M69" s="288">
        <f t="shared" si="4"/>
        <v>9.1</v>
      </c>
      <c r="N69" s="288"/>
      <c r="O69" s="288"/>
      <c r="P69" s="288"/>
      <c r="Q69" s="288"/>
      <c r="R69" s="288"/>
      <c r="S69" s="288"/>
    </row>
    <row r="70" spans="1:19" x14ac:dyDescent="0.25">
      <c r="A70" s="289"/>
      <c r="B70" s="288"/>
      <c r="C70" s="288"/>
      <c r="D70" s="288"/>
      <c r="E70" s="288"/>
      <c r="F70" s="288"/>
      <c r="G70" s="288"/>
      <c r="H70" s="288"/>
      <c r="I70" s="288"/>
      <c r="J70" s="288"/>
      <c r="K70" s="288">
        <v>5</v>
      </c>
      <c r="L70" s="288">
        <v>6</v>
      </c>
      <c r="M70" s="288">
        <f t="shared" si="4"/>
        <v>30</v>
      </c>
      <c r="N70" s="288"/>
      <c r="O70" s="288"/>
      <c r="P70" s="288"/>
      <c r="Q70" s="288"/>
      <c r="R70" s="288"/>
      <c r="S70" s="288"/>
    </row>
    <row r="71" spans="1:19" x14ac:dyDescent="0.25">
      <c r="A71" s="293"/>
      <c r="B71" s="289"/>
      <c r="C71" s="289"/>
      <c r="D71" s="288"/>
      <c r="E71" s="289"/>
      <c r="F71" s="293"/>
      <c r="G71" s="293"/>
      <c r="H71" s="293"/>
      <c r="I71" s="289"/>
      <c r="J71" s="289"/>
      <c r="K71" s="289">
        <v>3</v>
      </c>
      <c r="L71" s="289">
        <v>6</v>
      </c>
      <c r="M71" s="288">
        <f t="shared" si="4"/>
        <v>18</v>
      </c>
      <c r="N71" s="289"/>
      <c r="O71" s="289"/>
      <c r="P71" s="289"/>
      <c r="Q71" s="289"/>
      <c r="R71" s="289"/>
      <c r="S71" s="288"/>
    </row>
    <row r="72" spans="1:19" x14ac:dyDescent="0.25">
      <c r="A72" s="295"/>
      <c r="B72" s="289"/>
      <c r="C72" s="289"/>
      <c r="D72" s="288"/>
      <c r="E72" s="289"/>
      <c r="F72" s="295"/>
      <c r="G72" s="295"/>
      <c r="H72" s="295"/>
      <c r="I72" s="289"/>
      <c r="J72" s="289"/>
      <c r="K72" s="289">
        <v>1</v>
      </c>
      <c r="L72" s="289">
        <v>4.46</v>
      </c>
      <c r="M72" s="288">
        <f t="shared" si="4"/>
        <v>4.46</v>
      </c>
      <c r="N72" s="289"/>
      <c r="O72" s="289"/>
      <c r="P72" s="289"/>
      <c r="Q72" s="289"/>
      <c r="R72" s="289"/>
      <c r="S72" s="288"/>
    </row>
    <row r="73" spans="1:19" ht="15" thickBot="1" x14ac:dyDescent="0.3">
      <c r="A73" s="295"/>
      <c r="B73" s="289"/>
      <c r="C73" s="289"/>
      <c r="D73" s="288"/>
      <c r="E73" s="289"/>
      <c r="F73" s="295"/>
      <c r="G73" s="295"/>
      <c r="H73" s="295"/>
      <c r="I73" s="289"/>
      <c r="J73" s="289"/>
      <c r="K73" s="289">
        <v>4</v>
      </c>
      <c r="L73" s="289">
        <v>5.0599999999999996</v>
      </c>
      <c r="M73" s="288">
        <f t="shared" si="4"/>
        <v>20.239999999999998</v>
      </c>
      <c r="N73" s="289"/>
      <c r="O73" s="289"/>
      <c r="P73" s="289"/>
      <c r="Q73" s="289"/>
      <c r="R73" s="289"/>
      <c r="S73" s="288"/>
    </row>
    <row r="74" spans="1:19" ht="15" thickBot="1" x14ac:dyDescent="0.3">
      <c r="A74" s="293"/>
      <c r="B74" s="289"/>
      <c r="C74" s="289"/>
      <c r="D74" s="288"/>
      <c r="E74" s="289"/>
      <c r="F74" s="293"/>
      <c r="G74" s="293"/>
      <c r="H74" s="293"/>
      <c r="I74" s="289"/>
      <c r="J74" s="289"/>
      <c r="K74" s="289"/>
      <c r="L74" s="289"/>
      <c r="M74" s="410">
        <f>SUM(M66:M73)</f>
        <v>164.72</v>
      </c>
      <c r="N74" s="289"/>
      <c r="O74" s="289"/>
      <c r="P74" s="289"/>
      <c r="Q74" s="289"/>
      <c r="R74" s="289"/>
    </row>
    <row r="75" spans="1:19" x14ac:dyDescent="0.25">
      <c r="A75" s="289"/>
      <c r="B75" s="289"/>
      <c r="C75" s="289"/>
      <c r="D75" s="289"/>
      <c r="E75" s="289"/>
      <c r="I75" s="289"/>
      <c r="J75" s="289"/>
      <c r="K75" s="289"/>
      <c r="L75" s="289"/>
      <c r="M75" s="289"/>
      <c r="N75" s="289"/>
      <c r="O75" s="289"/>
      <c r="P75" s="289"/>
      <c r="Q75" s="289"/>
      <c r="R75" s="289"/>
    </row>
    <row r="76" spans="1:19" x14ac:dyDescent="0.25">
      <c r="A76" s="291"/>
      <c r="B76" s="289"/>
      <c r="C76" s="289"/>
      <c r="D76" s="289"/>
      <c r="E76" s="289"/>
      <c r="F76" s="291"/>
      <c r="G76" s="291"/>
      <c r="H76" s="291"/>
      <c r="I76" s="289"/>
      <c r="J76" s="289"/>
      <c r="K76" s="289"/>
      <c r="L76" s="289"/>
      <c r="M76" s="289"/>
      <c r="N76" s="289"/>
      <c r="O76" s="289"/>
      <c r="P76" s="289"/>
      <c r="Q76" s="289"/>
      <c r="R76" s="289"/>
    </row>
    <row r="77" spans="1:19" x14ac:dyDescent="0.25">
      <c r="A77" s="291"/>
      <c r="B77" s="289"/>
      <c r="C77" s="289"/>
      <c r="D77" s="289"/>
      <c r="E77" s="289"/>
      <c r="F77" s="291"/>
      <c r="G77" s="291"/>
      <c r="H77" s="291"/>
      <c r="I77" s="289"/>
      <c r="J77" s="289"/>
      <c r="K77" s="289"/>
      <c r="L77" s="289"/>
      <c r="M77" s="289"/>
      <c r="N77" s="289"/>
      <c r="O77" s="289"/>
      <c r="P77" s="289"/>
      <c r="Q77" s="289"/>
      <c r="R77" s="289"/>
    </row>
    <row r="78" spans="1:19" x14ac:dyDescent="0.25">
      <c r="A78" s="293"/>
      <c r="B78" s="289"/>
      <c r="C78" s="289"/>
      <c r="D78" s="289"/>
      <c r="E78" s="289"/>
      <c r="F78" s="293"/>
      <c r="G78" s="293"/>
      <c r="H78" s="293"/>
      <c r="I78" s="289"/>
      <c r="J78" s="289"/>
      <c r="K78" s="289"/>
      <c r="L78" s="289"/>
      <c r="M78" s="289"/>
      <c r="N78" s="289"/>
      <c r="O78" s="289"/>
      <c r="P78" s="289"/>
      <c r="Q78" s="289"/>
      <c r="R78" s="289"/>
    </row>
    <row r="79" spans="1:19" x14ac:dyDescent="0.25">
      <c r="A79" s="289"/>
      <c r="B79" s="289"/>
      <c r="C79" s="289"/>
      <c r="D79" s="289"/>
      <c r="E79" s="289"/>
      <c r="F79" s="289"/>
      <c r="G79" s="289"/>
      <c r="H79" s="289"/>
      <c r="I79" s="289"/>
      <c r="J79" s="289"/>
      <c r="K79" s="289"/>
      <c r="L79" s="289"/>
      <c r="M79" s="289"/>
      <c r="N79" s="289"/>
      <c r="O79" s="289"/>
      <c r="P79" s="289"/>
      <c r="Q79" s="289"/>
      <c r="R79" s="289"/>
    </row>
    <row r="80" spans="1:19" x14ac:dyDescent="0.25">
      <c r="A80" s="289"/>
      <c r="B80" s="288"/>
      <c r="C80" s="288"/>
      <c r="D80" s="289"/>
      <c r="E80" s="289"/>
      <c r="F80" s="305"/>
      <c r="G80" s="305"/>
      <c r="H80" s="305"/>
      <c r="I80" s="289"/>
      <c r="J80" s="289"/>
      <c r="K80" s="289"/>
      <c r="L80" s="289"/>
      <c r="M80" s="289"/>
      <c r="N80" s="289"/>
      <c r="O80" s="289"/>
      <c r="P80" s="289"/>
      <c r="Q80" s="289"/>
      <c r="R80" s="289"/>
    </row>
    <row r="81" spans="1:18" x14ac:dyDescent="0.25">
      <c r="A81" s="299"/>
      <c r="B81" s="288"/>
      <c r="C81" s="288"/>
      <c r="D81" s="289"/>
      <c r="E81" s="289"/>
      <c r="F81" s="299"/>
      <c r="G81" s="299"/>
      <c r="H81" s="299"/>
      <c r="I81" s="289"/>
      <c r="J81" s="289"/>
      <c r="K81" s="289"/>
      <c r="L81" s="289"/>
      <c r="M81" s="289"/>
      <c r="N81" s="289"/>
      <c r="O81" s="289"/>
      <c r="P81" s="289"/>
      <c r="Q81" s="289"/>
      <c r="R81" s="289"/>
    </row>
    <row r="82" spans="1:18" x14ac:dyDescent="0.25">
      <c r="A82" s="289"/>
      <c r="C82" s="289"/>
      <c r="D82" s="289"/>
      <c r="E82" s="289"/>
      <c r="J82" s="289"/>
      <c r="K82" s="289"/>
      <c r="L82" s="289"/>
      <c r="M82" s="289"/>
      <c r="N82" s="289"/>
      <c r="O82" s="289"/>
      <c r="P82" s="289"/>
    </row>
    <row r="83" spans="1:18" x14ac:dyDescent="0.25">
      <c r="A83" s="289"/>
      <c r="C83" s="289"/>
      <c r="D83" s="289"/>
      <c r="E83" s="289"/>
      <c r="J83" s="289"/>
      <c r="K83" s="289"/>
      <c r="L83" s="289"/>
      <c r="M83" s="289"/>
      <c r="N83" s="289"/>
      <c r="O83" s="289"/>
      <c r="P83" s="289"/>
    </row>
    <row r="84" spans="1:18" x14ac:dyDescent="0.25">
      <c r="C84" s="289"/>
      <c r="D84" s="289"/>
      <c r="E84" s="289"/>
      <c r="F84" s="289"/>
      <c r="G84" s="289"/>
      <c r="H84" s="289"/>
      <c r="I84" s="289"/>
      <c r="J84" s="289"/>
      <c r="K84" s="289"/>
      <c r="L84" s="289"/>
      <c r="M84" s="289"/>
      <c r="N84" s="289"/>
      <c r="O84" s="289"/>
      <c r="P84" s="289"/>
    </row>
    <row r="85" spans="1:18" x14ac:dyDescent="0.25">
      <c r="A85" s="288"/>
      <c r="B85" s="290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  <c r="N85" s="288"/>
      <c r="O85" s="288"/>
      <c r="P85" s="288"/>
      <c r="Q85" s="288"/>
      <c r="R85" s="288"/>
    </row>
    <row r="86" spans="1:18" x14ac:dyDescent="0.25">
      <c r="A86" s="289"/>
      <c r="B86" s="288"/>
      <c r="C86" s="288"/>
      <c r="D86" s="289"/>
      <c r="E86" s="288"/>
      <c r="I86" s="288"/>
      <c r="J86" s="288"/>
      <c r="K86" s="288"/>
      <c r="L86" s="288"/>
      <c r="M86" s="288"/>
      <c r="N86" s="288"/>
      <c r="O86" s="288"/>
      <c r="P86" s="288"/>
      <c r="Q86" s="288"/>
      <c r="R86" s="288"/>
    </row>
    <row r="87" spans="1:18" x14ac:dyDescent="0.25">
      <c r="A87" s="301"/>
      <c r="B87" s="288"/>
      <c r="C87" s="288"/>
      <c r="D87" s="289"/>
      <c r="E87" s="288"/>
      <c r="F87" s="302"/>
      <c r="G87" s="302"/>
      <c r="H87" s="302"/>
      <c r="I87" s="288"/>
      <c r="J87" s="288"/>
      <c r="K87" s="288"/>
      <c r="L87" s="288"/>
      <c r="M87" s="288"/>
      <c r="N87" s="288"/>
      <c r="O87" s="288"/>
      <c r="P87" s="288"/>
      <c r="Q87" s="288"/>
      <c r="R87" s="288"/>
    </row>
    <row r="88" spans="1:18" x14ac:dyDescent="0.25">
      <c r="A88" s="320"/>
      <c r="B88" s="288"/>
      <c r="C88" s="288"/>
      <c r="D88" s="289"/>
      <c r="E88" s="288"/>
      <c r="F88" s="321"/>
      <c r="G88" s="321"/>
      <c r="H88" s="321"/>
      <c r="I88" s="288"/>
      <c r="J88" s="288"/>
      <c r="K88" s="288"/>
      <c r="L88" s="288"/>
      <c r="M88" s="288"/>
      <c r="N88" s="288"/>
      <c r="O88" s="288"/>
      <c r="P88" s="288"/>
      <c r="Q88" s="288"/>
      <c r="R88" s="288"/>
    </row>
    <row r="89" spans="1:18" x14ac:dyDescent="0.25">
      <c r="A89" s="293"/>
      <c r="B89" s="288"/>
      <c r="C89" s="288"/>
      <c r="D89" s="288"/>
      <c r="E89" s="288"/>
      <c r="F89" s="294"/>
      <c r="G89" s="294"/>
      <c r="H89" s="294"/>
      <c r="I89" s="288"/>
      <c r="J89" s="288"/>
      <c r="K89" s="288"/>
      <c r="L89" s="288"/>
      <c r="M89" s="288"/>
      <c r="N89" s="288"/>
      <c r="O89" s="288"/>
      <c r="P89" s="288"/>
      <c r="Q89" s="288"/>
      <c r="R89" s="288"/>
    </row>
    <row r="90" spans="1:18" x14ac:dyDescent="0.25">
      <c r="A90" s="289"/>
      <c r="B90" s="288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  <c r="N90" s="288"/>
      <c r="O90" s="288"/>
      <c r="P90" s="288"/>
      <c r="Q90" s="288"/>
      <c r="R90" s="288"/>
    </row>
    <row r="91" spans="1:18" x14ac:dyDescent="0.25">
      <c r="A91" s="289"/>
      <c r="B91" s="288"/>
      <c r="C91" s="288"/>
      <c r="D91" s="289"/>
      <c r="E91" s="288"/>
      <c r="F91" s="304"/>
      <c r="G91" s="304"/>
      <c r="H91" s="304"/>
      <c r="I91" s="288"/>
      <c r="J91" s="288"/>
      <c r="K91" s="288"/>
      <c r="L91" s="288"/>
      <c r="M91" s="288"/>
      <c r="N91" s="288"/>
      <c r="O91" s="288"/>
      <c r="P91" s="288"/>
      <c r="Q91" s="288"/>
      <c r="R91" s="288"/>
    </row>
    <row r="92" spans="1:18" x14ac:dyDescent="0.25">
      <c r="A92" s="299"/>
      <c r="B92" s="288"/>
      <c r="C92" s="288"/>
      <c r="D92" s="289"/>
      <c r="E92" s="288"/>
      <c r="F92" s="298"/>
      <c r="G92" s="298"/>
      <c r="H92" s="298"/>
      <c r="I92" s="288"/>
      <c r="J92" s="288"/>
      <c r="K92" s="288"/>
      <c r="L92" s="288"/>
      <c r="M92" s="288"/>
      <c r="N92" s="288"/>
      <c r="O92" s="288"/>
      <c r="P92" s="288"/>
      <c r="Q92" s="288"/>
      <c r="R92" s="288"/>
    </row>
    <row r="93" spans="1:18" x14ac:dyDescent="0.25">
      <c r="A93" s="289"/>
      <c r="B93" s="288"/>
      <c r="C93" s="288"/>
      <c r="D93" s="288"/>
      <c r="E93" s="288"/>
      <c r="J93" s="288"/>
      <c r="K93" s="288"/>
      <c r="L93" s="288"/>
      <c r="M93" s="288"/>
      <c r="N93" s="288"/>
      <c r="O93" s="288"/>
      <c r="P93" s="288"/>
      <c r="Q93" s="288"/>
      <c r="R93" s="288"/>
    </row>
    <row r="94" spans="1:18" x14ac:dyDescent="0.25">
      <c r="A94" s="289"/>
      <c r="B94" s="288"/>
      <c r="C94" s="288"/>
      <c r="D94" s="288"/>
      <c r="E94" s="288"/>
      <c r="J94" s="288"/>
      <c r="K94" s="288"/>
      <c r="L94" s="288"/>
      <c r="M94" s="288"/>
      <c r="N94" s="288"/>
      <c r="O94" s="288"/>
      <c r="P94" s="288"/>
      <c r="Q94" s="288"/>
      <c r="R94" s="288"/>
    </row>
    <row r="95" spans="1:18" x14ac:dyDescent="0.25">
      <c r="B95" s="288"/>
      <c r="C95" s="288"/>
      <c r="D95" s="288"/>
      <c r="E95" s="288"/>
      <c r="F95" s="288"/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</row>
    <row r="96" spans="1:18" x14ac:dyDescent="0.25">
      <c r="A96" s="288"/>
      <c r="B96" s="290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88"/>
      <c r="P96" s="288"/>
      <c r="Q96" s="288"/>
      <c r="R96" s="288"/>
    </row>
    <row r="97" spans="1:18" x14ac:dyDescent="0.25">
      <c r="A97" s="289"/>
      <c r="B97" s="288"/>
      <c r="C97" s="288"/>
      <c r="D97" s="288"/>
      <c r="E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</row>
    <row r="98" spans="1:18" x14ac:dyDescent="0.25">
      <c r="A98" s="301"/>
      <c r="B98" s="288"/>
      <c r="C98" s="288"/>
      <c r="D98" s="288"/>
      <c r="E98" s="288"/>
      <c r="F98" s="302"/>
      <c r="G98" s="302"/>
      <c r="H98" s="302"/>
      <c r="I98" s="288"/>
      <c r="J98" s="288"/>
      <c r="K98" s="288"/>
      <c r="L98" s="288"/>
      <c r="M98" s="288"/>
      <c r="N98" s="288"/>
      <c r="O98" s="288"/>
      <c r="P98" s="288"/>
      <c r="Q98" s="288"/>
      <c r="R98" s="288"/>
    </row>
    <row r="99" spans="1:18" x14ac:dyDescent="0.25">
      <c r="A99" s="320"/>
      <c r="B99" s="288"/>
      <c r="C99" s="288"/>
      <c r="D99" s="288"/>
      <c r="E99" s="288"/>
      <c r="F99" s="321"/>
      <c r="G99" s="321"/>
      <c r="H99" s="321"/>
      <c r="I99" s="288"/>
      <c r="J99" s="288"/>
      <c r="K99" s="288"/>
      <c r="L99" s="288"/>
      <c r="M99" s="288"/>
      <c r="N99" s="288"/>
      <c r="O99" s="288"/>
      <c r="P99" s="288"/>
      <c r="Q99" s="288"/>
      <c r="R99" s="288"/>
    </row>
    <row r="100" spans="1:18" x14ac:dyDescent="0.25">
      <c r="A100" s="293"/>
      <c r="B100" s="288"/>
      <c r="C100" s="288"/>
      <c r="D100" s="288"/>
      <c r="E100" s="288"/>
      <c r="F100" s="294"/>
      <c r="G100" s="294"/>
      <c r="H100" s="294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</row>
    <row r="101" spans="1:18" x14ac:dyDescent="0.25">
      <c r="A101" s="289"/>
      <c r="B101" s="288"/>
      <c r="C101" s="288"/>
      <c r="D101" s="288"/>
      <c r="E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</row>
    <row r="102" spans="1:18" x14ac:dyDescent="0.25">
      <c r="A102" s="289"/>
      <c r="B102" s="288"/>
      <c r="C102" s="288"/>
      <c r="D102" s="289"/>
      <c r="E102" s="288"/>
      <c r="F102" s="304"/>
      <c r="G102" s="304"/>
      <c r="H102" s="304"/>
    </row>
    <row r="103" spans="1:18" x14ac:dyDescent="0.25">
      <c r="A103" s="299"/>
      <c r="B103" s="288"/>
      <c r="C103" s="288"/>
      <c r="D103" s="289"/>
      <c r="E103" s="288"/>
      <c r="F103" s="298"/>
      <c r="G103" s="298"/>
      <c r="H103" s="298"/>
    </row>
    <row r="104" spans="1:18" x14ac:dyDescent="0.25">
      <c r="A104" s="289"/>
      <c r="C104" s="288"/>
      <c r="D104" s="288"/>
      <c r="E104" s="288"/>
      <c r="J104" s="288"/>
      <c r="K104" s="288"/>
      <c r="L104" s="288"/>
      <c r="M104" s="288"/>
      <c r="N104" s="288"/>
      <c r="O104" s="288"/>
      <c r="P104" s="288"/>
      <c r="Q104" s="288"/>
      <c r="R104" s="288"/>
    </row>
    <row r="105" spans="1:18" x14ac:dyDescent="0.25">
      <c r="A105" s="289"/>
      <c r="C105" s="288"/>
      <c r="D105" s="288"/>
      <c r="E105" s="288"/>
      <c r="J105" s="288"/>
      <c r="K105" s="288"/>
      <c r="L105" s="288"/>
      <c r="M105" s="288"/>
      <c r="N105" s="288"/>
      <c r="O105" s="288"/>
      <c r="P105" s="288"/>
      <c r="Q105" s="288"/>
      <c r="R105" s="288"/>
    </row>
    <row r="106" spans="1:18" x14ac:dyDescent="0.25">
      <c r="B106" s="288"/>
      <c r="C106" s="288"/>
      <c r="D106" s="288"/>
      <c r="E106" s="288"/>
      <c r="F106" s="288"/>
      <c r="G106" s="288"/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</row>
    <row r="107" spans="1:18" x14ac:dyDescent="0.25">
      <c r="A107" s="288"/>
      <c r="B107" s="290"/>
      <c r="C107" s="288"/>
      <c r="D107" s="288"/>
      <c r="E107" s="288"/>
      <c r="F107" s="288"/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</row>
    <row r="108" spans="1:18" x14ac:dyDescent="0.25">
      <c r="A108" s="289"/>
      <c r="B108" s="288"/>
      <c r="C108" s="288"/>
      <c r="D108" s="288"/>
      <c r="E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</row>
    <row r="109" spans="1:18" x14ac:dyDescent="0.25">
      <c r="A109" s="295"/>
      <c r="B109" s="288"/>
      <c r="C109" s="288"/>
      <c r="D109" s="289"/>
      <c r="E109" s="288"/>
      <c r="F109" s="296"/>
      <c r="G109" s="296"/>
      <c r="H109" s="296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</row>
    <row r="110" spans="1:18" x14ac:dyDescent="0.25">
      <c r="A110" s="295"/>
      <c r="B110" s="288"/>
      <c r="C110" s="288"/>
      <c r="D110" s="289"/>
      <c r="E110" s="288"/>
      <c r="F110" s="296"/>
      <c r="G110" s="296"/>
      <c r="H110" s="296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</row>
    <row r="111" spans="1:18" x14ac:dyDescent="0.25">
      <c r="A111" s="301"/>
      <c r="B111" s="288"/>
      <c r="C111" s="288"/>
      <c r="D111" s="289"/>
      <c r="E111" s="288"/>
      <c r="F111" s="302"/>
      <c r="G111" s="302"/>
      <c r="H111" s="302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</row>
    <row r="112" spans="1:18" x14ac:dyDescent="0.25">
      <c r="A112" s="301"/>
      <c r="B112" s="288"/>
      <c r="C112" s="288"/>
      <c r="D112" s="289"/>
      <c r="E112" s="288"/>
      <c r="F112" s="302"/>
      <c r="G112" s="302"/>
      <c r="H112" s="302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</row>
    <row r="113" spans="1:18" x14ac:dyDescent="0.25">
      <c r="A113" s="293"/>
      <c r="B113" s="288"/>
      <c r="C113" s="288"/>
      <c r="D113" s="289"/>
      <c r="E113" s="288"/>
      <c r="F113" s="294"/>
      <c r="G113" s="294"/>
      <c r="H113" s="294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</row>
    <row r="114" spans="1:18" x14ac:dyDescent="0.25">
      <c r="A114" s="289"/>
      <c r="B114" s="288"/>
      <c r="C114" s="288"/>
      <c r="D114" s="289"/>
      <c r="E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</row>
    <row r="115" spans="1:18" x14ac:dyDescent="0.25">
      <c r="A115" s="289"/>
      <c r="B115" s="288"/>
      <c r="C115" s="288"/>
      <c r="D115" s="289"/>
      <c r="E115" s="288"/>
      <c r="F115" s="304"/>
      <c r="G115" s="304"/>
      <c r="H115" s="304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</row>
    <row r="116" spans="1:18" x14ac:dyDescent="0.25">
      <c r="A116" s="299"/>
      <c r="B116" s="288"/>
      <c r="C116" s="288"/>
      <c r="D116" s="289"/>
      <c r="E116" s="288"/>
      <c r="F116" s="298"/>
      <c r="G116" s="298"/>
      <c r="H116" s="29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</row>
    <row r="117" spans="1:18" x14ac:dyDescent="0.25">
      <c r="A117" s="289"/>
      <c r="B117" s="288"/>
      <c r="C117" s="288"/>
      <c r="D117" s="288"/>
      <c r="E117" s="288"/>
      <c r="J117" s="288"/>
      <c r="K117" s="288"/>
      <c r="L117" s="288"/>
      <c r="M117" s="288"/>
      <c r="N117" s="288"/>
      <c r="O117" s="288"/>
      <c r="P117" s="288"/>
      <c r="Q117" s="288"/>
      <c r="R117" s="288"/>
    </row>
    <row r="118" spans="1:18" x14ac:dyDescent="0.25">
      <c r="A118" s="289"/>
      <c r="B118" s="288"/>
      <c r="C118" s="288"/>
      <c r="D118" s="288"/>
      <c r="E118" s="288"/>
      <c r="J118" s="288"/>
      <c r="K118" s="288"/>
      <c r="L118" s="288"/>
      <c r="M118" s="288"/>
      <c r="N118" s="288"/>
      <c r="O118" s="288"/>
      <c r="P118" s="288"/>
      <c r="Q118" s="288"/>
      <c r="R118" s="288"/>
    </row>
    <row r="119" spans="1:18" x14ac:dyDescent="0.25"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88"/>
      <c r="P119" s="288"/>
      <c r="Q119" s="288"/>
      <c r="R119" s="288"/>
    </row>
    <row r="120" spans="1:18" x14ac:dyDescent="0.25">
      <c r="A120" s="288"/>
      <c r="B120" s="290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88"/>
      <c r="P120" s="288"/>
      <c r="Q120" s="288"/>
      <c r="R120" s="288"/>
    </row>
    <row r="121" spans="1:18" x14ac:dyDescent="0.25">
      <c r="A121" s="289"/>
      <c r="B121" s="288"/>
      <c r="C121" s="288"/>
      <c r="D121" s="288"/>
      <c r="E121" s="288"/>
      <c r="I121" s="288"/>
      <c r="J121" s="288"/>
      <c r="K121" s="288"/>
      <c r="L121" s="288"/>
      <c r="M121" s="288"/>
      <c r="N121" s="288"/>
      <c r="O121" s="288"/>
    </row>
    <row r="122" spans="1:18" x14ac:dyDescent="0.25">
      <c r="A122" s="293"/>
      <c r="B122" s="288"/>
      <c r="C122" s="288"/>
      <c r="D122" s="288"/>
      <c r="E122" s="288"/>
      <c r="F122" s="294"/>
      <c r="G122" s="294"/>
      <c r="H122" s="294"/>
      <c r="I122" s="288"/>
      <c r="J122" s="288"/>
      <c r="K122" s="288"/>
      <c r="L122" s="288"/>
      <c r="M122" s="288"/>
      <c r="N122" s="288"/>
      <c r="O122" s="288"/>
    </row>
    <row r="123" spans="1:18" x14ac:dyDescent="0.25">
      <c r="A123" s="295"/>
      <c r="B123" s="288"/>
      <c r="C123" s="288"/>
      <c r="D123" s="288"/>
      <c r="E123" s="288"/>
      <c r="F123" s="296"/>
      <c r="G123" s="296"/>
      <c r="H123" s="296"/>
      <c r="I123" s="288"/>
      <c r="J123" s="288"/>
      <c r="K123" s="288"/>
      <c r="L123" s="288"/>
      <c r="M123" s="288"/>
      <c r="N123" s="288"/>
      <c r="O123" s="288"/>
    </row>
    <row r="124" spans="1:18" x14ac:dyDescent="0.25">
      <c r="A124" s="289"/>
      <c r="B124" s="288"/>
      <c r="C124" s="288"/>
      <c r="D124" s="288"/>
      <c r="E124" s="288"/>
      <c r="F124" s="288"/>
      <c r="G124" s="288"/>
      <c r="H124" s="288"/>
      <c r="I124" s="288"/>
      <c r="J124" s="288"/>
      <c r="K124" s="288"/>
      <c r="L124" s="288"/>
      <c r="M124" s="288"/>
      <c r="N124" s="288"/>
      <c r="O124" s="288"/>
    </row>
    <row r="125" spans="1:18" x14ac:dyDescent="0.25">
      <c r="A125" s="293"/>
      <c r="B125" s="288"/>
      <c r="C125" s="288"/>
      <c r="D125" s="288"/>
      <c r="E125" s="288"/>
      <c r="F125" s="294"/>
      <c r="G125" s="294"/>
      <c r="H125" s="294"/>
      <c r="I125" s="288"/>
      <c r="J125" s="288"/>
      <c r="K125" s="288"/>
      <c r="L125" s="288"/>
      <c r="M125" s="288"/>
      <c r="N125" s="288"/>
      <c r="O125" s="288"/>
    </row>
    <row r="126" spans="1:18" x14ac:dyDescent="0.25">
      <c r="A126" s="295"/>
      <c r="B126" s="288"/>
      <c r="C126" s="288"/>
      <c r="D126" s="288"/>
      <c r="E126" s="288"/>
      <c r="F126" s="296"/>
      <c r="G126" s="296"/>
      <c r="H126" s="296"/>
      <c r="I126" s="288"/>
      <c r="J126" s="288"/>
      <c r="K126" s="288"/>
      <c r="L126" s="288"/>
      <c r="M126" s="288"/>
      <c r="N126" s="288"/>
      <c r="O126" s="288"/>
    </row>
    <row r="127" spans="1:18" x14ac:dyDescent="0.25">
      <c r="A127" s="293"/>
      <c r="B127" s="288"/>
      <c r="C127" s="288"/>
      <c r="D127" s="288"/>
      <c r="E127" s="288"/>
      <c r="F127" s="294"/>
      <c r="G127" s="294"/>
      <c r="H127" s="294"/>
      <c r="I127" s="288"/>
      <c r="J127" s="288"/>
      <c r="K127" s="288"/>
      <c r="L127" s="288"/>
      <c r="M127" s="288"/>
      <c r="N127" s="288"/>
      <c r="O127" s="288"/>
    </row>
    <row r="128" spans="1:18" x14ac:dyDescent="0.25">
      <c r="A128" s="293"/>
      <c r="B128" s="288"/>
      <c r="C128" s="288"/>
      <c r="D128" s="288"/>
      <c r="E128" s="288"/>
      <c r="F128" s="294"/>
      <c r="G128" s="294"/>
      <c r="H128" s="294"/>
      <c r="I128" s="288"/>
      <c r="J128" s="288"/>
      <c r="K128" s="288"/>
      <c r="L128" s="288"/>
      <c r="M128" s="288"/>
      <c r="N128" s="288"/>
      <c r="O128" s="288"/>
    </row>
    <row r="129" spans="1:15" x14ac:dyDescent="0.25">
      <c r="A129" s="293"/>
      <c r="B129" s="288"/>
      <c r="C129" s="288"/>
      <c r="D129" s="288"/>
      <c r="E129" s="288"/>
      <c r="F129" s="294"/>
      <c r="G129" s="294"/>
      <c r="H129" s="294"/>
      <c r="I129" s="288"/>
      <c r="J129" s="288"/>
      <c r="K129" s="288"/>
      <c r="L129" s="288"/>
      <c r="M129" s="288"/>
      <c r="N129" s="288"/>
      <c r="O129" s="288"/>
    </row>
    <row r="130" spans="1:15" x14ac:dyDescent="0.25">
      <c r="A130" s="289"/>
      <c r="B130" s="288"/>
      <c r="C130" s="288"/>
      <c r="D130" s="288"/>
      <c r="E130" s="288"/>
      <c r="I130" s="288"/>
      <c r="J130" s="288"/>
      <c r="K130" s="288"/>
      <c r="L130" s="288"/>
      <c r="M130" s="288"/>
      <c r="N130" s="288"/>
      <c r="O130" s="288"/>
    </row>
    <row r="131" spans="1:15" x14ac:dyDescent="0.25">
      <c r="A131" s="289"/>
      <c r="B131" s="288"/>
      <c r="C131" s="288"/>
      <c r="D131" s="289"/>
      <c r="E131" s="288"/>
      <c r="F131" s="304"/>
      <c r="G131" s="304"/>
      <c r="H131" s="304"/>
      <c r="I131" s="288"/>
      <c r="J131" s="288"/>
      <c r="K131" s="288"/>
      <c r="L131" s="288"/>
      <c r="M131" s="288"/>
      <c r="N131" s="288"/>
      <c r="O131" s="288"/>
    </row>
    <row r="132" spans="1:15" x14ac:dyDescent="0.25">
      <c r="A132" s="299"/>
      <c r="B132" s="288"/>
      <c r="C132" s="288"/>
      <c r="D132" s="289"/>
      <c r="E132" s="288"/>
      <c r="F132" s="298"/>
      <c r="G132" s="298"/>
      <c r="H132" s="298"/>
      <c r="I132" s="288"/>
      <c r="J132" s="288"/>
      <c r="K132" s="288"/>
      <c r="L132" s="288"/>
      <c r="M132" s="288"/>
      <c r="N132" s="288"/>
      <c r="O132" s="288"/>
    </row>
    <row r="133" spans="1:15" x14ac:dyDescent="0.25">
      <c r="A133" s="289"/>
      <c r="B133" s="288"/>
      <c r="C133" s="288"/>
      <c r="D133" s="288"/>
      <c r="E133" s="288"/>
      <c r="J133" s="288"/>
      <c r="K133" s="288"/>
      <c r="L133" s="288"/>
      <c r="M133" s="288"/>
      <c r="N133" s="288"/>
      <c r="O133" s="288"/>
    </row>
    <row r="134" spans="1:15" x14ac:dyDescent="0.25">
      <c r="A134" s="289"/>
      <c r="B134" s="288"/>
      <c r="C134" s="288"/>
      <c r="D134" s="288"/>
      <c r="E134" s="288"/>
      <c r="J134" s="288"/>
      <c r="K134" s="288"/>
      <c r="L134" s="288"/>
      <c r="M134" s="288"/>
      <c r="N134" s="288"/>
      <c r="O134" s="288"/>
    </row>
    <row r="135" spans="1:15" x14ac:dyDescent="0.25">
      <c r="B135" s="288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</row>
    <row r="136" spans="1:15" x14ac:dyDescent="0.25">
      <c r="A136" s="288"/>
      <c r="B136" s="290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</row>
    <row r="137" spans="1:15" x14ac:dyDescent="0.25">
      <c r="A137" s="289"/>
      <c r="B137" s="288"/>
      <c r="C137" s="288"/>
      <c r="D137" s="289"/>
      <c r="E137" s="288"/>
      <c r="I137" s="288"/>
      <c r="J137" s="288"/>
      <c r="K137" s="288"/>
      <c r="L137" s="288"/>
      <c r="M137" s="288"/>
    </row>
    <row r="138" spans="1:15" x14ac:dyDescent="0.25">
      <c r="A138" s="293"/>
      <c r="B138" s="288"/>
      <c r="C138" s="288"/>
      <c r="D138" s="289"/>
      <c r="E138" s="288"/>
      <c r="F138" s="294"/>
      <c r="G138" s="294"/>
      <c r="H138" s="294"/>
      <c r="I138" s="288"/>
      <c r="J138" s="288"/>
      <c r="K138" s="288"/>
      <c r="L138" s="288"/>
      <c r="M138" s="288"/>
    </row>
    <row r="139" spans="1:15" x14ac:dyDescent="0.25">
      <c r="A139" s="295"/>
      <c r="B139" s="288"/>
      <c r="C139" s="288"/>
      <c r="D139" s="289"/>
      <c r="E139" s="288"/>
      <c r="F139" s="296"/>
      <c r="G139" s="296"/>
      <c r="H139" s="296"/>
      <c r="I139" s="288"/>
      <c r="J139" s="288"/>
      <c r="K139" s="288"/>
      <c r="L139" s="288"/>
      <c r="M139" s="288"/>
    </row>
    <row r="140" spans="1:15" x14ac:dyDescent="0.25">
      <c r="A140" s="289"/>
      <c r="B140" s="288"/>
      <c r="C140" s="288"/>
      <c r="D140" s="289"/>
      <c r="E140" s="288"/>
      <c r="I140" s="288"/>
      <c r="J140" s="288"/>
      <c r="K140" s="288"/>
      <c r="L140" s="288"/>
      <c r="M140" s="288"/>
    </row>
    <row r="141" spans="1:15" x14ac:dyDescent="0.25">
      <c r="A141" s="293"/>
      <c r="B141" s="288"/>
      <c r="C141" s="288"/>
      <c r="D141" s="289"/>
      <c r="E141" s="288"/>
      <c r="F141" s="294"/>
      <c r="G141" s="294"/>
      <c r="H141" s="294"/>
      <c r="I141" s="288"/>
      <c r="J141" s="288"/>
      <c r="K141" s="288"/>
      <c r="L141" s="288"/>
      <c r="M141" s="288"/>
    </row>
    <row r="142" spans="1:15" x14ac:dyDescent="0.25">
      <c r="A142" s="295"/>
      <c r="B142" s="288"/>
      <c r="C142" s="288"/>
      <c r="D142" s="289"/>
      <c r="E142" s="288"/>
      <c r="F142" s="296"/>
      <c r="G142" s="296"/>
      <c r="H142" s="296"/>
      <c r="I142" s="288"/>
      <c r="J142" s="288"/>
      <c r="K142" s="288"/>
      <c r="L142" s="288"/>
      <c r="M142" s="288"/>
    </row>
    <row r="143" spans="1:15" x14ac:dyDescent="0.25">
      <c r="A143" s="295"/>
      <c r="B143" s="288"/>
      <c r="C143" s="288"/>
      <c r="D143" s="289"/>
      <c r="E143" s="288"/>
      <c r="F143" s="296"/>
      <c r="G143" s="296"/>
      <c r="H143" s="296"/>
      <c r="I143" s="288"/>
      <c r="J143" s="288"/>
      <c r="K143" s="288"/>
      <c r="L143" s="288"/>
      <c r="M143" s="288"/>
    </row>
    <row r="144" spans="1:15" x14ac:dyDescent="0.25">
      <c r="A144" s="293"/>
      <c r="B144" s="288"/>
      <c r="C144" s="288"/>
      <c r="D144" s="289"/>
      <c r="E144" s="288"/>
      <c r="F144" s="294"/>
      <c r="G144" s="294"/>
      <c r="H144" s="294"/>
      <c r="I144" s="288"/>
      <c r="J144" s="288"/>
      <c r="K144" s="288"/>
      <c r="L144" s="288"/>
      <c r="M144" s="288"/>
    </row>
    <row r="145" spans="1:19" x14ac:dyDescent="0.25">
      <c r="A145" s="293"/>
      <c r="B145" s="288"/>
      <c r="C145" s="288"/>
      <c r="D145" s="289"/>
      <c r="E145" s="288"/>
      <c r="F145" s="294"/>
      <c r="G145" s="294"/>
      <c r="H145" s="294"/>
      <c r="I145" s="288"/>
      <c r="J145" s="288"/>
      <c r="K145" s="288"/>
      <c r="L145" s="288"/>
      <c r="M145" s="288"/>
    </row>
    <row r="146" spans="1:19" x14ac:dyDescent="0.25">
      <c r="A146" s="293"/>
      <c r="B146" s="288"/>
      <c r="C146" s="288"/>
      <c r="D146" s="289"/>
      <c r="E146" s="288"/>
      <c r="F146" s="294"/>
      <c r="G146" s="294"/>
      <c r="H146" s="294"/>
      <c r="I146" s="288"/>
      <c r="J146" s="288"/>
      <c r="K146" s="288"/>
      <c r="L146" s="288"/>
      <c r="M146" s="288"/>
    </row>
    <row r="147" spans="1:19" x14ac:dyDescent="0.25">
      <c r="A147" s="289"/>
      <c r="B147" s="288"/>
      <c r="C147" s="288"/>
      <c r="D147" s="289"/>
      <c r="E147" s="288"/>
      <c r="I147" s="288"/>
      <c r="J147" s="288"/>
      <c r="K147" s="288"/>
      <c r="L147" s="288"/>
      <c r="M147" s="288"/>
    </row>
    <row r="148" spans="1:19" x14ac:dyDescent="0.25">
      <c r="A148" s="289"/>
      <c r="B148" s="288"/>
      <c r="C148" s="288"/>
      <c r="D148" s="289"/>
      <c r="E148" s="288"/>
      <c r="F148" s="304"/>
      <c r="G148" s="304"/>
      <c r="H148" s="304"/>
      <c r="I148" s="288"/>
      <c r="J148" s="288"/>
      <c r="K148" s="288"/>
      <c r="L148" s="288"/>
      <c r="M148" s="288"/>
    </row>
    <row r="149" spans="1:19" x14ac:dyDescent="0.25">
      <c r="A149" s="299"/>
      <c r="B149" s="288"/>
      <c r="C149" s="288"/>
      <c r="D149" s="289"/>
      <c r="E149" s="288"/>
      <c r="F149" s="298"/>
      <c r="G149" s="298"/>
      <c r="H149" s="298"/>
      <c r="I149" s="288"/>
      <c r="J149" s="288"/>
      <c r="K149" s="288"/>
      <c r="L149" s="288"/>
      <c r="M149" s="288"/>
    </row>
    <row r="150" spans="1:19" x14ac:dyDescent="0.25">
      <c r="A150" s="289"/>
      <c r="B150" s="288"/>
      <c r="C150" s="288"/>
      <c r="D150" s="288"/>
      <c r="E150" s="288"/>
      <c r="J150" s="288"/>
      <c r="K150" s="288"/>
      <c r="L150" s="288"/>
      <c r="M150" s="288"/>
    </row>
    <row r="151" spans="1:19" x14ac:dyDescent="0.25">
      <c r="A151" s="289"/>
      <c r="B151" s="288"/>
      <c r="C151" s="288"/>
      <c r="D151" s="288"/>
      <c r="E151" s="288"/>
      <c r="J151" s="288"/>
      <c r="K151" s="288"/>
      <c r="L151" s="288"/>
      <c r="M151" s="288"/>
    </row>
    <row r="152" spans="1:19" x14ac:dyDescent="0.25"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</row>
    <row r="153" spans="1:19" x14ac:dyDescent="0.25">
      <c r="A153" s="310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</row>
    <row r="154" spans="1:19" x14ac:dyDescent="0.25">
      <c r="A154" s="319"/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</row>
    <row r="155" spans="1:19" x14ac:dyDescent="0.25"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</row>
    <row r="156" spans="1:19" x14ac:dyDescent="0.25">
      <c r="A156" s="310"/>
      <c r="B156" s="288"/>
      <c r="C156" s="288"/>
      <c r="D156" s="290"/>
      <c r="E156" s="288"/>
      <c r="F156" s="288"/>
      <c r="G156" s="288"/>
      <c r="H156" s="288"/>
      <c r="I156" s="288"/>
      <c r="J156" s="288"/>
      <c r="K156" s="290"/>
      <c r="L156" s="327"/>
      <c r="M156" s="288"/>
    </row>
    <row r="157" spans="1:19" x14ac:dyDescent="0.25">
      <c r="A157" s="288"/>
      <c r="B157" s="288"/>
      <c r="C157" s="288"/>
      <c r="D157" s="288"/>
      <c r="E157" s="288"/>
      <c r="F157" s="288"/>
      <c r="G157" s="288"/>
      <c r="H157" s="288"/>
      <c r="I157" s="288"/>
      <c r="J157" s="288"/>
      <c r="K157" s="290"/>
      <c r="L157" s="323"/>
      <c r="M157" s="288"/>
      <c r="N157" s="288"/>
      <c r="O157" s="288"/>
      <c r="P157" s="288"/>
      <c r="Q157" s="288"/>
      <c r="R157" s="288"/>
      <c r="S157" s="288"/>
    </row>
    <row r="158" spans="1:19" x14ac:dyDescent="0.25">
      <c r="A158" s="288"/>
      <c r="B158" s="288"/>
      <c r="C158" s="288"/>
      <c r="D158" s="288"/>
      <c r="E158" s="290"/>
      <c r="F158" s="288"/>
      <c r="G158" s="288"/>
      <c r="H158" s="288"/>
      <c r="I158" s="288"/>
      <c r="J158" s="288"/>
      <c r="K158" s="290"/>
      <c r="L158" s="322"/>
      <c r="M158" s="288"/>
      <c r="N158" s="288"/>
      <c r="O158" s="288"/>
      <c r="P158" s="288"/>
      <c r="Q158" s="288"/>
      <c r="R158" s="288"/>
      <c r="S158" s="288"/>
    </row>
    <row r="159" spans="1:19" x14ac:dyDescent="0.25">
      <c r="A159" s="323"/>
      <c r="B159" s="288"/>
      <c r="C159" s="288"/>
      <c r="D159" s="288"/>
      <c r="E159" s="288"/>
      <c r="F159" s="323"/>
      <c r="G159" s="323"/>
      <c r="H159" s="323"/>
      <c r="I159" s="288"/>
      <c r="J159" s="288"/>
      <c r="K159" s="288"/>
      <c r="L159" s="288"/>
      <c r="M159" s="288"/>
      <c r="N159" s="288"/>
      <c r="O159" s="288"/>
      <c r="P159" s="288"/>
      <c r="Q159" s="288"/>
      <c r="R159" s="288"/>
      <c r="S159" s="288"/>
    </row>
    <row r="160" spans="1:19" x14ac:dyDescent="0.25">
      <c r="A160" s="322"/>
      <c r="B160" s="288"/>
      <c r="C160" s="288"/>
      <c r="D160" s="288"/>
      <c r="E160" s="288"/>
      <c r="F160" s="322"/>
      <c r="G160" s="322"/>
      <c r="H160" s="322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</row>
    <row r="161" spans="1:19" x14ac:dyDescent="0.25">
      <c r="A161" s="323"/>
      <c r="B161" s="288"/>
      <c r="C161" s="288"/>
      <c r="D161" s="288"/>
      <c r="E161" s="288"/>
      <c r="F161" s="323"/>
      <c r="G161" s="323"/>
      <c r="H161" s="323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</row>
    <row r="162" spans="1:19" x14ac:dyDescent="0.25">
      <c r="A162" s="288"/>
      <c r="B162" s="288"/>
      <c r="C162" s="288"/>
      <c r="D162" s="288"/>
      <c r="E162" s="290"/>
      <c r="F162" s="288"/>
      <c r="G162" s="288"/>
      <c r="H162" s="288"/>
      <c r="I162" s="288"/>
      <c r="J162" s="288"/>
      <c r="K162" s="288"/>
      <c r="L162" s="288"/>
      <c r="M162" s="288"/>
      <c r="N162" s="288"/>
      <c r="O162" s="288"/>
      <c r="P162" s="288"/>
      <c r="Q162" s="288"/>
      <c r="R162" s="288"/>
      <c r="S162" s="288"/>
    </row>
    <row r="163" spans="1:19" x14ac:dyDescent="0.25">
      <c r="A163" s="323"/>
      <c r="B163" s="288"/>
      <c r="C163" s="288"/>
      <c r="D163" s="288"/>
      <c r="E163" s="288"/>
      <c r="F163" s="323"/>
      <c r="G163" s="323"/>
      <c r="H163" s="323"/>
      <c r="I163" s="288"/>
      <c r="J163" s="288"/>
      <c r="K163" s="288"/>
      <c r="L163" s="288"/>
      <c r="M163" s="288"/>
      <c r="N163" s="288"/>
      <c r="O163" s="288"/>
      <c r="P163" s="288"/>
      <c r="Q163" s="288"/>
      <c r="R163" s="288"/>
      <c r="S163" s="288"/>
    </row>
    <row r="164" spans="1:19" x14ac:dyDescent="0.25">
      <c r="A164" s="322"/>
      <c r="B164" s="288"/>
      <c r="C164" s="288"/>
      <c r="D164" s="288"/>
      <c r="E164" s="288"/>
      <c r="F164" s="322"/>
      <c r="G164" s="322"/>
      <c r="H164" s="322"/>
      <c r="I164" s="288"/>
      <c r="J164" s="288"/>
      <c r="K164" s="288"/>
      <c r="L164" s="288"/>
      <c r="M164" s="288"/>
      <c r="N164" s="288"/>
      <c r="O164" s="288"/>
      <c r="P164" s="288"/>
      <c r="Q164" s="288"/>
      <c r="R164" s="288"/>
      <c r="S164" s="288"/>
    </row>
    <row r="165" spans="1:19" x14ac:dyDescent="0.25">
      <c r="A165" s="323"/>
      <c r="B165" s="288"/>
      <c r="C165" s="288"/>
      <c r="D165" s="288"/>
      <c r="E165" s="288"/>
      <c r="F165" s="323"/>
      <c r="G165" s="323"/>
      <c r="H165" s="323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</row>
    <row r="166" spans="1:19" x14ac:dyDescent="0.25">
      <c r="A166" s="288"/>
      <c r="B166" s="288"/>
      <c r="C166" s="288"/>
      <c r="D166" s="288"/>
      <c r="E166" s="288"/>
      <c r="F166" s="288"/>
      <c r="G166" s="288"/>
      <c r="H166" s="288"/>
      <c r="I166" s="288"/>
      <c r="J166" s="288"/>
      <c r="K166" s="288"/>
      <c r="L166" s="288"/>
      <c r="M166" s="288"/>
      <c r="N166" s="288"/>
      <c r="O166" s="288"/>
      <c r="P166" s="288"/>
      <c r="Q166" s="288"/>
      <c r="R166" s="288"/>
      <c r="S166" s="288"/>
    </row>
    <row r="167" spans="1:19" x14ac:dyDescent="0.25">
      <c r="A167" s="320"/>
      <c r="B167" s="288"/>
      <c r="C167" s="288"/>
      <c r="D167" s="288"/>
      <c r="E167" s="288"/>
      <c r="F167" s="320"/>
      <c r="G167" s="320"/>
      <c r="H167" s="320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</row>
    <row r="168" spans="1:19" x14ac:dyDescent="0.25">
      <c r="A168" s="288"/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</row>
    <row r="169" spans="1:19" x14ac:dyDescent="0.25">
      <c r="A169" s="288"/>
      <c r="B169" s="288"/>
      <c r="C169" s="288"/>
      <c r="D169" s="288"/>
      <c r="E169" s="288"/>
      <c r="F169" s="288"/>
      <c r="G169" s="288"/>
      <c r="H169" s="288"/>
      <c r="I169" s="288"/>
      <c r="J169" s="288"/>
      <c r="K169" s="288"/>
      <c r="L169" s="288"/>
      <c r="M169" s="288"/>
      <c r="N169" s="288"/>
      <c r="O169" s="288"/>
      <c r="P169" s="288"/>
      <c r="Q169" s="288"/>
      <c r="R169" s="288"/>
      <c r="S169" s="288"/>
    </row>
    <row r="170" spans="1:19" x14ac:dyDescent="0.25">
      <c r="A170" s="288"/>
      <c r="B170" s="288"/>
      <c r="C170" s="288"/>
      <c r="D170" s="288"/>
      <c r="E170" s="290"/>
      <c r="F170" s="288"/>
      <c r="G170" s="288"/>
      <c r="H170" s="288"/>
      <c r="I170" s="288"/>
      <c r="J170" s="288"/>
      <c r="K170" s="288"/>
      <c r="L170" s="288"/>
      <c r="M170" s="288"/>
      <c r="N170" s="288"/>
      <c r="O170" s="288"/>
      <c r="P170" s="288"/>
      <c r="Q170" s="288"/>
      <c r="R170" s="288"/>
      <c r="S170" s="288"/>
    </row>
    <row r="171" spans="1:19" x14ac:dyDescent="0.25">
      <c r="A171" s="323"/>
      <c r="B171" s="288"/>
      <c r="C171" s="288"/>
      <c r="D171" s="288"/>
      <c r="E171" s="288"/>
      <c r="F171" s="323"/>
      <c r="G171" s="323"/>
      <c r="H171" s="323"/>
      <c r="I171" s="288"/>
      <c r="J171" s="288"/>
      <c r="K171" s="288"/>
      <c r="L171" s="288"/>
      <c r="M171" s="288"/>
      <c r="N171" s="288"/>
      <c r="O171" s="288"/>
      <c r="P171" s="288"/>
      <c r="Q171" s="288"/>
      <c r="R171" s="288"/>
      <c r="S171" s="288"/>
    </row>
    <row r="172" spans="1:19" x14ac:dyDescent="0.25">
      <c r="A172" s="322"/>
      <c r="B172" s="288"/>
      <c r="C172" s="288"/>
      <c r="D172" s="288"/>
      <c r="E172" s="288"/>
      <c r="F172" s="322"/>
      <c r="G172" s="322"/>
      <c r="H172" s="322"/>
      <c r="I172" s="288"/>
      <c r="J172" s="288"/>
      <c r="K172" s="288"/>
      <c r="L172" s="288"/>
      <c r="M172" s="288"/>
      <c r="N172" s="288"/>
      <c r="O172" s="288"/>
      <c r="P172" s="288"/>
      <c r="Q172" s="288"/>
      <c r="R172" s="288"/>
      <c r="S172" s="288"/>
    </row>
    <row r="173" spans="1:19" x14ac:dyDescent="0.25">
      <c r="A173" s="323"/>
      <c r="B173" s="288"/>
      <c r="C173" s="288"/>
      <c r="D173" s="288"/>
      <c r="E173" s="288"/>
      <c r="F173" s="323"/>
      <c r="G173" s="323"/>
      <c r="H173" s="323"/>
      <c r="I173" s="288"/>
      <c r="J173" s="288"/>
      <c r="K173" s="288"/>
      <c r="L173" s="288"/>
      <c r="M173" s="288"/>
      <c r="N173" s="288"/>
      <c r="O173" s="288"/>
      <c r="P173" s="288"/>
      <c r="Q173" s="288"/>
      <c r="R173" s="288"/>
      <c r="S173" s="288"/>
    </row>
    <row r="174" spans="1:19" x14ac:dyDescent="0.25">
      <c r="A174" s="288"/>
      <c r="B174" s="288"/>
      <c r="C174" s="288"/>
      <c r="D174" s="288"/>
      <c r="E174" s="290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</row>
    <row r="175" spans="1:19" x14ac:dyDescent="0.25">
      <c r="A175" s="323"/>
      <c r="B175" s="288"/>
      <c r="C175" s="288"/>
      <c r="D175" s="288"/>
      <c r="E175" s="288"/>
      <c r="F175" s="323"/>
      <c r="G175" s="323"/>
      <c r="H175" s="323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</row>
    <row r="176" spans="1:19" x14ac:dyDescent="0.25">
      <c r="A176" s="322"/>
      <c r="B176" s="288"/>
      <c r="C176" s="288"/>
      <c r="D176" s="288"/>
      <c r="E176" s="288"/>
      <c r="F176" s="322"/>
      <c r="G176" s="322"/>
      <c r="H176" s="322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  <c r="S176" s="288"/>
    </row>
    <row r="177" spans="1:19" x14ac:dyDescent="0.25">
      <c r="A177" s="323"/>
      <c r="B177" s="288"/>
      <c r="C177" s="288"/>
      <c r="D177" s="288"/>
      <c r="E177" s="288"/>
      <c r="F177" s="323"/>
      <c r="G177" s="323"/>
      <c r="H177" s="323"/>
      <c r="I177" s="288"/>
      <c r="J177" s="288"/>
      <c r="K177" s="288"/>
      <c r="L177" s="288"/>
      <c r="M177" s="288"/>
      <c r="N177" s="288"/>
      <c r="O177" s="288"/>
      <c r="P177" s="288"/>
      <c r="Q177" s="288"/>
      <c r="R177" s="288"/>
      <c r="S177" s="288"/>
    </row>
    <row r="178" spans="1:19" x14ac:dyDescent="0.25">
      <c r="A178" s="320"/>
      <c r="B178" s="288"/>
      <c r="C178" s="288"/>
      <c r="D178" s="288"/>
      <c r="E178" s="288"/>
      <c r="F178" s="320"/>
      <c r="G178" s="320"/>
      <c r="H178" s="320"/>
      <c r="I178" s="288"/>
      <c r="J178" s="288"/>
      <c r="K178" s="288"/>
      <c r="L178" s="288"/>
      <c r="M178" s="288"/>
      <c r="N178" s="288"/>
      <c r="O178" s="288"/>
      <c r="P178" s="288"/>
      <c r="Q178" s="288"/>
      <c r="R178" s="288"/>
      <c r="S178" s="288"/>
    </row>
    <row r="179" spans="1:19" x14ac:dyDescent="0.25">
      <c r="A179" s="320"/>
      <c r="B179" s="288"/>
      <c r="C179" s="288"/>
      <c r="D179" s="288"/>
      <c r="E179" s="288"/>
      <c r="F179" s="320"/>
      <c r="G179" s="320"/>
      <c r="H179" s="320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</row>
    <row r="180" spans="1:19" x14ac:dyDescent="0.25">
      <c r="A180" s="288"/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</row>
    <row r="181" spans="1:19" x14ac:dyDescent="0.25">
      <c r="A181" s="288"/>
      <c r="B181" s="288"/>
      <c r="C181" s="288"/>
      <c r="D181" s="288"/>
      <c r="E181" s="288"/>
      <c r="F181" s="288"/>
      <c r="G181" s="288"/>
      <c r="H181" s="288"/>
      <c r="I181" s="288"/>
      <c r="J181" s="288"/>
      <c r="K181" s="288"/>
      <c r="L181" s="288"/>
      <c r="M181" s="288"/>
      <c r="N181" s="288"/>
      <c r="O181" s="288"/>
      <c r="P181" s="288"/>
      <c r="Q181" s="288"/>
      <c r="R181" s="288"/>
      <c r="S181" s="288"/>
    </row>
    <row r="182" spans="1:19" x14ac:dyDescent="0.25">
      <c r="A182" s="288"/>
      <c r="B182" s="288"/>
      <c r="C182" s="288"/>
      <c r="D182" s="288"/>
      <c r="E182" s="290"/>
      <c r="F182" s="288"/>
      <c r="G182" s="288"/>
      <c r="H182" s="288"/>
      <c r="I182" s="288"/>
      <c r="J182" s="288"/>
      <c r="K182" s="288"/>
      <c r="L182" s="288"/>
      <c r="M182" s="288"/>
      <c r="N182" s="288"/>
      <c r="O182" s="288"/>
      <c r="P182" s="288"/>
      <c r="Q182" s="288"/>
      <c r="R182" s="288"/>
      <c r="S182" s="288"/>
    </row>
    <row r="183" spans="1:19" x14ac:dyDescent="0.25">
      <c r="A183" s="323"/>
      <c r="B183" s="288"/>
      <c r="C183" s="288"/>
      <c r="D183" s="288"/>
      <c r="E183" s="288"/>
      <c r="F183" s="323"/>
      <c r="G183" s="323"/>
      <c r="H183" s="323"/>
      <c r="I183" s="288"/>
      <c r="J183" s="288"/>
      <c r="K183" s="288"/>
      <c r="L183" s="288"/>
      <c r="M183" s="288"/>
      <c r="N183" s="288"/>
      <c r="O183" s="288"/>
      <c r="P183" s="288"/>
      <c r="Q183" s="288"/>
      <c r="R183" s="288"/>
      <c r="S183" s="288"/>
    </row>
    <row r="184" spans="1:19" x14ac:dyDescent="0.25">
      <c r="A184" s="322"/>
      <c r="B184" s="288"/>
      <c r="C184" s="288"/>
      <c r="D184" s="288"/>
      <c r="E184" s="288"/>
      <c r="F184" s="322"/>
      <c r="G184" s="322"/>
      <c r="H184" s="322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</row>
    <row r="185" spans="1:19" x14ac:dyDescent="0.25">
      <c r="A185" s="323"/>
      <c r="B185" s="288"/>
      <c r="C185" s="288"/>
      <c r="D185" s="288"/>
      <c r="E185" s="288"/>
      <c r="F185" s="323"/>
      <c r="G185" s="323"/>
      <c r="H185" s="323"/>
      <c r="I185" s="288"/>
      <c r="J185" s="288"/>
      <c r="K185" s="288"/>
      <c r="L185" s="288"/>
      <c r="M185" s="288"/>
      <c r="N185" s="288"/>
      <c r="O185" s="288"/>
      <c r="P185" s="288"/>
      <c r="Q185" s="288"/>
      <c r="R185" s="288"/>
      <c r="S185" s="288"/>
    </row>
    <row r="186" spans="1:19" x14ac:dyDescent="0.25">
      <c r="A186" s="288"/>
      <c r="B186" s="288"/>
      <c r="C186" s="288"/>
      <c r="D186" s="288"/>
      <c r="E186" s="290"/>
      <c r="F186" s="288"/>
      <c r="G186" s="288"/>
      <c r="H186" s="288"/>
      <c r="I186" s="288"/>
      <c r="J186" s="288"/>
      <c r="K186" s="288"/>
      <c r="L186" s="288"/>
      <c r="M186" s="288"/>
      <c r="N186" s="288"/>
      <c r="O186" s="288"/>
      <c r="P186" s="288"/>
      <c r="Q186" s="288"/>
      <c r="R186" s="288"/>
      <c r="S186" s="288"/>
    </row>
    <row r="187" spans="1:19" x14ac:dyDescent="0.25">
      <c r="A187" s="323"/>
      <c r="B187" s="288"/>
      <c r="C187" s="288"/>
      <c r="D187" s="288"/>
      <c r="E187" s="288"/>
      <c r="F187" s="323"/>
      <c r="G187" s="323"/>
      <c r="H187" s="323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</row>
    <row r="188" spans="1:19" x14ac:dyDescent="0.25">
      <c r="A188" s="322"/>
      <c r="B188" s="288"/>
      <c r="C188" s="288"/>
      <c r="D188" s="288"/>
      <c r="E188" s="288"/>
      <c r="F188" s="322"/>
      <c r="G188" s="322"/>
      <c r="H188" s="322"/>
      <c r="I188" s="288"/>
      <c r="J188" s="288"/>
      <c r="K188" s="288"/>
      <c r="L188" s="288"/>
      <c r="M188" s="288"/>
      <c r="N188" s="288"/>
      <c r="O188" s="288"/>
      <c r="P188" s="288"/>
      <c r="Q188" s="288"/>
      <c r="R188" s="288"/>
      <c r="S188" s="288"/>
    </row>
    <row r="189" spans="1:19" x14ac:dyDescent="0.25">
      <c r="A189" s="323"/>
      <c r="B189" s="288"/>
      <c r="C189" s="288"/>
      <c r="D189" s="288"/>
      <c r="E189" s="288"/>
      <c r="F189" s="323"/>
      <c r="G189" s="323"/>
      <c r="H189" s="323"/>
      <c r="I189" s="288"/>
      <c r="J189" s="288"/>
      <c r="K189" s="288"/>
      <c r="L189" s="288"/>
      <c r="M189" s="288"/>
      <c r="N189" s="288"/>
      <c r="O189" s="288"/>
      <c r="P189" s="288"/>
      <c r="Q189" s="288"/>
      <c r="R189" s="288"/>
      <c r="S189" s="288"/>
    </row>
    <row r="190" spans="1:19" x14ac:dyDescent="0.25">
      <c r="A190" s="288"/>
      <c r="B190" s="288"/>
      <c r="C190" s="288"/>
      <c r="D190" s="288"/>
      <c r="E190" s="290"/>
      <c r="F190" s="288"/>
      <c r="G190" s="288"/>
      <c r="H190" s="288"/>
      <c r="I190" s="288"/>
      <c r="J190" s="288"/>
      <c r="K190" s="288"/>
      <c r="L190" s="288"/>
      <c r="M190" s="288"/>
      <c r="N190" s="288"/>
      <c r="O190" s="288"/>
      <c r="P190" s="288"/>
      <c r="Q190" s="288"/>
      <c r="R190" s="288"/>
      <c r="S190" s="288"/>
    </row>
    <row r="191" spans="1:19" x14ac:dyDescent="0.25">
      <c r="A191" s="323"/>
      <c r="B191" s="288"/>
      <c r="C191" s="288"/>
      <c r="D191" s="288"/>
      <c r="E191" s="288"/>
      <c r="F191" s="323"/>
      <c r="G191" s="323"/>
      <c r="H191" s="323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</row>
    <row r="192" spans="1:19" x14ac:dyDescent="0.25">
      <c r="A192" s="322"/>
      <c r="B192" s="288"/>
      <c r="C192" s="288"/>
      <c r="D192" s="288"/>
      <c r="E192" s="288"/>
      <c r="F192" s="322"/>
      <c r="G192" s="322"/>
      <c r="H192" s="322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</row>
    <row r="193" spans="1:19" x14ac:dyDescent="0.25">
      <c r="A193" s="323"/>
      <c r="B193" s="288"/>
      <c r="C193" s="288"/>
      <c r="D193" s="288"/>
      <c r="E193" s="288"/>
      <c r="F193" s="323"/>
      <c r="G193" s="323"/>
      <c r="H193" s="323"/>
      <c r="I193" s="288"/>
      <c r="J193" s="288"/>
      <c r="K193" s="288"/>
      <c r="L193" s="288"/>
      <c r="M193" s="288"/>
      <c r="N193" s="288"/>
      <c r="O193" s="288"/>
      <c r="P193" s="288"/>
      <c r="Q193" s="288"/>
      <c r="R193" s="288"/>
      <c r="S193" s="288"/>
    </row>
    <row r="194" spans="1:19" x14ac:dyDescent="0.25">
      <c r="A194" s="320"/>
      <c r="B194" s="288"/>
      <c r="C194" s="288"/>
      <c r="D194" s="288"/>
      <c r="E194" s="288"/>
      <c r="F194" s="320"/>
      <c r="G194" s="320"/>
      <c r="H194" s="320"/>
      <c r="I194" s="288"/>
      <c r="J194" s="288"/>
      <c r="K194" s="288"/>
      <c r="L194" s="288"/>
      <c r="M194" s="288"/>
      <c r="N194" s="288"/>
      <c r="O194" s="288"/>
      <c r="P194" s="288"/>
      <c r="Q194" s="288"/>
      <c r="R194" s="288"/>
      <c r="S194" s="288"/>
    </row>
    <row r="195" spans="1:19" x14ac:dyDescent="0.25">
      <c r="A195" s="288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88"/>
      <c r="P195" s="288"/>
      <c r="Q195" s="288"/>
      <c r="R195" s="288"/>
      <c r="S195" s="288"/>
    </row>
    <row r="196" spans="1:19" x14ac:dyDescent="0.25">
      <c r="A196" s="310"/>
      <c r="B196" s="288"/>
      <c r="C196" s="288"/>
      <c r="D196" s="288"/>
      <c r="E196" s="288"/>
      <c r="F196" s="288"/>
      <c r="G196" s="288"/>
      <c r="H196" s="288"/>
      <c r="I196" s="288"/>
      <c r="J196" s="288"/>
      <c r="M196" s="288"/>
      <c r="N196" s="288"/>
      <c r="O196" s="327"/>
      <c r="P196" s="288"/>
      <c r="Q196" s="288"/>
      <c r="R196" s="288"/>
      <c r="S196" s="288"/>
    </row>
    <row r="197" spans="1:19" x14ac:dyDescent="0.25">
      <c r="A197" s="288"/>
      <c r="B197" s="288"/>
      <c r="C197" s="288"/>
      <c r="D197" s="288"/>
      <c r="E197" s="288"/>
      <c r="F197" s="288"/>
      <c r="G197" s="288"/>
      <c r="H197" s="288"/>
      <c r="I197" s="288"/>
      <c r="J197" s="288"/>
      <c r="M197" s="288"/>
      <c r="N197" s="288"/>
      <c r="O197" s="323"/>
      <c r="P197" s="288"/>
      <c r="Q197" s="288"/>
      <c r="R197" s="288"/>
      <c r="S197" s="288"/>
    </row>
    <row r="198" spans="1:19" x14ac:dyDescent="0.25">
      <c r="A198" s="288"/>
      <c r="B198" s="288"/>
      <c r="C198" s="288"/>
      <c r="D198" s="288"/>
      <c r="E198" s="290"/>
      <c r="I198" s="288"/>
      <c r="J198" s="288"/>
      <c r="M198" s="288"/>
      <c r="N198" s="288"/>
      <c r="O198" s="331"/>
      <c r="P198" s="288"/>
      <c r="Q198" s="288"/>
      <c r="R198" s="288"/>
      <c r="S198" s="288"/>
    </row>
    <row r="199" spans="1:19" x14ac:dyDescent="0.25">
      <c r="A199" s="323"/>
      <c r="B199" s="288"/>
      <c r="C199" s="288"/>
      <c r="D199" s="288"/>
      <c r="E199" s="288"/>
      <c r="F199" s="323"/>
      <c r="G199" s="323"/>
      <c r="H199" s="323"/>
      <c r="I199" s="288"/>
      <c r="J199" s="288"/>
      <c r="K199" s="288"/>
      <c r="L199" s="288"/>
      <c r="M199" s="288"/>
      <c r="N199" s="288"/>
      <c r="O199" s="288"/>
      <c r="P199" s="288"/>
      <c r="Q199" s="288"/>
      <c r="R199" s="288"/>
      <c r="S199" s="288"/>
    </row>
    <row r="200" spans="1:19" x14ac:dyDescent="0.25">
      <c r="A200" s="322"/>
      <c r="B200" s="288"/>
      <c r="C200" s="288"/>
      <c r="D200" s="288"/>
      <c r="E200" s="288"/>
      <c r="F200" s="322"/>
      <c r="G200" s="322"/>
      <c r="H200" s="322"/>
      <c r="I200" s="288"/>
      <c r="J200" s="288"/>
      <c r="K200" s="288"/>
      <c r="L200" s="288"/>
      <c r="M200" s="288"/>
      <c r="N200" s="288"/>
      <c r="O200" s="288"/>
      <c r="P200" s="288"/>
      <c r="Q200" s="288"/>
      <c r="R200" s="288"/>
      <c r="S200" s="288"/>
    </row>
    <row r="201" spans="1:19" x14ac:dyDescent="0.25">
      <c r="A201" s="323"/>
      <c r="B201" s="288"/>
      <c r="C201" s="288"/>
      <c r="D201" s="288"/>
      <c r="E201" s="288"/>
      <c r="F201" s="323"/>
      <c r="G201" s="323"/>
      <c r="H201" s="323"/>
      <c r="I201" s="288"/>
      <c r="J201" s="288"/>
      <c r="K201" s="288"/>
      <c r="L201" s="323"/>
      <c r="M201" s="288"/>
      <c r="N201" s="288"/>
      <c r="O201" s="288"/>
      <c r="P201" s="288"/>
      <c r="Q201" s="288"/>
      <c r="R201" s="288"/>
      <c r="S201" s="288"/>
    </row>
    <row r="202" spans="1:19" x14ac:dyDescent="0.25">
      <c r="A202" s="288"/>
      <c r="B202" s="288"/>
      <c r="C202" s="288"/>
      <c r="D202" s="288"/>
      <c r="E202" s="290"/>
      <c r="F202" s="288"/>
      <c r="G202" s="288"/>
      <c r="H202" s="288"/>
      <c r="I202" s="288"/>
      <c r="J202" s="288"/>
      <c r="K202" s="288"/>
      <c r="L202" s="322"/>
      <c r="M202" s="288"/>
      <c r="N202" s="288"/>
      <c r="O202" s="288"/>
      <c r="P202" s="288"/>
      <c r="Q202" s="288"/>
      <c r="R202" s="288"/>
      <c r="S202" s="288"/>
    </row>
    <row r="203" spans="1:19" x14ac:dyDescent="0.25">
      <c r="A203" s="323"/>
      <c r="B203" s="288"/>
      <c r="C203" s="288"/>
      <c r="D203" s="288"/>
      <c r="E203" s="288"/>
      <c r="F203" s="323"/>
      <c r="G203" s="323"/>
      <c r="H203" s="323"/>
      <c r="I203" s="288"/>
      <c r="J203" s="288"/>
      <c r="K203" s="288"/>
      <c r="L203" s="327"/>
      <c r="M203" s="288"/>
      <c r="N203" s="288"/>
      <c r="O203" s="288"/>
      <c r="P203" s="288"/>
      <c r="Q203" s="288"/>
      <c r="R203" s="288"/>
      <c r="S203" s="288"/>
    </row>
    <row r="204" spans="1:19" x14ac:dyDescent="0.25">
      <c r="A204" s="322"/>
      <c r="B204" s="288"/>
      <c r="C204" s="288"/>
      <c r="D204" s="288"/>
      <c r="E204" s="288"/>
      <c r="F204" s="322"/>
      <c r="G204" s="322"/>
      <c r="H204" s="322"/>
      <c r="I204" s="288"/>
      <c r="J204" s="288"/>
      <c r="K204" s="288"/>
      <c r="L204" s="331"/>
      <c r="M204" s="288"/>
      <c r="N204" s="288"/>
      <c r="O204" s="288"/>
      <c r="P204" s="288"/>
      <c r="Q204" s="288"/>
      <c r="R204" s="288"/>
      <c r="S204" s="288"/>
    </row>
    <row r="205" spans="1:19" x14ac:dyDescent="0.25">
      <c r="A205" s="323"/>
      <c r="B205" s="288"/>
      <c r="C205" s="288"/>
      <c r="D205" s="288"/>
      <c r="E205" s="288"/>
      <c r="F205" s="323"/>
      <c r="G205" s="323"/>
      <c r="H205" s="323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</row>
    <row r="206" spans="1:19" x14ac:dyDescent="0.25">
      <c r="A206" s="320"/>
      <c r="B206" s="288"/>
      <c r="C206" s="288"/>
      <c r="D206" s="288"/>
      <c r="E206" s="288"/>
      <c r="F206" s="320"/>
      <c r="G206" s="320"/>
      <c r="H206" s="320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</row>
    <row r="207" spans="1:19" x14ac:dyDescent="0.25">
      <c r="A207" s="288"/>
      <c r="B207" s="288"/>
      <c r="C207" s="288"/>
      <c r="D207" s="288"/>
      <c r="E207" s="288"/>
      <c r="F207" s="288"/>
      <c r="G207" s="288"/>
      <c r="H207" s="288"/>
      <c r="I207" s="288"/>
      <c r="J207" s="288"/>
      <c r="K207" s="288"/>
      <c r="L207" s="288"/>
      <c r="M207" s="288"/>
      <c r="N207" s="288"/>
      <c r="O207" s="288"/>
      <c r="P207" s="288"/>
      <c r="Q207" s="288"/>
      <c r="R207" s="288"/>
      <c r="S207" s="288"/>
    </row>
    <row r="208" spans="1:19" x14ac:dyDescent="0.25">
      <c r="A208" s="288"/>
      <c r="B208" s="288"/>
      <c r="C208" s="288"/>
      <c r="D208" s="288"/>
      <c r="E208" s="290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</row>
    <row r="209" spans="1:19" x14ac:dyDescent="0.25">
      <c r="A209" s="323"/>
      <c r="B209" s="288"/>
      <c r="C209" s="288"/>
      <c r="D209" s="288"/>
      <c r="E209" s="288"/>
      <c r="F209" s="323"/>
      <c r="G209" s="323"/>
      <c r="H209" s="323"/>
      <c r="I209" s="288"/>
      <c r="J209" s="288"/>
      <c r="K209" s="288"/>
      <c r="L209" s="288"/>
      <c r="M209" s="288"/>
      <c r="N209" s="288"/>
      <c r="O209" s="288"/>
      <c r="P209" s="288"/>
      <c r="Q209" s="288"/>
      <c r="R209" s="288"/>
      <c r="S209" s="288"/>
    </row>
    <row r="210" spans="1:19" x14ac:dyDescent="0.25">
      <c r="A210" s="322"/>
      <c r="B210" s="288"/>
      <c r="C210" s="288"/>
      <c r="D210" s="288"/>
      <c r="E210" s="288"/>
      <c r="F210" s="322"/>
      <c r="G210" s="322"/>
      <c r="H210" s="322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</row>
    <row r="211" spans="1:19" x14ac:dyDescent="0.25">
      <c r="A211" s="323"/>
      <c r="B211" s="288"/>
      <c r="C211" s="288"/>
      <c r="D211" s="288"/>
      <c r="E211" s="288"/>
      <c r="F211" s="323"/>
      <c r="G211" s="323"/>
      <c r="H211" s="323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</row>
    <row r="212" spans="1:19" x14ac:dyDescent="0.25">
      <c r="A212" s="323"/>
      <c r="B212" s="288"/>
      <c r="C212" s="288"/>
      <c r="D212" s="288"/>
      <c r="E212" s="288"/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</row>
    <row r="213" spans="1:19" x14ac:dyDescent="0.25">
      <c r="A213" s="288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88"/>
      <c r="P213" s="288"/>
      <c r="Q213" s="288"/>
      <c r="R213" s="288"/>
      <c r="S213" s="288"/>
    </row>
    <row r="214" spans="1:19" x14ac:dyDescent="0.25">
      <c r="A214" s="288"/>
      <c r="B214" s="288"/>
      <c r="C214" s="288"/>
      <c r="D214" s="288"/>
      <c r="E214" s="290"/>
      <c r="F214" s="288"/>
      <c r="G214" s="288"/>
      <c r="H214" s="288"/>
      <c r="I214" s="288"/>
      <c r="J214" s="288"/>
      <c r="K214" s="288"/>
      <c r="L214" s="288"/>
      <c r="M214" s="288"/>
      <c r="N214" s="288"/>
      <c r="O214" s="288"/>
      <c r="P214" s="288"/>
      <c r="Q214" s="288"/>
      <c r="R214" s="288"/>
      <c r="S214" s="288"/>
    </row>
    <row r="215" spans="1:19" x14ac:dyDescent="0.25">
      <c r="A215" s="323"/>
      <c r="B215" s="288"/>
      <c r="C215" s="288"/>
      <c r="D215" s="288"/>
      <c r="E215" s="288"/>
      <c r="F215" s="323"/>
      <c r="G215" s="323"/>
      <c r="H215" s="323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</row>
    <row r="216" spans="1:19" x14ac:dyDescent="0.25">
      <c r="A216" s="322"/>
      <c r="B216" s="288"/>
      <c r="C216" s="288"/>
      <c r="D216" s="288"/>
      <c r="E216" s="288"/>
      <c r="F216" s="322"/>
      <c r="G216" s="322"/>
      <c r="H216" s="322"/>
      <c r="I216" s="288"/>
      <c r="J216" s="288"/>
      <c r="K216" s="288"/>
      <c r="L216" s="288"/>
      <c r="M216" s="288"/>
      <c r="N216" s="288"/>
      <c r="O216" s="288"/>
      <c r="P216" s="288"/>
      <c r="Q216" s="288"/>
      <c r="R216" s="288"/>
      <c r="S216" s="288"/>
    </row>
    <row r="217" spans="1:19" x14ac:dyDescent="0.25">
      <c r="A217" s="323"/>
      <c r="B217" s="288"/>
      <c r="C217" s="288"/>
      <c r="D217" s="288"/>
      <c r="E217" s="288"/>
      <c r="F217" s="323"/>
      <c r="G217" s="323"/>
      <c r="H217" s="323"/>
      <c r="I217" s="288"/>
      <c r="J217" s="288"/>
      <c r="K217" s="288"/>
      <c r="L217" s="288"/>
      <c r="M217" s="288"/>
      <c r="N217" s="288"/>
      <c r="O217" s="288"/>
      <c r="P217" s="288"/>
      <c r="Q217" s="288"/>
      <c r="R217" s="288"/>
      <c r="S217" s="288"/>
    </row>
    <row r="218" spans="1:19" x14ac:dyDescent="0.25">
      <c r="A218" s="288"/>
      <c r="B218" s="288"/>
      <c r="C218" s="288"/>
      <c r="D218" s="288"/>
      <c r="E218" s="290"/>
      <c r="F218" s="288"/>
      <c r="G218" s="288"/>
      <c r="H218" s="288"/>
      <c r="I218" s="288"/>
      <c r="J218" s="288"/>
      <c r="K218" s="288"/>
      <c r="L218" s="288"/>
      <c r="M218" s="288"/>
      <c r="N218" s="288"/>
      <c r="O218" s="288"/>
      <c r="P218" s="288"/>
      <c r="Q218" s="288"/>
      <c r="R218" s="288"/>
      <c r="S218" s="288"/>
    </row>
    <row r="219" spans="1:19" x14ac:dyDescent="0.25">
      <c r="A219" s="323"/>
      <c r="B219" s="288"/>
      <c r="C219" s="288"/>
      <c r="D219" s="288"/>
      <c r="E219" s="288"/>
      <c r="F219" s="323"/>
      <c r="G219" s="323"/>
      <c r="H219" s="323"/>
      <c r="I219" s="288"/>
      <c r="J219" s="288"/>
      <c r="K219" s="288"/>
      <c r="L219" s="288"/>
      <c r="M219" s="288"/>
      <c r="N219" s="288"/>
      <c r="O219" s="288"/>
      <c r="P219" s="288"/>
      <c r="Q219" s="288"/>
      <c r="R219" s="288"/>
      <c r="S219" s="288"/>
    </row>
    <row r="220" spans="1:19" x14ac:dyDescent="0.25">
      <c r="A220" s="322"/>
      <c r="B220" s="288"/>
      <c r="C220" s="288"/>
      <c r="D220" s="288"/>
      <c r="E220" s="288"/>
      <c r="F220" s="322"/>
      <c r="G220" s="322"/>
      <c r="H220" s="322"/>
      <c r="I220" s="288"/>
      <c r="J220" s="288"/>
      <c r="K220" s="288"/>
      <c r="L220" s="288"/>
      <c r="M220" s="288"/>
      <c r="N220" s="288"/>
      <c r="O220" s="288"/>
      <c r="P220" s="288"/>
      <c r="Q220" s="288"/>
      <c r="R220" s="288"/>
      <c r="S220" s="288"/>
    </row>
    <row r="221" spans="1:19" x14ac:dyDescent="0.25">
      <c r="A221" s="323"/>
      <c r="B221" s="288"/>
      <c r="C221" s="288"/>
      <c r="D221" s="288"/>
      <c r="E221" s="288"/>
      <c r="F221" s="323"/>
      <c r="G221" s="323"/>
      <c r="H221" s="323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</row>
    <row r="222" spans="1:19" x14ac:dyDescent="0.25">
      <c r="A222" s="288"/>
      <c r="B222" s="288"/>
      <c r="C222" s="288"/>
      <c r="D222" s="288"/>
      <c r="E222" s="290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</row>
    <row r="223" spans="1:19" x14ac:dyDescent="0.25">
      <c r="A223" s="323"/>
      <c r="B223" s="288"/>
      <c r="C223" s="288"/>
      <c r="D223" s="288"/>
      <c r="E223" s="288"/>
      <c r="F223" s="323"/>
      <c r="G223" s="323"/>
      <c r="H223" s="323"/>
      <c r="I223" s="288"/>
      <c r="J223" s="288"/>
      <c r="K223" s="288"/>
      <c r="L223" s="288"/>
      <c r="M223" s="288"/>
      <c r="N223" s="288"/>
      <c r="O223" s="288"/>
      <c r="P223" s="288"/>
      <c r="Q223" s="288"/>
      <c r="R223" s="288"/>
      <c r="S223" s="288"/>
    </row>
    <row r="224" spans="1:19" x14ac:dyDescent="0.25">
      <c r="A224" s="322"/>
      <c r="B224" s="288"/>
      <c r="C224" s="288"/>
      <c r="D224" s="288"/>
      <c r="E224" s="288"/>
      <c r="F224" s="322"/>
      <c r="G224" s="322"/>
      <c r="H224" s="322"/>
      <c r="I224" s="288"/>
      <c r="J224" s="288"/>
      <c r="K224" s="288"/>
      <c r="L224" s="288"/>
      <c r="M224" s="288"/>
      <c r="N224" s="288"/>
      <c r="O224" s="288"/>
      <c r="P224" s="288"/>
      <c r="Q224" s="288"/>
      <c r="R224" s="288"/>
      <c r="S224" s="288"/>
    </row>
    <row r="225" spans="1:19" x14ac:dyDescent="0.25">
      <c r="A225" s="323"/>
      <c r="B225" s="288"/>
      <c r="C225" s="288"/>
      <c r="D225" s="288"/>
      <c r="E225" s="288"/>
      <c r="F225" s="323"/>
      <c r="G225" s="323"/>
      <c r="H225" s="323"/>
      <c r="I225" s="288"/>
      <c r="J225" s="288"/>
      <c r="K225" s="288"/>
      <c r="L225" s="288"/>
      <c r="M225" s="288"/>
      <c r="N225" s="288"/>
      <c r="O225" s="288"/>
      <c r="P225" s="288"/>
      <c r="Q225" s="288"/>
      <c r="R225" s="288"/>
      <c r="S225" s="288"/>
    </row>
    <row r="226" spans="1:19" x14ac:dyDescent="0.25">
      <c r="A226" s="320"/>
      <c r="B226" s="288"/>
      <c r="C226" s="288"/>
      <c r="D226" s="288"/>
      <c r="E226" s="288"/>
      <c r="F226" s="320"/>
      <c r="G226" s="320"/>
      <c r="H226" s="320"/>
      <c r="I226" s="288"/>
      <c r="J226" s="288"/>
      <c r="K226" s="288"/>
      <c r="L226" s="288"/>
      <c r="M226" s="288"/>
      <c r="N226" s="288"/>
      <c r="O226" s="288"/>
      <c r="P226" s="288"/>
      <c r="Q226" s="288"/>
      <c r="R226" s="288"/>
      <c r="S226" s="288"/>
    </row>
    <row r="227" spans="1:19" x14ac:dyDescent="0.25">
      <c r="A227" s="288"/>
      <c r="B227" s="288"/>
      <c r="C227" s="288"/>
      <c r="D227" s="288"/>
      <c r="E227" s="288"/>
      <c r="F227" s="288"/>
      <c r="G227" s="288"/>
      <c r="H227" s="288"/>
      <c r="I227" s="288"/>
      <c r="J227" s="288"/>
      <c r="K227" s="288"/>
      <c r="L227" s="288"/>
      <c r="M227" s="288"/>
      <c r="N227" s="288"/>
      <c r="O227" s="288"/>
    </row>
    <row r="228" spans="1:19" x14ac:dyDescent="0.25">
      <c r="A228" s="288"/>
      <c r="B228" s="288"/>
      <c r="C228" s="288"/>
      <c r="D228" s="288"/>
      <c r="E228" s="290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</row>
    <row r="229" spans="1:19" x14ac:dyDescent="0.25">
      <c r="A229" s="323"/>
      <c r="B229" s="288"/>
      <c r="C229" s="288"/>
      <c r="D229" s="288"/>
      <c r="E229" s="288"/>
      <c r="F229" s="323"/>
      <c r="G229" s="323"/>
      <c r="H229" s="323"/>
      <c r="I229" s="288"/>
      <c r="J229" s="288"/>
      <c r="K229" s="288"/>
      <c r="L229" s="288"/>
      <c r="M229" s="288"/>
      <c r="N229" s="288"/>
      <c r="O229" s="288"/>
    </row>
    <row r="230" spans="1:19" x14ac:dyDescent="0.25">
      <c r="A230" s="322"/>
      <c r="B230" s="288"/>
      <c r="C230" s="288"/>
      <c r="D230" s="288"/>
      <c r="E230" s="288"/>
      <c r="F230" s="322"/>
      <c r="G230" s="322"/>
      <c r="H230" s="322"/>
      <c r="I230" s="288"/>
      <c r="J230" s="288"/>
      <c r="K230" s="288"/>
      <c r="L230" s="288"/>
      <c r="M230" s="288"/>
      <c r="N230" s="288"/>
      <c r="O230" s="288"/>
    </row>
    <row r="231" spans="1:19" x14ac:dyDescent="0.25">
      <c r="A231" s="323"/>
      <c r="B231" s="288"/>
      <c r="C231" s="288"/>
      <c r="D231" s="288"/>
      <c r="E231" s="288"/>
      <c r="F231" s="323"/>
      <c r="G231" s="323"/>
      <c r="H231" s="323"/>
      <c r="I231" s="288"/>
      <c r="J231" s="288"/>
      <c r="K231" s="288"/>
      <c r="L231" s="288"/>
      <c r="M231" s="288"/>
      <c r="N231" s="288"/>
      <c r="O231" s="288"/>
    </row>
    <row r="232" spans="1:19" x14ac:dyDescent="0.25">
      <c r="A232" s="288"/>
      <c r="B232" s="288"/>
      <c r="C232" s="288"/>
      <c r="D232" s="288"/>
      <c r="E232" s="290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</row>
    <row r="233" spans="1:19" x14ac:dyDescent="0.25">
      <c r="A233" s="323"/>
      <c r="B233" s="288"/>
      <c r="C233" s="288"/>
      <c r="D233" s="288"/>
      <c r="E233" s="288"/>
      <c r="F233" s="323"/>
      <c r="G233" s="323"/>
      <c r="H233" s="323"/>
      <c r="I233" s="288"/>
      <c r="J233" s="288"/>
      <c r="K233" s="288"/>
      <c r="L233" s="288"/>
      <c r="M233" s="288"/>
      <c r="N233" s="288"/>
      <c r="O233" s="288"/>
    </row>
    <row r="234" spans="1:19" x14ac:dyDescent="0.25">
      <c r="A234" s="322"/>
      <c r="B234" s="288"/>
      <c r="C234" s="288"/>
      <c r="D234" s="288"/>
      <c r="E234" s="288"/>
      <c r="F234" s="322"/>
      <c r="G234" s="322"/>
      <c r="H234" s="322"/>
      <c r="I234" s="288"/>
      <c r="J234" s="288"/>
      <c r="K234" s="288"/>
      <c r="L234" s="288"/>
      <c r="M234" s="288"/>
      <c r="N234" s="288"/>
      <c r="O234" s="288"/>
    </row>
    <row r="235" spans="1:19" x14ac:dyDescent="0.25">
      <c r="A235" s="323"/>
      <c r="B235" s="288"/>
      <c r="C235" s="288"/>
      <c r="D235" s="288"/>
      <c r="E235" s="288"/>
      <c r="F235" s="323"/>
      <c r="G235" s="323"/>
      <c r="H235" s="323"/>
      <c r="I235" s="288"/>
      <c r="J235" s="288"/>
      <c r="K235" s="288"/>
      <c r="L235" s="288"/>
      <c r="M235" s="288"/>
      <c r="N235" s="288"/>
      <c r="O235" s="288"/>
    </row>
    <row r="236" spans="1:19" x14ac:dyDescent="0.25">
      <c r="A236" s="327"/>
      <c r="B236" s="288"/>
      <c r="C236" s="288"/>
      <c r="D236" s="288"/>
      <c r="E236" s="288"/>
      <c r="F236" s="320"/>
      <c r="G236" s="320"/>
      <c r="H236" s="320"/>
      <c r="I236" s="288"/>
      <c r="J236" s="288"/>
      <c r="K236" s="288"/>
      <c r="L236" s="288"/>
      <c r="M236" s="288"/>
      <c r="N236" s="288"/>
      <c r="O236" s="288"/>
    </row>
    <row r="237" spans="1:19" x14ac:dyDescent="0.25">
      <c r="A237" s="331"/>
      <c r="B237" s="288"/>
      <c r="C237" s="288"/>
      <c r="D237" s="288"/>
      <c r="E237" s="288"/>
      <c r="F237" s="331"/>
      <c r="G237" s="331"/>
      <c r="H237" s="331"/>
      <c r="I237" s="288"/>
      <c r="J237" s="288"/>
      <c r="K237" s="288"/>
      <c r="L237" s="288"/>
      <c r="M237" s="288"/>
      <c r="N237" s="288"/>
      <c r="O237" s="288"/>
    </row>
    <row r="238" spans="1:19" x14ac:dyDescent="0.25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88"/>
    </row>
    <row r="239" spans="1:19" x14ac:dyDescent="0.25">
      <c r="A239" s="288"/>
      <c r="B239" s="288"/>
      <c r="C239" s="288"/>
      <c r="D239" s="288"/>
      <c r="E239" s="288"/>
      <c r="F239" s="288"/>
      <c r="G239" s="288"/>
      <c r="H239" s="288"/>
      <c r="I239" s="288"/>
      <c r="J239" s="288"/>
      <c r="K239" s="288"/>
      <c r="L239" s="288"/>
      <c r="M239" s="288"/>
      <c r="N239" s="288"/>
      <c r="O239" s="288"/>
    </row>
    <row r="240" spans="1:19" x14ac:dyDescent="0.25">
      <c r="A240" s="288"/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</row>
    <row r="241" spans="1:15" x14ac:dyDescent="0.25">
      <c r="A241" s="288"/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</row>
    <row r="242" spans="1:15" x14ac:dyDescent="0.25">
      <c r="A242" s="288"/>
      <c r="B242" s="288"/>
      <c r="C242" s="288"/>
      <c r="D242" s="288"/>
      <c r="E242" s="288"/>
      <c r="F242" s="288"/>
      <c r="G242" s="288"/>
      <c r="H242" s="288"/>
      <c r="I242" s="288"/>
      <c r="J242" s="288"/>
      <c r="K242" s="288"/>
      <c r="L242" s="288"/>
      <c r="M242" s="288"/>
      <c r="N242" s="288"/>
      <c r="O242" s="288"/>
    </row>
    <row r="243" spans="1:15" x14ac:dyDescent="0.25">
      <c r="A243" s="288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88"/>
    </row>
    <row r="244" spans="1:15" x14ac:dyDescent="0.25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88"/>
    </row>
    <row r="245" spans="1:15" x14ac:dyDescent="0.25">
      <c r="A245" s="288"/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</row>
    <row r="246" spans="1:15" x14ac:dyDescent="0.25">
      <c r="A246" s="288"/>
      <c r="B246" s="288"/>
      <c r="C246" s="288"/>
      <c r="D246" s="288"/>
      <c r="E246" s="288"/>
      <c r="F246" s="288"/>
      <c r="G246" s="288"/>
      <c r="H246" s="288"/>
      <c r="I246" s="288"/>
      <c r="J246" s="288"/>
      <c r="K246" s="288"/>
      <c r="L246" s="288"/>
      <c r="M246" s="288"/>
      <c r="N246" s="288"/>
      <c r="O246" s="288"/>
    </row>
    <row r="247" spans="1:15" x14ac:dyDescent="0.25">
      <c r="A247" s="288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</row>
    <row r="248" spans="1:15" x14ac:dyDescent="0.25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88"/>
    </row>
    <row r="249" spans="1:15" x14ac:dyDescent="0.25">
      <c r="A249" s="288"/>
      <c r="B249" s="288"/>
      <c r="C249" s="288"/>
      <c r="D249" s="288"/>
      <c r="E249" s="288"/>
      <c r="F249" s="288"/>
      <c r="G249" s="288"/>
      <c r="H249" s="288"/>
      <c r="I249" s="288"/>
      <c r="J249" s="288"/>
      <c r="K249" s="288"/>
      <c r="L249" s="288"/>
      <c r="M249" s="288"/>
      <c r="N249" s="288"/>
      <c r="O249" s="288"/>
    </row>
    <row r="250" spans="1:15" x14ac:dyDescent="0.25">
      <c r="A250" s="288"/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</row>
    <row r="251" spans="1:15" x14ac:dyDescent="0.25">
      <c r="A251" s="288"/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</row>
    <row r="252" spans="1:15" x14ac:dyDescent="0.25">
      <c r="A252" s="288"/>
      <c r="B252" s="288"/>
      <c r="C252" s="288"/>
      <c r="D252" s="288"/>
      <c r="E252" s="288"/>
      <c r="F252" s="288"/>
      <c r="G252" s="288"/>
      <c r="H252" s="288"/>
      <c r="I252" s="288"/>
      <c r="J252" s="288"/>
      <c r="K252" s="288"/>
      <c r="L252" s="288"/>
      <c r="M252" s="288"/>
      <c r="N252" s="288"/>
      <c r="O252" s="288"/>
    </row>
    <row r="253" spans="1:15" x14ac:dyDescent="0.25">
      <c r="B253" s="288"/>
      <c r="C253" s="288"/>
      <c r="D253" s="288"/>
      <c r="E253" s="288"/>
      <c r="F253" s="288"/>
      <c r="G253" s="288"/>
      <c r="H253" s="288"/>
      <c r="I253" s="288"/>
      <c r="J253" s="288"/>
      <c r="K253" s="288"/>
      <c r="L253" s="288"/>
      <c r="M253" s="288"/>
      <c r="N253" s="288"/>
      <c r="O253" s="28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832"/>
  <sheetViews>
    <sheetView tabSelected="1" topLeftCell="A9" zoomScale="70" zoomScaleNormal="70" workbookViewId="0">
      <pane ySplit="1032" topLeftCell="A658" activePane="bottomLeft"/>
      <selection activeCell="B9" sqref="B9"/>
      <selection pane="bottomLeft" activeCell="D821" sqref="D821"/>
    </sheetView>
  </sheetViews>
  <sheetFormatPr defaultColWidth="9" defaultRowHeight="15.6" outlineLevelRow="2" x14ac:dyDescent="0.25"/>
  <cols>
    <col min="1" max="1" width="5.21875" style="81" customWidth="1"/>
    <col min="2" max="2" width="44.44140625" style="25" customWidth="1"/>
    <col min="3" max="3" width="11.6640625" style="763" customWidth="1"/>
    <col min="4" max="4" width="12.33203125" style="763" customWidth="1"/>
    <col min="5" max="5" width="17.6640625" style="763" customWidth="1"/>
    <col min="6" max="6" width="16.21875" style="148" customWidth="1"/>
    <col min="7" max="7" width="15.33203125" style="763" customWidth="1"/>
    <col min="8" max="8" width="16.44140625" style="763" customWidth="1"/>
    <col min="9" max="9" width="16.33203125" style="763" customWidth="1"/>
    <col min="10" max="10" width="14.44140625" style="25" bestFit="1" customWidth="1"/>
    <col min="11" max="11" width="17.109375" style="25" customWidth="1"/>
    <col min="12" max="12" width="16.33203125" style="25" customWidth="1"/>
    <col min="13" max="13" width="10.6640625" style="25" customWidth="1"/>
    <col min="14" max="14" width="12.109375" style="25" customWidth="1"/>
    <col min="15" max="15" width="26.21875" style="25" customWidth="1"/>
    <col min="16" max="16" width="17.33203125" style="25" customWidth="1"/>
    <col min="17" max="16384" width="9" style="25"/>
  </cols>
  <sheetData>
    <row r="1" spans="1:14" s="251" customFormat="1" ht="14.4" x14ac:dyDescent="0.25">
      <c r="A1" s="249"/>
      <c r="B1" s="249"/>
      <c r="C1" s="249"/>
      <c r="D1" s="249"/>
      <c r="E1" s="249"/>
      <c r="F1" s="249"/>
      <c r="G1" s="250"/>
      <c r="H1" s="250"/>
      <c r="I1" s="250"/>
    </row>
    <row r="2" spans="1:14" s="251" customFormat="1" ht="27.75" customHeight="1" x14ac:dyDescent="0.25">
      <c r="A2" s="249"/>
      <c r="B2" s="252" t="s">
        <v>626</v>
      </c>
      <c r="C2" s="249"/>
      <c r="D2" s="249"/>
      <c r="E2" s="249"/>
      <c r="F2" s="249"/>
      <c r="G2" s="253" t="s">
        <v>627</v>
      </c>
      <c r="H2" s="250"/>
      <c r="I2" s="250"/>
    </row>
    <row r="3" spans="1:14" s="251" customFormat="1" ht="14.4" x14ac:dyDescent="0.25">
      <c r="A3" s="249"/>
      <c r="B3" s="249"/>
      <c r="C3" s="249"/>
      <c r="D3" s="249"/>
      <c r="E3" s="249"/>
      <c r="F3" s="249"/>
      <c r="G3" s="250"/>
      <c r="H3" s="250" t="s">
        <v>628</v>
      </c>
      <c r="I3" s="250"/>
    </row>
    <row r="4" spans="1:14" s="251" customFormat="1" ht="14.4" x14ac:dyDescent="0.25">
      <c r="A4" s="249"/>
      <c r="B4" s="249"/>
      <c r="C4" s="249"/>
      <c r="D4" s="249"/>
      <c r="E4" s="249"/>
      <c r="F4" s="249"/>
      <c r="G4" s="250"/>
      <c r="H4" s="250"/>
      <c r="I4" s="250"/>
    </row>
    <row r="5" spans="1:14" s="251" customFormat="1" ht="14.4" x14ac:dyDescent="0.25">
      <c r="A5" s="249"/>
      <c r="B5" s="254"/>
      <c r="C5" s="249"/>
      <c r="D5" s="249"/>
      <c r="E5" s="255"/>
      <c r="F5" s="249" t="s">
        <v>629</v>
      </c>
      <c r="G5" s="250"/>
      <c r="H5" s="250"/>
      <c r="I5" s="250"/>
    </row>
    <row r="6" spans="1:14" s="251" customFormat="1" ht="14.4" x14ac:dyDescent="0.25">
      <c r="A6" s="249"/>
      <c r="B6" s="249"/>
      <c r="C6" s="249"/>
      <c r="D6" s="249"/>
      <c r="E6" s="249"/>
      <c r="F6" s="249"/>
      <c r="G6" s="250"/>
      <c r="H6" s="250" t="s">
        <v>630</v>
      </c>
      <c r="I6" s="250"/>
    </row>
    <row r="7" spans="1:14" s="251" customFormat="1" ht="14.4" x14ac:dyDescent="0.25">
      <c r="A7" s="249"/>
      <c r="B7" s="772" t="s">
        <v>631</v>
      </c>
      <c r="C7" s="773"/>
      <c r="D7" s="773"/>
      <c r="E7" s="773"/>
      <c r="F7" s="773"/>
      <c r="G7" s="773"/>
      <c r="H7" s="773"/>
      <c r="I7" s="250"/>
    </row>
    <row r="8" spans="1:14" s="251" customFormat="1" ht="29.25" customHeight="1" x14ac:dyDescent="0.25">
      <c r="A8" s="249"/>
      <c r="B8" s="774" t="s">
        <v>1299</v>
      </c>
      <c r="C8" s="775"/>
      <c r="D8" s="775"/>
      <c r="E8" s="775"/>
      <c r="F8" s="775"/>
      <c r="G8" s="775"/>
      <c r="H8" s="775"/>
      <c r="I8" s="250"/>
    </row>
    <row r="9" spans="1:14" s="7" customFormat="1" ht="15.75" customHeight="1" x14ac:dyDescent="0.25">
      <c r="A9" s="82"/>
      <c r="B9" s="4"/>
      <c r="C9" s="4"/>
      <c r="D9" s="4"/>
      <c r="E9" s="4"/>
      <c r="F9" s="134"/>
      <c r="G9" s="776" t="s">
        <v>342</v>
      </c>
      <c r="H9" s="776"/>
      <c r="I9" s="94">
        <f>I10/C10</f>
        <v>19296.81166817866</v>
      </c>
      <c r="J9" s="7">
        <f>'43'!I778-'Себест43 факт'!I10</f>
        <v>6927667.388135314</v>
      </c>
    </row>
    <row r="10" spans="1:14" s="7" customFormat="1" ht="15.75" customHeight="1" x14ac:dyDescent="0.25">
      <c r="A10" s="777" t="s">
        <v>227</v>
      </c>
      <c r="B10" s="777"/>
      <c r="C10" s="7">
        <v>3437.2</v>
      </c>
      <c r="D10" s="59" t="s">
        <v>343</v>
      </c>
      <c r="E10" s="123">
        <v>90</v>
      </c>
      <c r="F10" s="778" t="s">
        <v>17</v>
      </c>
      <c r="G10" s="778"/>
      <c r="H10" s="778"/>
      <c r="I10" s="8">
        <f>I830*1</f>
        <v>66327001.065863684</v>
      </c>
    </row>
    <row r="11" spans="1:14" s="7" customFormat="1" ht="15.75" customHeight="1" x14ac:dyDescent="0.25">
      <c r="A11" s="325"/>
      <c r="B11" s="325"/>
      <c r="C11" s="122"/>
      <c r="D11" s="59"/>
      <c r="E11" s="123"/>
      <c r="F11" s="761"/>
      <c r="G11" s="761"/>
      <c r="H11" s="761"/>
      <c r="I11" s="8"/>
    </row>
    <row r="12" spans="1:14" s="7" customFormat="1" ht="15.75" customHeight="1" x14ac:dyDescent="0.25">
      <c r="A12" s="789"/>
      <c r="B12" s="789"/>
      <c r="C12" s="790"/>
      <c r="D12" s="791"/>
      <c r="E12" s="123"/>
      <c r="F12" s="792"/>
      <c r="G12" s="792"/>
      <c r="H12" s="792"/>
      <c r="I12" s="8"/>
    </row>
    <row r="13" spans="1:14" s="788" customFormat="1" ht="15.75" customHeight="1" x14ac:dyDescent="0.25">
      <c r="A13" s="793">
        <v>1</v>
      </c>
      <c r="B13" s="793">
        <f>A13+1</f>
        <v>2</v>
      </c>
      <c r="C13" s="793">
        <f t="shared" ref="C13:N13" si="0">B13+1</f>
        <v>3</v>
      </c>
      <c r="D13" s="793">
        <f t="shared" si="0"/>
        <v>4</v>
      </c>
      <c r="E13" s="793">
        <f t="shared" si="0"/>
        <v>5</v>
      </c>
      <c r="F13" s="793">
        <f t="shared" si="0"/>
        <v>6</v>
      </c>
      <c r="G13" s="793">
        <f t="shared" si="0"/>
        <v>7</v>
      </c>
      <c r="H13" s="793">
        <f t="shared" si="0"/>
        <v>8</v>
      </c>
      <c r="I13" s="793">
        <f t="shared" si="0"/>
        <v>9</v>
      </c>
      <c r="J13" s="793">
        <f t="shared" si="0"/>
        <v>10</v>
      </c>
      <c r="K13" s="793">
        <f t="shared" si="0"/>
        <v>11</v>
      </c>
      <c r="L13" s="793">
        <f t="shared" si="0"/>
        <v>12</v>
      </c>
      <c r="M13" s="793">
        <f t="shared" si="0"/>
        <v>13</v>
      </c>
      <c r="N13" s="793">
        <f t="shared" si="0"/>
        <v>14</v>
      </c>
    </row>
    <row r="14" spans="1:14" ht="25.5" customHeight="1" x14ac:dyDescent="0.25">
      <c r="A14" s="779" t="s">
        <v>0</v>
      </c>
      <c r="B14" s="783" t="s">
        <v>1</v>
      </c>
      <c r="C14" s="783" t="s">
        <v>2</v>
      </c>
      <c r="D14" s="783" t="s">
        <v>3</v>
      </c>
      <c r="E14" s="783" t="s">
        <v>4</v>
      </c>
      <c r="F14" s="783"/>
      <c r="G14" s="783" t="s">
        <v>5</v>
      </c>
      <c r="H14" s="783"/>
      <c r="I14" s="783" t="s">
        <v>6</v>
      </c>
      <c r="M14" s="782" t="s">
        <v>1563</v>
      </c>
      <c r="N14" s="782"/>
    </row>
    <row r="15" spans="1:14" ht="31.2" x14ac:dyDescent="0.25">
      <c r="A15" s="779"/>
      <c r="B15" s="783"/>
      <c r="C15" s="783"/>
      <c r="D15" s="783"/>
      <c r="E15" s="764" t="s">
        <v>7</v>
      </c>
      <c r="F15" s="135" t="s">
        <v>475</v>
      </c>
      <c r="G15" s="764" t="s">
        <v>7</v>
      </c>
      <c r="H15" s="764" t="s">
        <v>339</v>
      </c>
      <c r="I15" s="783"/>
      <c r="M15" s="768" t="s">
        <v>7</v>
      </c>
      <c r="N15" s="768" t="s">
        <v>339</v>
      </c>
    </row>
    <row r="16" spans="1:14" s="5" customFormat="1" ht="24" customHeight="1" x14ac:dyDescent="0.25">
      <c r="A16" s="104"/>
      <c r="B16" s="771" t="s">
        <v>1511</v>
      </c>
      <c r="C16" s="771"/>
      <c r="D16" s="771"/>
      <c r="E16" s="771"/>
      <c r="F16" s="138"/>
      <c r="G16" s="105"/>
      <c r="H16" s="105"/>
      <c r="I16" s="106"/>
    </row>
    <row r="17" spans="1:252" s="6" customFormat="1" ht="18" customHeight="1" outlineLevel="1" x14ac:dyDescent="0.25">
      <c r="A17" s="107" t="s">
        <v>210</v>
      </c>
      <c r="B17" s="29" t="s">
        <v>1513</v>
      </c>
      <c r="C17" s="31" t="s">
        <v>8</v>
      </c>
      <c r="D17" s="31">
        <f>[1]Д2!D18+[1]Ек!D18+[1]Д!D18+[1]Е!D16</f>
        <v>150.34551500000001</v>
      </c>
      <c r="E17" s="256">
        <v>1100</v>
      </c>
      <c r="F17" s="60"/>
      <c r="G17" s="2">
        <f t="shared" ref="G17:G51" si="1">E17*D17</f>
        <v>165380.06650000002</v>
      </c>
      <c r="H17" s="18">
        <f t="shared" ref="H17:H52" si="2">F17*D17</f>
        <v>0</v>
      </c>
      <c r="I17" s="11">
        <f t="shared" ref="I17:I45" si="3">G17+H17</f>
        <v>165380.06650000002</v>
      </c>
      <c r="J17" s="6">
        <v>1000</v>
      </c>
      <c r="K17" s="161"/>
      <c r="L17" s="161"/>
      <c r="M17" s="161"/>
    </row>
    <row r="18" spans="1:252" s="38" customFormat="1" outlineLevel="1" x14ac:dyDescent="0.25">
      <c r="A18" s="84"/>
      <c r="B18" s="33" t="s">
        <v>486</v>
      </c>
      <c r="C18" s="31" t="s">
        <v>8</v>
      </c>
      <c r="D18" s="2">
        <f>D17*1.015</f>
        <v>152.600697725</v>
      </c>
      <c r="E18" s="18"/>
      <c r="F18" s="664">
        <v>3100</v>
      </c>
      <c r="G18" s="2">
        <f t="shared" si="1"/>
        <v>0</v>
      </c>
      <c r="H18" s="18">
        <f t="shared" si="2"/>
        <v>473062.16294750001</v>
      </c>
      <c r="I18" s="11">
        <f t="shared" si="3"/>
        <v>473062.16294750001</v>
      </c>
      <c r="J18" s="15">
        <v>3450</v>
      </c>
      <c r="K18" s="161"/>
      <c r="L18" s="161"/>
      <c r="M18" s="161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</row>
    <row r="19" spans="1:252" s="38" customFormat="1" ht="22.2" customHeight="1" outlineLevel="1" x14ac:dyDescent="0.25">
      <c r="A19" s="107" t="s">
        <v>211</v>
      </c>
      <c r="B19" s="29" t="s">
        <v>1476</v>
      </c>
      <c r="C19" s="31" t="s">
        <v>8</v>
      </c>
      <c r="D19" s="31">
        <f>[1]Д2!D20+[1]Ек!D20+[1]Д!D20+[1]Е!D18</f>
        <v>476.92504999999994</v>
      </c>
      <c r="E19" s="256">
        <v>1500</v>
      </c>
      <c r="F19" s="60"/>
      <c r="G19" s="2">
        <f t="shared" si="1"/>
        <v>715387.57499999995</v>
      </c>
      <c r="H19" s="18">
        <f t="shared" si="2"/>
        <v>0</v>
      </c>
      <c r="I19" s="60">
        <f t="shared" si="3"/>
        <v>715387.57499999995</v>
      </c>
      <c r="J19" s="15">
        <v>2500</v>
      </c>
      <c r="K19" s="407"/>
      <c r="L19" s="161"/>
      <c r="M19" s="161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</row>
    <row r="20" spans="1:252" s="38" customFormat="1" outlineLevel="1" x14ac:dyDescent="0.25">
      <c r="A20" s="83"/>
      <c r="B20" s="11" t="s">
        <v>724</v>
      </c>
      <c r="C20" s="2" t="s">
        <v>8</v>
      </c>
      <c r="D20" s="2">
        <f>D19*1.015</f>
        <v>484.07892574999988</v>
      </c>
      <c r="E20" s="2"/>
      <c r="F20" s="664">
        <v>4100</v>
      </c>
      <c r="G20" s="2">
        <f t="shared" si="1"/>
        <v>0</v>
      </c>
      <c r="H20" s="18">
        <f t="shared" si="2"/>
        <v>1984723.5955749995</v>
      </c>
      <c r="I20" s="11">
        <f t="shared" si="3"/>
        <v>1984723.5955749995</v>
      </c>
      <c r="J20" s="15">
        <v>5000</v>
      </c>
      <c r="K20" s="161"/>
      <c r="L20" s="161"/>
      <c r="M20" s="161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</row>
    <row r="21" spans="1:252" s="5" customFormat="1" ht="31.2" customHeight="1" outlineLevel="1" x14ac:dyDescent="0.25">
      <c r="A21" s="83"/>
      <c r="B21" s="33" t="s">
        <v>358</v>
      </c>
      <c r="C21" s="2" t="s">
        <v>9</v>
      </c>
      <c r="D21" s="161">
        <f>[1]Д2!D22+[1]Ек!D22+[1]Д!D22+[1]Е!D20</f>
        <v>57.744149999999998</v>
      </c>
      <c r="E21" s="2"/>
      <c r="F21" s="361">
        <v>29000</v>
      </c>
      <c r="G21" s="2">
        <f t="shared" si="1"/>
        <v>0</v>
      </c>
      <c r="H21" s="18">
        <f t="shared" si="2"/>
        <v>1674580.3499999999</v>
      </c>
      <c r="I21" s="11">
        <f t="shared" si="3"/>
        <v>1674580.3499999999</v>
      </c>
      <c r="J21" s="248">
        <v>35000</v>
      </c>
      <c r="L21" s="161"/>
      <c r="M21" s="161"/>
    </row>
    <row r="22" spans="1:252" outlineLevel="1" x14ac:dyDescent="0.25">
      <c r="A22" s="83"/>
      <c r="B22" s="11" t="s">
        <v>11</v>
      </c>
      <c r="C22" s="2" t="s">
        <v>8</v>
      </c>
      <c r="D22" s="2">
        <v>5</v>
      </c>
      <c r="E22" s="2"/>
      <c r="F22" s="361">
        <v>7500</v>
      </c>
      <c r="G22" s="2">
        <f t="shared" si="1"/>
        <v>0</v>
      </c>
      <c r="H22" s="18">
        <f t="shared" si="2"/>
        <v>37500</v>
      </c>
      <c r="I22" s="11">
        <f t="shared" si="3"/>
        <v>37500</v>
      </c>
      <c r="J22" s="25">
        <v>7500</v>
      </c>
      <c r="K22" s="161"/>
      <c r="L22" s="161"/>
      <c r="M22" s="161"/>
    </row>
    <row r="23" spans="1:252" ht="16.2" customHeight="1" outlineLevel="1" x14ac:dyDescent="0.25">
      <c r="A23" s="107" t="s">
        <v>212</v>
      </c>
      <c r="B23" s="9" t="s">
        <v>1514</v>
      </c>
      <c r="C23" s="31" t="s">
        <v>14</v>
      </c>
      <c r="D23" s="670">
        <f>[1]Д2!D24+[1]Ек!D24+[1]Д!D24+[1]Е!D22</f>
        <v>235.06</v>
      </c>
      <c r="E23" s="256">
        <v>100</v>
      </c>
      <c r="F23" s="11"/>
      <c r="G23" s="2">
        <f t="shared" si="1"/>
        <v>23506</v>
      </c>
      <c r="H23" s="18">
        <f t="shared" si="2"/>
        <v>0</v>
      </c>
      <c r="I23" s="11">
        <f t="shared" si="3"/>
        <v>23506</v>
      </c>
      <c r="J23" s="25">
        <v>100</v>
      </c>
      <c r="K23" s="161"/>
      <c r="L23" s="161"/>
      <c r="M23" s="161"/>
    </row>
    <row r="24" spans="1:252" ht="16.2" customHeight="1" outlineLevel="1" x14ac:dyDescent="0.25">
      <c r="A24" s="84"/>
      <c r="B24" s="11" t="s">
        <v>1311</v>
      </c>
      <c r="C24" s="2" t="s">
        <v>15</v>
      </c>
      <c r="D24" s="2">
        <f>2.5*D23</f>
        <v>587.65</v>
      </c>
      <c r="E24" s="2"/>
      <c r="F24" s="361">
        <v>55</v>
      </c>
      <c r="G24" s="2">
        <f t="shared" si="1"/>
        <v>0</v>
      </c>
      <c r="H24" s="18">
        <f t="shared" si="2"/>
        <v>32320.75</v>
      </c>
      <c r="I24" s="60">
        <f t="shared" si="3"/>
        <v>32320.75</v>
      </c>
      <c r="J24" s="25">
        <v>55</v>
      </c>
      <c r="K24" s="161"/>
      <c r="L24" s="161"/>
      <c r="M24" s="161"/>
    </row>
    <row r="25" spans="1:252" ht="16.2" customHeight="1" outlineLevel="1" x14ac:dyDescent="0.25">
      <c r="A25" s="84"/>
      <c r="B25" s="11" t="s">
        <v>1312</v>
      </c>
      <c r="C25" s="2" t="s">
        <v>30</v>
      </c>
      <c r="D25" s="2">
        <f>0.35*D23</f>
        <v>82.271000000000001</v>
      </c>
      <c r="E25" s="2"/>
      <c r="F25" s="361">
        <v>44</v>
      </c>
      <c r="G25" s="2">
        <f t="shared" si="1"/>
        <v>0</v>
      </c>
      <c r="H25" s="18">
        <f t="shared" si="2"/>
        <v>3619.924</v>
      </c>
      <c r="I25" s="60">
        <f t="shared" si="3"/>
        <v>3619.924</v>
      </c>
      <c r="J25" s="25">
        <v>44</v>
      </c>
      <c r="K25" s="161"/>
      <c r="L25" s="161"/>
      <c r="M25" s="161"/>
    </row>
    <row r="26" spans="1:252" ht="26.25" customHeight="1" outlineLevel="1" x14ac:dyDescent="0.25">
      <c r="A26" s="107" t="s">
        <v>213</v>
      </c>
      <c r="B26" s="9" t="s">
        <v>1515</v>
      </c>
      <c r="C26" s="31" t="s">
        <v>14</v>
      </c>
      <c r="D26" s="65">
        <f>[1]Д2!D27+[1]Ек!D27+[1]Д!D27+[1]Е!D25</f>
        <v>312.60239999999999</v>
      </c>
      <c r="E26" s="264">
        <v>100</v>
      </c>
      <c r="F26" s="140"/>
      <c r="G26" s="2">
        <f t="shared" si="1"/>
        <v>31260.239999999998</v>
      </c>
      <c r="H26" s="18">
        <f t="shared" si="2"/>
        <v>0</v>
      </c>
      <c r="I26" s="140">
        <f>H26+G26</f>
        <v>31260.239999999998</v>
      </c>
      <c r="J26" s="25">
        <v>100</v>
      </c>
      <c r="K26" s="406"/>
      <c r="L26" s="161"/>
      <c r="M26" s="161"/>
    </row>
    <row r="27" spans="1:252" ht="15.75" customHeight="1" outlineLevel="1" x14ac:dyDescent="0.25">
      <c r="A27" s="84"/>
      <c r="B27" s="33" t="s">
        <v>1244</v>
      </c>
      <c r="C27" s="2" t="s">
        <v>8</v>
      </c>
      <c r="D27" s="2">
        <f>[1]Д2!D28+[1]Ек!D28+[1]Д!D28+[1]Е!D26</f>
        <v>27.66</v>
      </c>
      <c r="E27" s="2"/>
      <c r="F27" s="164">
        <f>ROUND(4100*1.1,2)</f>
        <v>4510</v>
      </c>
      <c r="G27" s="2">
        <f t="shared" si="1"/>
        <v>0</v>
      </c>
      <c r="H27" s="18">
        <f t="shared" si="2"/>
        <v>124746.6</v>
      </c>
      <c r="I27" s="11">
        <f>G27+H27</f>
        <v>124746.6</v>
      </c>
      <c r="J27" s="25">
        <v>4510</v>
      </c>
      <c r="K27" s="407"/>
      <c r="L27" s="161"/>
      <c r="M27" s="161"/>
    </row>
    <row r="28" spans="1:252" ht="15.75" customHeight="1" outlineLevel="1" x14ac:dyDescent="0.25">
      <c r="A28" s="107" t="s">
        <v>493</v>
      </c>
      <c r="B28" s="29" t="s">
        <v>731</v>
      </c>
      <c r="C28" s="31" t="s">
        <v>12</v>
      </c>
      <c r="D28" s="31">
        <f>SUM(D29:D34)</f>
        <v>1047</v>
      </c>
      <c r="E28" s="256">
        <v>300</v>
      </c>
      <c r="F28" s="60"/>
      <c r="G28" s="2">
        <f t="shared" si="1"/>
        <v>314100</v>
      </c>
      <c r="H28" s="18">
        <f t="shared" si="2"/>
        <v>0</v>
      </c>
      <c r="I28" s="60">
        <f t="shared" si="3"/>
        <v>314100</v>
      </c>
      <c r="J28" s="25">
        <v>300</v>
      </c>
      <c r="K28" s="407"/>
      <c r="L28" s="161"/>
      <c r="M28" s="161"/>
    </row>
    <row r="29" spans="1:252" ht="15.75" customHeight="1" outlineLevel="1" x14ac:dyDescent="0.25">
      <c r="A29" s="84"/>
      <c r="B29" s="33" t="s">
        <v>732</v>
      </c>
      <c r="C29" s="2" t="s">
        <v>12</v>
      </c>
      <c r="D29" s="2">
        <f>[1]Д2!D30+[1]Ек!D30+[1]Д!D30+[1]Е!D28</f>
        <v>378</v>
      </c>
      <c r="E29" s="31"/>
      <c r="F29" s="664">
        <v>2600</v>
      </c>
      <c r="G29" s="2">
        <f t="shared" si="1"/>
        <v>0</v>
      </c>
      <c r="H29" s="18">
        <f t="shared" si="2"/>
        <v>982800</v>
      </c>
      <c r="I29" s="60">
        <f t="shared" si="3"/>
        <v>982800</v>
      </c>
      <c r="J29" s="25">
        <f>F29</f>
        <v>2600</v>
      </c>
      <c r="K29" s="407"/>
      <c r="L29" s="161"/>
      <c r="M29" s="161"/>
    </row>
    <row r="30" spans="1:252" ht="15.75" customHeight="1" outlineLevel="1" x14ac:dyDescent="0.25">
      <c r="A30" s="84"/>
      <c r="B30" s="33" t="s">
        <v>733</v>
      </c>
      <c r="C30" s="2" t="s">
        <v>12</v>
      </c>
      <c r="D30" s="2">
        <f>[1]Д2!D31+[1]Ек!D31+[1]Д!D31+[1]Е!D29</f>
        <v>158</v>
      </c>
      <c r="E30" s="31"/>
      <c r="F30" s="664">
        <v>1500</v>
      </c>
      <c r="G30" s="2">
        <f t="shared" si="1"/>
        <v>0</v>
      </c>
      <c r="H30" s="18">
        <f t="shared" si="2"/>
        <v>237000</v>
      </c>
      <c r="I30" s="60">
        <f t="shared" si="3"/>
        <v>237000</v>
      </c>
      <c r="J30" s="25">
        <f t="shared" ref="J30:J36" si="4">F30</f>
        <v>1500</v>
      </c>
      <c r="K30" s="407"/>
      <c r="L30" s="161"/>
      <c r="M30" s="161"/>
    </row>
    <row r="31" spans="1:252" outlineLevel="1" x14ac:dyDescent="0.25">
      <c r="A31" s="84"/>
      <c r="B31" s="33" t="s">
        <v>735</v>
      </c>
      <c r="C31" s="2" t="s">
        <v>12</v>
      </c>
      <c r="D31" s="2">
        <f>[1]Д2!D32+[1]Ек!D32+[1]Д!D32+[1]Е!D30</f>
        <v>400</v>
      </c>
      <c r="E31" s="18"/>
      <c r="F31" s="664">
        <v>1240</v>
      </c>
      <c r="G31" s="2">
        <f t="shared" si="1"/>
        <v>0</v>
      </c>
      <c r="H31" s="18">
        <f t="shared" si="2"/>
        <v>496000</v>
      </c>
      <c r="I31" s="60">
        <f t="shared" si="3"/>
        <v>496000</v>
      </c>
      <c r="J31" s="25">
        <f t="shared" si="4"/>
        <v>1240</v>
      </c>
      <c r="K31" s="407"/>
      <c r="L31" s="161"/>
      <c r="M31" s="161"/>
    </row>
    <row r="32" spans="1:252" outlineLevel="1" x14ac:dyDescent="0.25">
      <c r="A32" s="84"/>
      <c r="B32" s="33" t="s">
        <v>1302</v>
      </c>
      <c r="C32" s="2" t="s">
        <v>12</v>
      </c>
      <c r="D32" s="2">
        <f>[1]Д2!D33+[1]Ек!D33+[1]Д!D33+[1]Е!D31</f>
        <v>45</v>
      </c>
      <c r="E32" s="18"/>
      <c r="F32" s="363">
        <v>1600</v>
      </c>
      <c r="G32" s="2">
        <f t="shared" si="1"/>
        <v>0</v>
      </c>
      <c r="H32" s="18">
        <f t="shared" si="2"/>
        <v>72000</v>
      </c>
      <c r="I32" s="60">
        <f>G32+H32</f>
        <v>72000</v>
      </c>
      <c r="J32" s="25">
        <f t="shared" si="4"/>
        <v>1600</v>
      </c>
      <c r="K32" s="161"/>
      <c r="L32" s="161"/>
      <c r="M32" s="161"/>
    </row>
    <row r="33" spans="1:13" outlineLevel="1" x14ac:dyDescent="0.25">
      <c r="A33" s="84"/>
      <c r="B33" s="33" t="s">
        <v>1313</v>
      </c>
      <c r="C33" s="2" t="s">
        <v>12</v>
      </c>
      <c r="D33" s="2">
        <f>[1]Д2!D34+[1]Ек!D34</f>
        <v>17</v>
      </c>
      <c r="E33" s="18"/>
      <c r="F33" s="664">
        <v>1920</v>
      </c>
      <c r="G33" s="2">
        <f t="shared" si="1"/>
        <v>0</v>
      </c>
      <c r="H33" s="18">
        <f t="shared" si="2"/>
        <v>32640</v>
      </c>
      <c r="I33" s="60">
        <f t="shared" si="3"/>
        <v>32640</v>
      </c>
      <c r="J33" s="25">
        <f t="shared" si="4"/>
        <v>1920</v>
      </c>
      <c r="K33" s="638"/>
      <c r="L33" s="161"/>
      <c r="M33" s="161"/>
    </row>
    <row r="34" spans="1:13" outlineLevel="1" x14ac:dyDescent="0.25">
      <c r="A34" s="84"/>
      <c r="B34" s="33" t="s">
        <v>734</v>
      </c>
      <c r="C34" s="2" t="s">
        <v>12</v>
      </c>
      <c r="D34" s="2">
        <f>[1]Ек!D35</f>
        <v>49</v>
      </c>
      <c r="E34" s="31"/>
      <c r="F34" s="664">
        <v>1000</v>
      </c>
      <c r="G34" s="2">
        <f t="shared" si="1"/>
        <v>0</v>
      </c>
      <c r="H34" s="18">
        <f t="shared" si="2"/>
        <v>49000</v>
      </c>
      <c r="I34" s="663">
        <f>G34+H34</f>
        <v>49000</v>
      </c>
      <c r="J34" s="25">
        <f t="shared" si="4"/>
        <v>1000</v>
      </c>
      <c r="K34" s="638"/>
      <c r="L34" s="161"/>
      <c r="M34" s="161"/>
    </row>
    <row r="35" spans="1:13" outlineLevel="1" x14ac:dyDescent="0.25">
      <c r="A35" s="84"/>
      <c r="B35" s="11" t="s">
        <v>72</v>
      </c>
      <c r="C35" s="2" t="s">
        <v>8</v>
      </c>
      <c r="D35" s="2">
        <f>D28*0.05</f>
        <v>52.35</v>
      </c>
      <c r="E35" s="18"/>
      <c r="F35" s="361">
        <v>2600</v>
      </c>
      <c r="G35" s="2">
        <f t="shared" si="1"/>
        <v>0</v>
      </c>
      <c r="H35" s="18">
        <f t="shared" si="2"/>
        <v>136110</v>
      </c>
      <c r="I35" s="60">
        <f t="shared" si="3"/>
        <v>136110</v>
      </c>
      <c r="J35" s="25">
        <f t="shared" si="4"/>
        <v>2600</v>
      </c>
      <c r="K35" s="638"/>
      <c r="L35" s="161"/>
      <c r="M35" s="161"/>
    </row>
    <row r="36" spans="1:13" outlineLevel="1" x14ac:dyDescent="0.25">
      <c r="A36" s="92"/>
      <c r="B36" s="47" t="s">
        <v>1528</v>
      </c>
      <c r="C36" s="41" t="s">
        <v>15</v>
      </c>
      <c r="D36" s="42">
        <f>[1]Д2!D36+[1]Ек!D37+[1]Д!D35+[1]Е!D33</f>
        <v>513.08000000000004</v>
      </c>
      <c r="E36" s="2"/>
      <c r="F36" s="364">
        <v>42</v>
      </c>
      <c r="G36" s="2">
        <f t="shared" si="1"/>
        <v>0</v>
      </c>
      <c r="H36" s="18">
        <f t="shared" si="2"/>
        <v>21549.360000000001</v>
      </c>
      <c r="I36" s="11">
        <f t="shared" si="3"/>
        <v>21549.360000000001</v>
      </c>
      <c r="J36" s="25">
        <f t="shared" si="4"/>
        <v>42</v>
      </c>
      <c r="K36" s="259"/>
      <c r="L36" s="161"/>
      <c r="M36" s="161"/>
    </row>
    <row r="37" spans="1:13" ht="31.2" outlineLevel="1" x14ac:dyDescent="0.25">
      <c r="A37" s="107" t="s">
        <v>1246</v>
      </c>
      <c r="B37" s="29" t="s">
        <v>1245</v>
      </c>
      <c r="C37" s="41" t="s">
        <v>8</v>
      </c>
      <c r="D37" s="42">
        <f>[1]Д2!D37+[1]Ек!D38+[1]Д!D36+[1]Е!D34</f>
        <v>19.2</v>
      </c>
      <c r="E37" s="256">
        <v>800</v>
      </c>
      <c r="F37" s="60"/>
      <c r="G37" s="2">
        <f t="shared" si="1"/>
        <v>15360</v>
      </c>
      <c r="H37" s="18">
        <f t="shared" si="2"/>
        <v>0</v>
      </c>
      <c r="I37" s="60">
        <f t="shared" si="3"/>
        <v>15360</v>
      </c>
      <c r="J37" s="25">
        <v>800</v>
      </c>
      <c r="K37" s="161"/>
      <c r="L37" s="161"/>
      <c r="M37" s="161"/>
    </row>
    <row r="38" spans="1:13" outlineLevel="1" x14ac:dyDescent="0.25">
      <c r="A38" s="92"/>
      <c r="B38" s="11" t="s">
        <v>738</v>
      </c>
      <c r="C38" s="2" t="s">
        <v>8</v>
      </c>
      <c r="D38" s="2">
        <f>D37*1.015</f>
        <v>19.487999999999996</v>
      </c>
      <c r="E38" s="2"/>
      <c r="F38" s="664">
        <v>3600</v>
      </c>
      <c r="G38" s="2">
        <f t="shared" si="1"/>
        <v>0</v>
      </c>
      <c r="H38" s="18">
        <f t="shared" si="2"/>
        <v>70156.799999999988</v>
      </c>
      <c r="I38" s="11">
        <f t="shared" si="3"/>
        <v>70156.799999999988</v>
      </c>
      <c r="J38" s="25">
        <v>4200</v>
      </c>
      <c r="K38" s="407"/>
      <c r="L38" s="161"/>
      <c r="M38" s="161"/>
    </row>
    <row r="39" spans="1:13" ht="31.2" outlineLevel="1" x14ac:dyDescent="0.25">
      <c r="A39" s="107" t="s">
        <v>1247</v>
      </c>
      <c r="B39" s="9" t="s">
        <v>1516</v>
      </c>
      <c r="C39" s="31" t="s">
        <v>14</v>
      </c>
      <c r="D39" s="670">
        <f>[1]Д2!D39+[1]Ек!D44+[1]Д!D38+[1]Е!D40</f>
        <v>921.61959999999999</v>
      </c>
      <c r="E39" s="256">
        <v>100</v>
      </c>
      <c r="F39" s="11"/>
      <c r="G39" s="2">
        <f t="shared" si="1"/>
        <v>92161.959999999992</v>
      </c>
      <c r="H39" s="18">
        <f t="shared" si="2"/>
        <v>0</v>
      </c>
      <c r="I39" s="11">
        <f t="shared" si="3"/>
        <v>92161.959999999992</v>
      </c>
      <c r="K39" s="161"/>
      <c r="L39" s="161"/>
      <c r="M39" s="161"/>
    </row>
    <row r="40" spans="1:13" s="36" customFormat="1" ht="33" customHeight="1" outlineLevel="1" x14ac:dyDescent="0.25">
      <c r="A40" s="84"/>
      <c r="B40" s="11" t="s">
        <v>1311</v>
      </c>
      <c r="C40" s="2" t="s">
        <v>15</v>
      </c>
      <c r="D40" s="2">
        <f>2.5*D39</f>
        <v>2304.049</v>
      </c>
      <c r="E40" s="2"/>
      <c r="F40" s="361">
        <v>55</v>
      </c>
      <c r="G40" s="2">
        <f t="shared" si="1"/>
        <v>0</v>
      </c>
      <c r="H40" s="18">
        <f t="shared" si="2"/>
        <v>126722.69499999999</v>
      </c>
      <c r="I40" s="60">
        <f t="shared" si="3"/>
        <v>126722.69499999999</v>
      </c>
      <c r="K40" s="162"/>
      <c r="L40" s="162"/>
      <c r="M40" s="162"/>
    </row>
    <row r="41" spans="1:13" s="36" customFormat="1" outlineLevel="1" x14ac:dyDescent="0.25">
      <c r="A41" s="84"/>
      <c r="B41" s="11" t="s">
        <v>1312</v>
      </c>
      <c r="C41" s="2" t="s">
        <v>30</v>
      </c>
      <c r="D41" s="2">
        <f>0.35*D39</f>
        <v>322.56685999999996</v>
      </c>
      <c r="E41" s="2"/>
      <c r="F41" s="361">
        <v>44</v>
      </c>
      <c r="G41" s="2">
        <f t="shared" si="1"/>
        <v>0</v>
      </c>
      <c r="H41" s="18">
        <f t="shared" si="2"/>
        <v>14192.941839999998</v>
      </c>
      <c r="I41" s="60">
        <f t="shared" si="3"/>
        <v>14192.941839999998</v>
      </c>
      <c r="K41" s="162"/>
      <c r="L41" s="162"/>
      <c r="M41" s="162"/>
    </row>
    <row r="42" spans="1:13" s="36" customFormat="1" outlineLevel="1" x14ac:dyDescent="0.25">
      <c r="A42" s="107" t="s">
        <v>1496</v>
      </c>
      <c r="B42" s="29" t="s">
        <v>1317</v>
      </c>
      <c r="C42" s="31" t="s">
        <v>8</v>
      </c>
      <c r="D42" s="31">
        <f>[1]Д2!D42+[1]Ек!D40+[1]Д!D43+[1]Е!D36</f>
        <v>65.8</v>
      </c>
      <c r="E42" s="256">
        <v>2500</v>
      </c>
      <c r="F42" s="60"/>
      <c r="G42" s="2">
        <f t="shared" si="1"/>
        <v>164500</v>
      </c>
      <c r="H42" s="18">
        <f t="shared" si="2"/>
        <v>0</v>
      </c>
      <c r="I42" s="60">
        <f t="shared" si="3"/>
        <v>164500</v>
      </c>
      <c r="K42" s="162"/>
      <c r="L42" s="162"/>
      <c r="M42" s="162"/>
    </row>
    <row r="43" spans="1:13" s="36" customFormat="1" outlineLevel="1" x14ac:dyDescent="0.25">
      <c r="A43" s="83"/>
      <c r="B43" s="11" t="s">
        <v>738</v>
      </c>
      <c r="C43" s="2" t="s">
        <v>8</v>
      </c>
      <c r="D43" s="2">
        <f>D42*1.015</f>
        <v>66.786999999999992</v>
      </c>
      <c r="E43" s="2"/>
      <c r="F43" s="664">
        <v>3600</v>
      </c>
      <c r="G43" s="2">
        <f t="shared" si="1"/>
        <v>0</v>
      </c>
      <c r="H43" s="18">
        <f t="shared" si="2"/>
        <v>240433.19999999998</v>
      </c>
      <c r="I43" s="11">
        <f t="shared" si="3"/>
        <v>240433.19999999998</v>
      </c>
      <c r="K43" s="162"/>
      <c r="L43" s="162"/>
      <c r="M43" s="162"/>
    </row>
    <row r="44" spans="1:13" s="36" customFormat="1" outlineLevel="1" x14ac:dyDescent="0.25">
      <c r="A44" s="83"/>
      <c r="B44" s="33" t="s">
        <v>358</v>
      </c>
      <c r="C44" s="2" t="s">
        <v>9</v>
      </c>
      <c r="D44" s="161">
        <f>[1]Д2!D44+[1]Ек!D42+[1]Д!D45+[1]Е!D38</f>
        <v>1.2056</v>
      </c>
      <c r="E44" s="2"/>
      <c r="F44" s="361">
        <v>29000</v>
      </c>
      <c r="G44" s="2">
        <f t="shared" si="1"/>
        <v>0</v>
      </c>
      <c r="H44" s="18">
        <f t="shared" si="2"/>
        <v>34962.400000000001</v>
      </c>
      <c r="I44" s="11">
        <f t="shared" si="3"/>
        <v>34962.400000000001</v>
      </c>
      <c r="K44" s="162"/>
      <c r="L44" s="162"/>
      <c r="M44" s="162"/>
    </row>
    <row r="45" spans="1:13" s="36" customFormat="1" outlineLevel="1" x14ac:dyDescent="0.25">
      <c r="A45" s="83"/>
      <c r="B45" s="11" t="s">
        <v>11</v>
      </c>
      <c r="C45" s="2" t="s">
        <v>8</v>
      </c>
      <c r="D45" s="2">
        <f>0.0061*D42</f>
        <v>0.40138000000000001</v>
      </c>
      <c r="E45" s="2"/>
      <c r="F45" s="361">
        <v>7500</v>
      </c>
      <c r="G45" s="2">
        <f t="shared" si="1"/>
        <v>0</v>
      </c>
      <c r="H45" s="18">
        <f t="shared" si="2"/>
        <v>3010.35</v>
      </c>
      <c r="I45" s="11">
        <f t="shared" si="3"/>
        <v>3010.35</v>
      </c>
      <c r="K45" s="162"/>
      <c r="L45" s="162"/>
      <c r="M45" s="162"/>
    </row>
    <row r="46" spans="1:13" s="36" customFormat="1" ht="31.2" outlineLevel="1" x14ac:dyDescent="0.25">
      <c r="A46" s="107" t="s">
        <v>1497</v>
      </c>
      <c r="B46" s="9" t="s">
        <v>1517</v>
      </c>
      <c r="C46" s="31" t="s">
        <v>14</v>
      </c>
      <c r="D46" s="65">
        <f>[1]Д2!D46+[1]Ек!D47+[1]Д!D41+[1]Е!D43</f>
        <v>233.81399999999999</v>
      </c>
      <c r="E46" s="264">
        <v>250</v>
      </c>
      <c r="F46" s="140"/>
      <c r="G46" s="2">
        <f t="shared" si="1"/>
        <v>58453.5</v>
      </c>
      <c r="H46" s="18">
        <f t="shared" si="2"/>
        <v>0</v>
      </c>
      <c r="I46" s="140">
        <f>H46+G46</f>
        <v>58453.5</v>
      </c>
      <c r="K46" s="162"/>
      <c r="L46" s="162"/>
      <c r="M46" s="162"/>
    </row>
    <row r="47" spans="1:13" s="36" customFormat="1" outlineLevel="1" x14ac:dyDescent="0.25">
      <c r="A47" s="553"/>
      <c r="B47" s="33" t="s">
        <v>1318</v>
      </c>
      <c r="C47" s="2" t="s">
        <v>14</v>
      </c>
      <c r="D47" s="2">
        <f>ROUND(D46*2,2)</f>
        <v>467.63</v>
      </c>
      <c r="E47" s="2"/>
      <c r="F47" s="665">
        <v>86.8</v>
      </c>
      <c r="G47" s="2">
        <f t="shared" si="1"/>
        <v>0</v>
      </c>
      <c r="H47" s="18">
        <f t="shared" si="2"/>
        <v>40590.284</v>
      </c>
      <c r="I47" s="11">
        <f>G47+H47</f>
        <v>40590.284</v>
      </c>
      <c r="K47" s="162"/>
      <c r="L47" s="162"/>
      <c r="M47" s="162"/>
    </row>
    <row r="48" spans="1:13" s="36" customFormat="1" outlineLevel="1" x14ac:dyDescent="0.25">
      <c r="A48" s="107" t="s">
        <v>1499</v>
      </c>
      <c r="B48" s="29" t="s">
        <v>1500</v>
      </c>
      <c r="C48" s="2" t="s">
        <v>8</v>
      </c>
      <c r="D48" s="31">
        <f>[1]Д2!D48+[1]Ек!D49+[1]Д!D47+[1]Е!D45</f>
        <v>2.52</v>
      </c>
      <c r="E48" s="256">
        <v>1500</v>
      </c>
      <c r="F48" s="164"/>
      <c r="G48" s="2">
        <f t="shared" si="1"/>
        <v>3780</v>
      </c>
      <c r="H48" s="18">
        <f t="shared" si="2"/>
        <v>0</v>
      </c>
      <c r="I48" s="11">
        <f>G48+H48</f>
        <v>3780</v>
      </c>
      <c r="K48" s="162"/>
      <c r="L48" s="162"/>
      <c r="M48" s="162"/>
    </row>
    <row r="49" spans="1:14" s="36" customFormat="1" outlineLevel="1" x14ac:dyDescent="0.25">
      <c r="A49" s="84"/>
      <c r="B49" s="11" t="s">
        <v>736</v>
      </c>
      <c r="C49" s="2" t="s">
        <v>8</v>
      </c>
      <c r="D49" s="2">
        <f>D48*1.02</f>
        <v>2.5704000000000002</v>
      </c>
      <c r="E49" s="2"/>
      <c r="F49" s="664">
        <v>4200</v>
      </c>
      <c r="G49" s="2">
        <f t="shared" si="1"/>
        <v>0</v>
      </c>
      <c r="H49" s="18">
        <f t="shared" si="2"/>
        <v>10795.68</v>
      </c>
      <c r="I49" s="60">
        <f>G49+H49</f>
        <v>10795.68</v>
      </c>
      <c r="K49" s="162"/>
      <c r="L49" s="162"/>
      <c r="M49" s="162"/>
    </row>
    <row r="50" spans="1:14" s="36" customFormat="1" outlineLevel="1" x14ac:dyDescent="0.25">
      <c r="A50" s="84"/>
      <c r="B50" s="11" t="s">
        <v>737</v>
      </c>
      <c r="C50" s="41" t="s">
        <v>15</v>
      </c>
      <c r="D50" s="42">
        <f>[1]Д2!D50+[1]Ек!D51+[1]Д!D49+[1]Е!D47</f>
        <v>158.42999999999998</v>
      </c>
      <c r="E50" s="2"/>
      <c r="F50" s="364">
        <v>42</v>
      </c>
      <c r="G50" s="2">
        <f t="shared" si="1"/>
        <v>0</v>
      </c>
      <c r="H50" s="18">
        <f t="shared" si="2"/>
        <v>6654.0599999999995</v>
      </c>
      <c r="I50" s="11">
        <f>G50+H50</f>
        <v>6654.0599999999995</v>
      </c>
      <c r="K50" s="162"/>
      <c r="L50" s="162"/>
      <c r="M50" s="162"/>
    </row>
    <row r="51" spans="1:14" s="36" customFormat="1" outlineLevel="1" x14ac:dyDescent="0.25">
      <c r="A51" s="92"/>
      <c r="B51" s="750" t="s">
        <v>1547</v>
      </c>
      <c r="C51" s="744" t="s">
        <v>1548</v>
      </c>
      <c r="D51" s="745">
        <f>2*20*8</f>
        <v>320</v>
      </c>
      <c r="E51" s="746">
        <v>1300</v>
      </c>
      <c r="F51" s="747"/>
      <c r="G51" s="2">
        <f t="shared" si="1"/>
        <v>416000</v>
      </c>
      <c r="H51" s="18">
        <f t="shared" si="2"/>
        <v>0</v>
      </c>
      <c r="I51" s="11">
        <f>G51+H51</f>
        <v>416000</v>
      </c>
      <c r="K51" s="162"/>
      <c r="L51" s="162"/>
      <c r="M51" s="162"/>
    </row>
    <row r="52" spans="1:14" s="36" customFormat="1" outlineLevel="1" x14ac:dyDescent="0.25">
      <c r="A52" s="92"/>
      <c r="B52" s="748" t="s">
        <v>1543</v>
      </c>
      <c r="C52" s="744"/>
      <c r="D52" s="745"/>
      <c r="E52" s="746"/>
      <c r="F52" s="747"/>
      <c r="G52" s="474">
        <f>SUM(G17:G51)</f>
        <v>1999889.3414999999</v>
      </c>
      <c r="H52" s="18">
        <f t="shared" si="2"/>
        <v>0</v>
      </c>
      <c r="I52" s="749">
        <f>G52</f>
        <v>1999889.3414999999</v>
      </c>
      <c r="K52" s="162"/>
      <c r="L52" s="162"/>
      <c r="M52" s="162"/>
    </row>
    <row r="53" spans="1:14" s="36" customFormat="1" outlineLevel="1" x14ac:dyDescent="0.25">
      <c r="A53" s="92"/>
      <c r="B53" s="748" t="s">
        <v>1546</v>
      </c>
      <c r="C53" s="744"/>
      <c r="D53" s="745"/>
      <c r="E53" s="746"/>
      <c r="F53" s="747"/>
      <c r="G53" s="474"/>
      <c r="H53" s="473">
        <f>SUM(H17:H50)</f>
        <v>6905171.1533624986</v>
      </c>
      <c r="I53" s="749">
        <f>H53</f>
        <v>6905171.1533624986</v>
      </c>
      <c r="K53" s="162"/>
      <c r="L53" s="162"/>
      <c r="M53" s="162"/>
    </row>
    <row r="54" spans="1:14" s="36" customFormat="1" outlineLevel="1" x14ac:dyDescent="0.25">
      <c r="A54" s="92"/>
      <c r="B54" s="748" t="s">
        <v>1544</v>
      </c>
      <c r="C54" s="744"/>
      <c r="D54" s="745"/>
      <c r="E54" s="746"/>
      <c r="F54" s="747"/>
      <c r="G54" s="474"/>
      <c r="H54" s="746"/>
      <c r="I54" s="749">
        <f>G54</f>
        <v>0</v>
      </c>
      <c r="K54" s="162"/>
      <c r="L54" s="162"/>
      <c r="M54" s="162"/>
    </row>
    <row r="55" spans="1:14" s="36" customFormat="1" outlineLevel="1" x14ac:dyDescent="0.25">
      <c r="A55" s="92"/>
      <c r="B55" s="748" t="s">
        <v>1545</v>
      </c>
      <c r="C55" s="744"/>
      <c r="D55" s="745"/>
      <c r="E55" s="746"/>
      <c r="F55" s="747"/>
      <c r="G55" s="474"/>
      <c r="H55" s="746"/>
      <c r="I55" s="749">
        <f>G55</f>
        <v>0</v>
      </c>
      <c r="K55" s="162"/>
      <c r="L55" s="162"/>
      <c r="M55" s="162"/>
    </row>
    <row r="56" spans="1:14" s="36" customFormat="1" ht="46.8" x14ac:dyDescent="0.25">
      <c r="A56" s="212"/>
      <c r="B56" s="213" t="s">
        <v>739</v>
      </c>
      <c r="C56" s="222"/>
      <c r="D56" s="215"/>
      <c r="E56" s="216"/>
      <c r="F56" s="217"/>
      <c r="G56" s="216">
        <f>G52+G54+G55</f>
        <v>1999889.3414999999</v>
      </c>
      <c r="H56" s="216">
        <f>SUM(H17:H50)</f>
        <v>6905171.1533624986</v>
      </c>
      <c r="I56" s="215">
        <f>I52+I53+I54+I55</f>
        <v>8905060.4948624987</v>
      </c>
      <c r="J56" s="691"/>
      <c r="K56" s="162"/>
      <c r="L56" s="162"/>
      <c r="M56" s="162"/>
    </row>
    <row r="57" spans="1:14" s="36" customFormat="1" x14ac:dyDescent="0.25">
      <c r="A57" s="85"/>
      <c r="B57" s="58" t="s">
        <v>624</v>
      </c>
      <c r="C57" s="9"/>
      <c r="D57" s="31"/>
      <c r="E57" s="10"/>
      <c r="F57" s="57"/>
      <c r="G57" s="10"/>
      <c r="H57" s="10"/>
      <c r="I57" s="31">
        <f>ROUND(I56/1.18*0.18,2)</f>
        <v>1358399.06</v>
      </c>
      <c r="K57" s="162"/>
      <c r="L57" s="162"/>
      <c r="M57" s="162"/>
    </row>
    <row r="58" spans="1:14" ht="18.75" customHeight="1" x14ac:dyDescent="0.25">
      <c r="A58" s="104"/>
      <c r="B58" s="771" t="s">
        <v>494</v>
      </c>
      <c r="C58" s="771"/>
      <c r="D58" s="771"/>
      <c r="E58" s="771"/>
      <c r="F58" s="771"/>
      <c r="G58" s="105"/>
      <c r="H58" s="105"/>
      <c r="I58" s="106"/>
      <c r="K58" s="129"/>
      <c r="L58" s="133"/>
      <c r="M58" s="133"/>
    </row>
    <row r="59" spans="1:14" ht="20.25" customHeight="1" outlineLevel="2" x14ac:dyDescent="0.25">
      <c r="A59" s="107" t="s">
        <v>204</v>
      </c>
      <c r="B59" s="29" t="s">
        <v>755</v>
      </c>
      <c r="C59" s="31" t="s">
        <v>14</v>
      </c>
      <c r="D59" s="31">
        <v>39</v>
      </c>
      <c r="E59" s="256">
        <v>400</v>
      </c>
      <c r="F59" s="11"/>
      <c r="G59" s="2">
        <f>E59*D59</f>
        <v>15600</v>
      </c>
      <c r="H59" s="2"/>
      <c r="I59" s="11">
        <f>G59+H59</f>
        <v>15600</v>
      </c>
      <c r="J59" s="25">
        <f>D59/0.12</f>
        <v>325</v>
      </c>
      <c r="K59" s="161"/>
      <c r="L59" s="161"/>
      <c r="M59" s="161"/>
    </row>
    <row r="60" spans="1:14" ht="31.2" outlineLevel="2" x14ac:dyDescent="0.25">
      <c r="A60" s="84"/>
      <c r="B60" s="11" t="s">
        <v>764</v>
      </c>
      <c r="C60" s="2" t="s">
        <v>12</v>
      </c>
      <c r="D60" s="64">
        <f>D59*46</f>
        <v>1794</v>
      </c>
      <c r="E60" s="2"/>
      <c r="F60" s="664">
        <v>11</v>
      </c>
      <c r="G60" s="2">
        <f t="shared" ref="G60:G119" si="5">E60*D60</f>
        <v>0</v>
      </c>
      <c r="H60" s="2">
        <f>F60*D60</f>
        <v>19734</v>
      </c>
      <c r="I60" s="11">
        <f>G60+H60</f>
        <v>19734</v>
      </c>
      <c r="J60" s="25">
        <f>1/(0.25*0.088)</f>
        <v>45.45454545454546</v>
      </c>
      <c r="K60" s="161"/>
      <c r="L60" s="161"/>
      <c r="M60" s="161"/>
    </row>
    <row r="61" spans="1:14" outlineLevel="2" x14ac:dyDescent="0.25">
      <c r="A61" s="84"/>
      <c r="B61" s="11" t="s">
        <v>756</v>
      </c>
      <c r="C61" s="2" t="s">
        <v>8</v>
      </c>
      <c r="D61" s="64">
        <f>Д2!D56+Ек!D57+Д!D54+Е!D53</f>
        <v>1.08</v>
      </c>
      <c r="E61" s="2"/>
      <c r="F61" s="164">
        <v>2600</v>
      </c>
      <c r="G61" s="2">
        <f t="shared" si="5"/>
        <v>0</v>
      </c>
      <c r="H61" s="2">
        <f t="shared" ref="H61:H120" si="6">F61*D61</f>
        <v>2808</v>
      </c>
      <c r="I61" s="11">
        <f>G61+H61</f>
        <v>2808</v>
      </c>
      <c r="K61" s="161"/>
      <c r="L61" s="161"/>
      <c r="M61" s="161"/>
    </row>
    <row r="62" spans="1:14" outlineLevel="2" x14ac:dyDescent="0.25">
      <c r="A62" s="107" t="s">
        <v>205</v>
      </c>
      <c r="B62" s="205" t="s">
        <v>16</v>
      </c>
      <c r="C62" s="31" t="s">
        <v>12</v>
      </c>
      <c r="D62" s="160">
        <f>D63+D64</f>
        <v>14</v>
      </c>
      <c r="E62" s="256"/>
      <c r="F62" s="11"/>
      <c r="G62" s="2">
        <f t="shared" si="5"/>
        <v>0</v>
      </c>
      <c r="H62" s="2">
        <f t="shared" si="6"/>
        <v>0</v>
      </c>
      <c r="I62" s="11">
        <f t="shared" ref="I62:I69" si="7">G62+H62</f>
        <v>0</v>
      </c>
      <c r="K62" s="163"/>
      <c r="L62" s="163"/>
      <c r="M62" s="163"/>
      <c r="N62" s="5"/>
    </row>
    <row r="63" spans="1:14" outlineLevel="2" x14ac:dyDescent="0.25">
      <c r="A63" s="84"/>
      <c r="B63" s="33" t="s">
        <v>754</v>
      </c>
      <c r="C63" s="2" t="s">
        <v>12</v>
      </c>
      <c r="D63" s="64">
        <f>Д!D56+Е!D55</f>
        <v>2</v>
      </c>
      <c r="E63" s="2"/>
      <c r="F63" s="664">
        <v>203</v>
      </c>
      <c r="G63" s="2">
        <f t="shared" si="5"/>
        <v>0</v>
      </c>
      <c r="H63" s="2">
        <f t="shared" si="6"/>
        <v>406</v>
      </c>
      <c r="I63" s="11">
        <f t="shared" si="7"/>
        <v>406</v>
      </c>
      <c r="K63" s="163"/>
      <c r="L63" s="163"/>
      <c r="M63" s="163"/>
      <c r="N63" s="5"/>
    </row>
    <row r="64" spans="1:14" outlineLevel="2" x14ac:dyDescent="0.25">
      <c r="A64" s="84"/>
      <c r="B64" s="33" t="s">
        <v>880</v>
      </c>
      <c r="C64" s="2" t="s">
        <v>12</v>
      </c>
      <c r="D64" s="64">
        <f>Ек!D59</f>
        <v>12</v>
      </c>
      <c r="E64" s="2"/>
      <c r="F64" s="664">
        <v>386</v>
      </c>
      <c r="G64" s="2">
        <f t="shared" si="5"/>
        <v>0</v>
      </c>
      <c r="H64" s="2">
        <f t="shared" si="6"/>
        <v>4632</v>
      </c>
      <c r="I64" s="11">
        <f t="shared" si="7"/>
        <v>4632</v>
      </c>
      <c r="K64" s="163"/>
      <c r="L64" s="163"/>
      <c r="M64" s="163"/>
      <c r="N64" s="5"/>
    </row>
    <row r="65" spans="1:14" outlineLevel="2" x14ac:dyDescent="0.25">
      <c r="A65" s="84"/>
      <c r="B65" s="11" t="s">
        <v>72</v>
      </c>
      <c r="C65" s="2" t="s">
        <v>8</v>
      </c>
      <c r="D65" s="64">
        <f>ROUND(0.23*D62,2)</f>
        <v>3.22</v>
      </c>
      <c r="E65" s="2"/>
      <c r="F65" s="361">
        <v>2600</v>
      </c>
      <c r="G65" s="2">
        <f t="shared" si="5"/>
        <v>0</v>
      </c>
      <c r="H65" s="2">
        <f t="shared" si="6"/>
        <v>8372</v>
      </c>
      <c r="I65" s="11">
        <f t="shared" si="7"/>
        <v>8372</v>
      </c>
      <c r="K65" s="163"/>
      <c r="L65" s="163"/>
      <c r="M65" s="163"/>
      <c r="N65" s="5"/>
    </row>
    <row r="66" spans="1:14" outlineLevel="2" x14ac:dyDescent="0.25">
      <c r="A66" s="107" t="s">
        <v>207</v>
      </c>
      <c r="B66" s="44" t="s">
        <v>784</v>
      </c>
      <c r="C66" s="46" t="s">
        <v>12</v>
      </c>
      <c r="D66" s="50">
        <f>Д2!D60+Ек!D61+Д!D58+Е!D57</f>
        <v>5</v>
      </c>
      <c r="E66" s="166">
        <v>1000</v>
      </c>
      <c r="F66" s="43"/>
      <c r="G66" s="2">
        <f t="shared" si="5"/>
        <v>5000</v>
      </c>
      <c r="H66" s="2">
        <f t="shared" si="6"/>
        <v>0</v>
      </c>
      <c r="I66" s="11">
        <f t="shared" si="7"/>
        <v>5000</v>
      </c>
      <c r="K66" s="163"/>
      <c r="L66" s="163"/>
      <c r="M66" s="163"/>
      <c r="N66" s="5"/>
    </row>
    <row r="67" spans="1:14" outlineLevel="2" x14ac:dyDescent="0.25">
      <c r="A67" s="84"/>
      <c r="B67" s="11" t="s">
        <v>785</v>
      </c>
      <c r="C67" s="2" t="s">
        <v>12</v>
      </c>
      <c r="D67" s="64">
        <f>Д2!D61+Ек!D62+Д!D59+Е!D58</f>
        <v>24</v>
      </c>
      <c r="E67" s="2"/>
      <c r="F67" s="164">
        <v>1300</v>
      </c>
      <c r="G67" s="2">
        <f t="shared" si="5"/>
        <v>0</v>
      </c>
      <c r="H67" s="2">
        <f t="shared" si="6"/>
        <v>31200</v>
      </c>
      <c r="I67" s="11">
        <f t="shared" si="7"/>
        <v>31200</v>
      </c>
      <c r="K67" s="163"/>
      <c r="L67" s="163"/>
      <c r="M67" s="163"/>
      <c r="N67" s="5"/>
    </row>
    <row r="68" spans="1:14" outlineLevel="2" x14ac:dyDescent="0.25">
      <c r="A68" s="84"/>
      <c r="B68" s="11" t="s">
        <v>1326</v>
      </c>
      <c r="C68" s="2" t="s">
        <v>12</v>
      </c>
      <c r="D68" s="64">
        <f>Д2!D62+Ек!D63+Д!D60+Е!D59</f>
        <v>4</v>
      </c>
      <c r="E68" s="2"/>
      <c r="F68" s="164">
        <v>1300</v>
      </c>
      <c r="G68" s="2">
        <f t="shared" si="5"/>
        <v>0</v>
      </c>
      <c r="H68" s="2">
        <f t="shared" si="6"/>
        <v>5200</v>
      </c>
      <c r="I68" s="11">
        <f t="shared" si="7"/>
        <v>5200</v>
      </c>
      <c r="K68" s="163"/>
      <c r="L68" s="163"/>
      <c r="M68" s="163"/>
      <c r="N68" s="5"/>
    </row>
    <row r="69" spans="1:14" outlineLevel="2" x14ac:dyDescent="0.25">
      <c r="A69" s="84"/>
      <c r="B69" s="11" t="s">
        <v>786</v>
      </c>
      <c r="C69" s="2" t="s">
        <v>12</v>
      </c>
      <c r="D69" s="64">
        <f>Д2!D63+Ек!D64+Д!D61+Е!D60</f>
        <v>31</v>
      </c>
      <c r="E69" s="2"/>
      <c r="F69" s="164">
        <v>1300</v>
      </c>
      <c r="G69" s="2">
        <f t="shared" si="5"/>
        <v>0</v>
      </c>
      <c r="H69" s="2">
        <f t="shared" si="6"/>
        <v>40300</v>
      </c>
      <c r="I69" s="11">
        <f t="shared" si="7"/>
        <v>40300</v>
      </c>
      <c r="K69" s="163"/>
      <c r="L69" s="163"/>
      <c r="M69" s="163"/>
      <c r="N69" s="5"/>
    </row>
    <row r="70" spans="1:14" outlineLevel="2" x14ac:dyDescent="0.25">
      <c r="A70" s="84"/>
      <c r="B70" s="11" t="s">
        <v>1327</v>
      </c>
      <c r="C70" s="2" t="s">
        <v>12</v>
      </c>
      <c r="D70" s="64">
        <f>Д2!D64+Ек!D65+Д!D62+Е!D61</f>
        <v>5</v>
      </c>
      <c r="E70" s="2"/>
      <c r="F70" s="164">
        <v>1300</v>
      </c>
      <c r="G70" s="2">
        <f t="shared" si="5"/>
        <v>0</v>
      </c>
      <c r="H70" s="2">
        <f t="shared" si="6"/>
        <v>6500</v>
      </c>
      <c r="I70" s="11">
        <f>G70+H70</f>
        <v>6500</v>
      </c>
      <c r="K70" s="163"/>
      <c r="L70" s="163"/>
      <c r="M70" s="163"/>
      <c r="N70" s="5"/>
    </row>
    <row r="71" spans="1:14" outlineLevel="2" x14ac:dyDescent="0.25">
      <c r="A71" s="84"/>
      <c r="B71" s="11" t="s">
        <v>1518</v>
      </c>
      <c r="C71" s="2" t="s">
        <v>12</v>
      </c>
      <c r="D71" s="64">
        <f>Д2!D65+Ек!D66+Д!D63+Е!D62</f>
        <v>4</v>
      </c>
      <c r="E71" s="2"/>
      <c r="F71" s="164">
        <v>1300</v>
      </c>
      <c r="G71" s="2">
        <f t="shared" si="5"/>
        <v>0</v>
      </c>
      <c r="H71" s="2">
        <f t="shared" si="6"/>
        <v>5200</v>
      </c>
      <c r="I71" s="11">
        <f>G71+H71</f>
        <v>5200</v>
      </c>
      <c r="K71" s="163"/>
      <c r="L71" s="163"/>
      <c r="M71" s="163"/>
      <c r="N71" s="5"/>
    </row>
    <row r="72" spans="1:14" outlineLevel="2" x14ac:dyDescent="0.25">
      <c r="A72" s="84"/>
      <c r="B72" s="11" t="s">
        <v>738</v>
      </c>
      <c r="C72" s="2" t="s">
        <v>8</v>
      </c>
      <c r="D72" s="2">
        <f>Д2!D66+Ек!D67+Д!D64+Е!D63</f>
        <v>0.2</v>
      </c>
      <c r="E72" s="2"/>
      <c r="F72" s="664">
        <v>4200</v>
      </c>
      <c r="G72" s="2">
        <f t="shared" si="5"/>
        <v>0</v>
      </c>
      <c r="H72" s="2">
        <f t="shared" si="6"/>
        <v>840</v>
      </c>
      <c r="I72" s="11">
        <f>G72+H72</f>
        <v>840</v>
      </c>
      <c r="K72" s="163"/>
      <c r="L72" s="163"/>
      <c r="M72" s="163"/>
      <c r="N72" s="5"/>
    </row>
    <row r="73" spans="1:14" outlineLevel="2" x14ac:dyDescent="0.25">
      <c r="A73" s="84"/>
      <c r="B73" s="11" t="s">
        <v>763</v>
      </c>
      <c r="C73" s="2" t="s">
        <v>1323</v>
      </c>
      <c r="D73" s="64">
        <f>Д2!D67+Ек!D68+Д!D65+Е!D64</f>
        <v>54.000000000000007</v>
      </c>
      <c r="E73" s="2"/>
      <c r="F73" s="164">
        <v>300</v>
      </c>
      <c r="G73" s="2">
        <f t="shared" si="5"/>
        <v>0</v>
      </c>
      <c r="H73" s="2">
        <f t="shared" si="6"/>
        <v>16200.000000000002</v>
      </c>
      <c r="I73" s="11">
        <f>G73+H73</f>
        <v>16200.000000000002</v>
      </c>
      <c r="K73" s="163"/>
      <c r="L73" s="163"/>
      <c r="M73" s="163"/>
      <c r="N73" s="5"/>
    </row>
    <row r="74" spans="1:14" outlineLevel="2" x14ac:dyDescent="0.25">
      <c r="A74" s="84"/>
      <c r="B74" s="11" t="s">
        <v>767</v>
      </c>
      <c r="C74" s="2" t="s">
        <v>15</v>
      </c>
      <c r="D74" s="64">
        <f>Д2!D68+Ек!D69+Д!D66+Е!D65</f>
        <v>610</v>
      </c>
      <c r="E74" s="2"/>
      <c r="F74" s="361">
        <v>40</v>
      </c>
      <c r="G74" s="2">
        <f t="shared" si="5"/>
        <v>0</v>
      </c>
      <c r="H74" s="2">
        <f t="shared" si="6"/>
        <v>24400</v>
      </c>
      <c r="I74" s="11">
        <f t="shared" ref="I74:I80" si="8">G74+H74</f>
        <v>24400</v>
      </c>
      <c r="K74" s="163"/>
      <c r="L74" s="163"/>
      <c r="M74" s="163"/>
      <c r="N74" s="5"/>
    </row>
    <row r="75" spans="1:14" outlineLevel="2" x14ac:dyDescent="0.25">
      <c r="A75" s="84"/>
      <c r="B75" s="11" t="s">
        <v>768</v>
      </c>
      <c r="C75" s="2" t="s">
        <v>15</v>
      </c>
      <c r="D75" s="64">
        <f>Д2!D69+Ек!D70+Д!D67+Е!D66</f>
        <v>1380</v>
      </c>
      <c r="E75" s="2"/>
      <c r="F75" s="361">
        <v>40</v>
      </c>
      <c r="G75" s="2">
        <f t="shared" si="5"/>
        <v>0</v>
      </c>
      <c r="H75" s="2">
        <f t="shared" si="6"/>
        <v>55200</v>
      </c>
      <c r="I75" s="11">
        <f t="shared" si="8"/>
        <v>55200</v>
      </c>
      <c r="K75" s="163"/>
      <c r="L75" s="163"/>
      <c r="M75" s="163"/>
      <c r="N75" s="5"/>
    </row>
    <row r="76" spans="1:14" outlineLevel="2" x14ac:dyDescent="0.25">
      <c r="A76" s="84"/>
      <c r="B76" s="11" t="s">
        <v>770</v>
      </c>
      <c r="C76" s="2" t="s">
        <v>15</v>
      </c>
      <c r="D76" s="64">
        <f>Д2!D70+Ек!D71+Д!D68+Е!D67</f>
        <v>23</v>
      </c>
      <c r="E76" s="2"/>
      <c r="F76" s="361">
        <v>36</v>
      </c>
      <c r="G76" s="2">
        <f t="shared" si="5"/>
        <v>0</v>
      </c>
      <c r="H76" s="2">
        <f t="shared" si="6"/>
        <v>828</v>
      </c>
      <c r="I76" s="11">
        <f t="shared" si="8"/>
        <v>828</v>
      </c>
      <c r="K76" s="163"/>
      <c r="L76" s="163"/>
      <c r="M76" s="163"/>
      <c r="N76" s="5"/>
    </row>
    <row r="77" spans="1:14" outlineLevel="2" x14ac:dyDescent="0.25">
      <c r="A77" s="84"/>
      <c r="B77" s="11" t="s">
        <v>1331</v>
      </c>
      <c r="C77" s="2" t="s">
        <v>15</v>
      </c>
      <c r="D77" s="64">
        <f>Д2!D71+Ек!D72+Д!D69+Е!D68</f>
        <v>284</v>
      </c>
      <c r="E77" s="2"/>
      <c r="F77" s="361">
        <v>36</v>
      </c>
      <c r="G77" s="2">
        <f t="shared" si="5"/>
        <v>0</v>
      </c>
      <c r="H77" s="2">
        <f t="shared" si="6"/>
        <v>10224</v>
      </c>
      <c r="I77" s="11">
        <f t="shared" si="8"/>
        <v>10224</v>
      </c>
      <c r="K77" s="163"/>
      <c r="L77" s="163"/>
      <c r="M77" s="163"/>
      <c r="N77" s="5"/>
    </row>
    <row r="78" spans="1:14" outlineLevel="2" x14ac:dyDescent="0.25">
      <c r="A78" s="84"/>
      <c r="B78" s="11" t="s">
        <v>771</v>
      </c>
      <c r="C78" s="2" t="s">
        <v>15</v>
      </c>
      <c r="D78" s="64">
        <f>Е!D69</f>
        <v>40</v>
      </c>
      <c r="E78" s="2"/>
      <c r="F78" s="361">
        <v>36</v>
      </c>
      <c r="G78" s="2">
        <f t="shared" si="5"/>
        <v>0</v>
      </c>
      <c r="H78" s="2">
        <f t="shared" si="6"/>
        <v>1440</v>
      </c>
      <c r="I78" s="11">
        <f>G78+H78</f>
        <v>1440</v>
      </c>
      <c r="K78" s="163"/>
      <c r="L78" s="163"/>
      <c r="M78" s="163"/>
      <c r="N78" s="5"/>
    </row>
    <row r="79" spans="1:14" outlineLevel="2" x14ac:dyDescent="0.25">
      <c r="A79" s="84"/>
      <c r="B79" s="11" t="s">
        <v>772</v>
      </c>
      <c r="C79" s="2" t="s">
        <v>15</v>
      </c>
      <c r="D79" s="64">
        <f>Д2!D72+Ек!D74+Д!D70+Е!D70</f>
        <v>130</v>
      </c>
      <c r="E79" s="2"/>
      <c r="F79" s="361">
        <v>33</v>
      </c>
      <c r="G79" s="2">
        <f t="shared" si="5"/>
        <v>0</v>
      </c>
      <c r="H79" s="2">
        <f t="shared" si="6"/>
        <v>4290</v>
      </c>
      <c r="I79" s="11">
        <f t="shared" si="8"/>
        <v>4290</v>
      </c>
      <c r="K79" s="163"/>
      <c r="L79" s="163"/>
      <c r="M79" s="163"/>
      <c r="N79" s="5"/>
    </row>
    <row r="80" spans="1:14" outlineLevel="2" x14ac:dyDescent="0.25">
      <c r="A80" s="84"/>
      <c r="B80" s="11" t="s">
        <v>773</v>
      </c>
      <c r="C80" s="2" t="s">
        <v>15</v>
      </c>
      <c r="D80" s="64">
        <f>Д2!D73+Ек!D75+Д!D71+Е!D71</f>
        <v>206</v>
      </c>
      <c r="E80" s="2"/>
      <c r="F80" s="361">
        <v>33</v>
      </c>
      <c r="G80" s="2">
        <f t="shared" si="5"/>
        <v>0</v>
      </c>
      <c r="H80" s="2">
        <f t="shared" si="6"/>
        <v>6798</v>
      </c>
      <c r="I80" s="11">
        <f t="shared" si="8"/>
        <v>6798</v>
      </c>
      <c r="K80" s="163"/>
      <c r="L80" s="163"/>
      <c r="M80" s="163"/>
      <c r="N80" s="5"/>
    </row>
    <row r="81" spans="1:14" outlineLevel="2" x14ac:dyDescent="0.25">
      <c r="A81" s="107" t="s">
        <v>66</v>
      </c>
      <c r="B81" s="49" t="s">
        <v>807</v>
      </c>
      <c r="C81" s="41" t="s">
        <v>14</v>
      </c>
      <c r="D81" s="2">
        <f>SUM(D73:D80)*27/1000</f>
        <v>73.629000000000005</v>
      </c>
      <c r="E81" s="353">
        <v>100</v>
      </c>
      <c r="F81" s="363"/>
      <c r="G81" s="2">
        <f t="shared" si="5"/>
        <v>7362.9000000000005</v>
      </c>
      <c r="H81" s="2">
        <f t="shared" si="6"/>
        <v>0</v>
      </c>
      <c r="I81" s="11">
        <f>G81</f>
        <v>7362.9000000000005</v>
      </c>
      <c r="K81" s="163"/>
      <c r="L81" s="163"/>
      <c r="M81" s="163"/>
      <c r="N81" s="5"/>
    </row>
    <row r="82" spans="1:14" outlineLevel="2" x14ac:dyDescent="0.25">
      <c r="A82" s="84"/>
      <c r="B82" s="47" t="s">
        <v>908</v>
      </c>
      <c r="C82" s="41" t="s">
        <v>15</v>
      </c>
      <c r="D82" s="2">
        <f>D81*0.2</f>
        <v>14.725800000000001</v>
      </c>
      <c r="E82" s="390"/>
      <c r="F82" s="362">
        <v>85</v>
      </c>
      <c r="G82" s="2">
        <f t="shared" si="5"/>
        <v>0</v>
      </c>
      <c r="H82" s="2">
        <f t="shared" si="6"/>
        <v>1251.6930000000002</v>
      </c>
      <c r="I82" s="11">
        <f>H82</f>
        <v>1251.6930000000002</v>
      </c>
      <c r="K82" s="163"/>
      <c r="L82" s="163"/>
      <c r="M82" s="163"/>
      <c r="N82" s="5"/>
    </row>
    <row r="83" spans="1:14" outlineLevel="2" x14ac:dyDescent="0.25">
      <c r="A83" s="84"/>
      <c r="B83" s="47" t="s">
        <v>809</v>
      </c>
      <c r="C83" s="41" t="s">
        <v>15</v>
      </c>
      <c r="D83" s="2">
        <f>D81*0.3</f>
        <v>22.088699999999999</v>
      </c>
      <c r="E83" s="390"/>
      <c r="F83" s="362">
        <v>115</v>
      </c>
      <c r="G83" s="2">
        <f t="shared" si="5"/>
        <v>0</v>
      </c>
      <c r="H83" s="2">
        <f t="shared" si="6"/>
        <v>2540.2004999999999</v>
      </c>
      <c r="I83" s="11">
        <f>H83</f>
        <v>2540.2004999999999</v>
      </c>
      <c r="K83" s="163"/>
      <c r="L83" s="163"/>
      <c r="M83" s="163"/>
      <c r="N83" s="5"/>
    </row>
    <row r="84" spans="1:14" outlineLevel="2" x14ac:dyDescent="0.25">
      <c r="A84" s="107" t="s">
        <v>349</v>
      </c>
      <c r="B84" s="29" t="s">
        <v>787</v>
      </c>
      <c r="C84" s="31" t="s">
        <v>8</v>
      </c>
      <c r="D84" s="31">
        <f>Д2!D77+Ек!D79+Д!D75+Е!D75</f>
        <v>3.5600000000000005</v>
      </c>
      <c r="E84" s="256">
        <v>800</v>
      </c>
      <c r="F84" s="11"/>
      <c r="G84" s="2">
        <f t="shared" si="5"/>
        <v>2848.0000000000005</v>
      </c>
      <c r="H84" s="2">
        <f t="shared" si="6"/>
        <v>0</v>
      </c>
      <c r="I84" s="11">
        <f t="shared" ref="I84:I112" si="9">G84+H84</f>
        <v>2848.0000000000005</v>
      </c>
      <c r="K84" s="163"/>
      <c r="L84" s="163"/>
      <c r="M84" s="163"/>
      <c r="N84" s="5"/>
    </row>
    <row r="85" spans="1:14" outlineLevel="2" x14ac:dyDescent="0.25">
      <c r="A85" s="84"/>
      <c r="B85" s="11" t="s">
        <v>738</v>
      </c>
      <c r="C85" s="2" t="s">
        <v>8</v>
      </c>
      <c r="D85" s="2">
        <f>D84*1.02</f>
        <v>3.6312000000000006</v>
      </c>
      <c r="E85" s="2"/>
      <c r="F85" s="664">
        <v>4200</v>
      </c>
      <c r="G85" s="2">
        <f t="shared" si="5"/>
        <v>0</v>
      </c>
      <c r="H85" s="2">
        <f t="shared" si="6"/>
        <v>15251.040000000003</v>
      </c>
      <c r="I85" s="11">
        <f t="shared" si="9"/>
        <v>15251.040000000003</v>
      </c>
      <c r="K85" s="163"/>
      <c r="L85" s="163"/>
      <c r="M85" s="163"/>
      <c r="N85" s="5"/>
    </row>
    <row r="86" spans="1:14" outlineLevel="2" x14ac:dyDescent="0.25">
      <c r="A86" s="84"/>
      <c r="B86" s="47" t="s">
        <v>1529</v>
      </c>
      <c r="C86" s="41" t="s">
        <v>15</v>
      </c>
      <c r="D86" s="42">
        <f>Д2!D79+Ек!D81+Д!D77+Е!D77</f>
        <v>151.48000000000002</v>
      </c>
      <c r="E86" s="2"/>
      <c r="F86" s="364">
        <v>42</v>
      </c>
      <c r="G86" s="2">
        <f t="shared" si="5"/>
        <v>0</v>
      </c>
      <c r="H86" s="2">
        <f t="shared" si="6"/>
        <v>6362.1600000000008</v>
      </c>
      <c r="I86" s="11">
        <f t="shared" si="9"/>
        <v>6362.1600000000008</v>
      </c>
      <c r="K86" s="163"/>
      <c r="L86" s="163"/>
      <c r="M86" s="163"/>
      <c r="N86" s="5"/>
    </row>
    <row r="87" spans="1:14" ht="18.75" customHeight="1" outlineLevel="2" x14ac:dyDescent="0.25">
      <c r="A87" s="107" t="s">
        <v>495</v>
      </c>
      <c r="B87" s="29" t="s">
        <v>1305</v>
      </c>
      <c r="C87" s="2" t="s">
        <v>8</v>
      </c>
      <c r="D87" s="31">
        <f>Д2!D80+Ек!D82+Д!D78+Е!D78</f>
        <v>2.52</v>
      </c>
      <c r="E87" s="256">
        <v>1500</v>
      </c>
      <c r="F87" s="164"/>
      <c r="G87" s="2">
        <f t="shared" si="5"/>
        <v>3780</v>
      </c>
      <c r="H87" s="2">
        <f t="shared" si="6"/>
        <v>0</v>
      </c>
      <c r="I87" s="11">
        <f t="shared" si="9"/>
        <v>3780</v>
      </c>
      <c r="K87" s="161"/>
      <c r="L87" s="161"/>
      <c r="M87" s="161"/>
      <c r="N87" s="5"/>
    </row>
    <row r="88" spans="1:14" outlineLevel="2" x14ac:dyDescent="0.25">
      <c r="A88" s="84"/>
      <c r="B88" s="11" t="s">
        <v>738</v>
      </c>
      <c r="C88" s="2" t="s">
        <v>8</v>
      </c>
      <c r="D88" s="2">
        <f>D87*1.02</f>
        <v>2.5704000000000002</v>
      </c>
      <c r="E88" s="2"/>
      <c r="F88" s="664">
        <v>4200</v>
      </c>
      <c r="G88" s="2">
        <f t="shared" si="5"/>
        <v>0</v>
      </c>
      <c r="H88" s="2">
        <f t="shared" si="6"/>
        <v>10795.68</v>
      </c>
      <c r="I88" s="60">
        <f t="shared" si="9"/>
        <v>10795.68</v>
      </c>
      <c r="K88" s="161"/>
      <c r="L88" s="161"/>
      <c r="M88" s="161"/>
      <c r="N88" s="5"/>
    </row>
    <row r="89" spans="1:14" outlineLevel="2" x14ac:dyDescent="0.25">
      <c r="A89" s="84"/>
      <c r="B89" s="11" t="s">
        <v>737</v>
      </c>
      <c r="C89" s="41" t="s">
        <v>15</v>
      </c>
      <c r="D89" s="42">
        <f>Д2!D82+Ек!D84+Д!D80+Е!D80</f>
        <v>158.42999999999998</v>
      </c>
      <c r="E89" s="2"/>
      <c r="F89" s="364">
        <v>42</v>
      </c>
      <c r="G89" s="2">
        <f t="shared" si="5"/>
        <v>0</v>
      </c>
      <c r="H89" s="2">
        <f t="shared" si="6"/>
        <v>6654.0599999999995</v>
      </c>
      <c r="I89" s="11">
        <f t="shared" si="9"/>
        <v>6654.0599999999995</v>
      </c>
      <c r="K89" s="161"/>
      <c r="L89" s="161"/>
      <c r="M89" s="161"/>
      <c r="N89" s="5"/>
    </row>
    <row r="90" spans="1:14" ht="31.2" outlineLevel="2" x14ac:dyDescent="0.25">
      <c r="A90" s="84"/>
      <c r="B90" s="29" t="s">
        <v>1352</v>
      </c>
      <c r="C90" s="2" t="s">
        <v>8</v>
      </c>
      <c r="D90" s="31">
        <f>Ек!D85</f>
        <v>0.16800000000000001</v>
      </c>
      <c r="E90" s="256">
        <v>600</v>
      </c>
      <c r="F90" s="164"/>
      <c r="G90" s="2">
        <f t="shared" si="5"/>
        <v>100.80000000000001</v>
      </c>
      <c r="H90" s="2">
        <f t="shared" si="6"/>
        <v>0</v>
      </c>
      <c r="I90" s="11">
        <f t="shared" si="9"/>
        <v>100.80000000000001</v>
      </c>
      <c r="K90" s="161"/>
      <c r="L90" s="161"/>
      <c r="M90" s="161"/>
      <c r="N90" s="5"/>
    </row>
    <row r="91" spans="1:14" outlineLevel="2" x14ac:dyDescent="0.25">
      <c r="A91" s="84"/>
      <c r="B91" s="11" t="s">
        <v>738</v>
      </c>
      <c r="C91" s="2" t="s">
        <v>8</v>
      </c>
      <c r="D91" s="2">
        <f>D90*1.02</f>
        <v>0.17136000000000001</v>
      </c>
      <c r="E91" s="2"/>
      <c r="F91" s="664">
        <v>4200</v>
      </c>
      <c r="G91" s="2">
        <f t="shared" si="5"/>
        <v>0</v>
      </c>
      <c r="H91" s="2">
        <f t="shared" si="6"/>
        <v>719.7120000000001</v>
      </c>
      <c r="I91" s="60">
        <f t="shared" si="9"/>
        <v>719.7120000000001</v>
      </c>
      <c r="K91" s="161"/>
      <c r="L91" s="161"/>
      <c r="M91" s="161"/>
      <c r="N91" s="5"/>
    </row>
    <row r="92" spans="1:14" outlineLevel="2" x14ac:dyDescent="0.25">
      <c r="A92" s="84"/>
      <c r="B92" s="11" t="s">
        <v>737</v>
      </c>
      <c r="C92" s="41" t="s">
        <v>15</v>
      </c>
      <c r="D92" s="42">
        <f>Ек!D87</f>
        <v>15.36</v>
      </c>
      <c r="E92" s="2"/>
      <c r="F92" s="364">
        <v>42</v>
      </c>
      <c r="G92" s="2">
        <f t="shared" si="5"/>
        <v>0</v>
      </c>
      <c r="H92" s="2">
        <f t="shared" si="6"/>
        <v>645.12</v>
      </c>
      <c r="I92" s="11">
        <f t="shared" si="9"/>
        <v>645.12</v>
      </c>
      <c r="K92" s="161"/>
      <c r="L92" s="161"/>
      <c r="M92" s="161"/>
      <c r="N92" s="5"/>
    </row>
    <row r="93" spans="1:14" outlineLevel="2" x14ac:dyDescent="0.25">
      <c r="A93" s="107" t="s">
        <v>496</v>
      </c>
      <c r="B93" s="48" t="s">
        <v>740</v>
      </c>
      <c r="C93" s="46" t="s">
        <v>12</v>
      </c>
      <c r="D93" s="50">
        <f>SUM(D94:D106)</f>
        <v>192</v>
      </c>
      <c r="E93" s="275">
        <v>350</v>
      </c>
      <c r="F93" s="43"/>
      <c r="G93" s="2">
        <f t="shared" si="5"/>
        <v>67200</v>
      </c>
      <c r="H93" s="2">
        <f t="shared" si="6"/>
        <v>0</v>
      </c>
      <c r="I93" s="11">
        <f t="shared" si="9"/>
        <v>67200</v>
      </c>
      <c r="K93" s="161"/>
      <c r="L93" s="161"/>
      <c r="M93" s="161"/>
      <c r="N93" s="5"/>
    </row>
    <row r="94" spans="1:14" outlineLevel="2" x14ac:dyDescent="0.25">
      <c r="A94" s="84"/>
      <c r="B94" s="47" t="s">
        <v>751</v>
      </c>
      <c r="C94" s="2" t="s">
        <v>12</v>
      </c>
      <c r="D94" s="2">
        <f>Ек!D89+Е!D82</f>
        <v>38</v>
      </c>
      <c r="E94" s="31"/>
      <c r="F94" s="363">
        <v>15000</v>
      </c>
      <c r="G94" s="2">
        <f t="shared" si="5"/>
        <v>0</v>
      </c>
      <c r="H94" s="2">
        <f t="shared" si="6"/>
        <v>570000</v>
      </c>
      <c r="I94" s="60">
        <f t="shared" si="9"/>
        <v>570000</v>
      </c>
      <c r="K94" s="161"/>
      <c r="L94" s="161"/>
      <c r="M94" s="161"/>
      <c r="N94" s="5"/>
    </row>
    <row r="95" spans="1:14" outlineLevel="2" x14ac:dyDescent="0.25">
      <c r="A95" s="84"/>
      <c r="B95" s="47" t="s">
        <v>752</v>
      </c>
      <c r="C95" s="2" t="s">
        <v>12</v>
      </c>
      <c r="D95" s="2">
        <f>Ек!D90+Е!D83</f>
        <v>10</v>
      </c>
      <c r="E95" s="31"/>
      <c r="F95" s="363">
        <v>15000</v>
      </c>
      <c r="G95" s="2">
        <f t="shared" si="5"/>
        <v>0</v>
      </c>
      <c r="H95" s="2">
        <f t="shared" si="6"/>
        <v>150000</v>
      </c>
      <c r="I95" s="60">
        <f t="shared" si="9"/>
        <v>150000</v>
      </c>
      <c r="K95" s="161"/>
      <c r="L95" s="161"/>
      <c r="M95" s="161"/>
      <c r="N95" s="5"/>
    </row>
    <row r="96" spans="1:14" outlineLevel="2" x14ac:dyDescent="0.25">
      <c r="A96" s="84"/>
      <c r="B96" s="47" t="s">
        <v>742</v>
      </c>
      <c r="C96" s="2" t="s">
        <v>12</v>
      </c>
      <c r="D96" s="2">
        <f>Д2!D84+Д!D82</f>
        <v>12</v>
      </c>
      <c r="E96" s="31"/>
      <c r="F96" s="664">
        <v>12796</v>
      </c>
      <c r="G96" s="2">
        <f t="shared" si="5"/>
        <v>0</v>
      </c>
      <c r="H96" s="2">
        <f t="shared" si="6"/>
        <v>153552</v>
      </c>
      <c r="I96" s="60">
        <f t="shared" si="9"/>
        <v>153552</v>
      </c>
      <c r="K96" s="161"/>
      <c r="L96" s="161"/>
      <c r="M96" s="161"/>
      <c r="N96" s="5"/>
    </row>
    <row r="97" spans="1:14" outlineLevel="2" x14ac:dyDescent="0.25">
      <c r="A97" s="84"/>
      <c r="B97" s="47" t="s">
        <v>741</v>
      </c>
      <c r="C97" s="2" t="s">
        <v>12</v>
      </c>
      <c r="D97" s="2">
        <f>Д2!D85+Е!D83</f>
        <v>10</v>
      </c>
      <c r="E97" s="31"/>
      <c r="F97" s="664">
        <v>14406</v>
      </c>
      <c r="G97" s="2">
        <f t="shared" si="5"/>
        <v>0</v>
      </c>
      <c r="H97" s="2">
        <f t="shared" si="6"/>
        <v>144060</v>
      </c>
      <c r="I97" s="60">
        <f t="shared" si="9"/>
        <v>144060</v>
      </c>
      <c r="K97" s="161"/>
      <c r="L97" s="161"/>
      <c r="M97" s="161"/>
      <c r="N97" s="5"/>
    </row>
    <row r="98" spans="1:14" outlineLevel="2" x14ac:dyDescent="0.25">
      <c r="A98" s="84"/>
      <c r="B98" s="47" t="s">
        <v>743</v>
      </c>
      <c r="C98" s="2" t="s">
        <v>12</v>
      </c>
      <c r="D98" s="2">
        <f>Д2!D86+Ек!D91+Д!D84+Е!D84</f>
        <v>68</v>
      </c>
      <c r="E98" s="31"/>
      <c r="F98" s="362">
        <v>9631</v>
      </c>
      <c r="G98" s="2">
        <f t="shared" si="5"/>
        <v>0</v>
      </c>
      <c r="H98" s="2">
        <f t="shared" si="6"/>
        <v>654908</v>
      </c>
      <c r="I98" s="60">
        <f t="shared" si="9"/>
        <v>654908</v>
      </c>
      <c r="K98" s="161"/>
      <c r="L98" s="161"/>
      <c r="M98" s="161"/>
      <c r="N98" s="5"/>
    </row>
    <row r="99" spans="1:14" outlineLevel="2" x14ac:dyDescent="0.25">
      <c r="A99" s="84"/>
      <c r="B99" s="47" t="s">
        <v>744</v>
      </c>
      <c r="C99" s="2" t="s">
        <v>12</v>
      </c>
      <c r="D99" s="2">
        <f>Д2!D87+Ек!D92+Д!D85+Е!D85</f>
        <v>20</v>
      </c>
      <c r="E99" s="31"/>
      <c r="F99" s="362">
        <v>11987</v>
      </c>
      <c r="G99" s="2">
        <f t="shared" si="5"/>
        <v>0</v>
      </c>
      <c r="H99" s="2">
        <f t="shared" si="6"/>
        <v>239740</v>
      </c>
      <c r="I99" s="60">
        <f t="shared" si="9"/>
        <v>239740</v>
      </c>
      <c r="K99" s="161"/>
      <c r="L99" s="161"/>
      <c r="M99" s="161"/>
      <c r="N99" s="5"/>
    </row>
    <row r="100" spans="1:14" outlineLevel="2" x14ac:dyDescent="0.25">
      <c r="A100" s="84"/>
      <c r="B100" s="47" t="s">
        <v>745</v>
      </c>
      <c r="C100" s="2" t="s">
        <v>12</v>
      </c>
      <c r="D100" s="2">
        <f>Д2!D88+Д!D86</f>
        <v>2</v>
      </c>
      <c r="E100" s="31"/>
      <c r="F100" s="664">
        <v>5621</v>
      </c>
      <c r="G100" s="2">
        <f t="shared" si="5"/>
        <v>0</v>
      </c>
      <c r="H100" s="2">
        <f t="shared" si="6"/>
        <v>11242</v>
      </c>
      <c r="I100" s="60">
        <f t="shared" si="9"/>
        <v>11242</v>
      </c>
      <c r="K100" s="161"/>
      <c r="L100" s="161"/>
      <c r="M100" s="161"/>
      <c r="N100" s="5"/>
    </row>
    <row r="101" spans="1:14" outlineLevel="2" x14ac:dyDescent="0.25">
      <c r="A101" s="84"/>
      <c r="B101" s="47" t="s">
        <v>746</v>
      </c>
      <c r="C101" s="2" t="s">
        <v>12</v>
      </c>
      <c r="D101" s="2">
        <f>Д2!D89+Д!D87</f>
        <v>2</v>
      </c>
      <c r="E101" s="31"/>
      <c r="F101" s="666">
        <v>4222</v>
      </c>
      <c r="G101" s="2">
        <f t="shared" si="5"/>
        <v>0</v>
      </c>
      <c r="H101" s="2">
        <f t="shared" si="6"/>
        <v>8444</v>
      </c>
      <c r="I101" s="60">
        <f>G101+H101</f>
        <v>8444</v>
      </c>
      <c r="K101" s="161"/>
      <c r="L101" s="161"/>
      <c r="M101" s="161"/>
      <c r="N101" s="5"/>
    </row>
    <row r="102" spans="1:14" outlineLevel="2" x14ac:dyDescent="0.25">
      <c r="A102" s="84"/>
      <c r="B102" s="47" t="s">
        <v>1519</v>
      </c>
      <c r="C102" s="2" t="s">
        <v>12</v>
      </c>
      <c r="D102" s="2">
        <f>Ек!D93+Е!D86</f>
        <v>4</v>
      </c>
      <c r="E102" s="31"/>
      <c r="F102" s="362">
        <v>4100</v>
      </c>
      <c r="G102" s="2">
        <f t="shared" si="5"/>
        <v>0</v>
      </c>
      <c r="H102" s="2">
        <f t="shared" si="6"/>
        <v>16400</v>
      </c>
      <c r="I102" s="60">
        <f t="shared" si="9"/>
        <v>16400</v>
      </c>
      <c r="K102" s="161"/>
      <c r="L102" s="161"/>
      <c r="M102" s="161"/>
      <c r="N102" s="5"/>
    </row>
    <row r="103" spans="1:14" outlineLevel="2" x14ac:dyDescent="0.25">
      <c r="A103" s="84"/>
      <c r="B103" s="47" t="s">
        <v>1338</v>
      </c>
      <c r="C103" s="2" t="s">
        <v>12</v>
      </c>
      <c r="D103" s="2">
        <f>Ек!D94+Е!D87</f>
        <v>3</v>
      </c>
      <c r="E103" s="31"/>
      <c r="F103" s="363">
        <v>12000</v>
      </c>
      <c r="G103" s="2">
        <f t="shared" si="5"/>
        <v>0</v>
      </c>
      <c r="H103" s="2">
        <f t="shared" si="6"/>
        <v>36000</v>
      </c>
      <c r="I103" s="60">
        <f t="shared" si="9"/>
        <v>36000</v>
      </c>
      <c r="K103" s="161"/>
      <c r="L103" s="161"/>
      <c r="M103" s="161"/>
      <c r="N103" s="5"/>
    </row>
    <row r="104" spans="1:14" outlineLevel="2" x14ac:dyDescent="0.25">
      <c r="A104" s="84"/>
      <c r="B104" s="47" t="s">
        <v>1319</v>
      </c>
      <c r="C104" s="2" t="s">
        <v>12</v>
      </c>
      <c r="D104" s="2">
        <f>Д2!D90+Ек!D95+Е!D88</f>
        <v>6</v>
      </c>
      <c r="E104" s="31"/>
      <c r="F104" s="363">
        <v>15000</v>
      </c>
      <c r="G104" s="2">
        <f t="shared" si="5"/>
        <v>0</v>
      </c>
      <c r="H104" s="2">
        <f t="shared" si="6"/>
        <v>90000</v>
      </c>
      <c r="I104" s="60">
        <f t="shared" si="9"/>
        <v>90000</v>
      </c>
      <c r="K104" s="161"/>
      <c r="L104" s="161"/>
      <c r="M104" s="161"/>
      <c r="N104" s="5"/>
    </row>
    <row r="105" spans="1:14" outlineLevel="2" x14ac:dyDescent="0.25">
      <c r="A105" s="84"/>
      <c r="B105" s="47" t="s">
        <v>1307</v>
      </c>
      <c r="C105" s="2" t="s">
        <v>12</v>
      </c>
      <c r="D105" s="2">
        <f>Д2!D91+Ек!D96+Д!D88+Е!D89</f>
        <v>15</v>
      </c>
      <c r="E105" s="31"/>
      <c r="F105" s="362">
        <v>18060</v>
      </c>
      <c r="G105" s="2">
        <f t="shared" si="5"/>
        <v>0</v>
      </c>
      <c r="H105" s="2">
        <f t="shared" si="6"/>
        <v>270900</v>
      </c>
      <c r="I105" s="60">
        <f t="shared" si="9"/>
        <v>270900</v>
      </c>
      <c r="K105" s="161"/>
      <c r="L105" s="161"/>
      <c r="M105" s="161"/>
      <c r="N105" s="5"/>
    </row>
    <row r="106" spans="1:14" outlineLevel="2" x14ac:dyDescent="0.25">
      <c r="A106" s="84"/>
      <c r="B106" s="47" t="s">
        <v>1320</v>
      </c>
      <c r="C106" s="2" t="s">
        <v>12</v>
      </c>
      <c r="D106" s="2">
        <f>Д2!D92</f>
        <v>2</v>
      </c>
      <c r="E106" s="31"/>
      <c r="F106" s="362">
        <v>20377</v>
      </c>
      <c r="G106" s="2">
        <f t="shared" si="5"/>
        <v>0</v>
      </c>
      <c r="H106" s="2">
        <f t="shared" si="6"/>
        <v>40754</v>
      </c>
      <c r="I106" s="60">
        <f t="shared" si="9"/>
        <v>40754</v>
      </c>
      <c r="K106" s="161"/>
      <c r="L106" s="161"/>
      <c r="M106" s="161"/>
      <c r="N106" s="5"/>
    </row>
    <row r="107" spans="1:14" outlineLevel="2" x14ac:dyDescent="0.25">
      <c r="A107" s="84"/>
      <c r="B107" s="45" t="s">
        <v>480</v>
      </c>
      <c r="C107" s="41" t="s">
        <v>9</v>
      </c>
      <c r="D107" s="722">
        <f>Д2!D93+Ек!D97+Д!D89+Е!D90</f>
        <v>0.36610999999999999</v>
      </c>
      <c r="E107" s="43"/>
      <c r="F107" s="364">
        <v>40000</v>
      </c>
      <c r="G107" s="2">
        <f t="shared" si="5"/>
        <v>0</v>
      </c>
      <c r="H107" s="2">
        <f t="shared" si="6"/>
        <v>14644.4</v>
      </c>
      <c r="I107" s="11">
        <f t="shared" si="9"/>
        <v>14644.4</v>
      </c>
      <c r="K107" s="161"/>
      <c r="L107" s="161"/>
      <c r="M107" s="161"/>
      <c r="N107" s="5"/>
    </row>
    <row r="108" spans="1:14" outlineLevel="2" x14ac:dyDescent="0.25">
      <c r="A108" s="84"/>
      <c r="B108" s="45" t="s">
        <v>198</v>
      </c>
      <c r="C108" s="41" t="s">
        <v>9</v>
      </c>
      <c r="D108" s="42">
        <f>0.11/334.51*D89</f>
        <v>5.2097994080894439E-2</v>
      </c>
      <c r="E108" s="43"/>
      <c r="F108" s="364">
        <f>65*1.1*1000</f>
        <v>71500</v>
      </c>
      <c r="G108" s="2">
        <f t="shared" si="5"/>
        <v>0</v>
      </c>
      <c r="H108" s="2">
        <f t="shared" si="6"/>
        <v>3725.0065767839524</v>
      </c>
      <c r="I108" s="11">
        <f t="shared" si="9"/>
        <v>3725.0065767839524</v>
      </c>
      <c r="K108" s="161"/>
      <c r="L108" s="161"/>
      <c r="M108" s="161"/>
      <c r="N108" s="5"/>
    </row>
    <row r="109" spans="1:14" outlineLevel="2" x14ac:dyDescent="0.25">
      <c r="A109" s="107" t="s">
        <v>621</v>
      </c>
      <c r="B109" s="49" t="s">
        <v>788</v>
      </c>
      <c r="C109" s="203" t="s">
        <v>8</v>
      </c>
      <c r="D109" s="46">
        <f>Д2!D95+Ек!D99+Д!D91+Е!D92</f>
        <v>6.8599999999999994</v>
      </c>
      <c r="E109" s="353">
        <v>800</v>
      </c>
      <c r="F109" s="139"/>
      <c r="G109" s="2">
        <f t="shared" si="5"/>
        <v>5488</v>
      </c>
      <c r="H109" s="2">
        <f t="shared" si="6"/>
        <v>0</v>
      </c>
      <c r="I109" s="11">
        <f t="shared" si="9"/>
        <v>5488</v>
      </c>
      <c r="K109" s="161"/>
      <c r="L109" s="161"/>
      <c r="M109" s="161"/>
      <c r="N109" s="5"/>
    </row>
    <row r="110" spans="1:14" outlineLevel="2" x14ac:dyDescent="0.25">
      <c r="A110" s="84"/>
      <c r="B110" s="47" t="s">
        <v>366</v>
      </c>
      <c r="C110" s="41" t="s">
        <v>15</v>
      </c>
      <c r="D110" s="42">
        <f>Д2!D96+Ек!D100+Д!D92+Е!D93</f>
        <v>896.65</v>
      </c>
      <c r="E110" s="2"/>
      <c r="F110" s="364">
        <v>34</v>
      </c>
      <c r="G110" s="2">
        <f t="shared" si="5"/>
        <v>0</v>
      </c>
      <c r="H110" s="2">
        <f t="shared" si="6"/>
        <v>30486.1</v>
      </c>
      <c r="I110" s="11">
        <f t="shared" si="9"/>
        <v>30486.1</v>
      </c>
      <c r="K110" s="161"/>
      <c r="L110" s="161"/>
      <c r="M110" s="161"/>
      <c r="N110" s="5"/>
    </row>
    <row r="111" spans="1:14" outlineLevel="2" x14ac:dyDescent="0.25">
      <c r="A111" s="84"/>
      <c r="B111" s="47" t="s">
        <v>1530</v>
      </c>
      <c r="C111" s="41" t="s">
        <v>15</v>
      </c>
      <c r="D111" s="42">
        <f>Д2!D97+Ек!D101+Д!D93+Е!D94</f>
        <v>24.44</v>
      </c>
      <c r="E111" s="2"/>
      <c r="F111" s="364">
        <v>42</v>
      </c>
      <c r="G111" s="2">
        <f t="shared" si="5"/>
        <v>0</v>
      </c>
      <c r="H111" s="2">
        <f t="shared" si="6"/>
        <v>1026.48</v>
      </c>
      <c r="I111" s="11">
        <f t="shared" si="9"/>
        <v>1026.48</v>
      </c>
      <c r="K111" s="161"/>
      <c r="L111" s="161"/>
      <c r="M111" s="161"/>
      <c r="N111" s="5"/>
    </row>
    <row r="112" spans="1:14" outlineLevel="2" x14ac:dyDescent="0.25">
      <c r="A112" s="84"/>
      <c r="B112" s="47" t="s">
        <v>483</v>
      </c>
      <c r="C112" s="41" t="s">
        <v>8</v>
      </c>
      <c r="D112" s="42">
        <f>Д2!D98+Ек!D102+Д!D94+Е!D95</f>
        <v>6.9629000000000003</v>
      </c>
      <c r="E112" s="2"/>
      <c r="F112" s="664">
        <v>4200</v>
      </c>
      <c r="G112" s="2">
        <f t="shared" si="5"/>
        <v>0</v>
      </c>
      <c r="H112" s="2">
        <f t="shared" si="6"/>
        <v>29244.18</v>
      </c>
      <c r="I112" s="11">
        <f t="shared" si="9"/>
        <v>29244.18</v>
      </c>
      <c r="K112" s="161"/>
      <c r="L112" s="161"/>
      <c r="M112" s="161"/>
      <c r="N112" s="5"/>
    </row>
    <row r="113" spans="1:252" hidden="1" outlineLevel="1" x14ac:dyDescent="0.25">
      <c r="A113" s="84"/>
      <c r="B113" s="309"/>
      <c r="C113" s="2"/>
      <c r="D113" s="340"/>
      <c r="E113" s="2"/>
      <c r="F113" s="164"/>
      <c r="G113" s="2">
        <f t="shared" si="5"/>
        <v>0</v>
      </c>
      <c r="H113" s="2">
        <f t="shared" si="6"/>
        <v>0</v>
      </c>
      <c r="I113" s="60"/>
      <c r="K113" s="161"/>
      <c r="L113" s="161"/>
      <c r="M113" s="161"/>
      <c r="N113" s="5"/>
    </row>
    <row r="114" spans="1:252" s="6" customFormat="1" hidden="1" outlineLevel="1" x14ac:dyDescent="0.25">
      <c r="A114" s="269" t="s">
        <v>496</v>
      </c>
      <c r="B114" s="313" t="s">
        <v>27</v>
      </c>
      <c r="C114" s="31" t="s">
        <v>14</v>
      </c>
      <c r="D114" s="306">
        <v>0</v>
      </c>
      <c r="E114" s="256">
        <v>100</v>
      </c>
      <c r="F114" s="11"/>
      <c r="G114" s="2">
        <f t="shared" si="5"/>
        <v>0</v>
      </c>
      <c r="H114" s="2">
        <f t="shared" si="6"/>
        <v>0</v>
      </c>
      <c r="I114" s="11">
        <f t="shared" ref="I114:I119" si="10">G114+H114</f>
        <v>0</v>
      </c>
      <c r="K114" s="161"/>
      <c r="L114" s="161"/>
      <c r="M114" s="161"/>
      <c r="N114" s="5"/>
    </row>
    <row r="115" spans="1:252" ht="31.2" hidden="1" outlineLevel="1" x14ac:dyDescent="0.25">
      <c r="A115" s="86"/>
      <c r="B115" s="309" t="s">
        <v>28</v>
      </c>
      <c r="C115" s="2" t="s">
        <v>8</v>
      </c>
      <c r="D115" s="340">
        <f>ROUND(D114*0.1*1.03,2)</f>
        <v>0</v>
      </c>
      <c r="E115" s="2"/>
      <c r="F115" s="164">
        <v>4100</v>
      </c>
      <c r="G115" s="2">
        <f t="shared" si="5"/>
        <v>0</v>
      </c>
      <c r="H115" s="2">
        <f t="shared" si="6"/>
        <v>0</v>
      </c>
      <c r="I115" s="11">
        <f t="shared" si="10"/>
        <v>0</v>
      </c>
      <c r="K115" s="161"/>
      <c r="L115" s="161"/>
      <c r="M115" s="161"/>
      <c r="N115" s="5"/>
    </row>
    <row r="116" spans="1:252" s="36" customFormat="1" ht="36" hidden="1" customHeight="1" outlineLevel="1" x14ac:dyDescent="0.25">
      <c r="A116" s="261" t="s">
        <v>621</v>
      </c>
      <c r="B116" s="307" t="s">
        <v>209</v>
      </c>
      <c r="C116" s="31" t="s">
        <v>14</v>
      </c>
      <c r="D116" s="306">
        <v>0</v>
      </c>
      <c r="E116" s="256">
        <v>150</v>
      </c>
      <c r="F116" s="11"/>
      <c r="G116" s="2">
        <f t="shared" si="5"/>
        <v>0</v>
      </c>
      <c r="H116" s="2">
        <f t="shared" si="6"/>
        <v>0</v>
      </c>
      <c r="I116" s="11">
        <f t="shared" si="10"/>
        <v>0</v>
      </c>
      <c r="K116" s="161"/>
      <c r="L116" s="161"/>
      <c r="M116" s="161"/>
      <c r="N116" s="5"/>
    </row>
    <row r="117" spans="1:252" hidden="1" outlineLevel="1" x14ac:dyDescent="0.25">
      <c r="A117" s="84"/>
      <c r="B117" s="309" t="s">
        <v>65</v>
      </c>
      <c r="C117" s="2" t="s">
        <v>15</v>
      </c>
      <c r="D117" s="340">
        <f>2.5*D116</f>
        <v>0</v>
      </c>
      <c r="E117" s="2"/>
      <c r="F117" s="361">
        <v>55</v>
      </c>
      <c r="G117" s="2">
        <f t="shared" si="5"/>
        <v>0</v>
      </c>
      <c r="H117" s="2">
        <f t="shared" si="6"/>
        <v>0</v>
      </c>
      <c r="I117" s="11">
        <f t="shared" si="10"/>
        <v>0</v>
      </c>
      <c r="K117" s="161"/>
      <c r="L117" s="161"/>
      <c r="M117" s="161"/>
      <c r="N117" s="5"/>
    </row>
    <row r="118" spans="1:252" hidden="1" outlineLevel="1" x14ac:dyDescent="0.25">
      <c r="A118" s="84"/>
      <c r="B118" s="309" t="s">
        <v>68</v>
      </c>
      <c r="C118" s="2" t="s">
        <v>30</v>
      </c>
      <c r="D118" s="340">
        <f>0.35*D116</f>
        <v>0</v>
      </c>
      <c r="E118" s="2"/>
      <c r="F118" s="361">
        <v>44</v>
      </c>
      <c r="G118" s="2">
        <f t="shared" si="5"/>
        <v>0</v>
      </c>
      <c r="H118" s="2">
        <f t="shared" si="6"/>
        <v>0</v>
      </c>
      <c r="I118" s="11">
        <f t="shared" si="10"/>
        <v>0</v>
      </c>
      <c r="K118" s="161"/>
      <c r="L118" s="161"/>
      <c r="M118" s="161"/>
      <c r="N118" s="5"/>
    </row>
    <row r="119" spans="1:252" s="36" customFormat="1" outlineLevel="1" x14ac:dyDescent="0.25">
      <c r="A119" s="92"/>
      <c r="B119" s="750" t="s">
        <v>1547</v>
      </c>
      <c r="C119" s="744" t="s">
        <v>1548</v>
      </c>
      <c r="D119" s="745">
        <v>66</v>
      </c>
      <c r="E119" s="746">
        <v>1100</v>
      </c>
      <c r="F119" s="747"/>
      <c r="G119" s="2">
        <f t="shared" si="5"/>
        <v>72600</v>
      </c>
      <c r="H119" s="2">
        <f t="shared" si="6"/>
        <v>0</v>
      </c>
      <c r="I119" s="11">
        <f t="shared" si="10"/>
        <v>72600</v>
      </c>
      <c r="K119" s="162"/>
      <c r="L119" s="162"/>
      <c r="M119" s="162"/>
    </row>
    <row r="120" spans="1:252" s="36" customFormat="1" outlineLevel="1" x14ac:dyDescent="0.25">
      <c r="A120" s="92"/>
      <c r="B120" s="748" t="s">
        <v>1543</v>
      </c>
      <c r="C120" s="744"/>
      <c r="D120" s="745"/>
      <c r="E120" s="746"/>
      <c r="F120" s="747"/>
      <c r="G120" s="474">
        <f>SUM(G59:G119)</f>
        <v>179979.7</v>
      </c>
      <c r="H120" s="2">
        <f t="shared" si="6"/>
        <v>0</v>
      </c>
      <c r="I120" s="749">
        <f>G120</f>
        <v>179979.7</v>
      </c>
      <c r="K120" s="162"/>
      <c r="L120" s="162"/>
      <c r="M120" s="162"/>
    </row>
    <row r="121" spans="1:252" s="36" customFormat="1" outlineLevel="1" x14ac:dyDescent="0.25">
      <c r="A121" s="92"/>
      <c r="B121" s="748" t="s">
        <v>1546</v>
      </c>
      <c r="C121" s="744"/>
      <c r="D121" s="745"/>
      <c r="E121" s="746"/>
      <c r="F121" s="747"/>
      <c r="G121" s="474"/>
      <c r="H121" s="473">
        <f>SUM(H59:H118)</f>
        <v>2753917.8320767842</v>
      </c>
      <c r="I121" s="749">
        <f>H121</f>
        <v>2753917.8320767842</v>
      </c>
      <c r="K121" s="162"/>
      <c r="L121" s="162"/>
      <c r="M121" s="162"/>
    </row>
    <row r="122" spans="1:252" s="36" customFormat="1" outlineLevel="1" x14ac:dyDescent="0.25">
      <c r="A122" s="92"/>
      <c r="B122" s="748" t="s">
        <v>1544</v>
      </c>
      <c r="C122" s="744"/>
      <c r="D122" s="745"/>
      <c r="E122" s="746"/>
      <c r="F122" s="747"/>
      <c r="G122" s="474"/>
      <c r="H122" s="746"/>
      <c r="I122" s="749">
        <f>G122</f>
        <v>0</v>
      </c>
      <c r="K122" s="162"/>
      <c r="L122" s="162"/>
      <c r="M122" s="162"/>
    </row>
    <row r="123" spans="1:252" s="36" customFormat="1" outlineLevel="1" x14ac:dyDescent="0.25">
      <c r="A123" s="92"/>
      <c r="B123" s="748" t="s">
        <v>1545</v>
      </c>
      <c r="C123" s="744"/>
      <c r="D123" s="745"/>
      <c r="E123" s="746"/>
      <c r="F123" s="747"/>
      <c r="G123" s="474"/>
      <c r="H123" s="746"/>
      <c r="I123" s="749">
        <f>G123</f>
        <v>0</v>
      </c>
      <c r="K123" s="162"/>
      <c r="L123" s="162"/>
      <c r="M123" s="162"/>
    </row>
    <row r="124" spans="1:252" s="36" customFormat="1" ht="31.2" x14ac:dyDescent="0.25">
      <c r="A124" s="212"/>
      <c r="B124" s="213" t="s">
        <v>577</v>
      </c>
      <c r="C124" s="222"/>
      <c r="D124" s="215"/>
      <c r="E124" s="216"/>
      <c r="F124" s="217"/>
      <c r="G124" s="216">
        <f>G120+G122+G123</f>
        <v>179979.7</v>
      </c>
      <c r="H124" s="216">
        <f>H121</f>
        <v>2753917.8320767842</v>
      </c>
      <c r="I124" s="215">
        <f>I121+I122+I123+I120</f>
        <v>2933897.5320767844</v>
      </c>
      <c r="J124" s="691"/>
    </row>
    <row r="125" spans="1:252" s="39" customFormat="1" ht="18.600000000000001" customHeight="1" x14ac:dyDescent="0.25">
      <c r="A125" s="762"/>
      <c r="B125" s="58" t="s">
        <v>624</v>
      </c>
      <c r="C125" s="9"/>
      <c r="D125" s="31"/>
      <c r="E125" s="10"/>
      <c r="F125" s="57"/>
      <c r="G125" s="10"/>
      <c r="H125" s="10"/>
      <c r="I125" s="31">
        <f>ROUND(I124/1.18*0.18,2)</f>
        <v>447543.69</v>
      </c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  <c r="IK125" s="25"/>
      <c r="IL125" s="25"/>
      <c r="IM125" s="25"/>
      <c r="IN125" s="25"/>
      <c r="IO125" s="25"/>
      <c r="IP125" s="25"/>
      <c r="IQ125" s="25"/>
      <c r="IR125" s="25"/>
    </row>
    <row r="126" spans="1:252" ht="18.75" customHeight="1" x14ac:dyDescent="0.25">
      <c r="A126" s="104"/>
      <c r="B126" s="760" t="s">
        <v>789</v>
      </c>
      <c r="C126" s="105"/>
      <c r="D126" s="105"/>
      <c r="E126" s="105"/>
      <c r="F126" s="138"/>
      <c r="G126" s="105"/>
      <c r="H126" s="105"/>
      <c r="I126" s="106"/>
    </row>
    <row r="127" spans="1:252" ht="33.75" hidden="1" customHeight="1" x14ac:dyDescent="0.25">
      <c r="A127" s="107" t="s">
        <v>219</v>
      </c>
      <c r="B127" s="379" t="s">
        <v>1270</v>
      </c>
      <c r="C127" s="31" t="s">
        <v>8</v>
      </c>
      <c r="D127" s="166">
        <v>0</v>
      </c>
      <c r="E127" s="166">
        <v>1500</v>
      </c>
      <c r="F127" s="11"/>
      <c r="G127" s="2">
        <f>ROUND(E127*D127,2)</f>
        <v>0</v>
      </c>
      <c r="H127" s="2"/>
      <c r="I127" s="11">
        <f>G127+H127</f>
        <v>0</v>
      </c>
      <c r="J127" s="351"/>
      <c r="K127" s="351"/>
    </row>
    <row r="128" spans="1:252" ht="18" hidden="1" customHeight="1" x14ac:dyDescent="0.25">
      <c r="A128" s="332"/>
      <c r="B128" s="368" t="s">
        <v>790</v>
      </c>
      <c r="C128" s="2" t="s">
        <v>8</v>
      </c>
      <c r="D128" s="403">
        <f>D127*1.05</f>
        <v>0</v>
      </c>
      <c r="E128" s="2"/>
      <c r="F128" s="361">
        <v>11.7</v>
      </c>
      <c r="G128" s="2"/>
      <c r="H128" s="2">
        <f>ROUND(D128*F128,2)</f>
        <v>0</v>
      </c>
      <c r="I128" s="11">
        <f>G128+H128</f>
        <v>0</v>
      </c>
    </row>
    <row r="129" spans="1:11" ht="18.75" hidden="1" customHeight="1" x14ac:dyDescent="0.25">
      <c r="A129" s="332"/>
      <c r="B129" s="368" t="s">
        <v>791</v>
      </c>
      <c r="C129" s="2" t="s">
        <v>8</v>
      </c>
      <c r="D129" s="403">
        <f>ROUND(0.23*D127,2)</f>
        <v>0</v>
      </c>
      <c r="E129" s="2"/>
      <c r="F129" s="361">
        <v>2700</v>
      </c>
      <c r="G129" s="2"/>
      <c r="H129" s="2">
        <f>ROUND(D129*F129,2)</f>
        <v>0</v>
      </c>
      <c r="I129" s="11">
        <f>G129+H129</f>
        <v>0</v>
      </c>
    </row>
    <row r="130" spans="1:11" ht="17.25" hidden="1" customHeight="1" outlineLevel="1" x14ac:dyDescent="0.25">
      <c r="A130" s="84"/>
      <c r="B130" s="382" t="s">
        <v>869</v>
      </c>
      <c r="C130" s="2" t="s">
        <v>9</v>
      </c>
      <c r="D130" s="401">
        <v>0</v>
      </c>
      <c r="E130" s="31"/>
      <c r="F130" s="361">
        <v>42000</v>
      </c>
      <c r="G130" s="2"/>
      <c r="H130" s="2">
        <f>ROUND(D130*F130,2)</f>
        <v>0</v>
      </c>
      <c r="I130" s="11">
        <f t="shared" ref="I130:I187" si="11">G130+H130</f>
        <v>0</v>
      </c>
      <c r="K130" s="280"/>
    </row>
    <row r="131" spans="1:11" ht="17.25" hidden="1" customHeight="1" outlineLevel="1" x14ac:dyDescent="0.25">
      <c r="A131" s="84"/>
      <c r="B131" s="382" t="s">
        <v>870</v>
      </c>
      <c r="C131" s="2" t="s">
        <v>9</v>
      </c>
      <c r="D131" s="401">
        <v>0</v>
      </c>
      <c r="E131" s="31"/>
      <c r="F131" s="361">
        <v>42000</v>
      </c>
      <c r="G131" s="2"/>
      <c r="H131" s="2">
        <f>ROUND(D131*F131,2)</f>
        <v>0</v>
      </c>
      <c r="I131" s="11">
        <f t="shared" si="11"/>
        <v>0</v>
      </c>
      <c r="K131" s="280"/>
    </row>
    <row r="132" spans="1:11" ht="17.25" hidden="1" customHeight="1" outlineLevel="1" x14ac:dyDescent="0.25">
      <c r="A132" s="84"/>
      <c r="B132" s="382" t="s">
        <v>868</v>
      </c>
      <c r="C132" s="2" t="s">
        <v>9</v>
      </c>
      <c r="D132" s="401">
        <v>0</v>
      </c>
      <c r="E132" s="31"/>
      <c r="F132" s="361">
        <v>42000</v>
      </c>
      <c r="G132" s="2"/>
      <c r="H132" s="2">
        <f>ROUND(D132*F132,2)</f>
        <v>0</v>
      </c>
      <c r="I132" s="11">
        <f t="shared" si="11"/>
        <v>0</v>
      </c>
      <c r="K132" s="280"/>
    </row>
    <row r="133" spans="1:11" ht="32.25" customHeight="1" outlineLevel="2" x14ac:dyDescent="0.25">
      <c r="A133" s="107" t="s">
        <v>219</v>
      </c>
      <c r="B133" s="29" t="s">
        <v>1285</v>
      </c>
      <c r="C133" s="30" t="s">
        <v>8</v>
      </c>
      <c r="D133" s="31">
        <f>Д2!D108+Ек!D112+Д!D104+Е!D105</f>
        <v>1586.6671670000003</v>
      </c>
      <c r="E133" s="256">
        <v>1500</v>
      </c>
      <c r="F133" s="11"/>
      <c r="G133" s="2">
        <f>E133*D133</f>
        <v>2380000.7505000005</v>
      </c>
      <c r="H133" s="2"/>
      <c r="I133" s="11">
        <f>G133+H133</f>
        <v>2380000.7505000005</v>
      </c>
      <c r="J133" s="25">
        <f>1587*4.1</f>
        <v>6506.7</v>
      </c>
      <c r="K133" s="280"/>
    </row>
    <row r="134" spans="1:11" ht="17.25" customHeight="1" outlineLevel="2" x14ac:dyDescent="0.25">
      <c r="A134" s="84"/>
      <c r="B134" s="11" t="s">
        <v>796</v>
      </c>
      <c r="C134" s="2" t="s">
        <v>12</v>
      </c>
      <c r="D134" s="2">
        <f>D133*304</f>
        <v>482346.81876800011</v>
      </c>
      <c r="E134" s="158"/>
      <c r="F134" s="664">
        <v>8.8000000000000007</v>
      </c>
      <c r="G134" s="2">
        <f t="shared" ref="G134:G192" si="12">E134*D134</f>
        <v>0</v>
      </c>
      <c r="H134" s="2">
        <f>F134*D134</f>
        <v>4244652.0051584011</v>
      </c>
      <c r="I134" s="11">
        <f>G134+H134</f>
        <v>4244652.0051584011</v>
      </c>
      <c r="K134" s="280"/>
    </row>
    <row r="135" spans="1:11" ht="17.25" customHeight="1" outlineLevel="2" x14ac:dyDescent="0.25">
      <c r="A135" s="84"/>
      <c r="B135" s="11" t="s">
        <v>797</v>
      </c>
      <c r="C135" s="2" t="s">
        <v>8</v>
      </c>
      <c r="D135" s="2">
        <f>ROUND(0.23*D133,2)</f>
        <v>364.93</v>
      </c>
      <c r="E135" s="158"/>
      <c r="F135" s="361">
        <v>2600</v>
      </c>
      <c r="G135" s="2">
        <f t="shared" si="12"/>
        <v>0</v>
      </c>
      <c r="H135" s="2">
        <f t="shared" ref="H135:H193" si="13">F135*D135</f>
        <v>948818</v>
      </c>
      <c r="I135" s="11">
        <f>G135+H135</f>
        <v>948818</v>
      </c>
      <c r="K135" s="280"/>
    </row>
    <row r="136" spans="1:11" ht="17.25" customHeight="1" outlineLevel="2" x14ac:dyDescent="0.25">
      <c r="A136" s="84"/>
      <c r="B136" s="11" t="s">
        <v>862</v>
      </c>
      <c r="C136" s="2" t="s">
        <v>9</v>
      </c>
      <c r="D136" s="2">
        <v>7.5</v>
      </c>
      <c r="E136" s="158"/>
      <c r="F136" s="361">
        <v>62000</v>
      </c>
      <c r="G136" s="2">
        <f t="shared" si="12"/>
        <v>0</v>
      </c>
      <c r="H136" s="2">
        <f t="shared" si="13"/>
        <v>465000</v>
      </c>
      <c r="I136" s="11">
        <f>G136+H136</f>
        <v>465000</v>
      </c>
      <c r="K136" s="280"/>
    </row>
    <row r="137" spans="1:11" ht="18.75" customHeight="1" outlineLevel="2" x14ac:dyDescent="0.25">
      <c r="A137" s="107" t="s">
        <v>498</v>
      </c>
      <c r="B137" s="29" t="s">
        <v>963</v>
      </c>
      <c r="C137" s="30" t="s">
        <v>8</v>
      </c>
      <c r="D137" s="31">
        <f>кладка!N51</f>
        <v>179.6014725</v>
      </c>
      <c r="E137" s="256">
        <v>1500</v>
      </c>
      <c r="F137" s="11"/>
      <c r="G137" s="2">
        <f t="shared" si="12"/>
        <v>269402.20874999999</v>
      </c>
      <c r="H137" s="2">
        <f t="shared" si="13"/>
        <v>0</v>
      </c>
      <c r="I137" s="11">
        <f t="shared" si="11"/>
        <v>269402.20874999999</v>
      </c>
      <c r="K137" s="280"/>
    </row>
    <row r="138" spans="1:11" ht="33.75" customHeight="1" outlineLevel="2" x14ac:dyDescent="0.25">
      <c r="A138" s="84"/>
      <c r="B138" s="11" t="s">
        <v>793</v>
      </c>
      <c r="C138" s="2" t="s">
        <v>12</v>
      </c>
      <c r="D138" s="2">
        <f>D137*394</f>
        <v>70762.980165000001</v>
      </c>
      <c r="E138" s="158"/>
      <c r="F138" s="664">
        <v>11</v>
      </c>
      <c r="G138" s="2">
        <f t="shared" si="12"/>
        <v>0</v>
      </c>
      <c r="H138" s="2">
        <f t="shared" si="13"/>
        <v>778392.78181499999</v>
      </c>
      <c r="I138" s="11">
        <f t="shared" si="11"/>
        <v>778392.78181499999</v>
      </c>
      <c r="K138" s="280"/>
    </row>
    <row r="139" spans="1:11" ht="15" customHeight="1" outlineLevel="2" x14ac:dyDescent="0.25">
      <c r="A139" s="84"/>
      <c r="B139" s="11" t="s">
        <v>797</v>
      </c>
      <c r="C139" s="2" t="s">
        <v>8</v>
      </c>
      <c r="D139" s="2">
        <f>ROUND(0.23*D137,2)</f>
        <v>41.31</v>
      </c>
      <c r="E139" s="158"/>
      <c r="F139" s="361">
        <v>2600</v>
      </c>
      <c r="G139" s="2">
        <f t="shared" si="12"/>
        <v>0</v>
      </c>
      <c r="H139" s="2">
        <f t="shared" si="13"/>
        <v>107406</v>
      </c>
      <c r="I139" s="11">
        <f t="shared" si="11"/>
        <v>107406</v>
      </c>
      <c r="K139" s="280"/>
    </row>
    <row r="140" spans="1:11" ht="16.5" hidden="1" customHeight="1" outlineLevel="2" x14ac:dyDescent="0.25">
      <c r="A140" s="84"/>
      <c r="B140" s="11" t="s">
        <v>794</v>
      </c>
      <c r="C140" s="2" t="s">
        <v>8</v>
      </c>
      <c r="D140" s="2">
        <v>0</v>
      </c>
      <c r="E140" s="158"/>
      <c r="F140" s="664">
        <v>3196</v>
      </c>
      <c r="G140" s="2">
        <f t="shared" si="12"/>
        <v>0</v>
      </c>
      <c r="H140" s="2">
        <f t="shared" si="13"/>
        <v>0</v>
      </c>
      <c r="I140" s="11">
        <f t="shared" si="11"/>
        <v>0</v>
      </c>
      <c r="K140" s="280"/>
    </row>
    <row r="141" spans="1:11" ht="15" hidden="1" customHeight="1" outlineLevel="2" x14ac:dyDescent="0.25">
      <c r="A141" s="107" t="s">
        <v>501</v>
      </c>
      <c r="B141" s="29" t="s">
        <v>964</v>
      </c>
      <c r="C141" s="30" t="s">
        <v>8</v>
      </c>
      <c r="D141" s="31">
        <v>0</v>
      </c>
      <c r="E141" s="166">
        <v>1500</v>
      </c>
      <c r="F141" s="11"/>
      <c r="G141" s="2">
        <f t="shared" si="12"/>
        <v>0</v>
      </c>
      <c r="H141" s="2">
        <f t="shared" si="13"/>
        <v>0</v>
      </c>
      <c r="I141" s="11">
        <f t="shared" si="11"/>
        <v>0</v>
      </c>
      <c r="K141" s="280"/>
    </row>
    <row r="142" spans="1:11" ht="15" hidden="1" customHeight="1" outlineLevel="2" x14ac:dyDescent="0.25">
      <c r="A142" s="84"/>
      <c r="B142" s="11" t="s">
        <v>796</v>
      </c>
      <c r="C142" s="2" t="s">
        <v>12</v>
      </c>
      <c r="D142" s="2">
        <f>D141*400</f>
        <v>0</v>
      </c>
      <c r="E142" s="158"/>
      <c r="F142" s="361">
        <v>11.7</v>
      </c>
      <c r="G142" s="2">
        <f t="shared" si="12"/>
        <v>0</v>
      </c>
      <c r="H142" s="2">
        <f t="shared" si="13"/>
        <v>0</v>
      </c>
      <c r="I142" s="11">
        <f t="shared" si="11"/>
        <v>0</v>
      </c>
      <c r="K142" s="280"/>
    </row>
    <row r="143" spans="1:11" ht="15" hidden="1" customHeight="1" outlineLevel="2" x14ac:dyDescent="0.25">
      <c r="A143" s="84"/>
      <c r="B143" s="11" t="s">
        <v>756</v>
      </c>
      <c r="C143" s="2" t="s">
        <v>8</v>
      </c>
      <c r="D143" s="2">
        <f>ROUND(0.23*D141,2)</f>
        <v>0</v>
      </c>
      <c r="E143" s="158"/>
      <c r="F143" s="361">
        <v>2700</v>
      </c>
      <c r="G143" s="2">
        <f t="shared" si="12"/>
        <v>0</v>
      </c>
      <c r="H143" s="2">
        <f t="shared" si="13"/>
        <v>0</v>
      </c>
      <c r="I143" s="11">
        <f t="shared" si="11"/>
        <v>0</v>
      </c>
      <c r="K143" s="280"/>
    </row>
    <row r="144" spans="1:11" ht="18.899999999999999" hidden="1" customHeight="1" outlineLevel="2" x14ac:dyDescent="0.25">
      <c r="A144" s="107" t="s">
        <v>502</v>
      </c>
      <c r="B144" s="29" t="s">
        <v>795</v>
      </c>
      <c r="C144" s="30" t="s">
        <v>8</v>
      </c>
      <c r="D144" s="31">
        <v>0</v>
      </c>
      <c r="E144" s="166">
        <v>1500</v>
      </c>
      <c r="F144" s="11"/>
      <c r="G144" s="2">
        <f t="shared" si="12"/>
        <v>0</v>
      </c>
      <c r="H144" s="2">
        <f t="shared" si="13"/>
        <v>0</v>
      </c>
      <c r="I144" s="11">
        <f t="shared" si="11"/>
        <v>0</v>
      </c>
      <c r="K144" s="280"/>
    </row>
    <row r="145" spans="1:12" ht="15.75" hidden="1" customHeight="1" outlineLevel="2" x14ac:dyDescent="0.25">
      <c r="A145" s="84"/>
      <c r="B145" s="11" t="s">
        <v>796</v>
      </c>
      <c r="C145" s="2" t="s">
        <v>12</v>
      </c>
      <c r="D145" s="2">
        <f>D144*400</f>
        <v>0</v>
      </c>
      <c r="E145" s="158"/>
      <c r="F145" s="361">
        <v>11.7</v>
      </c>
      <c r="G145" s="2">
        <f t="shared" si="12"/>
        <v>0</v>
      </c>
      <c r="H145" s="2">
        <f t="shared" si="13"/>
        <v>0</v>
      </c>
      <c r="I145" s="11">
        <f t="shared" si="11"/>
        <v>0</v>
      </c>
      <c r="K145" s="280"/>
    </row>
    <row r="146" spans="1:12" ht="15" hidden="1" customHeight="1" outlineLevel="2" x14ac:dyDescent="0.25">
      <c r="A146" s="84"/>
      <c r="B146" s="11" t="s">
        <v>756</v>
      </c>
      <c r="C146" s="2" t="s">
        <v>8</v>
      </c>
      <c r="D146" s="2">
        <f>ROUND(0.23*D144,2)</f>
        <v>0</v>
      </c>
      <c r="E146" s="158"/>
      <c r="F146" s="361">
        <v>2700</v>
      </c>
      <c r="G146" s="2">
        <f t="shared" si="12"/>
        <v>0</v>
      </c>
      <c r="H146" s="2">
        <f t="shared" si="13"/>
        <v>0</v>
      </c>
      <c r="I146" s="11">
        <f t="shared" si="11"/>
        <v>0</v>
      </c>
      <c r="K146" s="280"/>
    </row>
    <row r="147" spans="1:12" ht="31.2" outlineLevel="2" x14ac:dyDescent="0.25">
      <c r="A147" s="107" t="s">
        <v>499</v>
      </c>
      <c r="B147" s="29" t="s">
        <v>798</v>
      </c>
      <c r="C147" s="30" t="s">
        <v>8</v>
      </c>
      <c r="D147" s="31">
        <f>Д2!D122+Ек!D126+Д!D117+Е!D119</f>
        <v>70.625047999999964</v>
      </c>
      <c r="E147" s="256">
        <v>1500</v>
      </c>
      <c r="F147" s="11"/>
      <c r="G147" s="2">
        <f t="shared" si="12"/>
        <v>105937.57199999994</v>
      </c>
      <c r="H147" s="2">
        <f t="shared" si="13"/>
        <v>0</v>
      </c>
      <c r="I147" s="11">
        <f t="shared" si="11"/>
        <v>105937.57199999994</v>
      </c>
      <c r="K147" s="5"/>
      <c r="L147" s="132"/>
    </row>
    <row r="148" spans="1:12" s="17" customFormat="1" ht="31.2" outlineLevel="2" x14ac:dyDescent="0.25">
      <c r="A148" s="86"/>
      <c r="B148" s="11" t="s">
        <v>799</v>
      </c>
      <c r="C148" s="2" t="s">
        <v>12</v>
      </c>
      <c r="D148" s="2">
        <f>D147*394</f>
        <v>27826.268911999985</v>
      </c>
      <c r="E148" s="2"/>
      <c r="F148" s="664">
        <v>11</v>
      </c>
      <c r="G148" s="2">
        <f t="shared" si="12"/>
        <v>0</v>
      </c>
      <c r="H148" s="2">
        <f t="shared" si="13"/>
        <v>306088.95803199982</v>
      </c>
      <c r="I148" s="11">
        <f t="shared" si="11"/>
        <v>306088.95803199982</v>
      </c>
    </row>
    <row r="149" spans="1:12" s="6" customFormat="1" outlineLevel="2" x14ac:dyDescent="0.25">
      <c r="A149" s="88"/>
      <c r="B149" s="11" t="s">
        <v>800</v>
      </c>
      <c r="C149" s="2" t="s">
        <v>8</v>
      </c>
      <c r="D149" s="2">
        <f>ROUND(0.23*D147,2)</f>
        <v>16.239999999999998</v>
      </c>
      <c r="E149" s="2"/>
      <c r="F149" s="361">
        <v>2500</v>
      </c>
      <c r="G149" s="2">
        <f t="shared" si="12"/>
        <v>0</v>
      </c>
      <c r="H149" s="2">
        <f t="shared" si="13"/>
        <v>40599.999999999993</v>
      </c>
      <c r="I149" s="11">
        <f t="shared" si="11"/>
        <v>40599.999999999993</v>
      </c>
      <c r="J149" s="693"/>
    </row>
    <row r="150" spans="1:12" s="6" customFormat="1" outlineLevel="2" x14ac:dyDescent="0.25">
      <c r="A150" s="83"/>
      <c r="B150" s="11" t="s">
        <v>1560</v>
      </c>
      <c r="C150" s="2" t="s">
        <v>8</v>
      </c>
      <c r="D150" s="2">
        <f>Д2!D125+Ек!D129+Д!D120+Е!D122</f>
        <v>69.262199999999964</v>
      </c>
      <c r="E150" s="2"/>
      <c r="F150" s="664">
        <v>3196</v>
      </c>
      <c r="G150" s="2">
        <f t="shared" si="12"/>
        <v>0</v>
      </c>
      <c r="H150" s="2">
        <f t="shared" si="13"/>
        <v>221361.99119999987</v>
      </c>
      <c r="I150" s="11">
        <f t="shared" si="11"/>
        <v>221361.99119999987</v>
      </c>
      <c r="J150" s="693"/>
    </row>
    <row r="151" spans="1:12" s="6" customFormat="1" outlineLevel="2" x14ac:dyDescent="0.25">
      <c r="A151" s="107" t="s">
        <v>500</v>
      </c>
      <c r="B151" s="205" t="s">
        <v>16</v>
      </c>
      <c r="C151" s="31" t="s">
        <v>12</v>
      </c>
      <c r="D151" s="160">
        <f>SUM(D152:D168)</f>
        <v>561</v>
      </c>
      <c r="E151" s="256"/>
      <c r="F151" s="11"/>
      <c r="G151" s="2">
        <f t="shared" si="12"/>
        <v>0</v>
      </c>
      <c r="H151" s="2">
        <f t="shared" si="13"/>
        <v>0</v>
      </c>
      <c r="I151" s="11">
        <f t="shared" si="11"/>
        <v>0</v>
      </c>
      <c r="J151" s="693"/>
    </row>
    <row r="152" spans="1:12" s="6" customFormat="1" outlineLevel="2" x14ac:dyDescent="0.25">
      <c r="A152" s="83"/>
      <c r="B152" s="33" t="s">
        <v>855</v>
      </c>
      <c r="C152" s="2" t="s">
        <v>12</v>
      </c>
      <c r="D152" s="64">
        <f>Д2!D127+Ек!D131+Д!D122+Е!D124</f>
        <v>116</v>
      </c>
      <c r="E152" s="2"/>
      <c r="F152" s="664">
        <v>2147</v>
      </c>
      <c r="G152" s="2">
        <f t="shared" si="12"/>
        <v>0</v>
      </c>
      <c r="H152" s="2">
        <f t="shared" si="13"/>
        <v>249052</v>
      </c>
      <c r="I152" s="11">
        <f t="shared" si="11"/>
        <v>249052</v>
      </c>
      <c r="J152" s="693"/>
    </row>
    <row r="153" spans="1:12" s="6" customFormat="1" outlineLevel="2" x14ac:dyDescent="0.25">
      <c r="A153" s="83"/>
      <c r="B153" s="33" t="s">
        <v>857</v>
      </c>
      <c r="C153" s="2" t="s">
        <v>12</v>
      </c>
      <c r="D153" s="64">
        <f>Д2!D128+Ек!D132+Е!D125</f>
        <v>30</v>
      </c>
      <c r="E153" s="2"/>
      <c r="F153" s="664">
        <v>1415</v>
      </c>
      <c r="G153" s="2">
        <f t="shared" si="12"/>
        <v>0</v>
      </c>
      <c r="H153" s="2">
        <f t="shared" si="13"/>
        <v>42450</v>
      </c>
      <c r="I153" s="11">
        <f t="shared" si="11"/>
        <v>42450</v>
      </c>
      <c r="J153" s="693"/>
    </row>
    <row r="154" spans="1:12" s="6" customFormat="1" outlineLevel="2" x14ac:dyDescent="0.25">
      <c r="A154" s="83"/>
      <c r="B154" s="33" t="s">
        <v>871</v>
      </c>
      <c r="C154" s="2" t="s">
        <v>12</v>
      </c>
      <c r="D154" s="64">
        <f>Ек!D133+Д!D123+Е!D126</f>
        <v>43</v>
      </c>
      <c r="E154" s="2"/>
      <c r="F154" s="164">
        <v>2500</v>
      </c>
      <c r="G154" s="2">
        <f t="shared" si="12"/>
        <v>0</v>
      </c>
      <c r="H154" s="2">
        <f t="shared" si="13"/>
        <v>107500</v>
      </c>
      <c r="I154" s="11">
        <f t="shared" si="11"/>
        <v>107500</v>
      </c>
      <c r="J154" s="693"/>
    </row>
    <row r="155" spans="1:12" s="6" customFormat="1" outlineLevel="2" x14ac:dyDescent="0.25">
      <c r="A155" s="83"/>
      <c r="B155" s="33" t="s">
        <v>858</v>
      </c>
      <c r="C155" s="2" t="s">
        <v>12</v>
      </c>
      <c r="D155" s="64">
        <f>Ек!D134+Е!D127</f>
        <v>11</v>
      </c>
      <c r="E155" s="2"/>
      <c r="F155" s="164">
        <v>1900</v>
      </c>
      <c r="G155" s="2">
        <f t="shared" si="12"/>
        <v>0</v>
      </c>
      <c r="H155" s="2">
        <f t="shared" si="13"/>
        <v>20900</v>
      </c>
      <c r="I155" s="11">
        <f t="shared" si="11"/>
        <v>20900</v>
      </c>
      <c r="J155" s="693"/>
    </row>
    <row r="156" spans="1:12" s="6" customFormat="1" outlineLevel="2" x14ac:dyDescent="0.25">
      <c r="A156" s="83"/>
      <c r="B156" s="33" t="s">
        <v>859</v>
      </c>
      <c r="C156" s="2" t="s">
        <v>12</v>
      </c>
      <c r="D156" s="64">
        <f>Д2!D129+Ек!D135</f>
        <v>18</v>
      </c>
      <c r="E156" s="2"/>
      <c r="F156" s="664">
        <v>1317</v>
      </c>
      <c r="G156" s="2">
        <f t="shared" si="12"/>
        <v>0</v>
      </c>
      <c r="H156" s="2">
        <f t="shared" si="13"/>
        <v>23706</v>
      </c>
      <c r="I156" s="11">
        <f t="shared" si="11"/>
        <v>23706</v>
      </c>
      <c r="J156" s="693"/>
    </row>
    <row r="157" spans="1:12" s="6" customFormat="1" outlineLevel="2" x14ac:dyDescent="0.25">
      <c r="A157" s="83"/>
      <c r="B157" s="11" t="s">
        <v>872</v>
      </c>
      <c r="C157" s="2" t="s">
        <v>12</v>
      </c>
      <c r="D157" s="42">
        <f>Д2!D130+Ек!D136+Д!D124+Е!D128</f>
        <v>177</v>
      </c>
      <c r="E157" s="2"/>
      <c r="F157" s="664">
        <v>495</v>
      </c>
      <c r="G157" s="2">
        <f t="shared" si="12"/>
        <v>0</v>
      </c>
      <c r="H157" s="2">
        <f t="shared" si="13"/>
        <v>87615</v>
      </c>
      <c r="I157" s="11">
        <f t="shared" si="11"/>
        <v>87615</v>
      </c>
      <c r="J157" s="693"/>
    </row>
    <row r="158" spans="1:12" s="6" customFormat="1" outlineLevel="2" x14ac:dyDescent="0.25">
      <c r="A158" s="83"/>
      <c r="B158" s="11" t="s">
        <v>754</v>
      </c>
      <c r="C158" s="2" t="s">
        <v>12</v>
      </c>
      <c r="D158" s="42">
        <f>Д!D126</f>
        <v>2</v>
      </c>
      <c r="E158" s="2"/>
      <c r="F158" s="164">
        <v>300</v>
      </c>
      <c r="G158" s="2">
        <f t="shared" si="12"/>
        <v>0</v>
      </c>
      <c r="H158" s="2">
        <f t="shared" si="13"/>
        <v>600</v>
      </c>
      <c r="I158" s="11">
        <f>G158+H158</f>
        <v>600</v>
      </c>
      <c r="J158" s="693"/>
    </row>
    <row r="159" spans="1:12" s="6" customFormat="1" outlineLevel="2" x14ac:dyDescent="0.25">
      <c r="A159" s="83"/>
      <c r="B159" s="11" t="s">
        <v>873</v>
      </c>
      <c r="C159" s="2" t="s">
        <v>12</v>
      </c>
      <c r="D159" s="42">
        <f>Д2!D131+Д!D125</f>
        <v>10</v>
      </c>
      <c r="E159" s="2"/>
      <c r="F159" s="664">
        <v>310</v>
      </c>
      <c r="G159" s="2">
        <f t="shared" si="12"/>
        <v>0</v>
      </c>
      <c r="H159" s="2">
        <f t="shared" si="13"/>
        <v>3100</v>
      </c>
      <c r="I159" s="11">
        <f t="shared" si="11"/>
        <v>3100</v>
      </c>
      <c r="J159" s="693"/>
    </row>
    <row r="160" spans="1:12" s="6" customFormat="1" outlineLevel="2" x14ac:dyDescent="0.25">
      <c r="A160" s="83"/>
      <c r="B160" s="11" t="s">
        <v>1394</v>
      </c>
      <c r="C160" s="2" t="s">
        <v>12</v>
      </c>
      <c r="D160" s="42">
        <f>Ек!D137</f>
        <v>2</v>
      </c>
      <c r="E160" s="2"/>
      <c r="F160" s="164">
        <v>280</v>
      </c>
      <c r="G160" s="2">
        <f t="shared" si="12"/>
        <v>0</v>
      </c>
      <c r="H160" s="2">
        <f t="shared" si="13"/>
        <v>560</v>
      </c>
      <c r="I160" s="11">
        <f t="shared" si="11"/>
        <v>560</v>
      </c>
      <c r="J160" s="693"/>
    </row>
    <row r="161" spans="1:11" s="6" customFormat="1" outlineLevel="2" x14ac:dyDescent="0.25">
      <c r="A161" s="83"/>
      <c r="B161" s="45" t="s">
        <v>876</v>
      </c>
      <c r="C161" s="2" t="s">
        <v>12</v>
      </c>
      <c r="D161" s="42">
        <f>Д2!D132+Ек!D138+Е!D129</f>
        <v>56</v>
      </c>
      <c r="E161" s="2"/>
      <c r="F161" s="664">
        <v>631</v>
      </c>
      <c r="G161" s="2">
        <f t="shared" si="12"/>
        <v>0</v>
      </c>
      <c r="H161" s="2">
        <f t="shared" si="13"/>
        <v>35336</v>
      </c>
      <c r="I161" s="11">
        <f t="shared" si="11"/>
        <v>35336</v>
      </c>
      <c r="J161" s="693"/>
    </row>
    <row r="162" spans="1:11" s="6" customFormat="1" outlineLevel="2" x14ac:dyDescent="0.25">
      <c r="A162" s="83"/>
      <c r="B162" s="45" t="s">
        <v>361</v>
      </c>
      <c r="C162" s="2" t="s">
        <v>12</v>
      </c>
      <c r="D162" s="42">
        <f>Ек!D139</f>
        <v>4</v>
      </c>
      <c r="E162" s="2"/>
      <c r="F162" s="164">
        <v>300</v>
      </c>
      <c r="G162" s="2">
        <f t="shared" si="12"/>
        <v>0</v>
      </c>
      <c r="H162" s="2">
        <f t="shared" si="13"/>
        <v>1200</v>
      </c>
      <c r="I162" s="11">
        <f t="shared" si="11"/>
        <v>1200</v>
      </c>
      <c r="J162" s="693"/>
    </row>
    <row r="163" spans="1:11" s="6" customFormat="1" outlineLevel="2" x14ac:dyDescent="0.25">
      <c r="A163" s="83"/>
      <c r="B163" s="45" t="s">
        <v>880</v>
      </c>
      <c r="C163" s="2" t="s">
        <v>12</v>
      </c>
      <c r="D163" s="42">
        <f>Д2!D133+Ек!D140+Д!D127+Е!D131</f>
        <v>34</v>
      </c>
      <c r="E163" s="2"/>
      <c r="F163" s="664">
        <v>386</v>
      </c>
      <c r="G163" s="2">
        <f t="shared" si="12"/>
        <v>0</v>
      </c>
      <c r="H163" s="2">
        <f t="shared" si="13"/>
        <v>13124</v>
      </c>
      <c r="I163" s="11">
        <f t="shared" si="11"/>
        <v>13124</v>
      </c>
      <c r="J163" s="693"/>
    </row>
    <row r="164" spans="1:11" s="6" customFormat="1" outlineLevel="2" x14ac:dyDescent="0.25">
      <c r="A164" s="83"/>
      <c r="B164" s="45" t="s">
        <v>1395</v>
      </c>
      <c r="C164" s="2" t="s">
        <v>12</v>
      </c>
      <c r="D164" s="42">
        <f>Ек!D141</f>
        <v>2</v>
      </c>
      <c r="E164" s="2"/>
      <c r="F164" s="164">
        <v>800</v>
      </c>
      <c r="G164" s="2">
        <f t="shared" si="12"/>
        <v>0</v>
      </c>
      <c r="H164" s="2">
        <f t="shared" si="13"/>
        <v>1600</v>
      </c>
      <c r="I164" s="11">
        <f t="shared" si="11"/>
        <v>1600</v>
      </c>
      <c r="J164" s="693"/>
    </row>
    <row r="165" spans="1:11" s="6" customFormat="1" outlineLevel="2" x14ac:dyDescent="0.25">
      <c r="A165" s="83"/>
      <c r="B165" s="45" t="s">
        <v>1396</v>
      </c>
      <c r="C165" s="2" t="s">
        <v>12</v>
      </c>
      <c r="D165" s="42">
        <f>Ек!D142+Е!D130</f>
        <v>10</v>
      </c>
      <c r="E165" s="2"/>
      <c r="F165" s="164">
        <v>2000</v>
      </c>
      <c r="G165" s="2">
        <f t="shared" si="12"/>
        <v>0</v>
      </c>
      <c r="H165" s="2">
        <f t="shared" si="13"/>
        <v>20000</v>
      </c>
      <c r="I165" s="11">
        <f>G165+H165</f>
        <v>20000</v>
      </c>
      <c r="J165" s="693"/>
    </row>
    <row r="166" spans="1:11" s="6" customFormat="1" outlineLevel="2" x14ac:dyDescent="0.25">
      <c r="A166" s="83"/>
      <c r="B166" s="45" t="s">
        <v>1355</v>
      </c>
      <c r="C166" s="2" t="s">
        <v>12</v>
      </c>
      <c r="D166" s="42">
        <f>Ек!D143+Е!D132</f>
        <v>6</v>
      </c>
      <c r="E166" s="2"/>
      <c r="F166" s="164">
        <v>1000</v>
      </c>
      <c r="G166" s="2">
        <f t="shared" si="12"/>
        <v>0</v>
      </c>
      <c r="H166" s="2">
        <f t="shared" si="13"/>
        <v>6000</v>
      </c>
      <c r="I166" s="11">
        <f>G166+H166</f>
        <v>6000</v>
      </c>
      <c r="J166" s="693"/>
    </row>
    <row r="167" spans="1:11" s="6" customFormat="1" outlineLevel="2" x14ac:dyDescent="0.25">
      <c r="A167" s="83"/>
      <c r="B167" s="45" t="s">
        <v>861</v>
      </c>
      <c r="C167" s="2" t="s">
        <v>12</v>
      </c>
      <c r="D167" s="42">
        <f>Д2!D134+Д!D128</f>
        <v>4</v>
      </c>
      <c r="E167" s="2"/>
      <c r="F167" s="664">
        <v>2139</v>
      </c>
      <c r="G167" s="2">
        <f t="shared" si="12"/>
        <v>0</v>
      </c>
      <c r="H167" s="2">
        <f t="shared" si="13"/>
        <v>8556</v>
      </c>
      <c r="I167" s="11">
        <f t="shared" si="11"/>
        <v>8556</v>
      </c>
      <c r="J167" s="693"/>
    </row>
    <row r="168" spans="1:11" s="6" customFormat="1" outlineLevel="2" x14ac:dyDescent="0.25">
      <c r="A168" s="83"/>
      <c r="B168" s="45" t="s">
        <v>882</v>
      </c>
      <c r="C168" s="41" t="s">
        <v>12</v>
      </c>
      <c r="D168" s="42">
        <f>Д2!D135+Ек!D144+Д!D129+Е!D133</f>
        <v>36</v>
      </c>
      <c r="E168" s="2"/>
      <c r="F168" s="361">
        <v>454</v>
      </c>
      <c r="G168" s="2">
        <f t="shared" si="12"/>
        <v>0</v>
      </c>
      <c r="H168" s="2">
        <f t="shared" si="13"/>
        <v>16344</v>
      </c>
      <c r="I168" s="11">
        <f t="shared" si="11"/>
        <v>16344</v>
      </c>
      <c r="J168" s="693"/>
    </row>
    <row r="169" spans="1:11" s="6" customFormat="1" outlineLevel="2" x14ac:dyDescent="0.25">
      <c r="A169" s="83"/>
      <c r="B169" s="45" t="s">
        <v>875</v>
      </c>
      <c r="C169" s="41" t="s">
        <v>15</v>
      </c>
      <c r="D169" s="42">
        <f>Д2!D136+Ек!D145+Д!D130+Е!D134</f>
        <v>856.06</v>
      </c>
      <c r="E169" s="2"/>
      <c r="F169" s="364">
        <v>36</v>
      </c>
      <c r="G169" s="2">
        <f t="shared" si="12"/>
        <v>0</v>
      </c>
      <c r="H169" s="2">
        <f t="shared" si="13"/>
        <v>30818.159999999996</v>
      </c>
      <c r="I169" s="11">
        <f t="shared" si="11"/>
        <v>30818.159999999996</v>
      </c>
      <c r="J169" s="693"/>
    </row>
    <row r="170" spans="1:11" s="6" customFormat="1" outlineLevel="2" x14ac:dyDescent="0.25">
      <c r="A170" s="83"/>
      <c r="B170" s="45" t="s">
        <v>368</v>
      </c>
      <c r="C170" s="41" t="s">
        <v>15</v>
      </c>
      <c r="D170" s="50">
        <f>Д2!D137+Д2!D138+Ек!D146+Ек!D147+Ек!D148+Д!D131+Д!D132+Е!D135+Е!D136</f>
        <v>134.74</v>
      </c>
      <c r="E170" s="351"/>
      <c r="F170" s="364">
        <v>33</v>
      </c>
      <c r="G170" s="2">
        <f t="shared" si="12"/>
        <v>0</v>
      </c>
      <c r="H170" s="2">
        <f t="shared" si="13"/>
        <v>4446.42</v>
      </c>
      <c r="I170" s="11">
        <f>G170+H170</f>
        <v>4446.42</v>
      </c>
      <c r="J170" s="693"/>
      <c r="K170" s="5"/>
    </row>
    <row r="171" spans="1:11" s="6" customFormat="1" outlineLevel="2" x14ac:dyDescent="0.25">
      <c r="A171" s="76"/>
      <c r="B171" s="45" t="s">
        <v>1520</v>
      </c>
      <c r="C171" s="41" t="s">
        <v>15</v>
      </c>
      <c r="D171" s="42">
        <f>Д2!D139+Ек!D149+Д!D133+Е!D137</f>
        <v>1140.3499999999999</v>
      </c>
      <c r="E171" s="2"/>
      <c r="F171" s="364">
        <v>33</v>
      </c>
      <c r="G171" s="2">
        <f t="shared" si="12"/>
        <v>0</v>
      </c>
      <c r="H171" s="2">
        <f t="shared" si="13"/>
        <v>37631.549999999996</v>
      </c>
      <c r="I171" s="11">
        <f t="shared" si="11"/>
        <v>37631.549999999996</v>
      </c>
      <c r="J171" s="693"/>
      <c r="K171" s="5"/>
    </row>
    <row r="172" spans="1:11" s="6" customFormat="1" outlineLevel="2" x14ac:dyDescent="0.25">
      <c r="A172" s="107" t="s">
        <v>501</v>
      </c>
      <c r="B172" s="29" t="s">
        <v>965</v>
      </c>
      <c r="C172" s="30" t="s">
        <v>8</v>
      </c>
      <c r="D172" s="31">
        <f>Д2!D140+Ек!D150+Д!D134+Е!D138</f>
        <v>197.4</v>
      </c>
      <c r="E172" s="256">
        <v>1500</v>
      </c>
      <c r="F172" s="11"/>
      <c r="G172" s="2">
        <f t="shared" si="12"/>
        <v>296100</v>
      </c>
      <c r="H172" s="2">
        <f t="shared" si="13"/>
        <v>0</v>
      </c>
      <c r="I172" s="11">
        <f t="shared" si="11"/>
        <v>296100</v>
      </c>
      <c r="J172" s="693"/>
      <c r="K172" s="5"/>
    </row>
    <row r="173" spans="1:11" s="6" customFormat="1" outlineLevel="2" x14ac:dyDescent="0.25">
      <c r="A173" s="76"/>
      <c r="B173" s="11" t="s">
        <v>966</v>
      </c>
      <c r="C173" s="2" t="s">
        <v>8</v>
      </c>
      <c r="D173" s="64">
        <f>D172*1.05</f>
        <v>207.27</v>
      </c>
      <c r="E173" s="2"/>
      <c r="F173" s="361">
        <v>3450</v>
      </c>
      <c r="G173" s="2">
        <f t="shared" si="12"/>
        <v>0</v>
      </c>
      <c r="H173" s="2">
        <f t="shared" si="13"/>
        <v>715081.5</v>
      </c>
      <c r="I173" s="11">
        <f t="shared" si="11"/>
        <v>715081.5</v>
      </c>
      <c r="J173" s="693"/>
      <c r="K173" s="5"/>
    </row>
    <row r="174" spans="1:11" s="6" customFormat="1" outlineLevel="2" x14ac:dyDescent="0.25">
      <c r="A174" s="76"/>
      <c r="B174" s="11" t="s">
        <v>756</v>
      </c>
      <c r="C174" s="2" t="s">
        <v>8</v>
      </c>
      <c r="D174" s="2">
        <f>ROUND(0.23*D172,2)</f>
        <v>45.4</v>
      </c>
      <c r="E174" s="2"/>
      <c r="F174" s="361">
        <v>2500</v>
      </c>
      <c r="G174" s="2">
        <f t="shared" si="12"/>
        <v>0</v>
      </c>
      <c r="H174" s="2">
        <f t="shared" si="13"/>
        <v>113500</v>
      </c>
      <c r="I174" s="11">
        <f t="shared" si="11"/>
        <v>113500</v>
      </c>
      <c r="J174" s="693"/>
      <c r="K174" s="5"/>
    </row>
    <row r="175" spans="1:11" s="6" customFormat="1" ht="32.25" customHeight="1" outlineLevel="2" x14ac:dyDescent="0.25">
      <c r="A175" s="107" t="s">
        <v>502</v>
      </c>
      <c r="B175" s="29" t="s">
        <v>645</v>
      </c>
      <c r="C175" s="174" t="s">
        <v>14</v>
      </c>
      <c r="D175" s="31">
        <f>Д2!D143+Ек!D153+Д!D137+Е!D141</f>
        <v>1501</v>
      </c>
      <c r="E175" s="256">
        <v>300</v>
      </c>
      <c r="F175" s="11"/>
      <c r="G175" s="2">
        <f t="shared" si="12"/>
        <v>450300</v>
      </c>
      <c r="H175" s="2">
        <f t="shared" si="13"/>
        <v>0</v>
      </c>
      <c r="I175" s="11">
        <f t="shared" si="11"/>
        <v>450300</v>
      </c>
      <c r="J175" s="693"/>
      <c r="K175" s="5"/>
    </row>
    <row r="176" spans="1:11" s="6" customFormat="1" ht="31.2" outlineLevel="2" x14ac:dyDescent="0.25">
      <c r="A176" s="76"/>
      <c r="B176" s="11" t="s">
        <v>968</v>
      </c>
      <c r="C176" s="2" t="s">
        <v>12</v>
      </c>
      <c r="D176" s="2">
        <f>D175*3</f>
        <v>4503</v>
      </c>
      <c r="E176" s="2"/>
      <c r="F176" s="664">
        <v>129</v>
      </c>
      <c r="G176" s="2">
        <f t="shared" si="12"/>
        <v>0</v>
      </c>
      <c r="H176" s="2">
        <f t="shared" si="13"/>
        <v>580887</v>
      </c>
      <c r="I176" s="11">
        <f t="shared" si="11"/>
        <v>580887</v>
      </c>
      <c r="J176" s="693"/>
      <c r="K176" s="5"/>
    </row>
    <row r="177" spans="1:13" s="6" customFormat="1" outlineLevel="2" x14ac:dyDescent="0.25">
      <c r="A177" s="76"/>
      <c r="B177" s="11" t="s">
        <v>642</v>
      </c>
      <c r="C177" s="2" t="s">
        <v>12</v>
      </c>
      <c r="D177" s="2">
        <f>D175*0.75</f>
        <v>1125.75</v>
      </c>
      <c r="E177" s="2"/>
      <c r="F177" s="164">
        <v>2.79</v>
      </c>
      <c r="G177" s="2">
        <f t="shared" si="12"/>
        <v>0</v>
      </c>
      <c r="H177" s="2">
        <f t="shared" si="13"/>
        <v>3140.8425000000002</v>
      </c>
      <c r="I177" s="11">
        <f t="shared" si="11"/>
        <v>3140.8425000000002</v>
      </c>
      <c r="J177" s="693"/>
      <c r="K177" s="5"/>
    </row>
    <row r="178" spans="1:13" s="6" customFormat="1" ht="15.75" customHeight="1" outlineLevel="2" x14ac:dyDescent="0.25">
      <c r="A178" s="76"/>
      <c r="B178" s="11" t="s">
        <v>644</v>
      </c>
      <c r="C178" s="2" t="s">
        <v>643</v>
      </c>
      <c r="D178" s="2">
        <f>D175*0.026</f>
        <v>39.025999999999996</v>
      </c>
      <c r="E178" s="2"/>
      <c r="F178" s="164">
        <v>110</v>
      </c>
      <c r="G178" s="2">
        <f t="shared" si="12"/>
        <v>0</v>
      </c>
      <c r="H178" s="2">
        <f t="shared" si="13"/>
        <v>4292.8599999999997</v>
      </c>
      <c r="I178" s="11">
        <f t="shared" si="11"/>
        <v>4292.8599999999997</v>
      </c>
      <c r="J178" s="693"/>
      <c r="K178" s="5"/>
    </row>
    <row r="179" spans="1:13" s="6" customFormat="1" outlineLevel="2" x14ac:dyDescent="0.25">
      <c r="B179" s="11" t="s">
        <v>967</v>
      </c>
      <c r="C179" s="2" t="s">
        <v>15</v>
      </c>
      <c r="D179" s="2">
        <f>D175*2</f>
        <v>3002</v>
      </c>
      <c r="E179" s="2"/>
      <c r="F179" s="164">
        <v>8.9700000000000006</v>
      </c>
      <c r="G179" s="2">
        <f t="shared" si="12"/>
        <v>0</v>
      </c>
      <c r="H179" s="2">
        <f t="shared" si="13"/>
        <v>26927.940000000002</v>
      </c>
      <c r="I179" s="11">
        <f t="shared" si="11"/>
        <v>26927.940000000002</v>
      </c>
      <c r="J179" s="693"/>
      <c r="K179" s="5"/>
    </row>
    <row r="180" spans="1:13" s="6" customFormat="1" ht="31.2" outlineLevel="2" x14ac:dyDescent="0.25">
      <c r="A180" s="107" t="s">
        <v>503</v>
      </c>
      <c r="B180" s="29" t="s">
        <v>646</v>
      </c>
      <c r="C180" s="174" t="s">
        <v>14</v>
      </c>
      <c r="D180" s="31">
        <f>Д2!D148+Ек!D158+Д!D142+Е!D146</f>
        <v>849</v>
      </c>
      <c r="E180" s="256">
        <v>300</v>
      </c>
      <c r="F180" s="164"/>
      <c r="G180" s="2">
        <f t="shared" si="12"/>
        <v>254700</v>
      </c>
      <c r="H180" s="2">
        <f t="shared" si="13"/>
        <v>0</v>
      </c>
      <c r="I180" s="11">
        <f t="shared" si="11"/>
        <v>254700</v>
      </c>
      <c r="J180" s="693"/>
      <c r="K180" s="5"/>
    </row>
    <row r="181" spans="1:13" s="6" customFormat="1" ht="31.2" outlineLevel="2" x14ac:dyDescent="0.25">
      <c r="A181" s="76"/>
      <c r="B181" s="11" t="s">
        <v>647</v>
      </c>
      <c r="C181" s="2" t="s">
        <v>12</v>
      </c>
      <c r="D181" s="2">
        <f>D180*3</f>
        <v>2547</v>
      </c>
      <c r="E181" s="2"/>
      <c r="F181" s="664">
        <v>150</v>
      </c>
      <c r="G181" s="2">
        <f t="shared" si="12"/>
        <v>0</v>
      </c>
      <c r="H181" s="2">
        <f t="shared" si="13"/>
        <v>382050</v>
      </c>
      <c r="I181" s="11">
        <f t="shared" si="11"/>
        <v>382050</v>
      </c>
      <c r="J181" s="693"/>
      <c r="K181" s="5"/>
    </row>
    <row r="182" spans="1:13" s="6" customFormat="1" outlineLevel="2" x14ac:dyDescent="0.25">
      <c r="A182" s="76"/>
      <c r="B182" s="11" t="s">
        <v>642</v>
      </c>
      <c r="C182" s="2" t="s">
        <v>12</v>
      </c>
      <c r="D182" s="2">
        <f>D180*0.75</f>
        <v>636.75</v>
      </c>
      <c r="E182" s="2"/>
      <c r="F182" s="164">
        <v>2.79</v>
      </c>
      <c r="G182" s="2">
        <f t="shared" si="12"/>
        <v>0</v>
      </c>
      <c r="H182" s="2">
        <f t="shared" si="13"/>
        <v>1776.5325</v>
      </c>
      <c r="I182" s="11">
        <f t="shared" si="11"/>
        <v>1776.5325</v>
      </c>
      <c r="J182" s="693"/>
      <c r="K182" s="5"/>
    </row>
    <row r="183" spans="1:13" s="6" customFormat="1" ht="31.2" outlineLevel="2" x14ac:dyDescent="0.25">
      <c r="A183" s="76"/>
      <c r="B183" s="11" t="s">
        <v>644</v>
      </c>
      <c r="C183" s="2" t="s">
        <v>643</v>
      </c>
      <c r="D183" s="2">
        <f>D180*0.026</f>
        <v>22.073999999999998</v>
      </c>
      <c r="E183" s="2"/>
      <c r="F183" s="164">
        <v>110</v>
      </c>
      <c r="G183" s="2">
        <f t="shared" si="12"/>
        <v>0</v>
      </c>
      <c r="H183" s="2">
        <f t="shared" si="13"/>
        <v>2428.14</v>
      </c>
      <c r="I183" s="11">
        <f t="shared" si="11"/>
        <v>2428.14</v>
      </c>
      <c r="J183" s="693"/>
      <c r="K183" s="5"/>
    </row>
    <row r="184" spans="1:13" s="6" customFormat="1" outlineLevel="2" x14ac:dyDescent="0.25">
      <c r="A184" s="76"/>
      <c r="B184" s="11" t="s">
        <v>967</v>
      </c>
      <c r="C184" s="2" t="s">
        <v>15</v>
      </c>
      <c r="D184" s="2">
        <f>D180*2</f>
        <v>1698</v>
      </c>
      <c r="E184" s="2"/>
      <c r="F184" s="164">
        <v>8.9700000000000006</v>
      </c>
      <c r="G184" s="2">
        <f t="shared" si="12"/>
        <v>0</v>
      </c>
      <c r="H184" s="2">
        <f t="shared" si="13"/>
        <v>15231.060000000001</v>
      </c>
      <c r="I184" s="11">
        <f t="shared" si="11"/>
        <v>15231.060000000001</v>
      </c>
      <c r="J184" s="693"/>
      <c r="K184" s="5"/>
    </row>
    <row r="185" spans="1:13" s="6" customFormat="1" outlineLevel="2" x14ac:dyDescent="0.25">
      <c r="A185" s="107" t="s">
        <v>978</v>
      </c>
      <c r="B185" s="29" t="s">
        <v>367</v>
      </c>
      <c r="C185" s="30" t="s">
        <v>8</v>
      </c>
      <c r="D185" s="31">
        <f>Ек!D163+Е!D151</f>
        <v>4.84</v>
      </c>
      <c r="E185" s="256">
        <v>1500</v>
      </c>
      <c r="F185" s="11"/>
      <c r="G185" s="2">
        <f t="shared" si="12"/>
        <v>7260</v>
      </c>
      <c r="H185" s="2">
        <f t="shared" si="13"/>
        <v>0</v>
      </c>
      <c r="I185" s="11">
        <f t="shared" si="11"/>
        <v>7260</v>
      </c>
      <c r="J185" s="693"/>
      <c r="K185" s="5"/>
    </row>
    <row r="186" spans="1:13" s="6" customFormat="1" outlineLevel="2" x14ac:dyDescent="0.25">
      <c r="A186" s="76"/>
      <c r="B186" s="11" t="s">
        <v>966</v>
      </c>
      <c r="C186" s="2" t="s">
        <v>8</v>
      </c>
      <c r="D186" s="64">
        <f>D185*1.05</f>
        <v>5.0819999999999999</v>
      </c>
      <c r="E186" s="2"/>
      <c r="F186" s="361">
        <v>3450</v>
      </c>
      <c r="G186" s="2">
        <f t="shared" si="12"/>
        <v>0</v>
      </c>
      <c r="H186" s="2">
        <f t="shared" si="13"/>
        <v>17532.899999999998</v>
      </c>
      <c r="I186" s="11">
        <f t="shared" si="11"/>
        <v>17532.899999999998</v>
      </c>
      <c r="J186" s="693"/>
      <c r="K186" s="5"/>
    </row>
    <row r="187" spans="1:13" s="6" customFormat="1" outlineLevel="2" x14ac:dyDescent="0.25">
      <c r="A187" s="76"/>
      <c r="B187" s="11" t="s">
        <v>756</v>
      </c>
      <c r="C187" s="2" t="s">
        <v>8</v>
      </c>
      <c r="D187" s="2">
        <f>ROUND(0.23*D185,2)</f>
        <v>1.1100000000000001</v>
      </c>
      <c r="E187" s="2"/>
      <c r="F187" s="361">
        <v>2500</v>
      </c>
      <c r="G187" s="2">
        <f t="shared" si="12"/>
        <v>0</v>
      </c>
      <c r="H187" s="2">
        <f t="shared" si="13"/>
        <v>2775.0000000000005</v>
      </c>
      <c r="I187" s="11">
        <f t="shared" si="11"/>
        <v>2775.0000000000005</v>
      </c>
      <c r="J187" s="693"/>
      <c r="K187" s="5"/>
    </row>
    <row r="188" spans="1:13" s="6" customFormat="1" hidden="1" outlineLevel="1" x14ac:dyDescent="0.25">
      <c r="A188" s="762" t="s">
        <v>504</v>
      </c>
      <c r="B188" s="330" t="s">
        <v>376</v>
      </c>
      <c r="C188" s="46" t="s">
        <v>9</v>
      </c>
      <c r="D188" s="336">
        <v>0</v>
      </c>
      <c r="E188" s="256">
        <v>15000</v>
      </c>
      <c r="F188" s="56"/>
      <c r="G188" s="2">
        <f t="shared" si="12"/>
        <v>0</v>
      </c>
      <c r="H188" s="2">
        <f t="shared" si="13"/>
        <v>0</v>
      </c>
      <c r="I188" s="11">
        <f>G188+H188</f>
        <v>0</v>
      </c>
    </row>
    <row r="189" spans="1:13" s="6" customFormat="1" hidden="1" outlineLevel="1" x14ac:dyDescent="0.25">
      <c r="A189" s="265"/>
      <c r="B189" s="335" t="s">
        <v>377</v>
      </c>
      <c r="C189" s="41" t="s">
        <v>9</v>
      </c>
      <c r="D189" s="324">
        <v>0</v>
      </c>
      <c r="E189" s="31"/>
      <c r="F189" s="164">
        <v>32000</v>
      </c>
      <c r="G189" s="2">
        <f t="shared" si="12"/>
        <v>0</v>
      </c>
      <c r="H189" s="2">
        <f t="shared" si="13"/>
        <v>0</v>
      </c>
      <c r="I189" s="11">
        <f>G189+H189</f>
        <v>0</v>
      </c>
    </row>
    <row r="190" spans="1:13" s="6" customFormat="1" hidden="1" outlineLevel="1" x14ac:dyDescent="0.25">
      <c r="A190" s="265"/>
      <c r="B190" s="335" t="s">
        <v>378</v>
      </c>
      <c r="C190" s="41" t="s">
        <v>9</v>
      </c>
      <c r="D190" s="324">
        <v>0</v>
      </c>
      <c r="E190" s="31"/>
      <c r="F190" s="164">
        <v>32000</v>
      </c>
      <c r="G190" s="2">
        <f t="shared" si="12"/>
        <v>0</v>
      </c>
      <c r="H190" s="2">
        <f t="shared" si="13"/>
        <v>0</v>
      </c>
      <c r="I190" s="11">
        <f>G190+H190</f>
        <v>0</v>
      </c>
    </row>
    <row r="191" spans="1:13" s="6" customFormat="1" hidden="1" outlineLevel="1" x14ac:dyDescent="0.25">
      <c r="A191" s="265"/>
      <c r="B191" s="335" t="s">
        <v>379</v>
      </c>
      <c r="C191" s="41" t="s">
        <v>9</v>
      </c>
      <c r="D191" s="324">
        <v>0</v>
      </c>
      <c r="E191" s="31"/>
      <c r="F191" s="164">
        <v>32000</v>
      </c>
      <c r="G191" s="2">
        <f t="shared" si="12"/>
        <v>0</v>
      </c>
      <c r="H191" s="2">
        <f t="shared" si="13"/>
        <v>0</v>
      </c>
      <c r="I191" s="11">
        <f>G191+H191</f>
        <v>0</v>
      </c>
    </row>
    <row r="192" spans="1:13" s="36" customFormat="1" outlineLevel="1" x14ac:dyDescent="0.25">
      <c r="A192" s="92"/>
      <c r="B192" s="750" t="s">
        <v>1547</v>
      </c>
      <c r="C192" s="744" t="s">
        <v>1548</v>
      </c>
      <c r="D192" s="745">
        <f>2*2*26*8</f>
        <v>832</v>
      </c>
      <c r="E192" s="746">
        <v>1150</v>
      </c>
      <c r="F192" s="747"/>
      <c r="G192" s="2">
        <f t="shared" si="12"/>
        <v>956800</v>
      </c>
      <c r="H192" s="2">
        <f t="shared" si="13"/>
        <v>0</v>
      </c>
      <c r="I192" s="11">
        <f>G192+H192</f>
        <v>956800</v>
      </c>
      <c r="K192" s="162"/>
      <c r="L192" s="162"/>
      <c r="M192" s="162"/>
    </row>
    <row r="193" spans="1:13" s="36" customFormat="1" outlineLevel="1" x14ac:dyDescent="0.25">
      <c r="A193" s="92"/>
      <c r="B193" s="748" t="s">
        <v>1543</v>
      </c>
      <c r="C193" s="744"/>
      <c r="D193" s="745"/>
      <c r="E193" s="746"/>
      <c r="F193" s="747"/>
      <c r="G193" s="474">
        <f>SUM(G132:G192)</f>
        <v>4720500.53125</v>
      </c>
      <c r="H193" s="2">
        <f t="shared" si="13"/>
        <v>0</v>
      </c>
      <c r="I193" s="749">
        <f>G193</f>
        <v>4720500.53125</v>
      </c>
      <c r="K193" s="162"/>
      <c r="L193" s="162"/>
      <c r="M193" s="162"/>
    </row>
    <row r="194" spans="1:13" s="36" customFormat="1" outlineLevel="1" x14ac:dyDescent="0.25">
      <c r="A194" s="92"/>
      <c r="B194" s="748" t="s">
        <v>1546</v>
      </c>
      <c r="C194" s="744"/>
      <c r="D194" s="745"/>
      <c r="E194" s="746"/>
      <c r="F194" s="747"/>
      <c r="G194" s="474"/>
      <c r="H194" s="473">
        <f>SUM(H132:H191)</f>
        <v>9688482.6412054021</v>
      </c>
      <c r="I194" s="749">
        <f>H194</f>
        <v>9688482.6412054021</v>
      </c>
      <c r="K194" s="162"/>
      <c r="L194" s="162"/>
      <c r="M194" s="162"/>
    </row>
    <row r="195" spans="1:13" s="36" customFormat="1" outlineLevel="1" x14ac:dyDescent="0.25">
      <c r="A195" s="92"/>
      <c r="B195" s="748" t="s">
        <v>1544</v>
      </c>
      <c r="C195" s="744"/>
      <c r="D195" s="745"/>
      <c r="E195" s="746"/>
      <c r="F195" s="747"/>
      <c r="G195" s="474"/>
      <c r="H195" s="746"/>
      <c r="I195" s="749">
        <f>G195</f>
        <v>0</v>
      </c>
      <c r="K195" s="162"/>
      <c r="L195" s="162"/>
      <c r="M195" s="162"/>
    </row>
    <row r="196" spans="1:13" s="36" customFormat="1" outlineLevel="1" x14ac:dyDescent="0.25">
      <c r="A196" s="92"/>
      <c r="B196" s="748" t="s">
        <v>1545</v>
      </c>
      <c r="C196" s="744"/>
      <c r="D196" s="745"/>
      <c r="E196" s="746"/>
      <c r="F196" s="747"/>
      <c r="G196" s="474"/>
      <c r="H196" s="746"/>
      <c r="I196" s="749">
        <f>G196</f>
        <v>0</v>
      </c>
      <c r="K196" s="162"/>
      <c r="L196" s="162"/>
      <c r="M196" s="162"/>
    </row>
    <row r="197" spans="1:13" ht="24" customHeight="1" x14ac:dyDescent="0.25">
      <c r="A197" s="223"/>
      <c r="B197" s="224" t="s">
        <v>801</v>
      </c>
      <c r="C197" s="225"/>
      <c r="D197" s="226"/>
      <c r="E197" s="227"/>
      <c r="F197" s="228"/>
      <c r="G197" s="227">
        <f>G193+G195+G196</f>
        <v>4720500.53125</v>
      </c>
      <c r="H197" s="227">
        <f>H194</f>
        <v>9688482.6412054021</v>
      </c>
      <c r="I197" s="230">
        <f>I193+I194+I195+I196</f>
        <v>14408983.172455402</v>
      </c>
      <c r="J197" s="693"/>
      <c r="K197" s="133"/>
    </row>
    <row r="198" spans="1:13" s="5" customFormat="1" ht="15.6" customHeight="1" x14ac:dyDescent="0.25">
      <c r="A198" s="89"/>
      <c r="B198" s="58" t="s">
        <v>624</v>
      </c>
      <c r="C198" s="9"/>
      <c r="D198" s="31"/>
      <c r="E198" s="10"/>
      <c r="F198" s="57"/>
      <c r="G198" s="10"/>
      <c r="H198" s="10"/>
      <c r="I198" s="31">
        <f>ROUND(I197/1.18*0.18,2)</f>
        <v>2197980.48</v>
      </c>
    </row>
    <row r="199" spans="1:13" s="5" customFormat="1" ht="21" customHeight="1" x14ac:dyDescent="0.25">
      <c r="A199" s="108"/>
      <c r="B199" s="760" t="s">
        <v>802</v>
      </c>
      <c r="C199" s="105"/>
      <c r="D199" s="105"/>
      <c r="E199" s="105"/>
      <c r="F199" s="138"/>
      <c r="G199" s="105"/>
      <c r="H199" s="105"/>
      <c r="I199" s="106"/>
    </row>
    <row r="200" spans="1:13" s="5" customFormat="1" ht="15.6" customHeight="1" outlineLevel="1" x14ac:dyDescent="0.25">
      <c r="A200" s="107" t="s">
        <v>223</v>
      </c>
      <c r="B200" s="48" t="s">
        <v>740</v>
      </c>
      <c r="C200" s="46" t="s">
        <v>12</v>
      </c>
      <c r="D200" s="50">
        <f>SUM(D201:D217)</f>
        <v>586</v>
      </c>
      <c r="E200" s="275">
        <v>350</v>
      </c>
      <c r="F200" s="43"/>
      <c r="G200" s="2">
        <f>E200*D200</f>
        <v>205100</v>
      </c>
      <c r="H200" s="11"/>
      <c r="I200" s="11">
        <f>G200+H200</f>
        <v>205100</v>
      </c>
    </row>
    <row r="201" spans="1:13" s="5" customFormat="1" ht="15.6" customHeight="1" outlineLevel="1" x14ac:dyDescent="0.25">
      <c r="A201" s="84"/>
      <c r="B201" s="47" t="s">
        <v>751</v>
      </c>
      <c r="C201" s="2" t="s">
        <v>12</v>
      </c>
      <c r="D201" s="42">
        <f>Ек!D174+Е!D162</f>
        <v>102</v>
      </c>
      <c r="E201" s="31"/>
      <c r="F201" s="363">
        <v>15000</v>
      </c>
      <c r="G201" s="2">
        <f t="shared" ref="G201:G224" si="14">E201*D201</f>
        <v>0</v>
      </c>
      <c r="H201" s="2">
        <f>F201*D201</f>
        <v>1530000</v>
      </c>
      <c r="I201" s="60">
        <f t="shared" ref="I201:I223" si="15">G201+H201</f>
        <v>1530000</v>
      </c>
    </row>
    <row r="202" spans="1:13" s="5" customFormat="1" ht="15.6" customHeight="1" outlineLevel="1" x14ac:dyDescent="0.25">
      <c r="A202" s="84"/>
      <c r="B202" s="47" t="s">
        <v>887</v>
      </c>
      <c r="C202" s="2" t="s">
        <v>12</v>
      </c>
      <c r="D202" s="42">
        <f>Ек!D175+Е!D163</f>
        <v>42</v>
      </c>
      <c r="E202" s="31"/>
      <c r="F202" s="363">
        <v>15000</v>
      </c>
      <c r="G202" s="2">
        <f t="shared" si="14"/>
        <v>0</v>
      </c>
      <c r="H202" s="2">
        <f t="shared" ref="H202:H224" si="16">F202*D202</f>
        <v>630000</v>
      </c>
      <c r="I202" s="60">
        <f t="shared" si="15"/>
        <v>630000</v>
      </c>
    </row>
    <row r="203" spans="1:13" s="5" customFormat="1" ht="15.6" customHeight="1" outlineLevel="1" x14ac:dyDescent="0.25">
      <c r="A203" s="84"/>
      <c r="B203" s="47" t="s">
        <v>742</v>
      </c>
      <c r="C203" s="2" t="s">
        <v>12</v>
      </c>
      <c r="D203" s="42">
        <f>Д2!D165+Д!D159</f>
        <v>63</v>
      </c>
      <c r="E203" s="31"/>
      <c r="F203" s="664">
        <v>12796</v>
      </c>
      <c r="G203" s="2">
        <f t="shared" si="14"/>
        <v>0</v>
      </c>
      <c r="H203" s="2">
        <f t="shared" si="16"/>
        <v>806148</v>
      </c>
      <c r="I203" s="60">
        <f t="shared" si="15"/>
        <v>806148</v>
      </c>
    </row>
    <row r="204" spans="1:13" s="5" customFormat="1" ht="15.6" customHeight="1" outlineLevel="1" x14ac:dyDescent="0.25">
      <c r="A204" s="84"/>
      <c r="B204" s="47" t="s">
        <v>892</v>
      </c>
      <c r="C204" s="2" t="s">
        <v>12</v>
      </c>
      <c r="D204" s="42">
        <f>Д2!D166+Д!D160</f>
        <v>15</v>
      </c>
      <c r="E204" s="31"/>
      <c r="F204" s="664">
        <v>10346.25</v>
      </c>
      <c r="G204" s="2">
        <f t="shared" si="14"/>
        <v>0</v>
      </c>
      <c r="H204" s="2">
        <f t="shared" si="16"/>
        <v>155193.75</v>
      </c>
      <c r="I204" s="60">
        <f t="shared" si="15"/>
        <v>155193.75</v>
      </c>
    </row>
    <row r="205" spans="1:13" s="5" customFormat="1" ht="15.6" customHeight="1" outlineLevel="1" x14ac:dyDescent="0.25">
      <c r="A205" s="84"/>
      <c r="B205" s="47" t="s">
        <v>888</v>
      </c>
      <c r="C205" s="2" t="s">
        <v>12</v>
      </c>
      <c r="D205" s="42">
        <f>Д2!D161+Д!D155</f>
        <v>21</v>
      </c>
      <c r="E205" s="31"/>
      <c r="F205" s="362">
        <v>9478.9</v>
      </c>
      <c r="G205" s="2">
        <f t="shared" si="14"/>
        <v>0</v>
      </c>
      <c r="H205" s="2">
        <f t="shared" si="16"/>
        <v>199056.9</v>
      </c>
      <c r="I205" s="60">
        <f t="shared" si="15"/>
        <v>199056.9</v>
      </c>
    </row>
    <row r="206" spans="1:13" s="5" customFormat="1" ht="15.6" customHeight="1" outlineLevel="1" x14ac:dyDescent="0.25">
      <c r="A206" s="84"/>
      <c r="B206" s="47" t="s">
        <v>889</v>
      </c>
      <c r="C206" s="2" t="s">
        <v>12</v>
      </c>
      <c r="D206" s="42">
        <f>Д2!D162+Ек!D176+Д!D156+Е!D164</f>
        <v>213</v>
      </c>
      <c r="E206" s="31"/>
      <c r="F206" s="362">
        <v>9631</v>
      </c>
      <c r="G206" s="2">
        <f t="shared" si="14"/>
        <v>0</v>
      </c>
      <c r="H206" s="2">
        <f t="shared" si="16"/>
        <v>2051403</v>
      </c>
      <c r="I206" s="60">
        <f t="shared" si="15"/>
        <v>2051403</v>
      </c>
    </row>
    <row r="207" spans="1:13" s="5" customFormat="1" ht="15.6" customHeight="1" outlineLevel="1" x14ac:dyDescent="0.25">
      <c r="A207" s="84"/>
      <c r="B207" s="47" t="s">
        <v>744</v>
      </c>
      <c r="C207" s="2" t="s">
        <v>12</v>
      </c>
      <c r="D207" s="42">
        <f>Ек!D177+Е!D165</f>
        <v>24</v>
      </c>
      <c r="E207" s="31"/>
      <c r="F207" s="362">
        <v>11987</v>
      </c>
      <c r="G207" s="2">
        <f t="shared" si="14"/>
        <v>0</v>
      </c>
      <c r="H207" s="2">
        <f t="shared" si="16"/>
        <v>287688</v>
      </c>
      <c r="I207" s="60">
        <f t="shared" si="15"/>
        <v>287688</v>
      </c>
    </row>
    <row r="208" spans="1:13" s="5" customFormat="1" ht="15.6" customHeight="1" outlineLevel="1" x14ac:dyDescent="0.25">
      <c r="A208" s="84"/>
      <c r="B208" s="47" t="s">
        <v>1371</v>
      </c>
      <c r="C208" s="2" t="s">
        <v>12</v>
      </c>
      <c r="D208" s="42">
        <f>Д2!D163+Д!D157</f>
        <v>4</v>
      </c>
      <c r="E208" s="31"/>
      <c r="F208" s="664">
        <v>5615</v>
      </c>
      <c r="G208" s="2">
        <f t="shared" si="14"/>
        <v>0</v>
      </c>
      <c r="H208" s="2">
        <f t="shared" si="16"/>
        <v>22460</v>
      </c>
      <c r="I208" s="60">
        <f t="shared" si="15"/>
        <v>22460</v>
      </c>
    </row>
    <row r="209" spans="1:13" s="5" customFormat="1" ht="15.6" customHeight="1" outlineLevel="1" x14ac:dyDescent="0.25">
      <c r="A209" s="84"/>
      <c r="B209" s="47" t="s">
        <v>890</v>
      </c>
      <c r="C209" s="2" t="s">
        <v>12</v>
      </c>
      <c r="D209" s="42">
        <f>Д2!D164+Д!D158</f>
        <v>14</v>
      </c>
      <c r="E209" s="31"/>
      <c r="F209" s="664">
        <v>4445</v>
      </c>
      <c r="G209" s="2">
        <f t="shared" si="14"/>
        <v>0</v>
      </c>
      <c r="H209" s="2">
        <f t="shared" si="16"/>
        <v>62230</v>
      </c>
      <c r="I209" s="60">
        <f t="shared" si="15"/>
        <v>62230</v>
      </c>
    </row>
    <row r="210" spans="1:13" s="5" customFormat="1" ht="15.6" customHeight="1" outlineLevel="1" x14ac:dyDescent="0.25">
      <c r="A210" s="84"/>
      <c r="B210" s="47" t="s">
        <v>893</v>
      </c>
      <c r="C210" s="2" t="s">
        <v>12</v>
      </c>
      <c r="D210" s="42">
        <f>Д2!D167+Д!D161</f>
        <v>6</v>
      </c>
      <c r="E210" s="31"/>
      <c r="F210" s="664">
        <v>4457</v>
      </c>
      <c r="G210" s="2">
        <f t="shared" si="14"/>
        <v>0</v>
      </c>
      <c r="H210" s="2">
        <f t="shared" si="16"/>
        <v>26742</v>
      </c>
      <c r="I210" s="60">
        <f t="shared" si="15"/>
        <v>26742</v>
      </c>
    </row>
    <row r="211" spans="1:13" s="5" customFormat="1" ht="15.6" customHeight="1" outlineLevel="1" x14ac:dyDescent="0.25">
      <c r="A211" s="84"/>
      <c r="B211" s="47" t="s">
        <v>1337</v>
      </c>
      <c r="C211" s="2" t="s">
        <v>12</v>
      </c>
      <c r="D211" s="42">
        <f>Ек!D178+Е!D166</f>
        <v>14</v>
      </c>
      <c r="E211" s="31"/>
      <c r="F211" s="363">
        <v>4100</v>
      </c>
      <c r="G211" s="2">
        <f t="shared" si="14"/>
        <v>0</v>
      </c>
      <c r="H211" s="2">
        <f t="shared" si="16"/>
        <v>57400</v>
      </c>
      <c r="I211" s="60">
        <f t="shared" si="15"/>
        <v>57400</v>
      </c>
    </row>
    <row r="212" spans="1:13" s="5" customFormat="1" ht="15.6" customHeight="1" outlineLevel="1" x14ac:dyDescent="0.25">
      <c r="A212" s="84"/>
      <c r="B212" s="47" t="s">
        <v>1306</v>
      </c>
      <c r="C212" s="2" t="s">
        <v>12</v>
      </c>
      <c r="D212" s="42">
        <f>Ек!D179+Е!D167</f>
        <v>8</v>
      </c>
      <c r="E212" s="31"/>
      <c r="F212" s="664">
        <v>5621</v>
      </c>
      <c r="G212" s="2">
        <f t="shared" si="14"/>
        <v>0</v>
      </c>
      <c r="H212" s="2">
        <f t="shared" si="16"/>
        <v>44968</v>
      </c>
      <c r="I212" s="60">
        <f t="shared" si="15"/>
        <v>44968</v>
      </c>
    </row>
    <row r="213" spans="1:13" s="5" customFormat="1" ht="15.6" customHeight="1" outlineLevel="1" x14ac:dyDescent="0.25">
      <c r="A213" s="89"/>
      <c r="B213" s="47" t="s">
        <v>747</v>
      </c>
      <c r="C213" s="2" t="s">
        <v>12</v>
      </c>
      <c r="D213" s="42">
        <f>Д2!D168+Ек!D180+Е!D170</f>
        <v>28</v>
      </c>
      <c r="E213" s="31"/>
      <c r="F213" s="362">
        <v>10206.120000000001</v>
      </c>
      <c r="G213" s="2">
        <f t="shared" si="14"/>
        <v>0</v>
      </c>
      <c r="H213" s="2">
        <f t="shared" si="16"/>
        <v>285771.36000000004</v>
      </c>
      <c r="I213" s="60">
        <f t="shared" si="15"/>
        <v>285771.36000000004</v>
      </c>
    </row>
    <row r="214" spans="1:13" s="5" customFormat="1" ht="15.6" customHeight="1" outlineLevel="1" x14ac:dyDescent="0.25">
      <c r="A214" s="89"/>
      <c r="B214" s="47" t="s">
        <v>749</v>
      </c>
      <c r="C214" s="2" t="s">
        <v>12</v>
      </c>
      <c r="D214" s="42">
        <f>Ек!D181+Е!D168</f>
        <v>8</v>
      </c>
      <c r="E214" s="31"/>
      <c r="F214" s="362">
        <v>14953.2</v>
      </c>
      <c r="G214" s="2">
        <f t="shared" si="14"/>
        <v>0</v>
      </c>
      <c r="H214" s="2">
        <f t="shared" si="16"/>
        <v>119625.60000000001</v>
      </c>
      <c r="I214" s="60">
        <f t="shared" si="15"/>
        <v>119625.60000000001</v>
      </c>
    </row>
    <row r="215" spans="1:13" s="5" customFormat="1" ht="15.6" customHeight="1" outlineLevel="1" x14ac:dyDescent="0.25">
      <c r="A215" s="89"/>
      <c r="B215" s="47" t="s">
        <v>750</v>
      </c>
      <c r="C215" s="2" t="s">
        <v>12</v>
      </c>
      <c r="D215" s="42">
        <f>Д2!D170+Ек!D182+Е!D169</f>
        <v>12</v>
      </c>
      <c r="E215" s="31"/>
      <c r="F215" s="362">
        <v>10358.1</v>
      </c>
      <c r="G215" s="2">
        <f t="shared" si="14"/>
        <v>0</v>
      </c>
      <c r="H215" s="2">
        <f t="shared" si="16"/>
        <v>124297.20000000001</v>
      </c>
      <c r="I215" s="60">
        <f t="shared" si="15"/>
        <v>124297.20000000001</v>
      </c>
    </row>
    <row r="216" spans="1:13" s="5" customFormat="1" ht="15.6" customHeight="1" outlineLevel="1" x14ac:dyDescent="0.25">
      <c r="A216" s="89"/>
      <c r="B216" s="47" t="s">
        <v>748</v>
      </c>
      <c r="C216" s="2" t="s">
        <v>12</v>
      </c>
      <c r="D216" s="42">
        <f>Д2!D169</f>
        <v>4</v>
      </c>
      <c r="E216" s="31"/>
      <c r="F216" s="363">
        <v>10500</v>
      </c>
      <c r="G216" s="2">
        <f t="shared" si="14"/>
        <v>0</v>
      </c>
      <c r="H216" s="2">
        <f t="shared" si="16"/>
        <v>42000</v>
      </c>
      <c r="I216" s="60">
        <f t="shared" si="15"/>
        <v>42000</v>
      </c>
    </row>
    <row r="217" spans="1:13" s="5" customFormat="1" ht="15.6" customHeight="1" outlineLevel="1" x14ac:dyDescent="0.25">
      <c r="A217" s="89"/>
      <c r="B217" s="47" t="s">
        <v>1403</v>
      </c>
      <c r="C217" s="2" t="s">
        <v>12</v>
      </c>
      <c r="D217" s="42">
        <f>Д!D162</f>
        <v>8</v>
      </c>
      <c r="E217" s="31"/>
      <c r="F217" s="362">
        <v>14953.2</v>
      </c>
      <c r="G217" s="2">
        <f t="shared" si="14"/>
        <v>0</v>
      </c>
      <c r="H217" s="2">
        <f t="shared" si="16"/>
        <v>119625.60000000001</v>
      </c>
      <c r="I217" s="60">
        <f t="shared" si="15"/>
        <v>119625.60000000001</v>
      </c>
    </row>
    <row r="218" spans="1:13" s="5" customFormat="1" ht="15.75" customHeight="1" outlineLevel="1" x14ac:dyDescent="0.25">
      <c r="A218" s="89"/>
      <c r="B218" s="47" t="s">
        <v>902</v>
      </c>
      <c r="C218" s="41" t="s">
        <v>9</v>
      </c>
      <c r="D218" s="42">
        <f>Д2!D171+Ек!D183+Д!D163+Е!D171</f>
        <v>3.5432200000000007</v>
      </c>
      <c r="E218" s="43"/>
      <c r="F218" s="364">
        <v>33000</v>
      </c>
      <c r="G218" s="2">
        <f t="shared" si="14"/>
        <v>0</v>
      </c>
      <c r="H218" s="2">
        <f t="shared" si="16"/>
        <v>116926.26000000002</v>
      </c>
      <c r="I218" s="11">
        <f t="shared" si="15"/>
        <v>116926.26000000002</v>
      </c>
    </row>
    <row r="219" spans="1:13" s="5" customFormat="1" ht="15.6" customHeight="1" outlineLevel="1" x14ac:dyDescent="0.25">
      <c r="A219" s="89"/>
      <c r="B219" s="47" t="s">
        <v>901</v>
      </c>
      <c r="C219" s="41" t="s">
        <v>15</v>
      </c>
      <c r="D219" s="42">
        <f>Д2!D172+Ек!D184+Д!D164+Е!D172</f>
        <v>136.72999999999999</v>
      </c>
      <c r="E219" s="43"/>
      <c r="F219" s="364">
        <v>33</v>
      </c>
      <c r="G219" s="2">
        <f t="shared" si="14"/>
        <v>0</v>
      </c>
      <c r="H219" s="2">
        <f t="shared" si="16"/>
        <v>4512.0899999999992</v>
      </c>
      <c r="I219" s="11">
        <f t="shared" si="15"/>
        <v>4512.0899999999992</v>
      </c>
    </row>
    <row r="220" spans="1:13" s="5" customFormat="1" ht="15.6" customHeight="1" outlineLevel="1" x14ac:dyDescent="0.25">
      <c r="A220" s="89"/>
      <c r="B220" s="47" t="s">
        <v>875</v>
      </c>
      <c r="C220" s="41" t="s">
        <v>15</v>
      </c>
      <c r="D220" s="42">
        <f>Д2!D173+Е!D173</f>
        <v>24.36</v>
      </c>
      <c r="E220" s="43"/>
      <c r="F220" s="364">
        <v>36</v>
      </c>
      <c r="G220" s="2">
        <f t="shared" si="14"/>
        <v>0</v>
      </c>
      <c r="H220" s="2">
        <f t="shared" si="16"/>
        <v>876.96</v>
      </c>
      <c r="I220" s="11">
        <f t="shared" si="15"/>
        <v>876.96</v>
      </c>
    </row>
    <row r="221" spans="1:13" s="5" customFormat="1" ht="15.6" customHeight="1" outlineLevel="1" x14ac:dyDescent="0.25">
      <c r="A221" s="107" t="s">
        <v>224</v>
      </c>
      <c r="B221" s="49" t="s">
        <v>788</v>
      </c>
      <c r="C221" s="203" t="s">
        <v>8</v>
      </c>
      <c r="D221" s="46">
        <f>Д2!D174+Ек!D185+Д!D165+Е!D174</f>
        <v>30.200000000000003</v>
      </c>
      <c r="E221" s="353">
        <v>800</v>
      </c>
      <c r="F221" s="139"/>
      <c r="G221" s="2">
        <f t="shared" si="14"/>
        <v>24160.000000000004</v>
      </c>
      <c r="H221" s="2">
        <f t="shared" si="16"/>
        <v>0</v>
      </c>
      <c r="I221" s="11">
        <f t="shared" si="15"/>
        <v>24160.000000000004</v>
      </c>
    </row>
    <row r="222" spans="1:13" s="5" customFormat="1" ht="15.6" customHeight="1" outlineLevel="1" x14ac:dyDescent="0.25">
      <c r="A222" s="89"/>
      <c r="B222" s="47" t="s">
        <v>366</v>
      </c>
      <c r="C222" s="41" t="s">
        <v>9</v>
      </c>
      <c r="D222" s="42">
        <f>Д2!D175+Ек!D186+Д!D166+Е!D175</f>
        <v>5.43384</v>
      </c>
      <c r="E222" s="2"/>
      <c r="F222" s="364">
        <v>34000</v>
      </c>
      <c r="G222" s="2">
        <f t="shared" si="14"/>
        <v>0</v>
      </c>
      <c r="H222" s="2">
        <f t="shared" si="16"/>
        <v>184750.56</v>
      </c>
      <c r="I222" s="11">
        <f t="shared" si="15"/>
        <v>184750.56</v>
      </c>
    </row>
    <row r="223" spans="1:13" s="5" customFormat="1" ht="15.6" customHeight="1" outlineLevel="1" x14ac:dyDescent="0.25">
      <c r="A223" s="89"/>
      <c r="B223" s="47" t="s">
        <v>483</v>
      </c>
      <c r="C223" s="41" t="s">
        <v>8</v>
      </c>
      <c r="D223" s="42">
        <f>D221*1.015</f>
        <v>30.652999999999999</v>
      </c>
      <c r="E223" s="2"/>
      <c r="F223" s="664">
        <v>4200</v>
      </c>
      <c r="G223" s="2">
        <f t="shared" si="14"/>
        <v>0</v>
      </c>
      <c r="H223" s="2">
        <f t="shared" si="16"/>
        <v>128742.59999999999</v>
      </c>
      <c r="I223" s="11">
        <f t="shared" si="15"/>
        <v>128742.59999999999</v>
      </c>
    </row>
    <row r="224" spans="1:13" s="36" customFormat="1" outlineLevel="1" x14ac:dyDescent="0.25">
      <c r="A224" s="92"/>
      <c r="B224" s="750" t="s">
        <v>1547</v>
      </c>
      <c r="C224" s="744" t="s">
        <v>1548</v>
      </c>
      <c r="D224" s="745">
        <v>124</v>
      </c>
      <c r="E224" s="746">
        <v>1150</v>
      </c>
      <c r="F224" s="747"/>
      <c r="G224" s="2">
        <f t="shared" si="14"/>
        <v>142600</v>
      </c>
      <c r="H224" s="2">
        <f t="shared" si="16"/>
        <v>0</v>
      </c>
      <c r="I224" s="11">
        <f>G224+H224</f>
        <v>142600</v>
      </c>
      <c r="K224" s="162"/>
      <c r="L224" s="162"/>
      <c r="M224" s="162"/>
    </row>
    <row r="225" spans="1:13" s="36" customFormat="1" outlineLevel="1" x14ac:dyDescent="0.25">
      <c r="A225" s="92"/>
      <c r="B225" s="748" t="s">
        <v>1543</v>
      </c>
      <c r="C225" s="744"/>
      <c r="D225" s="745"/>
      <c r="E225" s="746"/>
      <c r="F225" s="747"/>
      <c r="G225" s="474">
        <f>SUM(G200:G224)</f>
        <v>371860</v>
      </c>
      <c r="H225" s="746"/>
      <c r="I225" s="749">
        <f>G225</f>
        <v>371860</v>
      </c>
      <c r="K225" s="162"/>
      <c r="L225" s="162"/>
      <c r="M225" s="162"/>
    </row>
    <row r="226" spans="1:13" s="36" customFormat="1" outlineLevel="1" x14ac:dyDescent="0.25">
      <c r="A226" s="92"/>
      <c r="B226" s="748" t="s">
        <v>1546</v>
      </c>
      <c r="C226" s="744"/>
      <c r="D226" s="745"/>
      <c r="E226" s="746"/>
      <c r="F226" s="747"/>
      <c r="G226" s="474"/>
      <c r="H226" s="473">
        <f>SUM(H200:H223)</f>
        <v>7000417.879999999</v>
      </c>
      <c r="I226" s="749">
        <f>H226</f>
        <v>7000417.879999999</v>
      </c>
      <c r="K226" s="162"/>
      <c r="L226" s="162"/>
      <c r="M226" s="162"/>
    </row>
    <row r="227" spans="1:13" s="36" customFormat="1" outlineLevel="1" x14ac:dyDescent="0.25">
      <c r="A227" s="92"/>
      <c r="B227" s="748" t="s">
        <v>1544</v>
      </c>
      <c r="C227" s="744"/>
      <c r="D227" s="745"/>
      <c r="E227" s="746"/>
      <c r="F227" s="747"/>
      <c r="G227" s="474"/>
      <c r="H227" s="746"/>
      <c r="I227" s="749">
        <f>G227</f>
        <v>0</v>
      </c>
      <c r="K227" s="162"/>
      <c r="L227" s="162"/>
      <c r="M227" s="162"/>
    </row>
    <row r="228" spans="1:13" s="36" customFormat="1" outlineLevel="1" x14ac:dyDescent="0.25">
      <c r="A228" s="92"/>
      <c r="B228" s="748" t="s">
        <v>1545</v>
      </c>
      <c r="C228" s="744"/>
      <c r="D228" s="745"/>
      <c r="E228" s="746"/>
      <c r="F228" s="747"/>
      <c r="G228" s="474"/>
      <c r="H228" s="746"/>
      <c r="I228" s="749">
        <f>G228</f>
        <v>0</v>
      </c>
      <c r="K228" s="162"/>
      <c r="L228" s="162"/>
      <c r="M228" s="162"/>
    </row>
    <row r="229" spans="1:13" s="5" customFormat="1" ht="36" customHeight="1" x14ac:dyDescent="0.25">
      <c r="A229" s="223"/>
      <c r="B229" s="232" t="s">
        <v>803</v>
      </c>
      <c r="C229" s="225"/>
      <c r="D229" s="239"/>
      <c r="E229" s="230"/>
      <c r="F229" s="240"/>
      <c r="G229" s="230">
        <f>G225+G227+G228</f>
        <v>371860</v>
      </c>
      <c r="H229" s="230">
        <f>H226</f>
        <v>7000417.879999999</v>
      </c>
      <c r="I229" s="230">
        <f>I226+I225+I227+I228</f>
        <v>7372277.879999999</v>
      </c>
      <c r="J229" s="691"/>
    </row>
    <row r="230" spans="1:13" s="5" customFormat="1" ht="15.6" customHeight="1" x14ac:dyDescent="0.25">
      <c r="A230" s="90"/>
      <c r="B230" s="58" t="s">
        <v>624</v>
      </c>
      <c r="C230" s="9"/>
      <c r="D230" s="31"/>
      <c r="E230" s="10"/>
      <c r="F230" s="57"/>
      <c r="G230" s="10"/>
      <c r="H230" s="10"/>
      <c r="I230" s="31">
        <f>ROUND(I229/1.18*0.18,2)</f>
        <v>1124584.76</v>
      </c>
    </row>
    <row r="231" spans="1:13" s="5" customFormat="1" ht="21" customHeight="1" x14ac:dyDescent="0.25">
      <c r="A231" s="108"/>
      <c r="B231" s="765" t="s">
        <v>810</v>
      </c>
      <c r="C231" s="105"/>
      <c r="D231" s="105"/>
      <c r="E231" s="105"/>
      <c r="F231" s="138"/>
      <c r="G231" s="105"/>
      <c r="H231" s="105"/>
      <c r="I231" s="106"/>
    </row>
    <row r="232" spans="1:13" s="5" customFormat="1" ht="15.6" customHeight="1" outlineLevel="1" x14ac:dyDescent="0.25">
      <c r="A232" s="107" t="s">
        <v>979</v>
      </c>
      <c r="B232" s="49" t="s">
        <v>384</v>
      </c>
      <c r="C232" s="203" t="s">
        <v>12</v>
      </c>
      <c r="D232" s="42">
        <f>D233</f>
        <v>150</v>
      </c>
      <c r="E232" s="353">
        <v>100</v>
      </c>
      <c r="F232" s="139"/>
      <c r="G232" s="2">
        <f>E232*D232</f>
        <v>15000</v>
      </c>
      <c r="H232" s="26"/>
      <c r="I232" s="11">
        <f t="shared" ref="I232:I237" si="17">G232+H232</f>
        <v>15000</v>
      </c>
    </row>
    <row r="233" spans="1:13" s="5" customFormat="1" ht="15.6" customHeight="1" outlineLevel="1" x14ac:dyDescent="0.25">
      <c r="A233" s="391"/>
      <c r="B233" s="47" t="s">
        <v>1375</v>
      </c>
      <c r="C233" s="41" t="s">
        <v>12</v>
      </c>
      <c r="D233" s="42">
        <f>Д2!D182+Ек!D193+Д!D173+Е!D182</f>
        <v>150</v>
      </c>
      <c r="E233" s="282"/>
      <c r="F233" s="668">
        <v>784</v>
      </c>
      <c r="G233" s="2">
        <f t="shared" ref="G233:G248" si="18">E233*D233</f>
        <v>0</v>
      </c>
      <c r="H233" s="2">
        <f>F233*D233</f>
        <v>117600</v>
      </c>
      <c r="I233" s="11">
        <f t="shared" si="17"/>
        <v>117600</v>
      </c>
    </row>
    <row r="234" spans="1:13" s="5" customFormat="1" ht="15.6" customHeight="1" outlineLevel="1" x14ac:dyDescent="0.25">
      <c r="A234" s="391"/>
      <c r="B234" s="47" t="s">
        <v>804</v>
      </c>
      <c r="C234" s="41" t="s">
        <v>8</v>
      </c>
      <c r="D234" s="42">
        <f>Д2!D183+Д!D174</f>
        <v>0.12075</v>
      </c>
      <c r="E234" s="390"/>
      <c r="F234" s="664">
        <v>4200</v>
      </c>
      <c r="G234" s="2">
        <f t="shared" si="18"/>
        <v>0</v>
      </c>
      <c r="H234" s="2">
        <f t="shared" ref="H234:H251" si="19">F234*D234</f>
        <v>507.15</v>
      </c>
      <c r="I234" s="11">
        <f t="shared" si="17"/>
        <v>507.15</v>
      </c>
    </row>
    <row r="235" spans="1:13" s="5" customFormat="1" ht="15.6" customHeight="1" outlineLevel="1" x14ac:dyDescent="0.25">
      <c r="A235" s="107" t="s">
        <v>980</v>
      </c>
      <c r="B235" s="49" t="s">
        <v>824</v>
      </c>
      <c r="C235" s="203" t="s">
        <v>9</v>
      </c>
      <c r="D235" s="733">
        <f>D236</f>
        <v>1.7501199999999999</v>
      </c>
      <c r="E235" s="353">
        <v>30000</v>
      </c>
      <c r="F235" s="139"/>
      <c r="G235" s="2">
        <f t="shared" si="18"/>
        <v>52503.6</v>
      </c>
      <c r="H235" s="2">
        <f t="shared" si="19"/>
        <v>0</v>
      </c>
      <c r="I235" s="11">
        <f t="shared" si="17"/>
        <v>52503.6</v>
      </c>
    </row>
    <row r="236" spans="1:13" s="5" customFormat="1" ht="15.6" customHeight="1" outlineLevel="1" x14ac:dyDescent="0.25">
      <c r="A236" s="391"/>
      <c r="B236" s="47" t="s">
        <v>1376</v>
      </c>
      <c r="C236" s="41" t="s">
        <v>9</v>
      </c>
      <c r="D236" s="42">
        <f>Д2!D185+Ек!D195+Д!D176+Е!D184</f>
        <v>1.7501199999999999</v>
      </c>
      <c r="E236" s="282"/>
      <c r="F236" s="364">
        <v>40000</v>
      </c>
      <c r="G236" s="2">
        <f t="shared" si="18"/>
        <v>0</v>
      </c>
      <c r="H236" s="2">
        <f t="shared" si="19"/>
        <v>70004.800000000003</v>
      </c>
      <c r="I236" s="11">
        <f t="shared" si="17"/>
        <v>70004.800000000003</v>
      </c>
    </row>
    <row r="237" spans="1:13" s="5" customFormat="1" ht="15.6" customHeight="1" outlineLevel="1" x14ac:dyDescent="0.3">
      <c r="A237" s="107" t="s">
        <v>981</v>
      </c>
      <c r="B237" s="49" t="s">
        <v>903</v>
      </c>
      <c r="C237" s="41" t="s">
        <v>12</v>
      </c>
      <c r="D237" s="31">
        <f>Д2!D186+Ек!D196+Д!D177+Е!D185</f>
        <v>16</v>
      </c>
      <c r="E237" s="353">
        <v>600</v>
      </c>
      <c r="F237" s="392"/>
      <c r="G237" s="2">
        <f t="shared" si="18"/>
        <v>9600</v>
      </c>
      <c r="H237" s="2">
        <f t="shared" si="19"/>
        <v>0</v>
      </c>
      <c r="I237" s="11">
        <f t="shared" si="17"/>
        <v>9600</v>
      </c>
    </row>
    <row r="238" spans="1:13" s="5" customFormat="1" ht="15.6" customHeight="1" outlineLevel="1" x14ac:dyDescent="0.25">
      <c r="A238" s="391"/>
      <c r="B238" s="47" t="s">
        <v>1524</v>
      </c>
      <c r="C238" s="41" t="s">
        <v>9</v>
      </c>
      <c r="D238" s="2">
        <f>Д2!D187+Д2!D188+Ек!D197+Д!D178+Д!D179+Е!D186</f>
        <v>1.2767540000000002</v>
      </c>
      <c r="E238" s="353"/>
      <c r="F238" s="364">
        <v>42000</v>
      </c>
      <c r="G238" s="2">
        <f t="shared" si="18"/>
        <v>0</v>
      </c>
      <c r="H238" s="2">
        <f t="shared" si="19"/>
        <v>53623.668000000005</v>
      </c>
      <c r="I238" s="11">
        <f>H238</f>
        <v>53623.668000000005</v>
      </c>
    </row>
    <row r="239" spans="1:13" s="5" customFormat="1" ht="15.6" customHeight="1" outlineLevel="1" x14ac:dyDescent="0.25">
      <c r="A239" s="107" t="s">
        <v>982</v>
      </c>
      <c r="B239" s="49" t="s">
        <v>788</v>
      </c>
      <c r="C239" s="41" t="s">
        <v>8</v>
      </c>
      <c r="D239" s="2">
        <f>Ек!D198+Е!D187</f>
        <v>0.19600000000000001</v>
      </c>
      <c r="E239" s="353">
        <v>500</v>
      </c>
      <c r="F239" s="363"/>
      <c r="G239" s="2">
        <f t="shared" si="18"/>
        <v>98</v>
      </c>
      <c r="H239" s="2">
        <f t="shared" si="19"/>
        <v>0</v>
      </c>
      <c r="I239" s="11">
        <f>G239</f>
        <v>98</v>
      </c>
    </row>
    <row r="240" spans="1:13" s="5" customFormat="1" ht="15.6" customHeight="1" outlineLevel="1" x14ac:dyDescent="0.25">
      <c r="A240" s="391"/>
      <c r="B240" s="47" t="s">
        <v>804</v>
      </c>
      <c r="C240" s="41" t="s">
        <v>8</v>
      </c>
      <c r="D240" s="42">
        <f>D239*1.015</f>
        <v>0.19893999999999998</v>
      </c>
      <c r="E240" s="353"/>
      <c r="F240" s="664">
        <v>4200</v>
      </c>
      <c r="G240" s="2">
        <f t="shared" si="18"/>
        <v>0</v>
      </c>
      <c r="H240" s="2">
        <f t="shared" si="19"/>
        <v>835.54799999999989</v>
      </c>
      <c r="I240" s="11">
        <f>G240+H240</f>
        <v>835.54799999999989</v>
      </c>
    </row>
    <row r="241" spans="1:13" s="5" customFormat="1" ht="15.6" customHeight="1" outlineLevel="1" x14ac:dyDescent="0.25">
      <c r="A241" s="391"/>
      <c r="B241" s="47" t="s">
        <v>998</v>
      </c>
      <c r="C241" s="41" t="s">
        <v>15</v>
      </c>
      <c r="D241" s="2">
        <f>Ек!D200+Е!D189</f>
        <v>42.52</v>
      </c>
      <c r="E241" s="353"/>
      <c r="F241" s="364">
        <v>34</v>
      </c>
      <c r="G241" s="2">
        <f t="shared" si="18"/>
        <v>0</v>
      </c>
      <c r="H241" s="2">
        <f t="shared" si="19"/>
        <v>1445.68</v>
      </c>
      <c r="I241" s="11">
        <f>H241</f>
        <v>1445.68</v>
      </c>
    </row>
    <row r="242" spans="1:13" s="5" customFormat="1" ht="15.6" customHeight="1" outlineLevel="1" x14ac:dyDescent="0.25">
      <c r="A242" s="107" t="s">
        <v>983</v>
      </c>
      <c r="B242" s="49" t="s">
        <v>805</v>
      </c>
      <c r="C242" s="41" t="s">
        <v>12</v>
      </c>
      <c r="D242" s="2">
        <f>Д2!D189+Ек!D201+Д!D180+Е!D190</f>
        <v>20</v>
      </c>
      <c r="E242" s="353">
        <v>3000</v>
      </c>
      <c r="F242" s="363"/>
      <c r="G242" s="2">
        <f t="shared" si="18"/>
        <v>60000</v>
      </c>
      <c r="H242" s="2">
        <f t="shared" si="19"/>
        <v>0</v>
      </c>
      <c r="I242" s="11">
        <f>G242</f>
        <v>60000</v>
      </c>
    </row>
    <row r="243" spans="1:13" s="5" customFormat="1" ht="15.6" customHeight="1" outlineLevel="1" x14ac:dyDescent="0.25">
      <c r="A243" s="391"/>
      <c r="B243" s="47" t="s">
        <v>904</v>
      </c>
      <c r="C243" s="41" t="s">
        <v>9</v>
      </c>
      <c r="D243" s="2">
        <f>Ек!D202+Е!D191</f>
        <v>0.15519999999999998</v>
      </c>
      <c r="E243" s="353"/>
      <c r="F243" s="363">
        <v>40000</v>
      </c>
      <c r="G243" s="2">
        <f t="shared" si="18"/>
        <v>0</v>
      </c>
      <c r="H243" s="2">
        <f t="shared" si="19"/>
        <v>6207.9999999999991</v>
      </c>
      <c r="I243" s="11">
        <f>H243</f>
        <v>6207.9999999999991</v>
      </c>
    </row>
    <row r="244" spans="1:13" s="5" customFormat="1" ht="15.6" customHeight="1" outlineLevel="1" x14ac:dyDescent="0.25">
      <c r="A244" s="391"/>
      <c r="B244" s="47" t="s">
        <v>1380</v>
      </c>
      <c r="C244" s="41" t="s">
        <v>9</v>
      </c>
      <c r="D244" s="2">
        <f>Д2!D190+Ек!D203+Д!D181+Е!D192</f>
        <v>0.48120000000000002</v>
      </c>
      <c r="E244" s="353"/>
      <c r="F244" s="363">
        <v>40000</v>
      </c>
      <c r="G244" s="2">
        <f t="shared" si="18"/>
        <v>0</v>
      </c>
      <c r="H244" s="2">
        <f t="shared" si="19"/>
        <v>19248</v>
      </c>
      <c r="I244" s="11">
        <f>H244</f>
        <v>19248</v>
      </c>
    </row>
    <row r="245" spans="1:13" s="5" customFormat="1" ht="15.6" customHeight="1" outlineLevel="1" x14ac:dyDescent="0.25">
      <c r="A245" s="391"/>
      <c r="B245" s="47" t="s">
        <v>806</v>
      </c>
      <c r="C245" s="41" t="s">
        <v>9</v>
      </c>
      <c r="D245" s="2">
        <f>Д2!D191+Ек!D204+Д!D182+Е!D193</f>
        <v>8.4400000000000003E-2</v>
      </c>
      <c r="E245" s="353"/>
      <c r="F245" s="363">
        <v>40000</v>
      </c>
      <c r="G245" s="2">
        <f t="shared" si="18"/>
        <v>0</v>
      </c>
      <c r="H245" s="2">
        <f t="shared" si="19"/>
        <v>3376</v>
      </c>
      <c r="I245" s="11">
        <f>H245</f>
        <v>3376</v>
      </c>
    </row>
    <row r="246" spans="1:13" s="5" customFormat="1" ht="15.6" customHeight="1" outlineLevel="1" x14ac:dyDescent="0.25">
      <c r="A246" s="107" t="s">
        <v>1405</v>
      </c>
      <c r="B246" s="49" t="s">
        <v>1398</v>
      </c>
      <c r="C246" s="41" t="s">
        <v>12</v>
      </c>
      <c r="D246" s="2">
        <f>Ек!D205+Е!D194</f>
        <v>2</v>
      </c>
      <c r="E246" s="353">
        <v>1500</v>
      </c>
      <c r="F246" s="363"/>
      <c r="G246" s="2">
        <f t="shared" si="18"/>
        <v>3000</v>
      </c>
      <c r="H246" s="2">
        <f t="shared" si="19"/>
        <v>0</v>
      </c>
      <c r="I246" s="11">
        <f>G246</f>
        <v>3000</v>
      </c>
    </row>
    <row r="247" spans="1:13" s="5" customFormat="1" ht="15.6" customHeight="1" outlineLevel="1" x14ac:dyDescent="0.25">
      <c r="A247" s="391"/>
      <c r="B247" s="47" t="s">
        <v>91</v>
      </c>
      <c r="C247" s="41" t="s">
        <v>9</v>
      </c>
      <c r="D247" s="42">
        <f>Ек!D206+Е!D195</f>
        <v>0.108</v>
      </c>
      <c r="E247" s="282"/>
      <c r="F247" s="364">
        <v>40000</v>
      </c>
      <c r="G247" s="2">
        <f t="shared" si="18"/>
        <v>0</v>
      </c>
      <c r="H247" s="2">
        <f t="shared" si="19"/>
        <v>4320</v>
      </c>
      <c r="I247" s="11">
        <f>G247+H247</f>
        <v>4320</v>
      </c>
    </row>
    <row r="248" spans="1:13" s="5" customFormat="1" ht="15.6" customHeight="1" outlineLevel="1" x14ac:dyDescent="0.3">
      <c r="A248" s="107" t="s">
        <v>1406</v>
      </c>
      <c r="B248" s="49" t="s">
        <v>807</v>
      </c>
      <c r="C248" s="41" t="s">
        <v>14</v>
      </c>
      <c r="D248" s="31">
        <f>(D236+D243+D244+D245+D247+D238)*27</f>
        <v>104.10319800000002</v>
      </c>
      <c r="E248" s="256">
        <v>150</v>
      </c>
      <c r="F248" s="484"/>
      <c r="G248" s="2">
        <f t="shared" si="18"/>
        <v>15615.479700000004</v>
      </c>
      <c r="H248" s="2">
        <f t="shared" si="19"/>
        <v>0</v>
      </c>
      <c r="I248" s="11">
        <f>G248</f>
        <v>15615.479700000004</v>
      </c>
    </row>
    <row r="249" spans="1:13" s="5" customFormat="1" ht="15.6" customHeight="1" outlineLevel="1" x14ac:dyDescent="0.3">
      <c r="A249" s="391"/>
      <c r="B249" s="47" t="s">
        <v>1166</v>
      </c>
      <c r="C249" s="41" t="s">
        <v>15</v>
      </c>
      <c r="D249" s="2">
        <f>D248*0.2</f>
        <v>20.820639600000007</v>
      </c>
      <c r="E249" s="484"/>
      <c r="F249" s="362">
        <v>85</v>
      </c>
      <c r="G249" s="484"/>
      <c r="H249" s="2">
        <f t="shared" si="19"/>
        <v>1769.7543660000006</v>
      </c>
      <c r="I249" s="11">
        <f>H249</f>
        <v>1769.7543660000006</v>
      </c>
    </row>
    <row r="250" spans="1:13" s="5" customFormat="1" ht="15.6" customHeight="1" outlineLevel="1" x14ac:dyDescent="0.3">
      <c r="A250" s="391"/>
      <c r="B250" s="47" t="s">
        <v>1162</v>
      </c>
      <c r="C250" s="41" t="s">
        <v>15</v>
      </c>
      <c r="D250" s="2">
        <f>D248*0.3</f>
        <v>31.230959400000003</v>
      </c>
      <c r="E250" s="484"/>
      <c r="F250" s="362">
        <v>115</v>
      </c>
      <c r="G250" s="484"/>
      <c r="H250" s="2">
        <f t="shared" si="19"/>
        <v>3591.5603310000006</v>
      </c>
      <c r="I250" s="11">
        <f>H250</f>
        <v>3591.5603310000006</v>
      </c>
    </row>
    <row r="251" spans="1:13" s="36" customFormat="1" outlineLevel="1" x14ac:dyDescent="0.25">
      <c r="A251" s="92"/>
      <c r="B251" s="748" t="s">
        <v>1543</v>
      </c>
      <c r="C251" s="744"/>
      <c r="D251" s="745"/>
      <c r="E251" s="746"/>
      <c r="F251" s="747"/>
      <c r="G251" s="474">
        <f>SUM(G232:G250)</f>
        <v>155817.0797</v>
      </c>
      <c r="H251" s="2">
        <f t="shared" si="19"/>
        <v>0</v>
      </c>
      <c r="I251" s="749">
        <f>G251</f>
        <v>155817.0797</v>
      </c>
      <c r="K251" s="162"/>
      <c r="L251" s="162"/>
      <c r="M251" s="162"/>
    </row>
    <row r="252" spans="1:13" s="36" customFormat="1" outlineLevel="1" x14ac:dyDescent="0.25">
      <c r="A252" s="92"/>
      <c r="B252" s="748" t="s">
        <v>1546</v>
      </c>
      <c r="C252" s="744"/>
      <c r="D252" s="745"/>
      <c r="E252" s="746"/>
      <c r="F252" s="747"/>
      <c r="G252" s="474"/>
      <c r="H252" s="473">
        <f>SUM(H232:H250)</f>
        <v>282530.16069700004</v>
      </c>
      <c r="I252" s="749">
        <f>H252</f>
        <v>282530.16069700004</v>
      </c>
      <c r="K252" s="162"/>
      <c r="L252" s="162"/>
      <c r="M252" s="162"/>
    </row>
    <row r="253" spans="1:13" s="36" customFormat="1" outlineLevel="1" x14ac:dyDescent="0.25">
      <c r="A253" s="92"/>
      <c r="B253" s="748" t="s">
        <v>1544</v>
      </c>
      <c r="C253" s="744"/>
      <c r="D253" s="745"/>
      <c r="E253" s="746"/>
      <c r="F253" s="747"/>
      <c r="G253" s="474"/>
      <c r="H253" s="746"/>
      <c r="I253" s="749">
        <f>G253</f>
        <v>0</v>
      </c>
      <c r="K253" s="162"/>
      <c r="L253" s="162"/>
      <c r="M253" s="162"/>
    </row>
    <row r="254" spans="1:13" s="36" customFormat="1" outlineLevel="1" x14ac:dyDescent="0.25">
      <c r="A254" s="92"/>
      <c r="B254" s="748" t="s">
        <v>1545</v>
      </c>
      <c r="C254" s="744"/>
      <c r="D254" s="745"/>
      <c r="E254" s="746"/>
      <c r="F254" s="747"/>
      <c r="G254" s="474"/>
      <c r="H254" s="746"/>
      <c r="I254" s="749">
        <f>G254</f>
        <v>0</v>
      </c>
      <c r="K254" s="162"/>
      <c r="L254" s="162"/>
      <c r="M254" s="162"/>
    </row>
    <row r="255" spans="1:13" s="5" customFormat="1" ht="15.6" customHeight="1" x14ac:dyDescent="0.25">
      <c r="A255" s="391"/>
      <c r="B255" s="232" t="s">
        <v>811</v>
      </c>
      <c r="C255" s="225"/>
      <c r="D255" s="239"/>
      <c r="E255" s="230"/>
      <c r="F255" s="240"/>
      <c r="G255" s="230">
        <f>G251+G253+G254</f>
        <v>155817.0797</v>
      </c>
      <c r="H255" s="230">
        <f>H252</f>
        <v>282530.16069700004</v>
      </c>
      <c r="I255" s="230">
        <f>I251+I252+I253+I254</f>
        <v>438347.24039700005</v>
      </c>
      <c r="J255" s="691"/>
    </row>
    <row r="256" spans="1:13" s="5" customFormat="1" ht="15.6" customHeight="1" x14ac:dyDescent="0.25">
      <c r="A256" s="391"/>
      <c r="B256" s="58" t="s">
        <v>624</v>
      </c>
      <c r="C256" s="9"/>
      <c r="D256" s="31"/>
      <c r="E256" s="10"/>
      <c r="F256" s="57"/>
      <c r="G256" s="10"/>
      <c r="H256" s="10"/>
      <c r="I256" s="31">
        <f>ROUND(I255/1.18*0.18,2)</f>
        <v>66866.53</v>
      </c>
    </row>
    <row r="257" spans="1:9" s="5" customFormat="1" ht="21" hidden="1" customHeight="1" x14ac:dyDescent="0.25">
      <c r="A257" s="108"/>
      <c r="B257" s="765" t="s">
        <v>812</v>
      </c>
      <c r="C257" s="105"/>
      <c r="D257" s="105"/>
      <c r="E257" s="105"/>
      <c r="F257" s="138"/>
      <c r="G257" s="105"/>
      <c r="H257" s="105"/>
      <c r="I257" s="106"/>
    </row>
    <row r="258" spans="1:9" s="5" customFormat="1" ht="15.6" hidden="1" customHeight="1" x14ac:dyDescent="0.25">
      <c r="A258" s="391"/>
      <c r="B258" s="383" t="s">
        <v>813</v>
      </c>
      <c r="C258" s="41" t="s">
        <v>12</v>
      </c>
      <c r="D258" s="282">
        <v>0</v>
      </c>
      <c r="E258" s="390">
        <v>500</v>
      </c>
      <c r="F258" s="363">
        <v>24000</v>
      </c>
      <c r="G258" s="2">
        <f>D258*E258</f>
        <v>0</v>
      </c>
      <c r="H258" s="2">
        <f>D258*F258</f>
        <v>0</v>
      </c>
      <c r="I258" s="11">
        <f>H258+G258</f>
        <v>0</v>
      </c>
    </row>
    <row r="259" spans="1:9" s="5" customFormat="1" ht="15.6" hidden="1" customHeight="1" x14ac:dyDescent="0.25">
      <c r="A259" s="391"/>
      <c r="B259" s="383" t="s">
        <v>814</v>
      </c>
      <c r="C259" s="41" t="s">
        <v>8</v>
      </c>
      <c r="D259" s="282">
        <v>0</v>
      </c>
      <c r="E259" s="390">
        <v>2500</v>
      </c>
      <c r="F259" s="363"/>
      <c r="G259" s="2">
        <f>D259*E259</f>
        <v>0</v>
      </c>
      <c r="H259" s="2"/>
      <c r="I259" s="11">
        <f>G259</f>
        <v>0</v>
      </c>
    </row>
    <row r="260" spans="1:9" s="5" customFormat="1" ht="15.6" hidden="1" customHeight="1" x14ac:dyDescent="0.3">
      <c r="A260" s="391"/>
      <c r="B260" s="394" t="s">
        <v>815</v>
      </c>
      <c r="C260" s="41" t="s">
        <v>8</v>
      </c>
      <c r="D260" s="282">
        <f>D259*1.05</f>
        <v>0</v>
      </c>
      <c r="E260" s="390"/>
      <c r="F260" s="363">
        <f>F109</f>
        <v>0</v>
      </c>
      <c r="G260" s="2"/>
      <c r="H260" s="2">
        <f>F260*D260</f>
        <v>0</v>
      </c>
      <c r="I260" s="11">
        <f>G260+H260</f>
        <v>0</v>
      </c>
    </row>
    <row r="261" spans="1:9" s="5" customFormat="1" ht="15.6" hidden="1" customHeight="1" x14ac:dyDescent="0.3">
      <c r="A261" s="391"/>
      <c r="B261" s="395" t="s">
        <v>816</v>
      </c>
      <c r="C261" s="41" t="s">
        <v>9</v>
      </c>
      <c r="D261" s="282">
        <v>0</v>
      </c>
      <c r="E261" s="390"/>
      <c r="F261" s="363">
        <v>31000</v>
      </c>
      <c r="G261" s="2"/>
      <c r="H261" s="2">
        <f>F261*D261</f>
        <v>0</v>
      </c>
      <c r="I261" s="11">
        <f>G261+H261</f>
        <v>0</v>
      </c>
    </row>
    <row r="262" spans="1:9" s="5" customFormat="1" ht="15.6" hidden="1" customHeight="1" x14ac:dyDescent="0.3">
      <c r="A262" s="391"/>
      <c r="B262" s="395" t="s">
        <v>817</v>
      </c>
      <c r="C262" s="41" t="s">
        <v>9</v>
      </c>
      <c r="D262" s="282">
        <v>0</v>
      </c>
      <c r="E262" s="390"/>
      <c r="F262" s="363">
        <v>31000</v>
      </c>
      <c r="G262" s="2"/>
      <c r="H262" s="2">
        <f>F262*D262</f>
        <v>0</v>
      </c>
      <c r="I262" s="11">
        <f>G262+H262</f>
        <v>0</v>
      </c>
    </row>
    <row r="263" spans="1:9" s="5" customFormat="1" ht="15.6" hidden="1" customHeight="1" x14ac:dyDescent="0.3">
      <c r="A263" s="391"/>
      <c r="B263" s="396" t="s">
        <v>818</v>
      </c>
      <c r="C263" s="41" t="s">
        <v>9</v>
      </c>
      <c r="D263" s="282">
        <v>0</v>
      </c>
      <c r="E263" s="390"/>
      <c r="F263" s="363">
        <v>31000</v>
      </c>
      <c r="G263" s="2"/>
      <c r="H263" s="2">
        <f>F263*D263</f>
        <v>0</v>
      </c>
      <c r="I263" s="11">
        <f>G263+H263</f>
        <v>0</v>
      </c>
    </row>
    <row r="264" spans="1:9" s="5" customFormat="1" ht="15.6" hidden="1" customHeight="1" x14ac:dyDescent="0.25">
      <c r="A264" s="391"/>
      <c r="B264" s="383" t="s">
        <v>819</v>
      </c>
      <c r="C264" s="41" t="s">
        <v>853</v>
      </c>
      <c r="D264" s="282">
        <v>0</v>
      </c>
      <c r="E264" s="390">
        <v>25000</v>
      </c>
      <c r="F264" s="363"/>
      <c r="G264" s="2">
        <f>D264*E264</f>
        <v>0</v>
      </c>
      <c r="H264" s="2">
        <f>D264*F264</f>
        <v>0</v>
      </c>
      <c r="I264" s="11">
        <f>H264+G264</f>
        <v>0</v>
      </c>
    </row>
    <row r="265" spans="1:9" s="5" customFormat="1" ht="15.6" hidden="1" customHeight="1" x14ac:dyDescent="0.3">
      <c r="A265" s="391"/>
      <c r="B265" s="393" t="s">
        <v>820</v>
      </c>
      <c r="C265" s="41" t="s">
        <v>853</v>
      </c>
      <c r="D265" s="282">
        <v>0</v>
      </c>
      <c r="E265" s="390"/>
      <c r="F265" s="363">
        <v>33000</v>
      </c>
      <c r="G265" s="2"/>
      <c r="H265" s="2">
        <f>D265*F265</f>
        <v>0</v>
      </c>
      <c r="I265" s="11">
        <f>H265</f>
        <v>0</v>
      </c>
    </row>
    <row r="266" spans="1:9" s="5" customFormat="1" ht="15.6" hidden="1" customHeight="1" x14ac:dyDescent="0.3">
      <c r="A266" s="391"/>
      <c r="B266" s="393" t="s">
        <v>821</v>
      </c>
      <c r="C266" s="41" t="s">
        <v>853</v>
      </c>
      <c r="D266" s="282">
        <v>0</v>
      </c>
      <c r="E266" s="390"/>
      <c r="F266" s="363">
        <v>33000</v>
      </c>
      <c r="G266" s="2"/>
      <c r="H266" s="2">
        <f>D266*F266</f>
        <v>0</v>
      </c>
      <c r="I266" s="11">
        <f>H266</f>
        <v>0</v>
      </c>
    </row>
    <row r="267" spans="1:9" s="5" customFormat="1" ht="15.6" hidden="1" customHeight="1" x14ac:dyDescent="0.3">
      <c r="A267" s="391"/>
      <c r="B267" s="393" t="s">
        <v>822</v>
      </c>
      <c r="C267" s="41" t="s">
        <v>14</v>
      </c>
      <c r="D267" s="282">
        <v>0</v>
      </c>
      <c r="E267" s="390"/>
      <c r="F267" s="363">
        <v>250</v>
      </c>
      <c r="G267" s="2"/>
      <c r="H267" s="2">
        <f>D267*F267</f>
        <v>0</v>
      </c>
      <c r="I267" s="11">
        <f>H267</f>
        <v>0</v>
      </c>
    </row>
    <row r="268" spans="1:9" s="5" customFormat="1" ht="15.6" hidden="1" customHeight="1" x14ac:dyDescent="0.3">
      <c r="A268" s="391"/>
      <c r="B268" s="397" t="s">
        <v>823</v>
      </c>
      <c r="C268" s="41"/>
      <c r="D268" s="282"/>
      <c r="E268" s="390"/>
      <c r="F268" s="363"/>
      <c r="G268" s="2"/>
      <c r="H268" s="2"/>
      <c r="I268" s="11"/>
    </row>
    <row r="269" spans="1:9" s="5" customFormat="1" ht="15.6" hidden="1" customHeight="1" x14ac:dyDescent="0.25">
      <c r="A269" s="391"/>
      <c r="B269" s="383" t="s">
        <v>824</v>
      </c>
      <c r="C269" s="41" t="s">
        <v>853</v>
      </c>
      <c r="D269" s="282">
        <v>0</v>
      </c>
      <c r="E269" s="390">
        <v>25000</v>
      </c>
      <c r="F269" s="363"/>
      <c r="G269" s="2">
        <f>D269*E269</f>
        <v>0</v>
      </c>
      <c r="H269" s="2">
        <f t="shared" ref="H269:H278" si="20">D269*F269</f>
        <v>0</v>
      </c>
      <c r="I269" s="11">
        <f>H269+G269</f>
        <v>0</v>
      </c>
    </row>
    <row r="270" spans="1:9" s="5" customFormat="1" ht="15.6" hidden="1" customHeight="1" x14ac:dyDescent="0.3">
      <c r="A270" s="391"/>
      <c r="B270" s="393" t="s">
        <v>825</v>
      </c>
      <c r="C270" s="41" t="s">
        <v>853</v>
      </c>
      <c r="D270" s="282">
        <v>0</v>
      </c>
      <c r="E270" s="390"/>
      <c r="F270" s="363">
        <v>33000</v>
      </c>
      <c r="G270" s="2"/>
      <c r="H270" s="2">
        <f t="shared" si="20"/>
        <v>0</v>
      </c>
      <c r="I270" s="11">
        <f>H270</f>
        <v>0</v>
      </c>
    </row>
    <row r="271" spans="1:9" s="5" customFormat="1" ht="15.6" hidden="1" customHeight="1" x14ac:dyDescent="0.3">
      <c r="A271" s="391"/>
      <c r="B271" s="393" t="s">
        <v>826</v>
      </c>
      <c r="C271" s="41" t="s">
        <v>853</v>
      </c>
      <c r="D271" s="282">
        <v>0</v>
      </c>
      <c r="E271" s="390"/>
      <c r="F271" s="363">
        <v>33000</v>
      </c>
      <c r="G271" s="2"/>
      <c r="H271" s="2">
        <f t="shared" si="20"/>
        <v>0</v>
      </c>
      <c r="I271" s="11">
        <f t="shared" ref="I271:I278" si="21">H271</f>
        <v>0</v>
      </c>
    </row>
    <row r="272" spans="1:9" s="5" customFormat="1" ht="15.6" hidden="1" customHeight="1" x14ac:dyDescent="0.3">
      <c r="A272" s="391"/>
      <c r="B272" s="393" t="s">
        <v>827</v>
      </c>
      <c r="C272" s="41" t="s">
        <v>853</v>
      </c>
      <c r="D272" s="282">
        <v>0</v>
      </c>
      <c r="E272" s="390"/>
      <c r="F272" s="363">
        <v>33000</v>
      </c>
      <c r="G272" s="2"/>
      <c r="H272" s="2">
        <f t="shared" si="20"/>
        <v>0</v>
      </c>
      <c r="I272" s="11">
        <f>H272</f>
        <v>0</v>
      </c>
    </row>
    <row r="273" spans="1:9" s="5" customFormat="1" ht="15.6" hidden="1" customHeight="1" x14ac:dyDescent="0.3">
      <c r="A273" s="391"/>
      <c r="B273" s="393" t="s">
        <v>828</v>
      </c>
      <c r="C273" s="41" t="s">
        <v>853</v>
      </c>
      <c r="D273" s="282">
        <v>0</v>
      </c>
      <c r="E273" s="390"/>
      <c r="F273" s="363">
        <v>33000</v>
      </c>
      <c r="G273" s="2"/>
      <c r="H273" s="2">
        <f t="shared" si="20"/>
        <v>0</v>
      </c>
      <c r="I273" s="11">
        <f t="shared" si="21"/>
        <v>0</v>
      </c>
    </row>
    <row r="274" spans="1:9" s="5" customFormat="1" ht="15.6" hidden="1" customHeight="1" x14ac:dyDescent="0.3">
      <c r="A274" s="391"/>
      <c r="B274" s="393" t="s">
        <v>822</v>
      </c>
      <c r="C274" s="41" t="s">
        <v>14</v>
      </c>
      <c r="D274" s="282">
        <v>0</v>
      </c>
      <c r="E274" s="390"/>
      <c r="F274" s="363">
        <v>250</v>
      </c>
      <c r="G274" s="2"/>
      <c r="H274" s="2">
        <f t="shared" si="20"/>
        <v>0</v>
      </c>
      <c r="I274" s="11">
        <f t="shared" si="21"/>
        <v>0</v>
      </c>
    </row>
    <row r="275" spans="1:9" s="5" customFormat="1" ht="15.6" hidden="1" customHeight="1" x14ac:dyDescent="0.3">
      <c r="A275" s="391"/>
      <c r="B275" s="393" t="s">
        <v>829</v>
      </c>
      <c r="C275" s="41" t="s">
        <v>14</v>
      </c>
      <c r="D275" s="282">
        <v>0</v>
      </c>
      <c r="E275" s="390"/>
      <c r="F275" s="363">
        <v>250</v>
      </c>
      <c r="G275" s="2"/>
      <c r="H275" s="2">
        <f t="shared" si="20"/>
        <v>0</v>
      </c>
      <c r="I275" s="11">
        <f t="shared" si="21"/>
        <v>0</v>
      </c>
    </row>
    <row r="276" spans="1:9" s="5" customFormat="1" ht="15.6" hidden="1" customHeight="1" x14ac:dyDescent="0.3">
      <c r="A276" s="391"/>
      <c r="B276" s="393" t="s">
        <v>830</v>
      </c>
      <c r="C276" s="41" t="s">
        <v>14</v>
      </c>
      <c r="D276" s="282">
        <v>0</v>
      </c>
      <c r="E276" s="390"/>
      <c r="F276" s="363">
        <v>250</v>
      </c>
      <c r="G276" s="2"/>
      <c r="H276" s="2">
        <f t="shared" si="20"/>
        <v>0</v>
      </c>
      <c r="I276" s="11">
        <f t="shared" si="21"/>
        <v>0</v>
      </c>
    </row>
    <row r="277" spans="1:9" s="5" customFormat="1" ht="15.6" hidden="1" customHeight="1" x14ac:dyDescent="0.3">
      <c r="A277" s="391"/>
      <c r="B277" s="393" t="s">
        <v>831</v>
      </c>
      <c r="C277" s="41" t="s">
        <v>12</v>
      </c>
      <c r="D277" s="282">
        <v>0</v>
      </c>
      <c r="E277" s="390"/>
      <c r="F277" s="363">
        <v>250</v>
      </c>
      <c r="G277" s="2"/>
      <c r="H277" s="2">
        <f t="shared" si="20"/>
        <v>0</v>
      </c>
      <c r="I277" s="11">
        <f t="shared" si="21"/>
        <v>0</v>
      </c>
    </row>
    <row r="278" spans="1:9" s="5" customFormat="1" ht="15.6" hidden="1" customHeight="1" x14ac:dyDescent="0.3">
      <c r="A278" s="391"/>
      <c r="B278" s="393" t="s">
        <v>832</v>
      </c>
      <c r="C278" s="41" t="s">
        <v>14</v>
      </c>
      <c r="D278" s="282">
        <v>0</v>
      </c>
      <c r="E278" s="390"/>
      <c r="F278" s="363">
        <v>200</v>
      </c>
      <c r="G278" s="2"/>
      <c r="H278" s="2">
        <f t="shared" si="20"/>
        <v>0</v>
      </c>
      <c r="I278" s="11">
        <f t="shared" si="21"/>
        <v>0</v>
      </c>
    </row>
    <row r="279" spans="1:9" s="5" customFormat="1" ht="15.6" hidden="1" customHeight="1" x14ac:dyDescent="0.25">
      <c r="A279" s="391"/>
      <c r="B279" s="383" t="s">
        <v>807</v>
      </c>
      <c r="C279" s="41" t="s">
        <v>14</v>
      </c>
      <c r="D279" s="282">
        <f>(D264+D269)*27</f>
        <v>0</v>
      </c>
      <c r="E279" s="390">
        <v>150</v>
      </c>
      <c r="F279" s="363"/>
      <c r="G279" s="2">
        <f>D279*E279</f>
        <v>0</v>
      </c>
      <c r="H279" s="2"/>
      <c r="I279" s="11">
        <f>G279</f>
        <v>0</v>
      </c>
    </row>
    <row r="280" spans="1:9" s="5" customFormat="1" ht="15.6" hidden="1" customHeight="1" x14ac:dyDescent="0.3">
      <c r="A280" s="391"/>
      <c r="B280" s="393" t="s">
        <v>808</v>
      </c>
      <c r="C280" s="41" t="s">
        <v>15</v>
      </c>
      <c r="D280" s="282">
        <f>D279*0.2</f>
        <v>0</v>
      </c>
      <c r="E280" s="390"/>
      <c r="F280" s="363">
        <v>85</v>
      </c>
      <c r="G280" s="2"/>
      <c r="H280" s="2">
        <f>F280*D280</f>
        <v>0</v>
      </c>
      <c r="I280" s="11">
        <f>H280</f>
        <v>0</v>
      </c>
    </row>
    <row r="281" spans="1:9" s="5" customFormat="1" ht="15.6" hidden="1" customHeight="1" x14ac:dyDescent="0.3">
      <c r="A281" s="391"/>
      <c r="B281" s="393" t="s">
        <v>809</v>
      </c>
      <c r="C281" s="41" t="s">
        <v>15</v>
      </c>
      <c r="D281" s="282">
        <f>D279*0.3</f>
        <v>0</v>
      </c>
      <c r="E281" s="390"/>
      <c r="F281" s="363">
        <v>115</v>
      </c>
      <c r="G281" s="2"/>
      <c r="H281" s="2">
        <f>F281*D281</f>
        <v>0</v>
      </c>
      <c r="I281" s="11">
        <f>H281</f>
        <v>0</v>
      </c>
    </row>
    <row r="282" spans="1:9" s="5" customFormat="1" ht="15.6" hidden="1" customHeight="1" x14ac:dyDescent="0.3">
      <c r="A282" s="391"/>
      <c r="B282" s="398" t="s">
        <v>833</v>
      </c>
      <c r="C282" s="41"/>
      <c r="D282" s="282"/>
      <c r="E282" s="390"/>
      <c r="F282" s="363"/>
      <c r="G282" s="2"/>
      <c r="H282" s="2"/>
      <c r="I282" s="11"/>
    </row>
    <row r="283" spans="1:9" s="5" customFormat="1" ht="15.6" hidden="1" customHeight="1" x14ac:dyDescent="0.25">
      <c r="A283" s="391"/>
      <c r="B283" s="383" t="s">
        <v>824</v>
      </c>
      <c r="C283" s="41" t="s">
        <v>853</v>
      </c>
      <c r="D283" s="282">
        <v>0</v>
      </c>
      <c r="E283" s="390">
        <v>25000</v>
      </c>
      <c r="F283" s="363"/>
      <c r="G283" s="2">
        <f>D283*E283</f>
        <v>0</v>
      </c>
      <c r="H283" s="2">
        <f t="shared" ref="H283:H296" si="22">D283*F283</f>
        <v>0</v>
      </c>
      <c r="I283" s="11">
        <f t="shared" ref="I283:I297" si="23">H283+G283</f>
        <v>0</v>
      </c>
    </row>
    <row r="284" spans="1:9" s="5" customFormat="1" ht="15.6" hidden="1" customHeight="1" x14ac:dyDescent="0.3">
      <c r="A284" s="391"/>
      <c r="B284" s="399" t="s">
        <v>834</v>
      </c>
      <c r="C284" s="41" t="s">
        <v>853</v>
      </c>
      <c r="D284" s="282">
        <v>0</v>
      </c>
      <c r="E284" s="390"/>
      <c r="F284" s="363">
        <v>33000</v>
      </c>
      <c r="G284" s="2"/>
      <c r="H284" s="2">
        <f t="shared" si="22"/>
        <v>0</v>
      </c>
      <c r="I284" s="11">
        <f t="shared" si="23"/>
        <v>0</v>
      </c>
    </row>
    <row r="285" spans="1:9" s="5" customFormat="1" ht="15.6" hidden="1" customHeight="1" x14ac:dyDescent="0.3">
      <c r="A285" s="391"/>
      <c r="B285" s="400" t="s">
        <v>835</v>
      </c>
      <c r="C285" s="41" t="s">
        <v>853</v>
      </c>
      <c r="D285" s="282">
        <v>0</v>
      </c>
      <c r="E285" s="390"/>
      <c r="F285" s="363">
        <v>33000</v>
      </c>
      <c r="G285" s="2"/>
      <c r="H285" s="2">
        <f t="shared" si="22"/>
        <v>0</v>
      </c>
      <c r="I285" s="11">
        <f t="shared" si="23"/>
        <v>0</v>
      </c>
    </row>
    <row r="286" spans="1:9" s="5" customFormat="1" ht="15.6" hidden="1" customHeight="1" x14ac:dyDescent="0.3">
      <c r="A286" s="391"/>
      <c r="B286" s="400" t="s">
        <v>836</v>
      </c>
      <c r="C286" s="41" t="s">
        <v>853</v>
      </c>
      <c r="D286" s="282">
        <v>0</v>
      </c>
      <c r="E286" s="390"/>
      <c r="F286" s="363">
        <v>33000</v>
      </c>
      <c r="G286" s="2"/>
      <c r="H286" s="2">
        <f t="shared" si="22"/>
        <v>0</v>
      </c>
      <c r="I286" s="11">
        <f t="shared" si="23"/>
        <v>0</v>
      </c>
    </row>
    <row r="287" spans="1:9" s="5" customFormat="1" ht="15.6" hidden="1" customHeight="1" x14ac:dyDescent="0.3">
      <c r="A287" s="391"/>
      <c r="B287" s="400" t="s">
        <v>837</v>
      </c>
      <c r="C287" s="41" t="s">
        <v>853</v>
      </c>
      <c r="D287" s="282">
        <v>0</v>
      </c>
      <c r="E287" s="390"/>
      <c r="F287" s="363">
        <v>33000</v>
      </c>
      <c r="G287" s="2"/>
      <c r="H287" s="2">
        <f t="shared" si="22"/>
        <v>0</v>
      </c>
      <c r="I287" s="11">
        <f t="shared" si="23"/>
        <v>0</v>
      </c>
    </row>
    <row r="288" spans="1:9" s="5" customFormat="1" ht="15.6" hidden="1" customHeight="1" x14ac:dyDescent="0.3">
      <c r="A288" s="391"/>
      <c r="B288" s="400" t="s">
        <v>838</v>
      </c>
      <c r="C288" s="41" t="s">
        <v>853</v>
      </c>
      <c r="D288" s="282">
        <v>0</v>
      </c>
      <c r="E288" s="390"/>
      <c r="F288" s="363">
        <v>33000</v>
      </c>
      <c r="G288" s="2"/>
      <c r="H288" s="2">
        <f t="shared" si="22"/>
        <v>0</v>
      </c>
      <c r="I288" s="11">
        <f t="shared" si="23"/>
        <v>0</v>
      </c>
    </row>
    <row r="289" spans="1:9" s="5" customFormat="1" ht="15.6" hidden="1" customHeight="1" x14ac:dyDescent="0.3">
      <c r="A289" s="391"/>
      <c r="B289" s="400" t="s">
        <v>839</v>
      </c>
      <c r="C289" s="41" t="s">
        <v>853</v>
      </c>
      <c r="D289" s="282">
        <v>0</v>
      </c>
      <c r="E289" s="390"/>
      <c r="F289" s="363">
        <v>33000</v>
      </c>
      <c r="G289" s="2"/>
      <c r="H289" s="2">
        <f t="shared" si="22"/>
        <v>0</v>
      </c>
      <c r="I289" s="11">
        <f t="shared" si="23"/>
        <v>0</v>
      </c>
    </row>
    <row r="290" spans="1:9" s="5" customFormat="1" ht="15.6" hidden="1" customHeight="1" x14ac:dyDescent="0.3">
      <c r="A290" s="391"/>
      <c r="B290" s="400" t="s">
        <v>840</v>
      </c>
      <c r="C290" s="41" t="s">
        <v>853</v>
      </c>
      <c r="D290" s="282">
        <v>0</v>
      </c>
      <c r="E290" s="390"/>
      <c r="F290" s="363">
        <v>33000</v>
      </c>
      <c r="G290" s="2"/>
      <c r="H290" s="2">
        <f t="shared" si="22"/>
        <v>0</v>
      </c>
      <c r="I290" s="11">
        <f t="shared" si="23"/>
        <v>0</v>
      </c>
    </row>
    <row r="291" spans="1:9" s="5" customFormat="1" ht="15.6" hidden="1" customHeight="1" x14ac:dyDescent="0.3">
      <c r="A291" s="391"/>
      <c r="B291" s="400" t="s">
        <v>841</v>
      </c>
      <c r="C291" s="41" t="s">
        <v>853</v>
      </c>
      <c r="D291" s="282">
        <v>0</v>
      </c>
      <c r="E291" s="390"/>
      <c r="F291" s="363">
        <v>33000</v>
      </c>
      <c r="G291" s="2"/>
      <c r="H291" s="2">
        <f t="shared" si="22"/>
        <v>0</v>
      </c>
      <c r="I291" s="11">
        <f t="shared" si="23"/>
        <v>0</v>
      </c>
    </row>
    <row r="292" spans="1:9" s="5" customFormat="1" ht="15.6" hidden="1" customHeight="1" x14ac:dyDescent="0.3">
      <c r="A292" s="391"/>
      <c r="B292" s="400" t="s">
        <v>842</v>
      </c>
      <c r="C292" s="41" t="s">
        <v>853</v>
      </c>
      <c r="D292" s="282">
        <v>0</v>
      </c>
      <c r="E292" s="390"/>
      <c r="F292" s="363">
        <v>33000</v>
      </c>
      <c r="G292" s="2"/>
      <c r="H292" s="2">
        <f t="shared" si="22"/>
        <v>0</v>
      </c>
      <c r="I292" s="11">
        <f t="shared" si="23"/>
        <v>0</v>
      </c>
    </row>
    <row r="293" spans="1:9" s="5" customFormat="1" ht="15.6" hidden="1" customHeight="1" x14ac:dyDescent="0.3">
      <c r="A293" s="391"/>
      <c r="B293" s="400" t="s">
        <v>843</v>
      </c>
      <c r="C293" s="41" t="s">
        <v>853</v>
      </c>
      <c r="D293" s="282">
        <v>0</v>
      </c>
      <c r="E293" s="390"/>
      <c r="F293" s="363">
        <v>31000</v>
      </c>
      <c r="G293" s="2"/>
      <c r="H293" s="2">
        <f t="shared" si="22"/>
        <v>0</v>
      </c>
      <c r="I293" s="11">
        <f t="shared" si="23"/>
        <v>0</v>
      </c>
    </row>
    <row r="294" spans="1:9" s="5" customFormat="1" ht="15.6" hidden="1" customHeight="1" x14ac:dyDescent="0.3">
      <c r="A294" s="391"/>
      <c r="B294" s="400" t="s">
        <v>844</v>
      </c>
      <c r="C294" s="41" t="s">
        <v>853</v>
      </c>
      <c r="D294" s="282">
        <v>0</v>
      </c>
      <c r="E294" s="390"/>
      <c r="F294" s="363">
        <v>33000</v>
      </c>
      <c r="G294" s="2"/>
      <c r="H294" s="2">
        <f t="shared" si="22"/>
        <v>0</v>
      </c>
      <c r="I294" s="11">
        <f t="shared" si="23"/>
        <v>0</v>
      </c>
    </row>
    <row r="295" spans="1:9" s="5" customFormat="1" ht="15.6" hidden="1" customHeight="1" x14ac:dyDescent="0.3">
      <c r="A295" s="391"/>
      <c r="B295" s="393" t="s">
        <v>845</v>
      </c>
      <c r="C295" s="41" t="s">
        <v>14</v>
      </c>
      <c r="D295" s="282">
        <v>0</v>
      </c>
      <c r="E295" s="390"/>
      <c r="F295" s="363">
        <v>250</v>
      </c>
      <c r="G295" s="2"/>
      <c r="H295" s="2">
        <f t="shared" si="22"/>
        <v>0</v>
      </c>
      <c r="I295" s="11">
        <f t="shared" si="23"/>
        <v>0</v>
      </c>
    </row>
    <row r="296" spans="1:9" s="5" customFormat="1" ht="15.6" hidden="1" customHeight="1" x14ac:dyDescent="0.3">
      <c r="A296" s="391"/>
      <c r="B296" s="393" t="s">
        <v>846</v>
      </c>
      <c r="C296" s="41" t="s">
        <v>14</v>
      </c>
      <c r="D296" s="282">
        <v>0</v>
      </c>
      <c r="E296" s="390"/>
      <c r="F296" s="363">
        <v>250</v>
      </c>
      <c r="G296" s="2"/>
      <c r="H296" s="2">
        <f t="shared" si="22"/>
        <v>0</v>
      </c>
      <c r="I296" s="11">
        <f t="shared" si="23"/>
        <v>0</v>
      </c>
    </row>
    <row r="297" spans="1:9" s="5" customFormat="1" ht="15.6" hidden="1" customHeight="1" x14ac:dyDescent="0.3">
      <c r="A297" s="391"/>
      <c r="B297" s="393" t="s">
        <v>847</v>
      </c>
      <c r="C297" s="41"/>
      <c r="D297" s="282"/>
      <c r="E297" s="390"/>
      <c r="F297" s="363"/>
      <c r="G297" s="2"/>
      <c r="H297" s="2">
        <v>0</v>
      </c>
      <c r="I297" s="11">
        <f t="shared" si="23"/>
        <v>0</v>
      </c>
    </row>
    <row r="298" spans="1:9" s="5" customFormat="1" ht="15.6" hidden="1" customHeight="1" x14ac:dyDescent="0.25">
      <c r="A298" s="391"/>
      <c r="B298" s="383" t="s">
        <v>848</v>
      </c>
      <c r="C298" s="41" t="s">
        <v>8</v>
      </c>
      <c r="D298" s="282">
        <v>0</v>
      </c>
      <c r="E298" s="390">
        <v>2500</v>
      </c>
      <c r="F298" s="363"/>
      <c r="G298" s="2">
        <f>D298*E298</f>
        <v>0</v>
      </c>
      <c r="H298" s="2"/>
      <c r="I298" s="11">
        <f>G298</f>
        <v>0</v>
      </c>
    </row>
    <row r="299" spans="1:9" s="5" customFormat="1" ht="15.6" hidden="1" customHeight="1" x14ac:dyDescent="0.3">
      <c r="A299" s="391"/>
      <c r="B299" s="393" t="s">
        <v>849</v>
      </c>
      <c r="C299" s="41" t="s">
        <v>8</v>
      </c>
      <c r="D299" s="282">
        <v>0</v>
      </c>
      <c r="E299" s="390"/>
      <c r="F299" s="363">
        <v>4975</v>
      </c>
      <c r="G299" s="2"/>
      <c r="H299" s="2">
        <f>F299*D299</f>
        <v>0</v>
      </c>
      <c r="I299" s="11">
        <f>H299</f>
        <v>0</v>
      </c>
    </row>
    <row r="300" spans="1:9" s="5" customFormat="1" ht="15.6" hidden="1" customHeight="1" x14ac:dyDescent="0.3">
      <c r="A300" s="391"/>
      <c r="B300" s="393" t="s">
        <v>850</v>
      </c>
      <c r="C300" s="41" t="s">
        <v>8</v>
      </c>
      <c r="D300" s="282">
        <v>0</v>
      </c>
      <c r="E300" s="390"/>
      <c r="F300" s="363">
        <f>F211</f>
        <v>4100</v>
      </c>
      <c r="G300" s="2"/>
      <c r="H300" s="2">
        <f>F300*D300</f>
        <v>0</v>
      </c>
      <c r="I300" s="11">
        <f>H300</f>
        <v>0</v>
      </c>
    </row>
    <row r="301" spans="1:9" s="5" customFormat="1" ht="15.6" hidden="1" customHeight="1" x14ac:dyDescent="0.3">
      <c r="A301" s="391"/>
      <c r="B301" s="393" t="s">
        <v>851</v>
      </c>
      <c r="C301" s="41" t="s">
        <v>853</v>
      </c>
      <c r="D301" s="282">
        <v>0</v>
      </c>
      <c r="E301" s="390"/>
      <c r="F301" s="363">
        <v>42000</v>
      </c>
      <c r="G301" s="2"/>
      <c r="H301" s="2">
        <f>F301*D301</f>
        <v>0</v>
      </c>
      <c r="I301" s="11">
        <f>H301</f>
        <v>0</v>
      </c>
    </row>
    <row r="302" spans="1:9" s="5" customFormat="1" ht="15.6" hidden="1" customHeight="1" x14ac:dyDescent="0.3">
      <c r="A302" s="391"/>
      <c r="B302" s="393" t="s">
        <v>852</v>
      </c>
      <c r="C302" s="41" t="s">
        <v>853</v>
      </c>
      <c r="D302" s="282">
        <v>0</v>
      </c>
      <c r="E302" s="390"/>
      <c r="F302" s="363">
        <v>35000</v>
      </c>
      <c r="G302" s="2"/>
      <c r="H302" s="2">
        <f>F302*D302</f>
        <v>0</v>
      </c>
      <c r="I302" s="11">
        <f>H302</f>
        <v>0</v>
      </c>
    </row>
    <row r="303" spans="1:9" s="5" customFormat="1" ht="15.6" hidden="1" customHeight="1" x14ac:dyDescent="0.25">
      <c r="A303" s="391"/>
      <c r="B303" s="383" t="s">
        <v>807</v>
      </c>
      <c r="C303" s="41" t="s">
        <v>14</v>
      </c>
      <c r="D303" s="282">
        <f>D283*27</f>
        <v>0</v>
      </c>
      <c r="E303" s="390">
        <v>150</v>
      </c>
      <c r="F303" s="363"/>
      <c r="G303" s="2">
        <f>D303*E303</f>
        <v>0</v>
      </c>
      <c r="H303" s="2"/>
      <c r="I303" s="11">
        <f>G303</f>
        <v>0</v>
      </c>
    </row>
    <row r="304" spans="1:9" s="5" customFormat="1" ht="15.6" hidden="1" customHeight="1" x14ac:dyDescent="0.3">
      <c r="A304" s="391"/>
      <c r="B304" s="393" t="s">
        <v>808</v>
      </c>
      <c r="C304" s="41" t="s">
        <v>15</v>
      </c>
      <c r="D304" s="282">
        <f>D303*0.2</f>
        <v>0</v>
      </c>
      <c r="E304" s="390"/>
      <c r="F304" s="363">
        <v>85</v>
      </c>
      <c r="G304" s="2"/>
      <c r="H304" s="2">
        <f>F304*D304</f>
        <v>0</v>
      </c>
      <c r="I304" s="11">
        <f>H304</f>
        <v>0</v>
      </c>
    </row>
    <row r="305" spans="1:9" s="5" customFormat="1" ht="15.6" hidden="1" customHeight="1" x14ac:dyDescent="0.3">
      <c r="A305" s="391"/>
      <c r="B305" s="393" t="s">
        <v>809</v>
      </c>
      <c r="C305" s="41" t="s">
        <v>15</v>
      </c>
      <c r="D305" s="282">
        <f>D303*0.3</f>
        <v>0</v>
      </c>
      <c r="E305" s="390"/>
      <c r="F305" s="363">
        <v>115</v>
      </c>
      <c r="G305" s="2"/>
      <c r="H305" s="2">
        <f>F305*D305</f>
        <v>0</v>
      </c>
      <c r="I305" s="11">
        <f>H305</f>
        <v>0</v>
      </c>
    </row>
    <row r="306" spans="1:9" s="5" customFormat="1" ht="15.6" hidden="1" customHeight="1" x14ac:dyDescent="0.25">
      <c r="A306" s="391"/>
      <c r="B306" s="232" t="s">
        <v>854</v>
      </c>
      <c r="C306" s="225"/>
      <c r="D306" s="239"/>
      <c r="E306" s="230"/>
      <c r="F306" s="240"/>
      <c r="G306" s="230">
        <f>SUM(G258:G305)</f>
        <v>0</v>
      </c>
      <c r="H306" s="230">
        <f>SUM(H258:H305)</f>
        <v>0</v>
      </c>
      <c r="I306" s="230">
        <f>ROUND(SUM(I258:I305),2)</f>
        <v>0</v>
      </c>
    </row>
    <row r="307" spans="1:9" s="5" customFormat="1" ht="15.6" hidden="1" customHeight="1" x14ac:dyDescent="0.25">
      <c r="A307" s="391"/>
      <c r="B307" s="58" t="s">
        <v>624</v>
      </c>
      <c r="C307" s="9"/>
      <c r="D307" s="31"/>
      <c r="E307" s="10"/>
      <c r="F307" s="57"/>
      <c r="G307" s="10"/>
      <c r="H307" s="10"/>
      <c r="I307" s="31">
        <f>ROUND(I306/1.18*0.18,2)</f>
        <v>0</v>
      </c>
    </row>
    <row r="308" spans="1:9" s="5" customFormat="1" ht="23.25" customHeight="1" x14ac:dyDescent="0.25">
      <c r="A308" s="765"/>
      <c r="B308" s="760" t="s">
        <v>812</v>
      </c>
      <c r="C308" s="765"/>
      <c r="D308" s="765"/>
      <c r="E308" s="765"/>
      <c r="F308" s="765"/>
      <c r="G308" s="765"/>
      <c r="H308" s="765"/>
      <c r="I308" s="765"/>
    </row>
    <row r="309" spans="1:9" s="5" customFormat="1" ht="15.6" customHeight="1" outlineLevel="1" x14ac:dyDescent="0.25">
      <c r="A309" s="107" t="s">
        <v>313</v>
      </c>
      <c r="B309" s="49" t="s">
        <v>1163</v>
      </c>
      <c r="C309" s="46" t="s">
        <v>12</v>
      </c>
      <c r="D309" s="31">
        <v>90</v>
      </c>
      <c r="E309" s="256">
        <v>2400</v>
      </c>
      <c r="F309" s="56"/>
      <c r="G309" s="2">
        <f>E309*D309</f>
        <v>216000</v>
      </c>
      <c r="H309" s="11"/>
      <c r="I309" s="11">
        <f>G309+H309</f>
        <v>216000</v>
      </c>
    </row>
    <row r="310" spans="1:9" s="5" customFormat="1" ht="15.6" customHeight="1" outlineLevel="1" x14ac:dyDescent="0.25">
      <c r="A310" s="90"/>
      <c r="B310" s="47" t="s">
        <v>1443</v>
      </c>
      <c r="C310" s="41" t="s">
        <v>9</v>
      </c>
      <c r="D310" s="2">
        <f>Д2!D250+Ек!D265+Д!D241+Е!D254</f>
        <v>13.648199999999999</v>
      </c>
      <c r="E310" s="166"/>
      <c r="F310" s="362">
        <v>37000</v>
      </c>
      <c r="G310" s="2">
        <f t="shared" ref="G310:G321" si="24">E310*D310</f>
        <v>0</v>
      </c>
      <c r="H310" s="2">
        <f>F310*D310</f>
        <v>504983.39999999997</v>
      </c>
      <c r="I310" s="11">
        <f>H310</f>
        <v>504983.39999999997</v>
      </c>
    </row>
    <row r="311" spans="1:9" s="5" customFormat="1" ht="15.6" customHeight="1" outlineLevel="1" x14ac:dyDescent="0.25">
      <c r="A311" s="90"/>
      <c r="B311" s="47" t="s">
        <v>1161</v>
      </c>
      <c r="C311" s="41" t="s">
        <v>14</v>
      </c>
      <c r="D311" s="2">
        <f>Д2!D251+Ек!D266+Д!D242+Е!D255</f>
        <v>508.37</v>
      </c>
      <c r="E311" s="166"/>
      <c r="F311" s="362">
        <v>280</v>
      </c>
      <c r="G311" s="2">
        <f t="shared" si="24"/>
        <v>0</v>
      </c>
      <c r="H311" s="2">
        <f t="shared" ref="H311:H321" si="25">F311*D311</f>
        <v>142343.6</v>
      </c>
      <c r="I311" s="11">
        <f>H311</f>
        <v>142343.6</v>
      </c>
    </row>
    <row r="312" spans="1:9" s="5" customFormat="1" ht="15.6" customHeight="1" outlineLevel="1" x14ac:dyDescent="0.25">
      <c r="A312" s="90"/>
      <c r="B312" s="47" t="s">
        <v>1551</v>
      </c>
      <c r="C312" s="41" t="s">
        <v>12</v>
      </c>
      <c r="D312" s="2">
        <v>90</v>
      </c>
      <c r="E312" s="166">
        <v>600</v>
      </c>
      <c r="F312" s="362"/>
      <c r="G312" s="2">
        <f t="shared" si="24"/>
        <v>54000</v>
      </c>
      <c r="H312" s="2">
        <f t="shared" si="25"/>
        <v>0</v>
      </c>
      <c r="I312" s="11">
        <f>G312+H312</f>
        <v>54000</v>
      </c>
    </row>
    <row r="313" spans="1:9" s="5" customFormat="1" ht="15.6" customHeight="1" outlineLevel="1" x14ac:dyDescent="0.25">
      <c r="A313" s="107" t="s">
        <v>314</v>
      </c>
      <c r="B313" s="49" t="s">
        <v>1176</v>
      </c>
      <c r="C313" s="46" t="s">
        <v>12</v>
      </c>
      <c r="D313" s="31">
        <v>30</v>
      </c>
      <c r="E313" s="256">
        <v>2000</v>
      </c>
      <c r="F313" s="56"/>
      <c r="G313" s="2">
        <f t="shared" si="24"/>
        <v>60000</v>
      </c>
      <c r="H313" s="2">
        <f t="shared" si="25"/>
        <v>0</v>
      </c>
      <c r="I313" s="11">
        <f>G313+H313</f>
        <v>60000</v>
      </c>
    </row>
    <row r="314" spans="1:9" s="5" customFormat="1" ht="15.6" customHeight="1" outlineLevel="1" x14ac:dyDescent="0.25">
      <c r="A314" s="90"/>
      <c r="B314" s="732" t="s">
        <v>1443</v>
      </c>
      <c r="C314" s="41" t="s">
        <v>9</v>
      </c>
      <c r="D314" s="2">
        <f>Д2!D253+Ек!D268+Д!D244+Е!D257</f>
        <v>2.1160999999999999</v>
      </c>
      <c r="E314" s="166"/>
      <c r="F314" s="362">
        <v>36000</v>
      </c>
      <c r="G314" s="2">
        <f t="shared" si="24"/>
        <v>0</v>
      </c>
      <c r="H314" s="2">
        <f t="shared" si="25"/>
        <v>76179.599999999991</v>
      </c>
      <c r="I314" s="11">
        <f>H314</f>
        <v>76179.599999999991</v>
      </c>
    </row>
    <row r="315" spans="1:9" s="5" customFormat="1" ht="15.6" customHeight="1" outlineLevel="1" x14ac:dyDescent="0.25">
      <c r="A315" s="107" t="s">
        <v>347</v>
      </c>
      <c r="B315" s="49" t="s">
        <v>1444</v>
      </c>
      <c r="C315" s="46" t="s">
        <v>12</v>
      </c>
      <c r="D315" s="31">
        <f>Д2!D254+Ек!D269+Д!D245+Е!D258</f>
        <v>33</v>
      </c>
      <c r="E315" s="256">
        <v>3000</v>
      </c>
      <c r="F315" s="56"/>
      <c r="G315" s="2">
        <f t="shared" si="24"/>
        <v>99000</v>
      </c>
      <c r="H315" s="2">
        <f t="shared" si="25"/>
        <v>0</v>
      </c>
      <c r="I315" s="11">
        <f>G315+H315</f>
        <v>99000</v>
      </c>
    </row>
    <row r="316" spans="1:9" s="5" customFormat="1" ht="15.6" customHeight="1" outlineLevel="1" x14ac:dyDescent="0.25">
      <c r="A316" s="90"/>
      <c r="B316" s="47" t="s">
        <v>1451</v>
      </c>
      <c r="C316" s="41" t="s">
        <v>14</v>
      </c>
      <c r="D316" s="2">
        <f>Д2!D255+Ек!D270+Д!D246+Е!D259</f>
        <v>246.81999999999996</v>
      </c>
      <c r="E316" s="166"/>
      <c r="F316" s="362">
        <v>280</v>
      </c>
      <c r="G316" s="2">
        <f t="shared" si="24"/>
        <v>0</v>
      </c>
      <c r="H316" s="2">
        <f t="shared" si="25"/>
        <v>69109.599999999991</v>
      </c>
      <c r="I316" s="11">
        <f>H316</f>
        <v>69109.599999999991</v>
      </c>
    </row>
    <row r="317" spans="1:9" s="5" customFormat="1" ht="15.6" customHeight="1" outlineLevel="1" x14ac:dyDescent="0.25">
      <c r="A317" s="90"/>
      <c r="B317" s="47" t="s">
        <v>1117</v>
      </c>
      <c r="C317" s="41" t="s">
        <v>12</v>
      </c>
      <c r="D317" s="2">
        <f>Д2!D256+Ек!D271+Д!D247+Е!D260</f>
        <v>28</v>
      </c>
      <c r="E317" s="10"/>
      <c r="F317" s="362">
        <v>1200</v>
      </c>
      <c r="G317" s="2">
        <f t="shared" si="24"/>
        <v>0</v>
      </c>
      <c r="H317" s="2">
        <f t="shared" si="25"/>
        <v>33600</v>
      </c>
      <c r="I317" s="11">
        <f>H317</f>
        <v>33600</v>
      </c>
    </row>
    <row r="318" spans="1:9" s="5" customFormat="1" ht="15.6" customHeight="1" outlineLevel="1" x14ac:dyDescent="0.25">
      <c r="A318" s="90"/>
      <c r="B318" s="47" t="s">
        <v>1118</v>
      </c>
      <c r="C318" s="41" t="s">
        <v>14</v>
      </c>
      <c r="D318" s="2">
        <f>Д2!D257+Ек!D272+Д!D248+Е!D261</f>
        <v>39.81</v>
      </c>
      <c r="E318" s="10"/>
      <c r="F318" s="362">
        <v>250</v>
      </c>
      <c r="G318" s="2">
        <f t="shared" si="24"/>
        <v>0</v>
      </c>
      <c r="H318" s="2">
        <f t="shared" si="25"/>
        <v>9952.5</v>
      </c>
      <c r="I318" s="11">
        <f>H318</f>
        <v>9952.5</v>
      </c>
    </row>
    <row r="319" spans="1:9" s="5" customFormat="1" ht="15.6" customHeight="1" outlineLevel="1" x14ac:dyDescent="0.3">
      <c r="A319" s="107" t="s">
        <v>1452</v>
      </c>
      <c r="B319" s="49" t="s">
        <v>807</v>
      </c>
      <c r="C319" s="41" t="s">
        <v>14</v>
      </c>
      <c r="D319" s="2">
        <v>425</v>
      </c>
      <c r="E319" s="256">
        <v>150</v>
      </c>
      <c r="F319" s="484"/>
      <c r="G319" s="2">
        <f t="shared" si="24"/>
        <v>63750</v>
      </c>
      <c r="H319" s="2">
        <f t="shared" si="25"/>
        <v>0</v>
      </c>
      <c r="I319" s="11">
        <f>G319</f>
        <v>63750</v>
      </c>
    </row>
    <row r="320" spans="1:9" s="5" customFormat="1" ht="15.6" customHeight="1" outlineLevel="1" x14ac:dyDescent="0.3">
      <c r="A320" s="90"/>
      <c r="B320" s="47" t="s">
        <v>1166</v>
      </c>
      <c r="C320" s="41" t="s">
        <v>15</v>
      </c>
      <c r="D320" s="2">
        <f>D319*0.2</f>
        <v>85</v>
      </c>
      <c r="E320" s="484"/>
      <c r="F320" s="362">
        <v>85</v>
      </c>
      <c r="G320" s="2">
        <f t="shared" si="24"/>
        <v>0</v>
      </c>
      <c r="H320" s="2">
        <f t="shared" si="25"/>
        <v>7225</v>
      </c>
      <c r="I320" s="11">
        <f>H320</f>
        <v>7225</v>
      </c>
    </row>
    <row r="321" spans="1:10" s="5" customFormat="1" ht="15.6" customHeight="1" outlineLevel="1" x14ac:dyDescent="0.3">
      <c r="A321" s="90"/>
      <c r="B321" s="47" t="s">
        <v>1162</v>
      </c>
      <c r="C321" s="41" t="s">
        <v>15</v>
      </c>
      <c r="D321" s="2">
        <f>D319*0.4</f>
        <v>170</v>
      </c>
      <c r="E321" s="484"/>
      <c r="F321" s="362">
        <v>115</v>
      </c>
      <c r="G321" s="2">
        <f t="shared" si="24"/>
        <v>0</v>
      </c>
      <c r="H321" s="2">
        <f t="shared" si="25"/>
        <v>19550</v>
      </c>
      <c r="I321" s="11">
        <f>H321</f>
        <v>19550</v>
      </c>
    </row>
    <row r="322" spans="1:10" s="5" customFormat="1" ht="15.6" customHeight="1" x14ac:dyDescent="0.25">
      <c r="A322" s="90"/>
      <c r="B322" s="232" t="s">
        <v>854</v>
      </c>
      <c r="C322" s="225"/>
      <c r="D322" s="239"/>
      <c r="E322" s="230"/>
      <c r="F322" s="240"/>
      <c r="G322" s="230">
        <f>SUM(G309:G321)</f>
        <v>492750</v>
      </c>
      <c r="H322" s="230">
        <f>SUM(H309:H321)</f>
        <v>862943.7</v>
      </c>
      <c r="I322" s="230">
        <f>ROUND(SUM(I309:I321),2)</f>
        <v>1355693.7</v>
      </c>
      <c r="J322" s="691"/>
    </row>
    <row r="323" spans="1:10" s="5" customFormat="1" ht="15.6" customHeight="1" x14ac:dyDescent="0.25">
      <c r="A323" s="90"/>
      <c r="B323" s="58" t="s">
        <v>624</v>
      </c>
      <c r="C323" s="9"/>
      <c r="D323" s="31"/>
      <c r="E323" s="10"/>
      <c r="F323" s="57"/>
      <c r="G323" s="10"/>
      <c r="H323" s="10"/>
      <c r="I323" s="31">
        <f>ROUND(I322/1.18*0.18,2)</f>
        <v>206800.73</v>
      </c>
    </row>
    <row r="324" spans="1:10" ht="21" customHeight="1" x14ac:dyDescent="0.25">
      <c r="A324" s="108"/>
      <c r="B324" s="760" t="s">
        <v>1160</v>
      </c>
      <c r="C324" s="105"/>
      <c r="D324" s="105"/>
      <c r="E324" s="105"/>
      <c r="F324" s="138"/>
      <c r="G324" s="105"/>
      <c r="H324" s="105"/>
      <c r="I324" s="106"/>
    </row>
    <row r="325" spans="1:10" outlineLevel="1" x14ac:dyDescent="0.25">
      <c r="A325" s="107" t="s">
        <v>315</v>
      </c>
      <c r="B325" s="29" t="s">
        <v>473</v>
      </c>
      <c r="C325" s="2" t="s">
        <v>14</v>
      </c>
      <c r="D325" s="65">
        <f>Д2!D264+Ек!D279+Д!D255+Е!D268</f>
        <v>1422.6811999999998</v>
      </c>
      <c r="E325" s="264">
        <v>420</v>
      </c>
      <c r="F325" s="140"/>
      <c r="G325" s="2">
        <f>E325*D325</f>
        <v>597526.10399999993</v>
      </c>
      <c r="H325" s="51"/>
      <c r="I325" s="140">
        <f>H325+G325</f>
        <v>597526.10399999993</v>
      </c>
    </row>
    <row r="326" spans="1:10" ht="15" customHeight="1" outlineLevel="1" x14ac:dyDescent="0.25">
      <c r="A326" s="84"/>
      <c r="B326" s="22" t="s">
        <v>1086</v>
      </c>
      <c r="C326" s="23" t="s">
        <v>14</v>
      </c>
      <c r="D326" s="66">
        <f>ROUND(D325*1.1,2)</f>
        <v>1564.95</v>
      </c>
      <c r="E326" s="51"/>
      <c r="F326" s="365">
        <f>ROUND(10.1*1.1,2)</f>
        <v>11.11</v>
      </c>
      <c r="G326" s="2">
        <f t="shared" ref="G326:G379" si="26">E326*D326</f>
        <v>0</v>
      </c>
      <c r="H326" s="2">
        <f>F326*D326</f>
        <v>17386.594499999999</v>
      </c>
      <c r="I326" s="140">
        <f t="shared" ref="I326:I340" si="27">H326+G326</f>
        <v>17386.594499999999</v>
      </c>
    </row>
    <row r="327" spans="1:10" outlineLevel="1" x14ac:dyDescent="0.25">
      <c r="A327" s="84"/>
      <c r="B327" s="28" t="s">
        <v>32</v>
      </c>
      <c r="C327" s="23" t="s">
        <v>8</v>
      </c>
      <c r="D327" s="66">
        <f>Д2!D266+Ек!D281+Д!D257+Е!D270</f>
        <v>119.52000000000001</v>
      </c>
      <c r="E327" s="51"/>
      <c r="F327" s="365">
        <v>1300</v>
      </c>
      <c r="G327" s="2">
        <f t="shared" si="26"/>
        <v>0</v>
      </c>
      <c r="H327" s="2">
        <f t="shared" ref="H327:H380" si="28">F327*D327</f>
        <v>155376</v>
      </c>
      <c r="I327" s="140">
        <f t="shared" si="27"/>
        <v>155376</v>
      </c>
    </row>
    <row r="328" spans="1:10" ht="31.2" outlineLevel="1" x14ac:dyDescent="0.25">
      <c r="A328" s="84"/>
      <c r="B328" s="28" t="s">
        <v>1087</v>
      </c>
      <c r="C328" s="21" t="s">
        <v>8</v>
      </c>
      <c r="D328" s="66">
        <f>ROUND(D325*0.15,2)</f>
        <v>213.4</v>
      </c>
      <c r="E328" s="51"/>
      <c r="F328" s="365">
        <v>4400</v>
      </c>
      <c r="G328" s="2">
        <f t="shared" si="26"/>
        <v>0</v>
      </c>
      <c r="H328" s="2">
        <f t="shared" si="28"/>
        <v>938960</v>
      </c>
      <c r="I328" s="140">
        <f t="shared" si="27"/>
        <v>938960</v>
      </c>
    </row>
    <row r="329" spans="1:10" outlineLevel="1" x14ac:dyDescent="0.25">
      <c r="A329" s="84"/>
      <c r="B329" s="372" t="s">
        <v>1552</v>
      </c>
      <c r="C329" s="21" t="s">
        <v>14</v>
      </c>
      <c r="D329" s="66">
        <f>D325</f>
        <v>1422.6811999999998</v>
      </c>
      <c r="E329" s="51"/>
      <c r="F329" s="365">
        <v>340</v>
      </c>
      <c r="G329" s="2">
        <f t="shared" si="26"/>
        <v>0</v>
      </c>
      <c r="H329" s="2">
        <f t="shared" si="28"/>
        <v>483711.60799999989</v>
      </c>
      <c r="I329" s="140">
        <f t="shared" si="27"/>
        <v>483711.60799999989</v>
      </c>
    </row>
    <row r="330" spans="1:10" outlineLevel="1" x14ac:dyDescent="0.25">
      <c r="A330" s="84"/>
      <c r="B330" s="28" t="s">
        <v>1088</v>
      </c>
      <c r="C330" s="21" t="s">
        <v>15</v>
      </c>
      <c r="D330" s="66">
        <f>ROUND(D325*1.4,2)</f>
        <v>1991.75</v>
      </c>
      <c r="E330" s="51"/>
      <c r="F330" s="361">
        <v>45.4</v>
      </c>
      <c r="G330" s="2">
        <f t="shared" si="26"/>
        <v>0</v>
      </c>
      <c r="H330" s="2">
        <f t="shared" si="28"/>
        <v>90425.45</v>
      </c>
      <c r="I330" s="140">
        <f t="shared" si="27"/>
        <v>90425.45</v>
      </c>
    </row>
    <row r="331" spans="1:10" outlineLevel="1" x14ac:dyDescent="0.25">
      <c r="A331" s="84"/>
      <c r="B331" s="28" t="s">
        <v>400</v>
      </c>
      <c r="C331" s="21" t="s">
        <v>14</v>
      </c>
      <c r="D331" s="66">
        <f>ROUND(D325*1.015,2)</f>
        <v>1444.02</v>
      </c>
      <c r="E331" s="51"/>
      <c r="F331" s="365">
        <v>109.41</v>
      </c>
      <c r="G331" s="2">
        <f t="shared" si="26"/>
        <v>0</v>
      </c>
      <c r="H331" s="2">
        <f t="shared" si="28"/>
        <v>157990.22819999998</v>
      </c>
      <c r="I331" s="140">
        <f t="shared" si="27"/>
        <v>157990.22819999998</v>
      </c>
    </row>
    <row r="332" spans="1:10" outlineLevel="1" x14ac:dyDescent="0.25">
      <c r="A332" s="84"/>
      <c r="B332" s="28" t="s">
        <v>401</v>
      </c>
      <c r="C332" s="2" t="s">
        <v>14</v>
      </c>
      <c r="D332" s="66">
        <f>ROUND(D325*1.01,2)</f>
        <v>1436.91</v>
      </c>
      <c r="E332" s="51"/>
      <c r="F332" s="365">
        <v>154.75</v>
      </c>
      <c r="G332" s="2">
        <f t="shared" si="26"/>
        <v>0</v>
      </c>
      <c r="H332" s="2">
        <f t="shared" si="28"/>
        <v>222361.82250000001</v>
      </c>
      <c r="I332" s="140">
        <f t="shared" si="27"/>
        <v>222361.82250000001</v>
      </c>
    </row>
    <row r="333" spans="1:10" ht="31.2" outlineLevel="1" x14ac:dyDescent="0.25">
      <c r="A333" s="107" t="s">
        <v>513</v>
      </c>
      <c r="B333" s="29" t="s">
        <v>188</v>
      </c>
      <c r="C333" s="31" t="s">
        <v>14</v>
      </c>
      <c r="D333" s="65">
        <f>Д2!D272+Ек!D287+Д!D263+Е!D276</f>
        <v>329.63279999999997</v>
      </c>
      <c r="E333" s="264">
        <v>200</v>
      </c>
      <c r="F333" s="140"/>
      <c r="G333" s="2">
        <f t="shared" si="26"/>
        <v>65926.559999999998</v>
      </c>
      <c r="H333" s="2">
        <f t="shared" si="28"/>
        <v>0</v>
      </c>
      <c r="I333" s="140">
        <f>H333+G333</f>
        <v>65926.559999999998</v>
      </c>
    </row>
    <row r="334" spans="1:10" outlineLevel="1" x14ac:dyDescent="0.25">
      <c r="A334" s="84"/>
      <c r="B334" s="22" t="s">
        <v>400</v>
      </c>
      <c r="C334" s="21" t="s">
        <v>14</v>
      </c>
      <c r="D334" s="66">
        <f>ROUND(D333*1.015,2)</f>
        <v>334.58</v>
      </c>
      <c r="E334" s="51"/>
      <c r="F334" s="365">
        <v>109.41</v>
      </c>
      <c r="G334" s="2">
        <f t="shared" si="26"/>
        <v>0</v>
      </c>
      <c r="H334" s="2">
        <f t="shared" si="28"/>
        <v>36606.397799999999</v>
      </c>
      <c r="I334" s="140">
        <f>H334+G334</f>
        <v>36606.397799999999</v>
      </c>
    </row>
    <row r="335" spans="1:10" outlineLevel="1" x14ac:dyDescent="0.25">
      <c r="A335" s="84"/>
      <c r="B335" s="22" t="s">
        <v>401</v>
      </c>
      <c r="C335" s="2" t="s">
        <v>14</v>
      </c>
      <c r="D335" s="66">
        <f>ROUND(D333*1.01,2)</f>
        <v>332.93</v>
      </c>
      <c r="E335" s="51"/>
      <c r="F335" s="365">
        <v>154.75</v>
      </c>
      <c r="G335" s="2">
        <f t="shared" si="26"/>
        <v>0</v>
      </c>
      <c r="H335" s="2">
        <f t="shared" si="28"/>
        <v>51520.917500000003</v>
      </c>
      <c r="I335" s="140">
        <f>H335+G335</f>
        <v>51520.917500000003</v>
      </c>
    </row>
    <row r="336" spans="1:10" outlineLevel="1" x14ac:dyDescent="0.25">
      <c r="B336" s="22" t="s">
        <v>1384</v>
      </c>
      <c r="C336" s="2" t="s">
        <v>12</v>
      </c>
      <c r="D336" s="184">
        <f>32</f>
        <v>32</v>
      </c>
      <c r="E336" s="51"/>
      <c r="F336" s="365">
        <v>650</v>
      </c>
      <c r="G336" s="2">
        <f t="shared" si="26"/>
        <v>0</v>
      </c>
      <c r="H336" s="2">
        <f t="shared" si="28"/>
        <v>20800</v>
      </c>
      <c r="I336" s="140">
        <f>H336+G336</f>
        <v>20800</v>
      </c>
    </row>
    <row r="337" spans="1:9" outlineLevel="1" x14ac:dyDescent="0.25">
      <c r="A337" s="84"/>
      <c r="B337" s="22" t="s">
        <v>1385</v>
      </c>
      <c r="C337" s="2" t="s">
        <v>12</v>
      </c>
      <c r="D337" s="66">
        <f>54</f>
        <v>54</v>
      </c>
      <c r="E337" s="51"/>
      <c r="F337" s="328">
        <v>650</v>
      </c>
      <c r="G337" s="2">
        <f t="shared" si="26"/>
        <v>0</v>
      </c>
      <c r="H337" s="2">
        <f t="shared" si="28"/>
        <v>35100</v>
      </c>
      <c r="I337" s="140">
        <f>H337+G337</f>
        <v>35100</v>
      </c>
    </row>
    <row r="338" spans="1:9" outlineLevel="1" x14ac:dyDescent="0.25">
      <c r="A338" s="107" t="s">
        <v>514</v>
      </c>
      <c r="B338" s="29" t="s">
        <v>1232</v>
      </c>
      <c r="C338" s="2" t="s">
        <v>14</v>
      </c>
      <c r="D338" s="65">
        <f>Д2!D278+Ек!D292+Д!D269+Е!D281</f>
        <v>201.81599999999997</v>
      </c>
      <c r="E338" s="264">
        <v>150</v>
      </c>
      <c r="F338" s="140"/>
      <c r="G338" s="2">
        <f t="shared" si="26"/>
        <v>30272.399999999998</v>
      </c>
      <c r="H338" s="2">
        <f t="shared" si="28"/>
        <v>0</v>
      </c>
      <c r="I338" s="140">
        <f t="shared" si="27"/>
        <v>30272.399999999998</v>
      </c>
    </row>
    <row r="339" spans="1:9" outlineLevel="1" x14ac:dyDescent="0.25">
      <c r="A339" s="84"/>
      <c r="B339" s="22" t="s">
        <v>1386</v>
      </c>
      <c r="C339" s="21" t="s">
        <v>15</v>
      </c>
      <c r="D339" s="66">
        <f>250*6.48</f>
        <v>1620</v>
      </c>
      <c r="E339" s="51"/>
      <c r="F339" s="328">
        <v>32</v>
      </c>
      <c r="G339" s="2">
        <f t="shared" si="26"/>
        <v>0</v>
      </c>
      <c r="H339" s="2">
        <f t="shared" si="28"/>
        <v>51840</v>
      </c>
      <c r="I339" s="140">
        <f t="shared" si="27"/>
        <v>51840</v>
      </c>
    </row>
    <row r="340" spans="1:9" outlineLevel="1" x14ac:dyDescent="0.25">
      <c r="A340" s="84"/>
      <c r="B340" s="22" t="s">
        <v>1383</v>
      </c>
      <c r="C340" s="2" t="s">
        <v>15</v>
      </c>
      <c r="D340" s="66">
        <f>620*0.82</f>
        <v>508.4</v>
      </c>
      <c r="E340" s="51"/>
      <c r="F340" s="328">
        <v>32</v>
      </c>
      <c r="G340" s="2">
        <f t="shared" si="26"/>
        <v>0</v>
      </c>
      <c r="H340" s="2">
        <f t="shared" si="28"/>
        <v>16268.8</v>
      </c>
      <c r="I340" s="140">
        <f t="shared" si="27"/>
        <v>16268.8</v>
      </c>
    </row>
    <row r="341" spans="1:9" outlineLevel="1" x14ac:dyDescent="0.25">
      <c r="A341" s="84"/>
      <c r="B341" s="22" t="s">
        <v>1387</v>
      </c>
      <c r="C341" s="2" t="s">
        <v>9</v>
      </c>
      <c r="D341" s="66">
        <f>1405*0.92/1000</f>
        <v>1.2926000000000002</v>
      </c>
      <c r="E341" s="51"/>
      <c r="F341" s="365">
        <v>42000</v>
      </c>
      <c r="G341" s="2">
        <f t="shared" si="26"/>
        <v>0</v>
      </c>
      <c r="H341" s="2">
        <f t="shared" si="28"/>
        <v>54289.200000000012</v>
      </c>
      <c r="I341" s="140">
        <f>H341+G341</f>
        <v>54289.200000000012</v>
      </c>
    </row>
    <row r="342" spans="1:9" outlineLevel="1" x14ac:dyDescent="0.25">
      <c r="A342" s="107" t="s">
        <v>1196</v>
      </c>
      <c r="B342" s="29" t="s">
        <v>397</v>
      </c>
      <c r="C342" s="31" t="s">
        <v>33</v>
      </c>
      <c r="D342" s="65">
        <f>Д2!D282+Ек!D296+Д!D273+Е!D285</f>
        <v>302.60000000000002</v>
      </c>
      <c r="E342" s="264">
        <v>400</v>
      </c>
      <c r="F342" s="140"/>
      <c r="G342" s="2">
        <f t="shared" si="26"/>
        <v>121040.00000000001</v>
      </c>
      <c r="H342" s="2">
        <f t="shared" si="28"/>
        <v>0</v>
      </c>
      <c r="I342" s="140">
        <f>H342+G342</f>
        <v>121040.00000000001</v>
      </c>
    </row>
    <row r="343" spans="1:9" outlineLevel="1" x14ac:dyDescent="0.25">
      <c r="A343" s="84"/>
      <c r="B343" s="47" t="s">
        <v>1226</v>
      </c>
      <c r="C343" s="21" t="s">
        <v>9</v>
      </c>
      <c r="D343" s="66">
        <f>Д2!D283+Ек!D297+Д!D274+Е!D286</f>
        <v>1.1370199999999999</v>
      </c>
      <c r="E343" s="51"/>
      <c r="F343" s="365">
        <v>32000</v>
      </c>
      <c r="G343" s="2">
        <f t="shared" si="26"/>
        <v>0</v>
      </c>
      <c r="H343" s="2">
        <f t="shared" si="28"/>
        <v>36384.639999999999</v>
      </c>
      <c r="I343" s="140">
        <f>H343+G343</f>
        <v>36384.639999999999</v>
      </c>
    </row>
    <row r="344" spans="1:9" outlineLevel="1" x14ac:dyDescent="0.25">
      <c r="A344" s="107" t="s">
        <v>1197</v>
      </c>
      <c r="B344" s="49" t="s">
        <v>1389</v>
      </c>
      <c r="C344" s="41" t="s">
        <v>12</v>
      </c>
      <c r="D344" s="2">
        <f>Ек!D298+Е!D287</f>
        <v>2</v>
      </c>
      <c r="E344" s="390">
        <v>1500</v>
      </c>
      <c r="F344" s="363"/>
      <c r="G344" s="2">
        <f t="shared" si="26"/>
        <v>3000</v>
      </c>
      <c r="H344" s="2">
        <f t="shared" si="28"/>
        <v>0</v>
      </c>
      <c r="I344" s="11">
        <f>G344</f>
        <v>3000</v>
      </c>
    </row>
    <row r="345" spans="1:9" outlineLevel="1" x14ac:dyDescent="0.25">
      <c r="A345" s="84"/>
      <c r="B345" s="47" t="s">
        <v>91</v>
      </c>
      <c r="C345" s="41" t="s">
        <v>15</v>
      </c>
      <c r="D345" s="42">
        <f>Ек!D299+Е!D288</f>
        <v>279.83</v>
      </c>
      <c r="E345" s="2"/>
      <c r="F345" s="364">
        <v>40</v>
      </c>
      <c r="G345" s="2">
        <f t="shared" si="26"/>
        <v>0</v>
      </c>
      <c r="H345" s="2">
        <f t="shared" si="28"/>
        <v>11193.199999999999</v>
      </c>
      <c r="I345" s="11">
        <f>G345+H345</f>
        <v>11193.199999999999</v>
      </c>
    </row>
    <row r="346" spans="1:9" outlineLevel="1" x14ac:dyDescent="0.25">
      <c r="A346" s="107" t="s">
        <v>1198</v>
      </c>
      <c r="B346" s="29" t="s">
        <v>1227</v>
      </c>
      <c r="C346" s="21" t="s">
        <v>12</v>
      </c>
      <c r="D346" s="66">
        <f>Ек!D300+Е!D289</f>
        <v>2</v>
      </c>
      <c r="E346" s="390">
        <v>1500</v>
      </c>
      <c r="F346" s="363"/>
      <c r="G346" s="2">
        <f t="shared" si="26"/>
        <v>3000</v>
      </c>
      <c r="H346" s="2">
        <f t="shared" si="28"/>
        <v>0</v>
      </c>
      <c r="I346" s="11">
        <f>G346</f>
        <v>3000</v>
      </c>
    </row>
    <row r="347" spans="1:9" outlineLevel="1" x14ac:dyDescent="0.25">
      <c r="A347" s="84"/>
      <c r="B347" s="47" t="s">
        <v>1228</v>
      </c>
      <c r="C347" s="21" t="s">
        <v>12</v>
      </c>
      <c r="D347" s="66">
        <f>Ек!D301+Е!D290</f>
        <v>6</v>
      </c>
      <c r="E347" s="51"/>
      <c r="F347" s="363">
        <v>10000</v>
      </c>
      <c r="G347" s="2">
        <f t="shared" si="26"/>
        <v>0</v>
      </c>
      <c r="H347" s="2">
        <f t="shared" si="28"/>
        <v>60000</v>
      </c>
      <c r="I347" s="11">
        <f>H347</f>
        <v>60000</v>
      </c>
    </row>
    <row r="348" spans="1:9" outlineLevel="1" x14ac:dyDescent="0.25">
      <c r="A348" s="84"/>
      <c r="B348" s="47" t="s">
        <v>875</v>
      </c>
      <c r="C348" s="21" t="s">
        <v>15</v>
      </c>
      <c r="D348" s="66">
        <f>Ек!D302+Е!D291</f>
        <v>23.2</v>
      </c>
      <c r="E348" s="51"/>
      <c r="F348" s="365"/>
      <c r="G348" s="2">
        <f t="shared" si="26"/>
        <v>0</v>
      </c>
      <c r="H348" s="2">
        <f t="shared" si="28"/>
        <v>0</v>
      </c>
      <c r="I348" s="140"/>
    </row>
    <row r="349" spans="1:9" ht="31.2" outlineLevel="1" x14ac:dyDescent="0.25">
      <c r="A349" s="107" t="s">
        <v>1199</v>
      </c>
      <c r="B349" s="29" t="s">
        <v>1236</v>
      </c>
      <c r="C349" s="203" t="s">
        <v>8</v>
      </c>
      <c r="D349" s="46">
        <f>Ек!D305+Е!D292</f>
        <v>1.8</v>
      </c>
      <c r="E349" s="390">
        <v>700</v>
      </c>
      <c r="F349" s="139"/>
      <c r="G349" s="2">
        <f t="shared" si="26"/>
        <v>1260</v>
      </c>
      <c r="H349" s="2">
        <f t="shared" si="28"/>
        <v>0</v>
      </c>
      <c r="I349" s="11">
        <f>G349+H349</f>
        <v>1260</v>
      </c>
    </row>
    <row r="350" spans="1:9" outlineLevel="1" x14ac:dyDescent="0.25">
      <c r="A350" s="84"/>
      <c r="B350" s="22" t="s">
        <v>1237</v>
      </c>
      <c r="C350" s="41" t="s">
        <v>15</v>
      </c>
      <c r="D350" s="42">
        <f>Ек!D306+Е!D293</f>
        <v>2374.4</v>
      </c>
      <c r="E350" s="2"/>
      <c r="F350" s="364">
        <v>46</v>
      </c>
      <c r="G350" s="2">
        <f t="shared" si="26"/>
        <v>0</v>
      </c>
      <c r="H350" s="2">
        <f t="shared" si="28"/>
        <v>109222.40000000001</v>
      </c>
      <c r="I350" s="11">
        <f>G350+H350</f>
        <v>109222.40000000001</v>
      </c>
    </row>
    <row r="351" spans="1:9" outlineLevel="1" x14ac:dyDescent="0.25">
      <c r="A351" s="84"/>
      <c r="B351" s="47" t="s">
        <v>1175</v>
      </c>
      <c r="C351" s="41" t="s">
        <v>15</v>
      </c>
      <c r="D351" s="42">
        <f>Ек!D307+Е!D294</f>
        <v>111.08</v>
      </c>
      <c r="E351" s="2"/>
      <c r="F351" s="361">
        <v>42</v>
      </c>
      <c r="G351" s="2">
        <f t="shared" si="26"/>
        <v>0</v>
      </c>
      <c r="H351" s="2">
        <f t="shared" si="28"/>
        <v>4665.3599999999997</v>
      </c>
      <c r="I351" s="11">
        <f>G351+H351</f>
        <v>4665.3599999999997</v>
      </c>
    </row>
    <row r="352" spans="1:9" s="6" customFormat="1" outlineLevel="1" x14ac:dyDescent="0.25">
      <c r="A352" s="84"/>
      <c r="B352" s="47" t="s">
        <v>1238</v>
      </c>
      <c r="C352" s="21" t="s">
        <v>15</v>
      </c>
      <c r="D352" s="66">
        <f>Ек!D308+Е!D295</f>
        <v>11.12</v>
      </c>
      <c r="E352" s="51"/>
      <c r="F352" s="361">
        <v>42</v>
      </c>
      <c r="G352" s="2">
        <f t="shared" si="26"/>
        <v>0</v>
      </c>
      <c r="H352" s="2">
        <f t="shared" si="28"/>
        <v>467.03999999999996</v>
      </c>
      <c r="I352" s="11">
        <f>G352+H352</f>
        <v>467.03999999999996</v>
      </c>
    </row>
    <row r="353" spans="1:9" outlineLevel="1" x14ac:dyDescent="0.25">
      <c r="A353" s="84"/>
      <c r="B353" s="47" t="s">
        <v>997</v>
      </c>
      <c r="C353" s="41" t="s">
        <v>8</v>
      </c>
      <c r="D353" s="42">
        <f>D349*1.015</f>
        <v>1.827</v>
      </c>
      <c r="E353" s="2"/>
      <c r="F353" s="164">
        <v>5000</v>
      </c>
      <c r="G353" s="2">
        <f t="shared" si="26"/>
        <v>0</v>
      </c>
      <c r="H353" s="2">
        <f t="shared" si="28"/>
        <v>9135</v>
      </c>
      <c r="I353" s="11">
        <f>G353+H353</f>
        <v>9135</v>
      </c>
    </row>
    <row r="354" spans="1:9" outlineLevel="1" x14ac:dyDescent="0.25">
      <c r="A354" s="84"/>
      <c r="B354" s="53" t="s">
        <v>1174</v>
      </c>
      <c r="C354" s="31"/>
      <c r="D354" s="65"/>
      <c r="E354" s="54"/>
      <c r="F354" s="141"/>
      <c r="G354" s="2">
        <f t="shared" si="26"/>
        <v>0</v>
      </c>
      <c r="H354" s="2">
        <f t="shared" si="28"/>
        <v>0</v>
      </c>
      <c r="I354" s="141"/>
    </row>
    <row r="355" spans="1:9" outlineLevel="1" x14ac:dyDescent="0.3">
      <c r="A355" s="107" t="s">
        <v>1200</v>
      </c>
      <c r="B355" s="49" t="s">
        <v>1399</v>
      </c>
      <c r="C355" s="41" t="s">
        <v>12</v>
      </c>
      <c r="D355" s="31">
        <f>Ек!D311</f>
        <v>4</v>
      </c>
      <c r="E355" s="353">
        <v>600</v>
      </c>
      <c r="F355" s="392"/>
      <c r="G355" s="2">
        <f t="shared" si="26"/>
        <v>2400</v>
      </c>
      <c r="H355" s="2">
        <f t="shared" si="28"/>
        <v>0</v>
      </c>
      <c r="I355" s="11">
        <f>G355+H355</f>
        <v>2400</v>
      </c>
    </row>
    <row r="356" spans="1:9" outlineLevel="1" x14ac:dyDescent="0.25">
      <c r="A356" s="84"/>
      <c r="B356" s="47" t="s">
        <v>1400</v>
      </c>
      <c r="C356" s="41" t="s">
        <v>15</v>
      </c>
      <c r="D356" s="2">
        <f>Ек!D312</f>
        <v>118.36000000000001</v>
      </c>
      <c r="E356" s="390"/>
      <c r="F356" s="363">
        <v>120</v>
      </c>
      <c r="G356" s="2">
        <f t="shared" si="26"/>
        <v>0</v>
      </c>
      <c r="H356" s="2">
        <f t="shared" si="28"/>
        <v>14203.2</v>
      </c>
      <c r="I356" s="11">
        <f>H356</f>
        <v>14203.2</v>
      </c>
    </row>
    <row r="357" spans="1:9" outlineLevel="1" x14ac:dyDescent="0.25">
      <c r="A357" s="107" t="s">
        <v>1201</v>
      </c>
      <c r="B357" s="49" t="s">
        <v>1170</v>
      </c>
      <c r="C357" s="41" t="s">
        <v>8</v>
      </c>
      <c r="D357" s="2">
        <f>Д2!D287+Ек!D313+Д!D276+Е!D298</f>
        <v>38.4</v>
      </c>
      <c r="E357" s="353">
        <v>2800</v>
      </c>
      <c r="F357" s="363"/>
      <c r="G357" s="2">
        <f t="shared" si="26"/>
        <v>107520</v>
      </c>
      <c r="H357" s="2">
        <f t="shared" si="28"/>
        <v>0</v>
      </c>
      <c r="I357" s="11">
        <f>G357</f>
        <v>107520</v>
      </c>
    </row>
    <row r="358" spans="1:9" outlineLevel="1" x14ac:dyDescent="0.25">
      <c r="A358" s="84"/>
      <c r="B358" s="47" t="s">
        <v>1144</v>
      </c>
      <c r="C358" s="41" t="s">
        <v>8</v>
      </c>
      <c r="D358" s="42">
        <f>Д2!D288+Ек!D314+Д!D277+Е!D299</f>
        <v>38.975999999999992</v>
      </c>
      <c r="E358" s="390"/>
      <c r="F358" s="361">
        <v>3450</v>
      </c>
      <c r="G358" s="2">
        <f t="shared" si="26"/>
        <v>0</v>
      </c>
      <c r="H358" s="2">
        <f t="shared" si="28"/>
        <v>134467.19999999998</v>
      </c>
      <c r="I358" s="11">
        <f>G358+H358</f>
        <v>134467.19999999998</v>
      </c>
    </row>
    <row r="359" spans="1:9" outlineLevel="1" x14ac:dyDescent="0.25">
      <c r="A359" s="84"/>
      <c r="B359" s="47" t="s">
        <v>850</v>
      </c>
      <c r="C359" s="41" t="s">
        <v>8</v>
      </c>
      <c r="D359" s="2">
        <f>Д2!D289+Ек!D315+Д!D278+Е!D300</f>
        <v>13.440000000000001</v>
      </c>
      <c r="E359" s="390"/>
      <c r="F359" s="361">
        <v>2800</v>
      </c>
      <c r="G359" s="2">
        <f t="shared" si="26"/>
        <v>0</v>
      </c>
      <c r="H359" s="2">
        <f t="shared" si="28"/>
        <v>37632</v>
      </c>
      <c r="I359" s="11">
        <f>H359</f>
        <v>37632</v>
      </c>
    </row>
    <row r="360" spans="1:9" outlineLevel="1" x14ac:dyDescent="0.25">
      <c r="A360" s="84"/>
      <c r="B360" s="47" t="s">
        <v>1171</v>
      </c>
      <c r="C360" s="41" t="s">
        <v>15</v>
      </c>
      <c r="D360" s="2">
        <f>Д2!D290+Ек!D316+Д!D279+Е!D301</f>
        <v>380.16</v>
      </c>
      <c r="E360" s="51"/>
      <c r="F360" s="365">
        <v>31</v>
      </c>
      <c r="G360" s="2">
        <f t="shared" si="26"/>
        <v>0</v>
      </c>
      <c r="H360" s="2">
        <f t="shared" si="28"/>
        <v>11784.960000000001</v>
      </c>
      <c r="I360" s="140">
        <f>H360+G360</f>
        <v>11784.960000000001</v>
      </c>
    </row>
    <row r="361" spans="1:9" outlineLevel="1" x14ac:dyDescent="0.25">
      <c r="A361" s="84"/>
      <c r="B361" s="47" t="s">
        <v>1172</v>
      </c>
      <c r="C361" s="41" t="s">
        <v>15</v>
      </c>
      <c r="D361" s="2">
        <f>Д2!D291+Ек!D317+Д!D280+Е!D302</f>
        <v>98.88</v>
      </c>
      <c r="E361" s="51"/>
      <c r="F361" s="365">
        <v>42</v>
      </c>
      <c r="G361" s="2">
        <f t="shared" si="26"/>
        <v>0</v>
      </c>
      <c r="H361" s="2">
        <f t="shared" si="28"/>
        <v>4152.96</v>
      </c>
      <c r="I361" s="140">
        <f>H361+G361</f>
        <v>4152.96</v>
      </c>
    </row>
    <row r="362" spans="1:9" outlineLevel="1" x14ac:dyDescent="0.25">
      <c r="A362" s="107" t="s">
        <v>1239</v>
      </c>
      <c r="B362" s="49" t="s">
        <v>1525</v>
      </c>
      <c r="C362" s="46" t="s">
        <v>12</v>
      </c>
      <c r="D362" s="50">
        <f>Д2!D292+Ек!D318+Ек!D320+Д!D281+Е!D303+Е!D305</f>
        <v>8</v>
      </c>
      <c r="E362" s="373">
        <v>700</v>
      </c>
      <c r="F362" s="43"/>
      <c r="G362" s="2">
        <f t="shared" si="26"/>
        <v>5600</v>
      </c>
      <c r="H362" s="2">
        <f t="shared" si="28"/>
        <v>0</v>
      </c>
      <c r="I362" s="11">
        <f>G362+H362</f>
        <v>5600</v>
      </c>
    </row>
    <row r="363" spans="1:9" outlineLevel="1" x14ac:dyDescent="0.25">
      <c r="A363" s="84"/>
      <c r="B363" s="47" t="s">
        <v>1542</v>
      </c>
      <c r="C363" s="41" t="s">
        <v>15</v>
      </c>
      <c r="D363" s="2">
        <f>Д2!D293+Ек!D319+Ек!D321+Д!D282+Е!D304+Е!D306</f>
        <v>331.44</v>
      </c>
      <c r="E363" s="51"/>
      <c r="F363" s="365">
        <v>42</v>
      </c>
      <c r="G363" s="2">
        <f t="shared" si="26"/>
        <v>0</v>
      </c>
      <c r="H363" s="2">
        <f t="shared" si="28"/>
        <v>13920.48</v>
      </c>
      <c r="I363" s="140">
        <f>H363+G363</f>
        <v>13920.48</v>
      </c>
    </row>
    <row r="364" spans="1:9" outlineLevel="1" x14ac:dyDescent="0.25">
      <c r="A364" s="107" t="s">
        <v>1240</v>
      </c>
      <c r="B364" s="49" t="s">
        <v>1177</v>
      </c>
      <c r="C364" s="46" t="s">
        <v>9</v>
      </c>
      <c r="D364" s="31">
        <f>SUM(D365:D373)*0.04/1000</f>
        <v>0.13174399999999994</v>
      </c>
      <c r="E364" s="256">
        <v>40000</v>
      </c>
      <c r="F364" s="56"/>
      <c r="G364" s="2">
        <f t="shared" si="26"/>
        <v>5269.7599999999975</v>
      </c>
      <c r="H364" s="2">
        <f t="shared" si="28"/>
        <v>0</v>
      </c>
      <c r="I364" s="11">
        <f>G364+H364</f>
        <v>5269.7599999999975</v>
      </c>
    </row>
    <row r="365" spans="1:9" outlineLevel="1" x14ac:dyDescent="0.25">
      <c r="A365" s="84"/>
      <c r="B365" s="731" t="s">
        <v>1178</v>
      </c>
      <c r="C365" s="41" t="s">
        <v>15</v>
      </c>
      <c r="D365" s="2">
        <f>Д2!D295+Ек!D323+Д!D284+Е!D308</f>
        <v>1550.56</v>
      </c>
      <c r="E365" s="51"/>
      <c r="F365" s="365">
        <v>33</v>
      </c>
      <c r="G365" s="2">
        <f t="shared" si="26"/>
        <v>0</v>
      </c>
      <c r="H365" s="2">
        <f t="shared" si="28"/>
        <v>51168.479999999996</v>
      </c>
      <c r="I365" s="140">
        <f t="shared" ref="I365:I373" si="29">H365+G365</f>
        <v>51168.479999999996</v>
      </c>
    </row>
    <row r="366" spans="1:9" outlineLevel="1" x14ac:dyDescent="0.25">
      <c r="A366" s="84"/>
      <c r="B366" s="731" t="s">
        <v>1195</v>
      </c>
      <c r="C366" s="41" t="s">
        <v>15</v>
      </c>
      <c r="D366" s="2">
        <f>Д2!D296+Ек!D324+Д!D285+Е!D309</f>
        <v>435.14</v>
      </c>
      <c r="E366" s="51"/>
      <c r="F366" s="365">
        <v>39</v>
      </c>
      <c r="G366" s="2">
        <f t="shared" si="26"/>
        <v>0</v>
      </c>
      <c r="H366" s="2">
        <f t="shared" si="28"/>
        <v>16970.46</v>
      </c>
      <c r="I366" s="140">
        <f t="shared" si="29"/>
        <v>16970.46</v>
      </c>
    </row>
    <row r="367" spans="1:9" outlineLevel="1" x14ac:dyDescent="0.25">
      <c r="A367" s="84"/>
      <c r="B367" s="47" t="s">
        <v>1179</v>
      </c>
      <c r="C367" s="41" t="s">
        <v>15</v>
      </c>
      <c r="D367" s="2">
        <f>Д2!D297+Ек!D325+Д!D286+Е!D310</f>
        <v>316.31999999999994</v>
      </c>
      <c r="E367" s="51"/>
      <c r="F367" s="365">
        <v>33</v>
      </c>
      <c r="G367" s="2">
        <f t="shared" si="26"/>
        <v>0</v>
      </c>
      <c r="H367" s="2">
        <f t="shared" si="28"/>
        <v>10438.559999999998</v>
      </c>
      <c r="I367" s="140">
        <f t="shared" si="29"/>
        <v>10438.559999999998</v>
      </c>
    </row>
    <row r="368" spans="1:9" outlineLevel="1" x14ac:dyDescent="0.25">
      <c r="A368" s="84"/>
      <c r="B368" s="47" t="s">
        <v>1180</v>
      </c>
      <c r="C368" s="41" t="s">
        <v>15</v>
      </c>
      <c r="D368" s="2">
        <f>Д2!D298+Ек!D326+Д!D287+Е!D311</f>
        <v>319.24</v>
      </c>
      <c r="E368" s="51"/>
      <c r="F368" s="365">
        <v>33</v>
      </c>
      <c r="G368" s="2">
        <f t="shared" si="26"/>
        <v>0</v>
      </c>
      <c r="H368" s="2">
        <f t="shared" si="28"/>
        <v>10534.92</v>
      </c>
      <c r="I368" s="140">
        <f t="shared" si="29"/>
        <v>10534.92</v>
      </c>
    </row>
    <row r="369" spans="1:13" outlineLevel="1" x14ac:dyDescent="0.25">
      <c r="A369" s="84"/>
      <c r="B369" s="47" t="s">
        <v>1181</v>
      </c>
      <c r="C369" s="41" t="s">
        <v>15</v>
      </c>
      <c r="D369" s="2">
        <f>Д2!D299+Ек!D327+Д!D288+Е!D312</f>
        <v>598.53</v>
      </c>
      <c r="E369" s="51"/>
      <c r="F369" s="365">
        <v>33</v>
      </c>
      <c r="G369" s="2">
        <f t="shared" si="26"/>
        <v>0</v>
      </c>
      <c r="H369" s="2">
        <f t="shared" si="28"/>
        <v>19751.489999999998</v>
      </c>
      <c r="I369" s="140">
        <f t="shared" si="29"/>
        <v>19751.489999999998</v>
      </c>
    </row>
    <row r="370" spans="1:13" outlineLevel="1" x14ac:dyDescent="0.25">
      <c r="A370" s="84"/>
      <c r="B370" s="47" t="s">
        <v>1182</v>
      </c>
      <c r="C370" s="41" t="s">
        <v>15</v>
      </c>
      <c r="D370" s="2">
        <f>Д2!D300+Ек!D328+Д!D289+Е!D313</f>
        <v>16.64</v>
      </c>
      <c r="E370" s="51"/>
      <c r="F370" s="365">
        <v>33</v>
      </c>
      <c r="G370" s="2">
        <f t="shared" si="26"/>
        <v>0</v>
      </c>
      <c r="H370" s="2">
        <f t="shared" si="28"/>
        <v>549.12</v>
      </c>
      <c r="I370" s="140">
        <f t="shared" si="29"/>
        <v>549.12</v>
      </c>
    </row>
    <row r="371" spans="1:13" outlineLevel="1" x14ac:dyDescent="0.25">
      <c r="A371" s="84"/>
      <c r="B371" s="731" t="s">
        <v>1183</v>
      </c>
      <c r="C371" s="41" t="s">
        <v>15</v>
      </c>
      <c r="D371" s="2">
        <f>Д2!D301+Ек!D329+Д!D290+Е!D314</f>
        <v>7.89</v>
      </c>
      <c r="E371" s="51"/>
      <c r="F371" s="365">
        <v>31</v>
      </c>
      <c r="G371" s="2">
        <f t="shared" si="26"/>
        <v>0</v>
      </c>
      <c r="H371" s="2">
        <f t="shared" si="28"/>
        <v>244.59</v>
      </c>
      <c r="I371" s="140">
        <f t="shared" si="29"/>
        <v>244.59</v>
      </c>
    </row>
    <row r="372" spans="1:13" outlineLevel="1" x14ac:dyDescent="0.25">
      <c r="A372" s="84"/>
      <c r="B372" s="47" t="s">
        <v>1184</v>
      </c>
      <c r="C372" s="41" t="s">
        <v>15</v>
      </c>
      <c r="D372" s="2">
        <f>Д2!D302+Ек!D330+Д!D291+Е!D315</f>
        <v>14.080000000000002</v>
      </c>
      <c r="E372" s="51"/>
      <c r="F372" s="365">
        <v>33</v>
      </c>
      <c r="G372" s="2">
        <f t="shared" si="26"/>
        <v>0</v>
      </c>
      <c r="H372" s="2">
        <f t="shared" si="28"/>
        <v>464.64000000000004</v>
      </c>
      <c r="I372" s="140">
        <f t="shared" si="29"/>
        <v>464.64000000000004</v>
      </c>
    </row>
    <row r="373" spans="1:13" outlineLevel="1" x14ac:dyDescent="0.25">
      <c r="A373" s="84"/>
      <c r="B373" s="47" t="s">
        <v>1185</v>
      </c>
      <c r="C373" s="41" t="s">
        <v>15</v>
      </c>
      <c r="D373" s="2">
        <f>Д2!D303+Ек!D331+Д!D292+Е!D316</f>
        <v>35.200000000000003</v>
      </c>
      <c r="E373" s="51"/>
      <c r="F373" s="365">
        <v>33</v>
      </c>
      <c r="G373" s="2">
        <f t="shared" si="26"/>
        <v>0</v>
      </c>
      <c r="H373" s="2">
        <f t="shared" si="28"/>
        <v>1161.6000000000001</v>
      </c>
      <c r="I373" s="140">
        <f t="shared" si="29"/>
        <v>1161.6000000000001</v>
      </c>
    </row>
    <row r="374" spans="1:13" outlineLevel="1" x14ac:dyDescent="0.25">
      <c r="A374" s="84"/>
      <c r="B374" s="47" t="s">
        <v>1135</v>
      </c>
      <c r="C374" s="41" t="s">
        <v>14</v>
      </c>
      <c r="D374" s="2">
        <f>Д2!D304+Ек!D332+Д!D293+Е!D317</f>
        <v>71.44</v>
      </c>
      <c r="E374" s="51"/>
      <c r="F374" s="362">
        <v>280</v>
      </c>
      <c r="G374" s="2">
        <f t="shared" si="26"/>
        <v>0</v>
      </c>
      <c r="H374" s="2">
        <f t="shared" si="28"/>
        <v>20003.2</v>
      </c>
      <c r="I374" s="11">
        <f>H374</f>
        <v>20003.2</v>
      </c>
    </row>
    <row r="375" spans="1:13" outlineLevel="1" x14ac:dyDescent="0.25">
      <c r="A375" s="84"/>
      <c r="B375" s="47" t="s">
        <v>1186</v>
      </c>
      <c r="C375" s="41" t="s">
        <v>14</v>
      </c>
      <c r="D375" s="2">
        <f>Д2!D305+Ек!D333+Д!D294+Е!D318</f>
        <v>341.88</v>
      </c>
      <c r="E375" s="51"/>
      <c r="F375" s="362">
        <v>280</v>
      </c>
      <c r="G375" s="2">
        <f t="shared" si="26"/>
        <v>0</v>
      </c>
      <c r="H375" s="2">
        <f t="shared" si="28"/>
        <v>95726.399999999994</v>
      </c>
      <c r="I375" s="11">
        <f>H375</f>
        <v>95726.399999999994</v>
      </c>
    </row>
    <row r="376" spans="1:13" outlineLevel="1" x14ac:dyDescent="0.25">
      <c r="A376" s="84"/>
      <c r="B376" s="45" t="s">
        <v>1462</v>
      </c>
      <c r="C376" s="41" t="s">
        <v>12</v>
      </c>
      <c r="D376" s="2">
        <f>Д2!D306+Ек!D334+Д!D295+Е!D319</f>
        <v>6</v>
      </c>
      <c r="E376" s="51"/>
      <c r="F376" s="328">
        <v>10000</v>
      </c>
      <c r="G376" s="2">
        <f t="shared" si="26"/>
        <v>0</v>
      </c>
      <c r="H376" s="2">
        <f t="shared" si="28"/>
        <v>60000</v>
      </c>
      <c r="I376" s="140">
        <f>H376+G376</f>
        <v>60000</v>
      </c>
    </row>
    <row r="377" spans="1:13" outlineLevel="1" x14ac:dyDescent="0.3">
      <c r="A377" s="107" t="s">
        <v>1241</v>
      </c>
      <c r="B377" s="49" t="s">
        <v>807</v>
      </c>
      <c r="C377" s="41" t="s">
        <v>14</v>
      </c>
      <c r="D377" s="31">
        <f>D364*27</f>
        <v>3.5570879999999985</v>
      </c>
      <c r="E377" s="256">
        <v>150</v>
      </c>
      <c r="F377" s="484"/>
      <c r="G377" s="2">
        <f t="shared" si="26"/>
        <v>533.56319999999982</v>
      </c>
      <c r="H377" s="2">
        <f t="shared" si="28"/>
        <v>0</v>
      </c>
      <c r="I377" s="11">
        <f>G377</f>
        <v>533.56319999999982</v>
      </c>
    </row>
    <row r="378" spans="1:13" outlineLevel="1" x14ac:dyDescent="0.3">
      <c r="A378" s="84"/>
      <c r="B378" s="47" t="s">
        <v>1166</v>
      </c>
      <c r="C378" s="41" t="s">
        <v>15</v>
      </c>
      <c r="D378" s="2">
        <f>D377*0.2</f>
        <v>0.71141759999999976</v>
      </c>
      <c r="E378" s="484"/>
      <c r="F378" s="362">
        <v>85</v>
      </c>
      <c r="G378" s="2">
        <f t="shared" si="26"/>
        <v>0</v>
      </c>
      <c r="H378" s="2">
        <f t="shared" si="28"/>
        <v>60.470495999999983</v>
      </c>
      <c r="I378" s="11">
        <f>H378</f>
        <v>60.470495999999983</v>
      </c>
    </row>
    <row r="379" spans="1:13" outlineLevel="1" x14ac:dyDescent="0.3">
      <c r="A379" s="84"/>
      <c r="B379" s="47" t="s">
        <v>1162</v>
      </c>
      <c r="C379" s="41" t="s">
        <v>15</v>
      </c>
      <c r="D379" s="2">
        <f>D377*0.3</f>
        <v>1.0671263999999996</v>
      </c>
      <c r="E379" s="484"/>
      <c r="F379" s="362">
        <v>115</v>
      </c>
      <c r="G379" s="2">
        <f t="shared" si="26"/>
        <v>0</v>
      </c>
      <c r="H379" s="2">
        <f t="shared" si="28"/>
        <v>122.71953599999995</v>
      </c>
      <c r="I379" s="11">
        <f>H379</f>
        <v>122.71953599999995</v>
      </c>
    </row>
    <row r="380" spans="1:13" s="36" customFormat="1" outlineLevel="1" x14ac:dyDescent="0.25">
      <c r="A380" s="92"/>
      <c r="B380" s="748" t="s">
        <v>1543</v>
      </c>
      <c r="C380" s="744"/>
      <c r="D380" s="745"/>
      <c r="E380" s="746"/>
      <c r="F380" s="747"/>
      <c r="G380" s="474">
        <f>SUM(G325:G379)</f>
        <v>943348.38719999988</v>
      </c>
      <c r="H380" s="2">
        <f t="shared" si="28"/>
        <v>0</v>
      </c>
      <c r="I380" s="749">
        <f>G380</f>
        <v>943348.38719999988</v>
      </c>
      <c r="K380" s="162"/>
      <c r="L380" s="162"/>
      <c r="M380" s="162"/>
    </row>
    <row r="381" spans="1:13" s="36" customFormat="1" outlineLevel="1" x14ac:dyDescent="0.25">
      <c r="A381" s="92"/>
      <c r="B381" s="748" t="s">
        <v>1546</v>
      </c>
      <c r="C381" s="744"/>
      <c r="D381" s="745"/>
      <c r="E381" s="746"/>
      <c r="F381" s="747"/>
      <c r="G381" s="474"/>
      <c r="H381" s="473">
        <f>SUM(H325:H379)</f>
        <v>3067062.1085320008</v>
      </c>
      <c r="I381" s="749">
        <f>H381</f>
        <v>3067062.1085320008</v>
      </c>
      <c r="K381" s="162"/>
      <c r="L381" s="162"/>
      <c r="M381" s="162"/>
    </row>
    <row r="382" spans="1:13" s="36" customFormat="1" outlineLevel="1" x14ac:dyDescent="0.25">
      <c r="A382" s="92"/>
      <c r="B382" s="748" t="s">
        <v>1544</v>
      </c>
      <c r="C382" s="744"/>
      <c r="D382" s="745"/>
      <c r="E382" s="746"/>
      <c r="F382" s="747"/>
      <c r="G382" s="474"/>
      <c r="H382" s="746"/>
      <c r="I382" s="749">
        <f>G382</f>
        <v>0</v>
      </c>
      <c r="K382" s="162"/>
      <c r="L382" s="162"/>
      <c r="M382" s="162"/>
    </row>
    <row r="383" spans="1:13" s="36" customFormat="1" outlineLevel="1" x14ac:dyDescent="0.25">
      <c r="A383" s="92"/>
      <c r="B383" s="748" t="s">
        <v>1545</v>
      </c>
      <c r="C383" s="744"/>
      <c r="D383" s="745"/>
      <c r="E383" s="746"/>
      <c r="F383" s="747"/>
      <c r="G383" s="474"/>
      <c r="H383" s="746"/>
      <c r="I383" s="749">
        <f>G383</f>
        <v>0</v>
      </c>
      <c r="K383" s="162"/>
      <c r="L383" s="162"/>
      <c r="M383" s="162"/>
    </row>
    <row r="384" spans="1:13" x14ac:dyDescent="0.25">
      <c r="A384" s="223"/>
      <c r="B384" s="232" t="s">
        <v>55</v>
      </c>
      <c r="C384" s="225"/>
      <c r="D384" s="239"/>
      <c r="E384" s="230"/>
      <c r="F384" s="240"/>
      <c r="G384" s="230">
        <f>G380+G382+G383</f>
        <v>943348.38719999988</v>
      </c>
      <c r="H384" s="230">
        <f>H381</f>
        <v>3067062.1085320008</v>
      </c>
      <c r="I384" s="230">
        <f>I380+I381+I382+I383</f>
        <v>4010410.4957320006</v>
      </c>
      <c r="J384" s="693"/>
      <c r="K384" s="133"/>
    </row>
    <row r="385" spans="1:252" ht="15" customHeight="1" x14ac:dyDescent="0.25">
      <c r="A385" s="90"/>
      <c r="B385" s="471" t="s">
        <v>624</v>
      </c>
      <c r="C385" s="9"/>
      <c r="D385" s="31"/>
      <c r="E385" s="10"/>
      <c r="F385" s="57"/>
      <c r="G385" s="10"/>
      <c r="H385" s="10"/>
      <c r="I385" s="31">
        <f>ROUND(I384/1.18*0.18,2)</f>
        <v>611757.53</v>
      </c>
    </row>
    <row r="386" spans="1:252" ht="18.75" customHeight="1" x14ac:dyDescent="0.25">
      <c r="A386" s="104"/>
      <c r="B386" s="760" t="s">
        <v>1202</v>
      </c>
      <c r="C386" s="105"/>
      <c r="D386" s="105"/>
      <c r="E386" s="105"/>
      <c r="F386" s="138"/>
      <c r="G386" s="105"/>
      <c r="H386" s="105"/>
      <c r="I386" s="106"/>
    </row>
    <row r="387" spans="1:252" s="38" customFormat="1" ht="31.2" outlineLevel="1" x14ac:dyDescent="0.25">
      <c r="A387" s="271" t="s">
        <v>239</v>
      </c>
      <c r="B387" s="730" t="s">
        <v>1013</v>
      </c>
      <c r="C387" s="202" t="s">
        <v>14</v>
      </c>
      <c r="D387" s="202">
        <f>Д2!D320+Ек!D341+Д!D302+Е!D326</f>
        <v>549.28440000000001</v>
      </c>
      <c r="E387" s="353">
        <v>1200</v>
      </c>
      <c r="F387" s="207">
        <v>2900</v>
      </c>
      <c r="G387" s="2">
        <f>E387*D387</f>
        <v>659141.28</v>
      </c>
      <c r="H387" s="2">
        <f>F387*D387</f>
        <v>1592924.76</v>
      </c>
      <c r="I387" s="3">
        <f>H387+G387</f>
        <v>2252066.04</v>
      </c>
      <c r="J387" s="430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  <c r="EP387" s="15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  <c r="FL387" s="15"/>
      <c r="FM387" s="15"/>
      <c r="FN387" s="15"/>
      <c r="FO387" s="15"/>
      <c r="FP387" s="15"/>
      <c r="FQ387" s="15"/>
      <c r="FR387" s="15"/>
      <c r="FS387" s="15"/>
      <c r="FT387" s="15"/>
      <c r="FU387" s="15"/>
      <c r="FV387" s="15"/>
      <c r="FW387" s="15"/>
      <c r="FX387" s="15"/>
      <c r="FY387" s="15"/>
      <c r="FZ387" s="15"/>
      <c r="GA387" s="15"/>
      <c r="GB387" s="15"/>
      <c r="GC387" s="15"/>
      <c r="GD387" s="15"/>
      <c r="GE387" s="15"/>
      <c r="GF387" s="15"/>
      <c r="GG387" s="15"/>
      <c r="GH387" s="15"/>
      <c r="GI387" s="15"/>
      <c r="GJ387" s="15"/>
      <c r="GK387" s="15"/>
      <c r="GL387" s="15"/>
      <c r="GM387" s="15"/>
      <c r="GN387" s="15"/>
      <c r="GO387" s="15"/>
      <c r="GP387" s="15"/>
      <c r="GQ387" s="15"/>
      <c r="GR387" s="15"/>
      <c r="GS387" s="15"/>
      <c r="GT387" s="15"/>
      <c r="GU387" s="15"/>
      <c r="GV387" s="15"/>
      <c r="GW387" s="15"/>
      <c r="GX387" s="15"/>
      <c r="GY387" s="15"/>
      <c r="GZ387" s="15"/>
      <c r="HA387" s="15"/>
      <c r="HB387" s="15"/>
      <c r="HC387" s="15"/>
      <c r="HD387" s="15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5"/>
      <c r="HT387" s="15"/>
      <c r="HU387" s="15"/>
      <c r="HV387" s="15"/>
      <c r="HW387" s="15"/>
      <c r="HX387" s="15"/>
      <c r="HY387" s="15"/>
      <c r="HZ387" s="15"/>
      <c r="IA387" s="15"/>
      <c r="IB387" s="15"/>
      <c r="IC387" s="15"/>
      <c r="ID387" s="15"/>
      <c r="IE387" s="15"/>
      <c r="IF387" s="15"/>
      <c r="IG387" s="15"/>
      <c r="IH387" s="15"/>
      <c r="II387" s="15"/>
      <c r="IJ387" s="15"/>
      <c r="IK387" s="15"/>
      <c r="IL387" s="15"/>
      <c r="IM387" s="15"/>
      <c r="IN387" s="15"/>
      <c r="IO387" s="15"/>
      <c r="IP387" s="15"/>
      <c r="IQ387" s="15"/>
      <c r="IR387" s="15"/>
    </row>
    <row r="388" spans="1:252" s="38" customFormat="1" outlineLevel="1" x14ac:dyDescent="0.25">
      <c r="A388" s="90"/>
      <c r="B388" s="52" t="s">
        <v>1322</v>
      </c>
      <c r="C388" s="202" t="s">
        <v>14</v>
      </c>
      <c r="D388" s="202">
        <f>Д2!D321+Ек!D342+Д!D303</f>
        <v>38.135999999999996</v>
      </c>
      <c r="E388" s="353">
        <v>1600</v>
      </c>
      <c r="F388" s="207">
        <v>4200</v>
      </c>
      <c r="G388" s="2">
        <f>E388*D388</f>
        <v>61017.599999999991</v>
      </c>
      <c r="H388" s="2">
        <f>F388*D388</f>
        <v>160171.19999999998</v>
      </c>
      <c r="I388" s="3">
        <f>H388+G388</f>
        <v>221188.8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  <c r="EP388" s="15"/>
      <c r="EQ388" s="15"/>
      <c r="ER388" s="15"/>
      <c r="ES388" s="15"/>
      <c r="ET388" s="15"/>
      <c r="EU388" s="15"/>
      <c r="EV388" s="15"/>
      <c r="EW388" s="15"/>
      <c r="EX388" s="15"/>
      <c r="EY388" s="15"/>
      <c r="EZ388" s="15"/>
      <c r="FA388" s="15"/>
      <c r="FB388" s="15"/>
      <c r="FC388" s="15"/>
      <c r="FD388" s="15"/>
      <c r="FE388" s="15"/>
      <c r="FF388" s="15"/>
      <c r="FG388" s="15"/>
      <c r="FH388" s="15"/>
      <c r="FI388" s="15"/>
      <c r="FJ388" s="15"/>
      <c r="FK388" s="15"/>
      <c r="FL388" s="15"/>
      <c r="FM388" s="15"/>
      <c r="FN388" s="15"/>
      <c r="FO388" s="15"/>
      <c r="FP388" s="15"/>
      <c r="FQ388" s="15"/>
      <c r="FR388" s="15"/>
      <c r="FS388" s="15"/>
      <c r="FT388" s="15"/>
      <c r="FU388" s="15"/>
      <c r="FV388" s="15"/>
      <c r="FW388" s="15"/>
      <c r="FX388" s="15"/>
      <c r="FY388" s="15"/>
      <c r="FZ388" s="15"/>
      <c r="GA388" s="15"/>
      <c r="GB388" s="15"/>
      <c r="GC388" s="15"/>
      <c r="GD388" s="15"/>
      <c r="GE388" s="15"/>
      <c r="GF388" s="15"/>
      <c r="GG388" s="15"/>
      <c r="GH388" s="15"/>
      <c r="GI388" s="15"/>
      <c r="GJ388" s="15"/>
      <c r="GK388" s="15"/>
      <c r="GL388" s="15"/>
      <c r="GM388" s="15"/>
      <c r="GN388" s="15"/>
      <c r="GO388" s="15"/>
      <c r="GP388" s="15"/>
      <c r="GQ388" s="15"/>
      <c r="GR388" s="15"/>
      <c r="GS388" s="15"/>
      <c r="GT388" s="15"/>
      <c r="GU388" s="15"/>
      <c r="GV388" s="15"/>
      <c r="GW388" s="15"/>
      <c r="GX388" s="15"/>
      <c r="GY388" s="15"/>
      <c r="GZ388" s="15"/>
      <c r="HA388" s="15"/>
      <c r="HB388" s="15"/>
      <c r="HC388" s="15"/>
      <c r="HD388" s="15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5"/>
      <c r="HT388" s="15"/>
      <c r="HU388" s="15"/>
      <c r="HV388" s="15"/>
      <c r="HW388" s="15"/>
      <c r="HX388" s="15"/>
      <c r="HY388" s="15"/>
      <c r="HZ388" s="15"/>
      <c r="IA388" s="15"/>
      <c r="IB388" s="15"/>
      <c r="IC388" s="15"/>
      <c r="ID388" s="15"/>
      <c r="IE388" s="15"/>
      <c r="IF388" s="15"/>
      <c r="IG388" s="15"/>
      <c r="IH388" s="15"/>
      <c r="II388" s="15"/>
      <c r="IJ388" s="15"/>
      <c r="IK388" s="15"/>
      <c r="IL388" s="15"/>
      <c r="IM388" s="15"/>
      <c r="IN388" s="15"/>
      <c r="IO388" s="15"/>
      <c r="IP388" s="15"/>
      <c r="IQ388" s="15"/>
      <c r="IR388" s="15"/>
    </row>
    <row r="389" spans="1:252" s="38" customFormat="1" outlineLevel="1" x14ac:dyDescent="0.25">
      <c r="A389" s="271" t="s">
        <v>1203</v>
      </c>
      <c r="B389" s="52" t="s">
        <v>1014</v>
      </c>
      <c r="C389" s="202" t="s">
        <v>1323</v>
      </c>
      <c r="D389" s="729">
        <f>Д2!D322+Ек!D343+Д!D304+Е!D327</f>
        <v>281.12</v>
      </c>
      <c r="E389" s="353">
        <v>150</v>
      </c>
      <c r="F389" s="207"/>
      <c r="G389" s="2">
        <f>E389*D389</f>
        <v>42168</v>
      </c>
      <c r="H389" s="2">
        <f>F389*D389</f>
        <v>0</v>
      </c>
      <c r="I389" s="3">
        <f>H389+G389</f>
        <v>42168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5"/>
      <c r="EJ389" s="15"/>
      <c r="EK389" s="15"/>
      <c r="EL389" s="15"/>
      <c r="EM389" s="15"/>
      <c r="EN389" s="15"/>
      <c r="EO389" s="15"/>
      <c r="EP389" s="15"/>
      <c r="EQ389" s="15"/>
      <c r="ER389" s="15"/>
      <c r="ES389" s="15"/>
      <c r="ET389" s="15"/>
      <c r="EU389" s="15"/>
      <c r="EV389" s="15"/>
      <c r="EW389" s="15"/>
      <c r="EX389" s="15"/>
      <c r="EY389" s="15"/>
      <c r="EZ389" s="15"/>
      <c r="FA389" s="15"/>
      <c r="FB389" s="15"/>
      <c r="FC389" s="15"/>
      <c r="FD389" s="15"/>
      <c r="FE389" s="15"/>
      <c r="FF389" s="15"/>
      <c r="FG389" s="15"/>
      <c r="FH389" s="15"/>
      <c r="FI389" s="15"/>
      <c r="FJ389" s="15"/>
      <c r="FK389" s="15"/>
      <c r="FL389" s="15"/>
      <c r="FM389" s="15"/>
      <c r="FN389" s="15"/>
      <c r="FO389" s="15"/>
      <c r="FP389" s="15"/>
      <c r="FQ389" s="15"/>
      <c r="FR389" s="15"/>
      <c r="FS389" s="15"/>
      <c r="FT389" s="15"/>
      <c r="FU389" s="15"/>
      <c r="FV389" s="15"/>
      <c r="FW389" s="15"/>
      <c r="FX389" s="15"/>
      <c r="FY389" s="15"/>
      <c r="FZ389" s="15"/>
      <c r="GA389" s="15"/>
      <c r="GB389" s="15"/>
      <c r="GC389" s="15"/>
      <c r="GD389" s="15"/>
      <c r="GE389" s="15"/>
      <c r="GF389" s="15"/>
      <c r="GG389" s="15"/>
      <c r="GH389" s="15"/>
      <c r="GI389" s="15"/>
      <c r="GJ389" s="15"/>
      <c r="GK389" s="15"/>
      <c r="GL389" s="15"/>
      <c r="GM389" s="15"/>
      <c r="GN389" s="15"/>
      <c r="GO389" s="15"/>
      <c r="GP389" s="15"/>
      <c r="GQ389" s="15"/>
      <c r="GR389" s="15"/>
      <c r="GS389" s="15"/>
      <c r="GT389" s="15"/>
      <c r="GU389" s="15"/>
      <c r="GV389" s="15"/>
      <c r="GW389" s="15"/>
      <c r="GX389" s="15"/>
      <c r="GY389" s="15"/>
      <c r="GZ389" s="15"/>
      <c r="HA389" s="15"/>
      <c r="HB389" s="15"/>
      <c r="HC389" s="15"/>
      <c r="HD389" s="15"/>
      <c r="HE389" s="15"/>
      <c r="HF389" s="15"/>
      <c r="HG389" s="15"/>
      <c r="HH389" s="15"/>
      <c r="HI389" s="15"/>
      <c r="HJ389" s="15"/>
      <c r="HK389" s="15"/>
      <c r="HL389" s="15"/>
      <c r="HM389" s="15"/>
      <c r="HN389" s="15"/>
      <c r="HO389" s="15"/>
      <c r="HP389" s="15"/>
      <c r="HQ389" s="15"/>
      <c r="HR389" s="15"/>
      <c r="HS389" s="15"/>
      <c r="HT389" s="15"/>
      <c r="HU389" s="15"/>
      <c r="HV389" s="15"/>
      <c r="HW389" s="15"/>
      <c r="HX389" s="15"/>
      <c r="HY389" s="15"/>
      <c r="HZ389" s="15"/>
      <c r="IA389" s="15"/>
      <c r="IB389" s="15"/>
      <c r="IC389" s="15"/>
      <c r="ID389" s="15"/>
      <c r="IE389" s="15"/>
      <c r="IF389" s="15"/>
      <c r="IG389" s="15"/>
      <c r="IH389" s="15"/>
      <c r="II389" s="15"/>
      <c r="IJ389" s="15"/>
      <c r="IK389" s="15"/>
      <c r="IL389" s="15"/>
      <c r="IM389" s="15"/>
      <c r="IN389" s="15"/>
      <c r="IO389" s="15"/>
      <c r="IP389" s="15"/>
      <c r="IQ389" s="15"/>
      <c r="IR389" s="15"/>
    </row>
    <row r="390" spans="1:252" x14ac:dyDescent="0.25">
      <c r="A390" s="223"/>
      <c r="B390" s="224" t="s">
        <v>59</v>
      </c>
      <c r="C390" s="225"/>
      <c r="D390" s="226"/>
      <c r="E390" s="227"/>
      <c r="F390" s="228"/>
      <c r="G390" s="227">
        <f>SUM(G387:G389)</f>
        <v>762326.88</v>
      </c>
      <c r="H390" s="227">
        <f>SUM(H387:H389)</f>
        <v>1753095.96</v>
      </c>
      <c r="I390" s="227">
        <f>SUM(I387:I389)</f>
        <v>2515422.84</v>
      </c>
      <c r="J390" s="693"/>
      <c r="K390" s="734"/>
    </row>
    <row r="391" spans="1:252" ht="16.2" customHeight="1" x14ac:dyDescent="0.25">
      <c r="A391" s="90"/>
      <c r="B391" s="471" t="s">
        <v>624</v>
      </c>
      <c r="C391" s="9"/>
      <c r="D391" s="31"/>
      <c r="E391" s="10"/>
      <c r="F391" s="57"/>
      <c r="G391" s="10"/>
      <c r="H391" s="10"/>
      <c r="I391" s="31">
        <f>ROUND(I390/1.18*0.18,2)</f>
        <v>383708.57</v>
      </c>
    </row>
    <row r="392" spans="1:252" ht="18.75" customHeight="1" x14ac:dyDescent="0.25">
      <c r="A392" s="109"/>
      <c r="B392" s="760" t="s">
        <v>1204</v>
      </c>
      <c r="C392" s="105"/>
      <c r="D392" s="105"/>
      <c r="E392" s="105"/>
      <c r="F392" s="138"/>
      <c r="G392" s="105"/>
      <c r="H392" s="105"/>
      <c r="I392" s="106"/>
    </row>
    <row r="393" spans="1:252" outlineLevel="1" x14ac:dyDescent="0.25">
      <c r="A393" s="271" t="s">
        <v>316</v>
      </c>
      <c r="B393" s="71" t="s">
        <v>37</v>
      </c>
      <c r="C393" s="2" t="s">
        <v>12</v>
      </c>
      <c r="D393" s="160">
        <v>86</v>
      </c>
      <c r="E393" s="256">
        <v>300</v>
      </c>
      <c r="F393" s="60"/>
      <c r="G393" s="2">
        <f>E393*D393</f>
        <v>25800</v>
      </c>
      <c r="H393" s="18"/>
      <c r="I393" s="18">
        <f>G393+H393</f>
        <v>25800</v>
      </c>
    </row>
    <row r="394" spans="1:252" ht="31.2" outlineLevel="1" x14ac:dyDescent="0.25">
      <c r="A394" s="84"/>
      <c r="B394" s="28" t="s">
        <v>225</v>
      </c>
      <c r="C394" s="21" t="s">
        <v>12</v>
      </c>
      <c r="D394" s="726">
        <f>Д2!D327+Ек!D348+Д!D309+Е!D332</f>
        <v>86</v>
      </c>
      <c r="E394" s="2"/>
      <c r="F394" s="361">
        <v>1700</v>
      </c>
      <c r="G394" s="2">
        <f t="shared" ref="G394:G410" si="30">E394*D394</f>
        <v>0</v>
      </c>
      <c r="H394" s="2">
        <f>F394*D394</f>
        <v>146200</v>
      </c>
      <c r="I394" s="18">
        <f t="shared" ref="I394:I403" si="31">G394+H394</f>
        <v>146200</v>
      </c>
    </row>
    <row r="395" spans="1:252" outlineLevel="1" x14ac:dyDescent="0.25">
      <c r="A395" s="84"/>
      <c r="B395" s="28" t="s">
        <v>1468</v>
      </c>
      <c r="C395" s="21" t="s">
        <v>12</v>
      </c>
      <c r="D395" s="726">
        <f>Д2!D328+Ек!D349+Д!D310+Е!D333</f>
        <v>20</v>
      </c>
      <c r="E395" s="2">
        <v>600</v>
      </c>
      <c r="F395" s="361">
        <v>1400</v>
      </c>
      <c r="G395" s="2">
        <f t="shared" si="30"/>
        <v>12000</v>
      </c>
      <c r="H395" s="2">
        <f t="shared" ref="H395:H410" si="32">F395*D395</f>
        <v>28000</v>
      </c>
      <c r="I395" s="18">
        <f>G395+H395</f>
        <v>40000</v>
      </c>
    </row>
    <row r="396" spans="1:252" ht="31.2" outlineLevel="1" x14ac:dyDescent="0.25">
      <c r="A396" s="84"/>
      <c r="B396" s="28" t="s">
        <v>1217</v>
      </c>
      <c r="C396" s="21" t="s">
        <v>12</v>
      </c>
      <c r="D396" s="726">
        <f>Ек!D350+Е!D334</f>
        <v>2</v>
      </c>
      <c r="E396" s="2"/>
      <c r="F396" s="361">
        <v>24500</v>
      </c>
      <c r="G396" s="2">
        <f t="shared" si="30"/>
        <v>0</v>
      </c>
      <c r="H396" s="2">
        <f t="shared" si="32"/>
        <v>49000</v>
      </c>
      <c r="I396" s="18">
        <f>G396+H396</f>
        <v>49000</v>
      </c>
    </row>
    <row r="397" spans="1:252" ht="31.2" outlineLevel="1" x14ac:dyDescent="0.25">
      <c r="A397" s="84"/>
      <c r="B397" s="28" t="s">
        <v>1430</v>
      </c>
      <c r="C397" s="21" t="s">
        <v>12</v>
      </c>
      <c r="D397" s="726">
        <f>Д2!D329+Ек!D351+Д!D311+Е!D335</f>
        <v>4</v>
      </c>
      <c r="E397" s="2"/>
      <c r="F397" s="361">
        <v>24500</v>
      </c>
      <c r="G397" s="2">
        <f t="shared" si="30"/>
        <v>0</v>
      </c>
      <c r="H397" s="2">
        <f t="shared" si="32"/>
        <v>98000</v>
      </c>
      <c r="I397" s="18">
        <f t="shared" si="31"/>
        <v>98000</v>
      </c>
    </row>
    <row r="398" spans="1:252" ht="31.2" outlineLevel="1" x14ac:dyDescent="0.25">
      <c r="A398" s="84"/>
      <c r="B398" s="28" t="s">
        <v>1218</v>
      </c>
      <c r="C398" s="21" t="s">
        <v>12</v>
      </c>
      <c r="D398" s="726">
        <f>Е!D336</f>
        <v>1</v>
      </c>
      <c r="E398" s="2"/>
      <c r="F398" s="361">
        <v>24500</v>
      </c>
      <c r="G398" s="2">
        <f t="shared" si="30"/>
        <v>0</v>
      </c>
      <c r="H398" s="2">
        <f t="shared" si="32"/>
        <v>24500</v>
      </c>
      <c r="I398" s="18">
        <f>G398+H398</f>
        <v>24500</v>
      </c>
    </row>
    <row r="399" spans="1:252" outlineLevel="1" x14ac:dyDescent="0.25">
      <c r="A399" s="84"/>
      <c r="B399" s="28" t="s">
        <v>1463</v>
      </c>
      <c r="C399" s="21" t="s">
        <v>12</v>
      </c>
      <c r="D399" s="726">
        <f>Д2!D330+Ек!D352+Д!D312+Е!D337</f>
        <v>4</v>
      </c>
      <c r="E399" s="2"/>
      <c r="F399" s="164">
        <v>10000</v>
      </c>
      <c r="G399" s="2">
        <f t="shared" si="30"/>
        <v>0</v>
      </c>
      <c r="H399" s="2">
        <f t="shared" si="32"/>
        <v>40000</v>
      </c>
      <c r="I399" s="18">
        <f>G399+H399</f>
        <v>40000</v>
      </c>
    </row>
    <row r="400" spans="1:252" ht="31.5" customHeight="1" outlineLevel="1" x14ac:dyDescent="0.25">
      <c r="A400" s="271" t="s">
        <v>469</v>
      </c>
      <c r="B400" s="9" t="s">
        <v>38</v>
      </c>
      <c r="C400" s="2" t="s">
        <v>12</v>
      </c>
      <c r="D400" s="160">
        <f>SUM(D401:D403)</f>
        <v>9</v>
      </c>
      <c r="E400" s="256"/>
      <c r="F400" s="164"/>
      <c r="G400" s="2">
        <f t="shared" si="30"/>
        <v>0</v>
      </c>
      <c r="H400" s="2">
        <f t="shared" si="32"/>
        <v>0</v>
      </c>
      <c r="I400" s="18">
        <f t="shared" si="31"/>
        <v>0</v>
      </c>
    </row>
    <row r="401" spans="1:12" ht="31.2" outlineLevel="1" x14ac:dyDescent="0.25">
      <c r="A401" s="84"/>
      <c r="B401" s="28" t="s">
        <v>1216</v>
      </c>
      <c r="C401" s="21" t="s">
        <v>12</v>
      </c>
      <c r="D401" s="726">
        <f>Д2!D332+Ек!D354+Д!D315+Е!D339</f>
        <v>4</v>
      </c>
      <c r="E401" s="2"/>
      <c r="F401" s="361">
        <f>10915*1.18</f>
        <v>12879.699999999999</v>
      </c>
      <c r="G401" s="2">
        <f t="shared" si="30"/>
        <v>0</v>
      </c>
      <c r="H401" s="2">
        <f t="shared" si="32"/>
        <v>51518.799999999996</v>
      </c>
      <c r="I401" s="18">
        <f t="shared" si="31"/>
        <v>51518.799999999996</v>
      </c>
    </row>
    <row r="402" spans="1:12" ht="31.2" outlineLevel="1" x14ac:dyDescent="0.25">
      <c r="A402" s="84"/>
      <c r="B402" s="28" t="s">
        <v>1215</v>
      </c>
      <c r="C402" s="21" t="s">
        <v>12</v>
      </c>
      <c r="D402" s="726">
        <f>Д!D314</f>
        <v>1</v>
      </c>
      <c r="E402" s="2"/>
      <c r="F402" s="361">
        <f>10200*1.18</f>
        <v>12036</v>
      </c>
      <c r="G402" s="2">
        <f t="shared" si="30"/>
        <v>0</v>
      </c>
      <c r="H402" s="2">
        <f t="shared" si="32"/>
        <v>12036</v>
      </c>
      <c r="I402" s="18">
        <f t="shared" si="31"/>
        <v>12036</v>
      </c>
    </row>
    <row r="403" spans="1:12" outlineLevel="1" x14ac:dyDescent="0.25">
      <c r="A403" s="84"/>
      <c r="B403" s="28" t="s">
        <v>1464</v>
      </c>
      <c r="C403" s="21" t="s">
        <v>12</v>
      </c>
      <c r="D403" s="726">
        <f>Д2!D333+Ек!D355+Д!D316+Е!D340</f>
        <v>4</v>
      </c>
      <c r="E403" s="2"/>
      <c r="F403" s="361">
        <f>10915*1.18</f>
        <v>12879.699999999999</v>
      </c>
      <c r="G403" s="2">
        <f t="shared" si="30"/>
        <v>0</v>
      </c>
      <c r="H403" s="2">
        <f t="shared" si="32"/>
        <v>51518.799999999996</v>
      </c>
      <c r="I403" s="18">
        <f t="shared" si="31"/>
        <v>51518.799999999996</v>
      </c>
    </row>
    <row r="404" spans="1:12" outlineLevel="1" x14ac:dyDescent="0.25">
      <c r="A404" s="271" t="s">
        <v>522</v>
      </c>
      <c r="B404" s="9" t="s">
        <v>664</v>
      </c>
      <c r="C404" s="2" t="s">
        <v>12</v>
      </c>
      <c r="D404" s="160">
        <f>SUM(D405:D407)</f>
        <v>8</v>
      </c>
      <c r="E404" s="256">
        <v>1300</v>
      </c>
      <c r="F404" s="485">
        <v>10800</v>
      </c>
      <c r="G404" s="2">
        <f t="shared" si="30"/>
        <v>10400</v>
      </c>
      <c r="H404" s="2">
        <f t="shared" si="32"/>
        <v>86400</v>
      </c>
      <c r="I404" s="18">
        <f>G404+H404</f>
        <v>96800</v>
      </c>
    </row>
    <row r="405" spans="1:12" outlineLevel="1" x14ac:dyDescent="0.25">
      <c r="A405" s="84"/>
      <c r="B405" s="22" t="s">
        <v>1465</v>
      </c>
      <c r="C405" s="2" t="s">
        <v>12</v>
      </c>
      <c r="D405" s="727">
        <f>Д2!D335+Ек!D357+Д!D318+Е!D342</f>
        <v>4</v>
      </c>
      <c r="E405" s="158"/>
      <c r="F405" s="60"/>
      <c r="G405" s="2">
        <f t="shared" si="30"/>
        <v>0</v>
      </c>
      <c r="H405" s="2">
        <f t="shared" si="32"/>
        <v>0</v>
      </c>
      <c r="I405" s="18"/>
    </row>
    <row r="406" spans="1:12" outlineLevel="1" x14ac:dyDescent="0.25">
      <c r="A406" s="84"/>
      <c r="B406" s="22" t="s">
        <v>1466</v>
      </c>
      <c r="C406" s="2" t="s">
        <v>12</v>
      </c>
      <c r="D406" s="727">
        <f>Ек!D358+Е!D343</f>
        <v>2</v>
      </c>
      <c r="E406" s="158"/>
      <c r="F406" s="60"/>
      <c r="G406" s="2">
        <f t="shared" si="30"/>
        <v>0</v>
      </c>
      <c r="H406" s="2">
        <f t="shared" si="32"/>
        <v>0</v>
      </c>
      <c r="I406" s="18"/>
    </row>
    <row r="407" spans="1:12" outlineLevel="1" x14ac:dyDescent="0.25">
      <c r="A407" s="84"/>
      <c r="B407" s="22" t="s">
        <v>1467</v>
      </c>
      <c r="C407" s="2" t="s">
        <v>12</v>
      </c>
      <c r="D407" s="727">
        <f>Ек!D359+Е!D344</f>
        <v>2</v>
      </c>
      <c r="E407" s="158"/>
      <c r="F407" s="60"/>
      <c r="G407" s="2">
        <f t="shared" si="30"/>
        <v>0</v>
      </c>
      <c r="H407" s="2">
        <f t="shared" si="32"/>
        <v>0</v>
      </c>
      <c r="I407" s="18"/>
    </row>
    <row r="408" spans="1:12" outlineLevel="1" x14ac:dyDescent="0.25">
      <c r="A408" s="271" t="s">
        <v>523</v>
      </c>
      <c r="B408" s="9" t="s">
        <v>665</v>
      </c>
      <c r="C408" s="2" t="s">
        <v>12</v>
      </c>
      <c r="D408" s="728">
        <f>D409+D410</f>
        <v>44</v>
      </c>
      <c r="E408" s="256">
        <v>1300</v>
      </c>
      <c r="F408" s="60"/>
      <c r="G408" s="2">
        <f t="shared" si="30"/>
        <v>57200</v>
      </c>
      <c r="H408" s="2">
        <f t="shared" si="32"/>
        <v>0</v>
      </c>
      <c r="I408" s="18">
        <f>G408+H408</f>
        <v>57200</v>
      </c>
    </row>
    <row r="409" spans="1:12" outlineLevel="1" x14ac:dyDescent="0.25">
      <c r="A409" s="84"/>
      <c r="B409" s="22" t="s">
        <v>1219</v>
      </c>
      <c r="C409" s="2" t="s">
        <v>12</v>
      </c>
      <c r="D409" s="727">
        <f>Д2!D337+Ек!D361+Д!D320+Е!D346</f>
        <v>22</v>
      </c>
      <c r="E409" s="2"/>
      <c r="F409" s="164">
        <v>700</v>
      </c>
      <c r="G409" s="2">
        <f t="shared" si="30"/>
        <v>0</v>
      </c>
      <c r="H409" s="2">
        <f t="shared" si="32"/>
        <v>15400</v>
      </c>
      <c r="I409" s="18">
        <f>G409+H409</f>
        <v>15400</v>
      </c>
    </row>
    <row r="410" spans="1:12" ht="31.2" outlineLevel="1" x14ac:dyDescent="0.25">
      <c r="A410" s="84"/>
      <c r="B410" s="22" t="s">
        <v>1220</v>
      </c>
      <c r="C410" s="2" t="s">
        <v>12</v>
      </c>
      <c r="D410" s="727">
        <f>Д2!D338+Ек!D362+Д!D321+Е!D347</f>
        <v>22</v>
      </c>
      <c r="E410" s="2"/>
      <c r="F410" s="164">
        <v>2000</v>
      </c>
      <c r="G410" s="2">
        <f t="shared" si="30"/>
        <v>0</v>
      </c>
      <c r="H410" s="2">
        <f t="shared" si="32"/>
        <v>44000</v>
      </c>
      <c r="I410" s="18">
        <f>G410+H410</f>
        <v>44000</v>
      </c>
    </row>
    <row r="411" spans="1:12" x14ac:dyDescent="0.25">
      <c r="A411" s="223"/>
      <c r="B411" s="232" t="s">
        <v>58</v>
      </c>
      <c r="C411" s="225"/>
      <c r="D411" s="226"/>
      <c r="E411" s="227"/>
      <c r="F411" s="228"/>
      <c r="G411" s="227">
        <f>SUM(G393:G410)</f>
        <v>105400</v>
      </c>
      <c r="H411" s="227">
        <f>SUM(H393:H410)</f>
        <v>646573.6</v>
      </c>
      <c r="I411" s="227">
        <f>SUM(I393:I410)</f>
        <v>751973.6</v>
      </c>
      <c r="J411" s="693"/>
    </row>
    <row r="412" spans="1:12" ht="16.95" customHeight="1" x14ac:dyDescent="0.25">
      <c r="A412" s="90"/>
      <c r="B412" s="471" t="s">
        <v>624</v>
      </c>
      <c r="C412" s="9"/>
      <c r="D412" s="31"/>
      <c r="E412" s="10"/>
      <c r="F412" s="57"/>
      <c r="G412" s="10"/>
      <c r="H412" s="10"/>
      <c r="I412" s="31">
        <f>ROUND(I411/1.18*0.18,2)</f>
        <v>114707.84</v>
      </c>
    </row>
    <row r="413" spans="1:12" ht="18.75" customHeight="1" x14ac:dyDescent="0.25">
      <c r="A413" s="108"/>
      <c r="B413" s="760" t="s">
        <v>1205</v>
      </c>
      <c r="C413" s="105"/>
      <c r="D413" s="105"/>
      <c r="E413" s="105"/>
      <c r="F413" s="138"/>
      <c r="G413" s="105"/>
      <c r="H413" s="105"/>
      <c r="I413" s="106"/>
    </row>
    <row r="414" spans="1:12" s="6" customFormat="1" ht="31.5" customHeight="1" outlineLevel="1" x14ac:dyDescent="0.25">
      <c r="A414" s="107" t="s">
        <v>317</v>
      </c>
      <c r="B414" s="494" t="s">
        <v>1005</v>
      </c>
      <c r="C414" s="31" t="s">
        <v>14</v>
      </c>
      <c r="D414" s="160">
        <f>Д2!D342+Ек!D366+Д!D325+Е!D351</f>
        <v>2515.7415999999998</v>
      </c>
      <c r="E414" s="256">
        <v>800</v>
      </c>
      <c r="F414" s="60">
        <v>600</v>
      </c>
      <c r="G414" s="2">
        <f>E414*D414</f>
        <v>2012593.2799999998</v>
      </c>
      <c r="H414" s="2">
        <f>F414*D414</f>
        <v>1509444.96</v>
      </c>
      <c r="I414" s="18">
        <f>G414+H414</f>
        <v>3522038.2399999998</v>
      </c>
      <c r="J414" s="499"/>
      <c r="K414" s="25"/>
      <c r="L414" s="25"/>
    </row>
    <row r="415" spans="1:12" outlineLevel="1" x14ac:dyDescent="0.25">
      <c r="A415" s="107" t="s">
        <v>318</v>
      </c>
      <c r="B415" s="29" t="s">
        <v>1391</v>
      </c>
      <c r="C415" s="31" t="s">
        <v>14</v>
      </c>
      <c r="D415" s="160">
        <f>Д2!D351+Ек!D371+Д!D330+Е!D356</f>
        <v>329.63279999999997</v>
      </c>
      <c r="E415" s="256">
        <v>350</v>
      </c>
      <c r="F415" s="60"/>
      <c r="G415" s="2">
        <f>E415*D415</f>
        <v>115371.48</v>
      </c>
      <c r="H415" s="2">
        <f>F415*D415</f>
        <v>0</v>
      </c>
      <c r="I415" s="18">
        <f>G415+H415</f>
        <v>115371.48</v>
      </c>
      <c r="K415" s="430"/>
    </row>
    <row r="416" spans="1:12" ht="31.2" outlineLevel="1" x14ac:dyDescent="0.25">
      <c r="A416" s="84"/>
      <c r="B416" s="11" t="s">
        <v>1390</v>
      </c>
      <c r="C416" s="55" t="s">
        <v>8</v>
      </c>
      <c r="D416" s="42">
        <f>Д2!D352+Ек!D372+Д!D331+Е!D357</f>
        <v>39.54</v>
      </c>
      <c r="E416" s="18"/>
      <c r="F416" s="366">
        <v>4200</v>
      </c>
      <c r="G416" s="18"/>
      <c r="H416" s="2">
        <f>F416*D416</f>
        <v>166068</v>
      </c>
      <c r="I416" s="18">
        <f>G416+H416</f>
        <v>166068</v>
      </c>
    </row>
    <row r="417" spans="1:12" outlineLevel="1" x14ac:dyDescent="0.25">
      <c r="A417" s="84"/>
      <c r="B417" s="725" t="s">
        <v>230</v>
      </c>
      <c r="C417" s="55" t="s">
        <v>12</v>
      </c>
      <c r="D417" s="42">
        <f>ROUND(D415*12,2)</f>
        <v>3955.59</v>
      </c>
      <c r="E417" s="18"/>
      <c r="F417" s="142">
        <v>12</v>
      </c>
      <c r="G417" s="18"/>
      <c r="H417" s="2">
        <f>F417*D417</f>
        <v>47467.08</v>
      </c>
      <c r="I417" s="18">
        <f>G417+H417</f>
        <v>47467.08</v>
      </c>
    </row>
    <row r="418" spans="1:12" ht="19.5" customHeight="1" x14ac:dyDescent="0.25">
      <c r="A418" s="223"/>
      <c r="B418" s="232" t="s">
        <v>57</v>
      </c>
      <c r="C418" s="225"/>
      <c r="D418" s="226"/>
      <c r="E418" s="227"/>
      <c r="F418" s="228"/>
      <c r="G418" s="227">
        <f>SUM(G414:G417)</f>
        <v>2127964.7599999998</v>
      </c>
      <c r="H418" s="227">
        <f>SUM(H414:H417)</f>
        <v>1722980.04</v>
      </c>
      <c r="I418" s="227">
        <f>SUM(I414:I417)</f>
        <v>3850944.8</v>
      </c>
      <c r="J418" s="693"/>
      <c r="L418" s="133"/>
    </row>
    <row r="419" spans="1:12" ht="17.399999999999999" customHeight="1" x14ac:dyDescent="0.25">
      <c r="A419" s="90"/>
      <c r="B419" s="471" t="s">
        <v>624</v>
      </c>
      <c r="C419" s="472"/>
      <c r="D419" s="473"/>
      <c r="E419" s="474"/>
      <c r="F419" s="475"/>
      <c r="G419" s="10"/>
      <c r="H419" s="10"/>
      <c r="I419" s="31">
        <f>ROUND(I418/1.18*0.18,2)</f>
        <v>587432.26</v>
      </c>
    </row>
    <row r="420" spans="1:12" ht="20.25" customHeight="1" x14ac:dyDescent="0.25">
      <c r="A420" s="109"/>
      <c r="B420" s="771" t="s">
        <v>1206</v>
      </c>
      <c r="C420" s="771"/>
      <c r="D420" s="771"/>
      <c r="E420" s="771"/>
      <c r="F420" s="771"/>
      <c r="G420" s="105"/>
      <c r="H420" s="105"/>
      <c r="I420" s="106"/>
    </row>
    <row r="421" spans="1:12" ht="19.5" customHeight="1" outlineLevel="1" x14ac:dyDescent="0.25">
      <c r="A421" s="84"/>
      <c r="B421" s="191" t="s">
        <v>1074</v>
      </c>
      <c r="C421" s="481"/>
      <c r="D421" s="482"/>
      <c r="E421" s="486"/>
      <c r="F421" s="487"/>
      <c r="G421" s="77"/>
      <c r="H421" s="77"/>
      <c r="I421" s="77"/>
      <c r="K421" s="670"/>
    </row>
    <row r="422" spans="1:12" ht="16.95" customHeight="1" outlineLevel="1" x14ac:dyDescent="0.25">
      <c r="A422" s="107" t="s">
        <v>319</v>
      </c>
      <c r="B422" s="29" t="s">
        <v>1058</v>
      </c>
      <c r="C422" s="31" t="s">
        <v>14</v>
      </c>
      <c r="D422" s="2">
        <f>97+207.4</f>
        <v>304.39999999999998</v>
      </c>
      <c r="E422" s="256">
        <v>120</v>
      </c>
      <c r="F422" s="60"/>
      <c r="G422" s="2">
        <f>E422*D422</f>
        <v>36528</v>
      </c>
      <c r="H422" s="18"/>
      <c r="I422" s="18">
        <f t="shared" ref="I422:I432" si="33">H422+G422</f>
        <v>36528</v>
      </c>
      <c r="K422" s="161"/>
    </row>
    <row r="423" spans="1:12" outlineLevel="1" x14ac:dyDescent="0.25">
      <c r="A423" s="84"/>
      <c r="B423" s="28" t="s">
        <v>1055</v>
      </c>
      <c r="C423" s="21" t="s">
        <v>14</v>
      </c>
      <c r="D423" s="2">
        <f>ROUND(D422*1.1,2)</f>
        <v>334.84</v>
      </c>
      <c r="E423" s="18"/>
      <c r="F423" s="164">
        <f>ROUND(88.7*1.1,2)</f>
        <v>97.57</v>
      </c>
      <c r="G423" s="2">
        <f t="shared" ref="G423:G442" si="34">E423*D423</f>
        <v>0</v>
      </c>
      <c r="H423" s="2">
        <f>F423*D423</f>
        <v>32670.338799999994</v>
      </c>
      <c r="I423" s="18">
        <f t="shared" si="33"/>
        <v>32670.338799999994</v>
      </c>
    </row>
    <row r="424" spans="1:12" outlineLevel="1" x14ac:dyDescent="0.25">
      <c r="A424" s="107" t="s">
        <v>320</v>
      </c>
      <c r="B424" s="29" t="s">
        <v>1059</v>
      </c>
      <c r="C424" s="31" t="s">
        <v>14</v>
      </c>
      <c r="D424" s="31">
        <f>1019.1+97+89.2+19.8</f>
        <v>1225.0999999999999</v>
      </c>
      <c r="E424" s="256">
        <v>150</v>
      </c>
      <c r="F424" s="60"/>
      <c r="G424" s="2">
        <f t="shared" si="34"/>
        <v>183765</v>
      </c>
      <c r="H424" s="2">
        <f t="shared" ref="H424:H443" si="35">F424*D424</f>
        <v>0</v>
      </c>
      <c r="I424" s="18">
        <f t="shared" si="33"/>
        <v>183765</v>
      </c>
    </row>
    <row r="425" spans="1:12" outlineLevel="1" x14ac:dyDescent="0.25">
      <c r="A425" s="84"/>
      <c r="B425" s="22" t="s">
        <v>1418</v>
      </c>
      <c r="C425" s="21" t="s">
        <v>8</v>
      </c>
      <c r="D425" s="2">
        <f>ROUND(D424*0.1,2)</f>
        <v>122.51</v>
      </c>
      <c r="E425" s="18"/>
      <c r="F425" s="328">
        <v>4200</v>
      </c>
      <c r="G425" s="2">
        <f t="shared" si="34"/>
        <v>0</v>
      </c>
      <c r="H425" s="2">
        <f t="shared" si="35"/>
        <v>514542</v>
      </c>
      <c r="I425" s="18">
        <f t="shared" si="33"/>
        <v>514542</v>
      </c>
    </row>
    <row r="426" spans="1:12" outlineLevel="1" x14ac:dyDescent="0.25">
      <c r="A426" s="84"/>
      <c r="B426" s="22" t="s">
        <v>1419</v>
      </c>
      <c r="C426" s="21" t="s">
        <v>14</v>
      </c>
      <c r="D426" s="2">
        <f>1019.1+89.2+19.8</f>
        <v>1128.0999999999999</v>
      </c>
      <c r="E426" s="18"/>
      <c r="F426" s="328"/>
      <c r="G426" s="2">
        <f t="shared" si="34"/>
        <v>0</v>
      </c>
      <c r="H426" s="2">
        <f t="shared" si="35"/>
        <v>0</v>
      </c>
      <c r="I426" s="18"/>
    </row>
    <row r="427" spans="1:12" ht="32.25" customHeight="1" outlineLevel="1" x14ac:dyDescent="0.25">
      <c r="A427" s="107" t="s">
        <v>321</v>
      </c>
      <c r="B427" s="9" t="s">
        <v>1057</v>
      </c>
      <c r="C427" s="31" t="s">
        <v>14</v>
      </c>
      <c r="D427" s="31">
        <f>1019.1+97+89.2+19.8+2040.8+207.4+178.4</f>
        <v>3651.7</v>
      </c>
      <c r="E427" s="256">
        <v>340</v>
      </c>
      <c r="F427" s="60"/>
      <c r="G427" s="2">
        <f t="shared" si="34"/>
        <v>1241578</v>
      </c>
      <c r="H427" s="2">
        <f t="shared" si="35"/>
        <v>0</v>
      </c>
      <c r="I427" s="18">
        <f t="shared" si="33"/>
        <v>1241578</v>
      </c>
    </row>
    <row r="428" spans="1:12" outlineLevel="1" x14ac:dyDescent="0.25">
      <c r="A428" s="84"/>
      <c r="B428" s="22" t="s">
        <v>47</v>
      </c>
      <c r="C428" s="21" t="s">
        <v>8</v>
      </c>
      <c r="D428" s="2">
        <f>ROUND(D427*0.04,2)</f>
        <v>146.07</v>
      </c>
      <c r="E428" s="282"/>
      <c r="F428" s="11"/>
      <c r="G428" s="2">
        <f t="shared" si="34"/>
        <v>0</v>
      </c>
      <c r="H428" s="2">
        <f t="shared" si="35"/>
        <v>0</v>
      </c>
      <c r="I428" s="18">
        <f t="shared" si="33"/>
        <v>0</v>
      </c>
    </row>
    <row r="429" spans="1:12" outlineLevel="1" x14ac:dyDescent="0.25">
      <c r="A429" s="84"/>
      <c r="B429" s="28" t="s">
        <v>1056</v>
      </c>
      <c r="C429" s="21" t="s">
        <v>14</v>
      </c>
      <c r="D429" s="2">
        <f>D427</f>
        <v>3651.7</v>
      </c>
      <c r="E429" s="282"/>
      <c r="F429" s="361">
        <v>31.34</v>
      </c>
      <c r="G429" s="2">
        <f t="shared" si="34"/>
        <v>0</v>
      </c>
      <c r="H429" s="2">
        <f t="shared" si="35"/>
        <v>114444.27799999999</v>
      </c>
      <c r="I429" s="18">
        <f t="shared" si="33"/>
        <v>114444.27799999999</v>
      </c>
    </row>
    <row r="430" spans="1:12" ht="31.2" outlineLevel="1" x14ac:dyDescent="0.25">
      <c r="A430" s="107" t="s">
        <v>322</v>
      </c>
      <c r="B430" s="9" t="s">
        <v>1420</v>
      </c>
      <c r="C430" s="31" t="s">
        <v>14</v>
      </c>
      <c r="D430" s="31">
        <f>9.8+35.7+79.6</f>
        <v>125.1</v>
      </c>
      <c r="E430" s="256">
        <v>340</v>
      </c>
      <c r="F430" s="60"/>
      <c r="G430" s="2">
        <f t="shared" si="34"/>
        <v>42534</v>
      </c>
      <c r="H430" s="2">
        <f t="shared" si="35"/>
        <v>0</v>
      </c>
      <c r="I430" s="18">
        <f t="shared" si="33"/>
        <v>42534</v>
      </c>
    </row>
    <row r="431" spans="1:12" outlineLevel="1" x14ac:dyDescent="0.25">
      <c r="A431" s="84"/>
      <c r="B431" s="22" t="s">
        <v>47</v>
      </c>
      <c r="C431" s="21" t="s">
        <v>8</v>
      </c>
      <c r="D431" s="2">
        <f>ROUND(D430*0.07,2)</f>
        <v>8.76</v>
      </c>
      <c r="E431" s="282"/>
      <c r="F431" s="11"/>
      <c r="G431" s="2">
        <f t="shared" si="34"/>
        <v>0</v>
      </c>
      <c r="H431" s="2">
        <f t="shared" si="35"/>
        <v>0</v>
      </c>
      <c r="I431" s="18">
        <f t="shared" si="33"/>
        <v>0</v>
      </c>
    </row>
    <row r="432" spans="1:12" outlineLevel="1" x14ac:dyDescent="0.25">
      <c r="A432" s="84"/>
      <c r="B432" s="28" t="s">
        <v>1056</v>
      </c>
      <c r="C432" s="21" t="s">
        <v>14</v>
      </c>
      <c r="D432" s="2">
        <f>D430</f>
        <v>125.1</v>
      </c>
      <c r="E432" s="282"/>
      <c r="F432" s="361">
        <v>31.34</v>
      </c>
      <c r="G432" s="2">
        <f t="shared" si="34"/>
        <v>0</v>
      </c>
      <c r="H432" s="2">
        <f t="shared" si="35"/>
        <v>3920.634</v>
      </c>
      <c r="I432" s="18">
        <f t="shared" si="33"/>
        <v>3920.634</v>
      </c>
    </row>
    <row r="433" spans="1:13" ht="31.2" outlineLevel="1" x14ac:dyDescent="0.25">
      <c r="A433" s="107" t="s">
        <v>323</v>
      </c>
      <c r="B433" s="9" t="s">
        <v>407</v>
      </c>
      <c r="C433" s="31" t="s">
        <v>14</v>
      </c>
      <c r="D433" s="31">
        <f>Д2!D369+Ек!D389+Д!D348+Е!D374</f>
        <v>351.5</v>
      </c>
      <c r="E433" s="256">
        <v>350</v>
      </c>
      <c r="F433" s="60"/>
      <c r="G433" s="2">
        <f t="shared" si="34"/>
        <v>123025</v>
      </c>
      <c r="H433" s="2">
        <f t="shared" si="35"/>
        <v>0</v>
      </c>
      <c r="I433" s="18">
        <f>H433+G433</f>
        <v>123025</v>
      </c>
    </row>
    <row r="434" spans="1:13" outlineLevel="1" x14ac:dyDescent="0.25">
      <c r="A434" s="84"/>
      <c r="B434" s="22" t="s">
        <v>1061</v>
      </c>
      <c r="C434" s="21" t="s">
        <v>14</v>
      </c>
      <c r="D434" s="2">
        <f>+ROUND(D433*1.1,2)</f>
        <v>386.65</v>
      </c>
      <c r="E434" s="18"/>
      <c r="F434" s="361">
        <v>250</v>
      </c>
      <c r="G434" s="2">
        <f t="shared" si="34"/>
        <v>0</v>
      </c>
      <c r="H434" s="2">
        <f t="shared" si="35"/>
        <v>96662.5</v>
      </c>
      <c r="I434" s="18">
        <f>H434+G434</f>
        <v>96662.5</v>
      </c>
    </row>
    <row r="435" spans="1:13" outlineLevel="1" x14ac:dyDescent="0.25">
      <c r="A435" s="84"/>
      <c r="B435" s="22" t="s">
        <v>49</v>
      </c>
      <c r="C435" s="21" t="s">
        <v>15</v>
      </c>
      <c r="D435" s="2">
        <f>+ROUND(D434*6,2)</f>
        <v>2319.9</v>
      </c>
      <c r="E435" s="18"/>
      <c r="F435" s="361">
        <f>+ROUND(7.5*1.1,2)</f>
        <v>8.25</v>
      </c>
      <c r="G435" s="2">
        <f t="shared" si="34"/>
        <v>0</v>
      </c>
      <c r="H435" s="2">
        <f t="shared" si="35"/>
        <v>19139.174999999999</v>
      </c>
      <c r="I435" s="18">
        <f>H435+G435</f>
        <v>19139.174999999999</v>
      </c>
    </row>
    <row r="436" spans="1:13" outlineLevel="1" x14ac:dyDescent="0.25">
      <c r="A436" s="84"/>
      <c r="B436" s="22" t="s">
        <v>1060</v>
      </c>
      <c r="C436" s="21" t="s">
        <v>15</v>
      </c>
      <c r="D436" s="2">
        <f>+ROUND(D434*0.19,2)</f>
        <v>73.459999999999994</v>
      </c>
      <c r="E436" s="18"/>
      <c r="F436" s="361">
        <v>9</v>
      </c>
      <c r="G436" s="2">
        <f t="shared" si="34"/>
        <v>0</v>
      </c>
      <c r="H436" s="2">
        <f t="shared" si="35"/>
        <v>661.14</v>
      </c>
      <c r="I436" s="18">
        <f>H436+G436</f>
        <v>661.14</v>
      </c>
    </row>
    <row r="437" spans="1:13" ht="22.5" customHeight="1" outlineLevel="1" x14ac:dyDescent="0.25">
      <c r="A437" s="84"/>
      <c r="B437" s="10" t="s">
        <v>1073</v>
      </c>
      <c r="C437" s="21"/>
      <c r="D437" s="2"/>
      <c r="E437" s="18"/>
      <c r="F437" s="361"/>
      <c r="G437" s="2">
        <f t="shared" si="34"/>
        <v>0</v>
      </c>
      <c r="H437" s="2">
        <f t="shared" si="35"/>
        <v>0</v>
      </c>
      <c r="I437" s="18"/>
    </row>
    <row r="438" spans="1:13" outlineLevel="1" x14ac:dyDescent="0.25">
      <c r="A438" s="107" t="s">
        <v>532</v>
      </c>
      <c r="B438" s="9" t="s">
        <v>1549</v>
      </c>
      <c r="C438" s="31" t="s">
        <v>14</v>
      </c>
      <c r="D438" s="31">
        <v>3925.23</v>
      </c>
      <c r="E438" s="256">
        <v>250</v>
      </c>
      <c r="F438" s="60"/>
      <c r="G438" s="2">
        <f t="shared" si="34"/>
        <v>981307.5</v>
      </c>
      <c r="H438" s="2">
        <f t="shared" si="35"/>
        <v>0</v>
      </c>
      <c r="I438" s="18">
        <f>H438+G438</f>
        <v>981307.5</v>
      </c>
    </row>
    <row r="439" spans="1:13" outlineLevel="1" x14ac:dyDescent="0.25">
      <c r="A439" s="86"/>
      <c r="B439" s="22" t="s">
        <v>1072</v>
      </c>
      <c r="C439" s="21" t="s">
        <v>15</v>
      </c>
      <c r="D439" s="70">
        <f>D438*6</f>
        <v>23551.38</v>
      </c>
      <c r="E439" s="282"/>
      <c r="F439" s="361"/>
      <c r="G439" s="2">
        <f t="shared" si="34"/>
        <v>0</v>
      </c>
      <c r="H439" s="2">
        <f t="shared" si="35"/>
        <v>0</v>
      </c>
      <c r="I439" s="18">
        <f>H439+G439</f>
        <v>0</v>
      </c>
    </row>
    <row r="440" spans="1:13" outlineLevel="1" x14ac:dyDescent="0.25">
      <c r="A440" s="107" t="s">
        <v>533</v>
      </c>
      <c r="B440" s="9" t="s">
        <v>1075</v>
      </c>
      <c r="C440" s="31" t="s">
        <v>1561</v>
      </c>
      <c r="D440" s="31">
        <v>3800</v>
      </c>
      <c r="E440" s="256">
        <v>25</v>
      </c>
      <c r="F440" s="60"/>
      <c r="G440" s="2">
        <f t="shared" si="34"/>
        <v>95000</v>
      </c>
      <c r="H440" s="2">
        <f t="shared" si="35"/>
        <v>0</v>
      </c>
      <c r="I440" s="18">
        <f>H440+G440</f>
        <v>95000</v>
      </c>
      <c r="J440" s="735"/>
    </row>
    <row r="441" spans="1:13" outlineLevel="1" x14ac:dyDescent="0.25">
      <c r="A441" s="86"/>
      <c r="B441" s="22" t="s">
        <v>1077</v>
      </c>
      <c r="C441" s="21" t="s">
        <v>15</v>
      </c>
      <c r="D441" s="2">
        <f>D440*0.2</f>
        <v>760</v>
      </c>
      <c r="E441" s="18"/>
      <c r="F441" s="361"/>
      <c r="G441" s="2">
        <f t="shared" si="34"/>
        <v>0</v>
      </c>
      <c r="H441" s="2">
        <f t="shared" si="35"/>
        <v>0</v>
      </c>
      <c r="I441" s="18">
        <f>H441+G441</f>
        <v>0</v>
      </c>
    </row>
    <row r="442" spans="1:13" outlineLevel="1" x14ac:dyDescent="0.25">
      <c r="A442" s="86"/>
      <c r="B442" s="22" t="s">
        <v>715</v>
      </c>
      <c r="C442" s="21" t="s">
        <v>15</v>
      </c>
      <c r="D442" s="70">
        <v>1000</v>
      </c>
      <c r="E442" s="18"/>
      <c r="F442" s="361">
        <v>8</v>
      </c>
      <c r="G442" s="2">
        <f t="shared" si="34"/>
        <v>0</v>
      </c>
      <c r="H442" s="2">
        <f t="shared" si="35"/>
        <v>8000</v>
      </c>
      <c r="I442" s="18">
        <f>H442+G442</f>
        <v>8000</v>
      </c>
    </row>
    <row r="443" spans="1:13" s="36" customFormat="1" outlineLevel="1" x14ac:dyDescent="0.25">
      <c r="A443" s="92"/>
      <c r="B443" s="748" t="s">
        <v>1543</v>
      </c>
      <c r="C443" s="744"/>
      <c r="D443" s="745"/>
      <c r="E443" s="746"/>
      <c r="F443" s="747"/>
      <c r="G443" s="474">
        <f>SUM(G421:G442)</f>
        <v>2703737.5</v>
      </c>
      <c r="H443" s="2">
        <f t="shared" si="35"/>
        <v>0</v>
      </c>
      <c r="I443" s="749">
        <f>G443</f>
        <v>2703737.5</v>
      </c>
      <c r="K443" s="162"/>
      <c r="L443" s="162"/>
      <c r="M443" s="162"/>
    </row>
    <row r="444" spans="1:13" s="36" customFormat="1" outlineLevel="1" x14ac:dyDescent="0.25">
      <c r="A444" s="92"/>
      <c r="B444" s="748" t="s">
        <v>1546</v>
      </c>
      <c r="C444" s="744"/>
      <c r="D444" s="745"/>
      <c r="E444" s="746"/>
      <c r="F444" s="747"/>
      <c r="G444" s="474"/>
      <c r="H444" s="473">
        <f>SUM(H421:H443)</f>
        <v>790040.06579999998</v>
      </c>
      <c r="I444" s="749">
        <f>H444</f>
        <v>790040.06579999998</v>
      </c>
      <c r="K444" s="162"/>
      <c r="L444" s="162"/>
      <c r="M444" s="162"/>
    </row>
    <row r="445" spans="1:13" s="36" customFormat="1" outlineLevel="1" x14ac:dyDescent="0.25">
      <c r="A445" s="92"/>
      <c r="B445" s="748" t="s">
        <v>1544</v>
      </c>
      <c r="C445" s="744"/>
      <c r="D445" s="745"/>
      <c r="E445" s="746"/>
      <c r="F445" s="747"/>
      <c r="G445" s="474"/>
      <c r="H445" s="746"/>
      <c r="I445" s="749">
        <f>G445</f>
        <v>0</v>
      </c>
      <c r="K445" s="162"/>
      <c r="L445" s="162"/>
      <c r="M445" s="162"/>
    </row>
    <row r="446" spans="1:13" s="36" customFormat="1" outlineLevel="1" x14ac:dyDescent="0.25">
      <c r="A446" s="92"/>
      <c r="B446" s="748" t="s">
        <v>1545</v>
      </c>
      <c r="C446" s="744"/>
      <c r="D446" s="745"/>
      <c r="E446" s="746"/>
      <c r="F446" s="747"/>
      <c r="G446" s="474"/>
      <c r="H446" s="746"/>
      <c r="I446" s="749">
        <f>G446</f>
        <v>0</v>
      </c>
      <c r="K446" s="162"/>
      <c r="L446" s="162"/>
      <c r="M446" s="162"/>
    </row>
    <row r="447" spans="1:13" ht="27.6" x14ac:dyDescent="0.25">
      <c r="A447" s="223"/>
      <c r="B447" s="231" t="s">
        <v>56</v>
      </c>
      <c r="C447" s="225"/>
      <c r="D447" s="226"/>
      <c r="E447" s="227"/>
      <c r="F447" s="228"/>
      <c r="G447" s="227">
        <f>G443+G445+G446</f>
        <v>2703737.5</v>
      </c>
      <c r="H447" s="227">
        <f>H444</f>
        <v>790040.06579999998</v>
      </c>
      <c r="I447" s="227">
        <f>I443+I444+I445+I446</f>
        <v>3493777.5658</v>
      </c>
      <c r="J447" s="693"/>
    </row>
    <row r="448" spans="1:13" x14ac:dyDescent="0.25">
      <c r="A448" s="90"/>
      <c r="B448" s="471" t="s">
        <v>624</v>
      </c>
      <c r="C448" s="472"/>
      <c r="D448" s="473"/>
      <c r="E448" s="474"/>
      <c r="F448" s="475"/>
      <c r="G448" s="474"/>
      <c r="H448" s="474"/>
      <c r="I448" s="31">
        <f>ROUND(I447/1.18*0.18,2)</f>
        <v>532949.12</v>
      </c>
    </row>
    <row r="449" spans="1:9" ht="62.4" x14ac:dyDescent="0.25">
      <c r="A449" s="766"/>
      <c r="B449" s="760" t="s">
        <v>1408</v>
      </c>
      <c r="C449" s="765"/>
      <c r="D449" s="765"/>
      <c r="E449" s="765"/>
      <c r="F449" s="765"/>
      <c r="G449" s="765"/>
      <c r="H449" s="765"/>
      <c r="I449" s="767"/>
    </row>
    <row r="450" spans="1:9" ht="33.75" customHeight="1" outlineLevel="1" x14ac:dyDescent="0.25">
      <c r="A450" s="107" t="s">
        <v>325</v>
      </c>
      <c r="B450" s="9" t="s">
        <v>1409</v>
      </c>
      <c r="C450" s="31" t="s">
        <v>14</v>
      </c>
      <c r="D450" s="65">
        <f>Д2!D385+Ек!D405+Д!D364+Е!D390</f>
        <v>1302.9000000000001</v>
      </c>
      <c r="E450" s="166">
        <v>100</v>
      </c>
      <c r="F450" s="60"/>
      <c r="G450" s="2">
        <f>E450*D450</f>
        <v>130290.00000000001</v>
      </c>
      <c r="H450" s="18"/>
      <c r="I450" s="18">
        <f>H450+G450</f>
        <v>130290.00000000001</v>
      </c>
    </row>
    <row r="451" spans="1:9" outlineLevel="1" x14ac:dyDescent="0.25">
      <c r="A451" s="84"/>
      <c r="B451" s="28" t="s">
        <v>1410</v>
      </c>
      <c r="C451" s="21" t="s">
        <v>8</v>
      </c>
      <c r="D451" s="2">
        <v>40</v>
      </c>
      <c r="E451" s="18"/>
      <c r="F451" s="164">
        <v>700</v>
      </c>
      <c r="G451" s="2">
        <f t="shared" ref="G451:G475" si="36">E451*D451</f>
        <v>0</v>
      </c>
      <c r="H451" s="18">
        <f>F451*D451</f>
        <v>28000</v>
      </c>
      <c r="I451" s="18">
        <f>H451+G451</f>
        <v>28000</v>
      </c>
    </row>
    <row r="452" spans="1:9" ht="31.2" outlineLevel="1" x14ac:dyDescent="0.25">
      <c r="A452" s="107" t="s">
        <v>325</v>
      </c>
      <c r="B452" s="9" t="s">
        <v>1412</v>
      </c>
      <c r="C452" s="31" t="s">
        <v>14</v>
      </c>
      <c r="D452" s="65">
        <v>10</v>
      </c>
      <c r="E452" s="256">
        <v>1000</v>
      </c>
      <c r="F452" s="60"/>
      <c r="G452" s="2">
        <f t="shared" si="36"/>
        <v>10000</v>
      </c>
      <c r="H452" s="18">
        <f t="shared" ref="H452:H475" si="37">F452*D452</f>
        <v>0</v>
      </c>
      <c r="I452" s="18">
        <f>H452+G452</f>
        <v>10000</v>
      </c>
    </row>
    <row r="453" spans="1:9" outlineLevel="1" x14ac:dyDescent="0.25">
      <c r="A453" s="84"/>
      <c r="B453" s="28" t="s">
        <v>1062</v>
      </c>
      <c r="C453" s="21" t="s">
        <v>8</v>
      </c>
      <c r="D453" s="2">
        <f>ROUND(D452*0.1,2)</f>
        <v>1</v>
      </c>
      <c r="E453" s="18"/>
      <c r="F453" s="664">
        <v>3450</v>
      </c>
      <c r="G453" s="2">
        <f t="shared" si="36"/>
        <v>0</v>
      </c>
      <c r="H453" s="18">
        <f t="shared" si="37"/>
        <v>3450</v>
      </c>
      <c r="I453" s="18">
        <f>H453+G453</f>
        <v>3450</v>
      </c>
    </row>
    <row r="454" spans="1:9" outlineLevel="1" x14ac:dyDescent="0.25">
      <c r="A454" s="84"/>
      <c r="B454" s="28" t="s">
        <v>1413</v>
      </c>
      <c r="C454" s="21" t="s">
        <v>8</v>
      </c>
      <c r="D454" s="2">
        <f>ROUND(D453*0.05,2)</f>
        <v>0.05</v>
      </c>
      <c r="E454" s="18"/>
      <c r="F454" s="164">
        <v>850</v>
      </c>
      <c r="G454" s="2">
        <f t="shared" si="36"/>
        <v>0</v>
      </c>
      <c r="H454" s="18">
        <f t="shared" si="37"/>
        <v>42.5</v>
      </c>
      <c r="I454" s="18">
        <f>H454+G454</f>
        <v>42.5</v>
      </c>
    </row>
    <row r="455" spans="1:9" outlineLevel="1" x14ac:dyDescent="0.25">
      <c r="A455" s="107" t="s">
        <v>326</v>
      </c>
      <c r="B455" s="29" t="s">
        <v>1064</v>
      </c>
      <c r="C455" s="31" t="s">
        <v>14</v>
      </c>
      <c r="D455" s="2">
        <v>10</v>
      </c>
      <c r="E455" s="256">
        <v>120</v>
      </c>
      <c r="F455" s="60"/>
      <c r="G455" s="2">
        <f t="shared" si="36"/>
        <v>1200</v>
      </c>
      <c r="H455" s="18">
        <f t="shared" si="37"/>
        <v>0</v>
      </c>
      <c r="I455" s="18">
        <f t="shared" ref="I455:I470" si="38">H455+G455</f>
        <v>1200</v>
      </c>
    </row>
    <row r="456" spans="1:9" outlineLevel="1" x14ac:dyDescent="0.25">
      <c r="A456" s="84"/>
      <c r="B456" s="28" t="s">
        <v>1063</v>
      </c>
      <c r="C456" s="21" t="s">
        <v>14</v>
      </c>
      <c r="D456" s="2">
        <f>ROUND(D455*1.1*2,2)</f>
        <v>22</v>
      </c>
      <c r="E456" s="18"/>
      <c r="F456" s="164">
        <f>ROUND(88.7*1.1,2)</f>
        <v>97.57</v>
      </c>
      <c r="G456" s="2">
        <f t="shared" si="36"/>
        <v>0</v>
      </c>
      <c r="H456" s="18">
        <f t="shared" si="37"/>
        <v>2146.54</v>
      </c>
      <c r="I456" s="18">
        <f t="shared" si="38"/>
        <v>2146.54</v>
      </c>
    </row>
    <row r="457" spans="1:9" ht="31.2" outlineLevel="1" x14ac:dyDescent="0.25">
      <c r="A457" s="107" t="s">
        <v>327</v>
      </c>
      <c r="B457" s="29" t="s">
        <v>1069</v>
      </c>
      <c r="C457" s="31" t="s">
        <v>14</v>
      </c>
      <c r="D457" s="31">
        <f>1.7*2</f>
        <v>3.4</v>
      </c>
      <c r="E457" s="18"/>
      <c r="F457" s="60"/>
      <c r="G457" s="2">
        <f t="shared" si="36"/>
        <v>0</v>
      </c>
      <c r="H457" s="18">
        <f t="shared" si="37"/>
        <v>0</v>
      </c>
      <c r="I457" s="18">
        <f t="shared" si="38"/>
        <v>0</v>
      </c>
    </row>
    <row r="458" spans="1:9" ht="27.6" outlineLevel="1" x14ac:dyDescent="0.25">
      <c r="A458" s="84"/>
      <c r="B458" s="372" t="s">
        <v>1068</v>
      </c>
      <c r="C458" s="21" t="s">
        <v>14</v>
      </c>
      <c r="D458" s="66">
        <f>ROUND(D457*2*1.03,2)</f>
        <v>7</v>
      </c>
      <c r="E458" s="51"/>
      <c r="F458" s="328">
        <f>ROUND(261.9*1.1,2)</f>
        <v>288.08999999999997</v>
      </c>
      <c r="G458" s="2">
        <f t="shared" si="36"/>
        <v>0</v>
      </c>
      <c r="H458" s="18">
        <f t="shared" si="37"/>
        <v>2016.6299999999999</v>
      </c>
      <c r="I458" s="51">
        <f t="shared" si="38"/>
        <v>2016.6299999999999</v>
      </c>
    </row>
    <row r="459" spans="1:9" outlineLevel="1" x14ac:dyDescent="0.25">
      <c r="A459" s="84"/>
      <c r="B459" s="28" t="s">
        <v>400</v>
      </c>
      <c r="C459" s="21" t="s">
        <v>14</v>
      </c>
      <c r="D459" s="66">
        <f>ROUND(D457*1.015,2)</f>
        <v>3.45</v>
      </c>
      <c r="E459" s="51"/>
      <c r="F459" s="365">
        <v>109.41</v>
      </c>
      <c r="G459" s="2">
        <f t="shared" si="36"/>
        <v>0</v>
      </c>
      <c r="H459" s="18">
        <f t="shared" si="37"/>
        <v>377.46449999999999</v>
      </c>
      <c r="I459" s="51">
        <f t="shared" si="38"/>
        <v>377.46449999999999</v>
      </c>
    </row>
    <row r="460" spans="1:9" outlineLevel="1" x14ac:dyDescent="0.25">
      <c r="A460" s="84"/>
      <c r="B460" s="28" t="s">
        <v>401</v>
      </c>
      <c r="C460" s="2" t="s">
        <v>14</v>
      </c>
      <c r="D460" s="66">
        <f>ROUND(D457*1.01,2)</f>
        <v>3.43</v>
      </c>
      <c r="E460" s="51"/>
      <c r="F460" s="365">
        <v>154.75</v>
      </c>
      <c r="G460" s="2">
        <f t="shared" si="36"/>
        <v>0</v>
      </c>
      <c r="H460" s="18">
        <f t="shared" si="37"/>
        <v>530.79250000000002</v>
      </c>
      <c r="I460" s="51">
        <f t="shared" si="38"/>
        <v>530.79250000000002</v>
      </c>
    </row>
    <row r="461" spans="1:9" ht="31.2" outlineLevel="1" x14ac:dyDescent="0.25">
      <c r="A461" s="84"/>
      <c r="B461" s="22" t="s">
        <v>1070</v>
      </c>
      <c r="C461" s="21" t="s">
        <v>8</v>
      </c>
      <c r="D461" s="2">
        <f>ROUND(D457*0.15,2)</f>
        <v>0.51</v>
      </c>
      <c r="E461" s="18"/>
      <c r="F461" s="365">
        <v>4400</v>
      </c>
      <c r="G461" s="2">
        <f t="shared" si="36"/>
        <v>0</v>
      </c>
      <c r="H461" s="18">
        <f t="shared" si="37"/>
        <v>2244</v>
      </c>
      <c r="I461" s="18">
        <f t="shared" si="38"/>
        <v>2244</v>
      </c>
    </row>
    <row r="462" spans="1:9" outlineLevel="1" x14ac:dyDescent="0.25">
      <c r="A462" s="84"/>
      <c r="B462" s="22" t="s">
        <v>1067</v>
      </c>
      <c r="C462" s="21" t="s">
        <v>14</v>
      </c>
      <c r="D462" s="2">
        <f>+ROUND(D457*1.1,2)</f>
        <v>3.74</v>
      </c>
      <c r="E462" s="18"/>
      <c r="F462" s="365">
        <f>10.1*1.1</f>
        <v>11.110000000000001</v>
      </c>
      <c r="G462" s="2">
        <f t="shared" si="36"/>
        <v>0</v>
      </c>
      <c r="H462" s="18">
        <f t="shared" si="37"/>
        <v>41.551400000000008</v>
      </c>
      <c r="I462" s="18">
        <f t="shared" si="38"/>
        <v>41.551400000000008</v>
      </c>
    </row>
    <row r="463" spans="1:9" ht="31.2" outlineLevel="1" x14ac:dyDescent="0.25">
      <c r="A463" s="107" t="s">
        <v>536</v>
      </c>
      <c r="B463" s="9" t="s">
        <v>1411</v>
      </c>
      <c r="C463" s="31" t="s">
        <v>14</v>
      </c>
      <c r="D463" s="31">
        <f>4.8+4.8</f>
        <v>9.6</v>
      </c>
      <c r="E463" s="256">
        <v>280</v>
      </c>
      <c r="F463" s="60"/>
      <c r="G463" s="2">
        <f t="shared" si="36"/>
        <v>2688</v>
      </c>
      <c r="H463" s="18">
        <f t="shared" si="37"/>
        <v>0</v>
      </c>
      <c r="I463" s="18">
        <f t="shared" si="38"/>
        <v>2688</v>
      </c>
    </row>
    <row r="464" spans="1:9" outlineLevel="1" x14ac:dyDescent="0.25">
      <c r="A464" s="84"/>
      <c r="B464" s="22" t="s">
        <v>1065</v>
      </c>
      <c r="C464" s="21" t="s">
        <v>8</v>
      </c>
      <c r="D464" s="2">
        <f>D463*0.04</f>
        <v>0.38400000000000001</v>
      </c>
      <c r="E464" s="18"/>
      <c r="F464" s="11"/>
      <c r="G464" s="2">
        <f t="shared" si="36"/>
        <v>0</v>
      </c>
      <c r="H464" s="18">
        <f t="shared" si="37"/>
        <v>0</v>
      </c>
      <c r="I464" s="18">
        <f t="shared" si="38"/>
        <v>0</v>
      </c>
    </row>
    <row r="465" spans="1:12" outlineLevel="1" x14ac:dyDescent="0.25">
      <c r="A465" s="84"/>
      <c r="B465" s="28" t="s">
        <v>1056</v>
      </c>
      <c r="C465" s="21" t="s">
        <v>14</v>
      </c>
      <c r="D465" s="2">
        <f>D463</f>
        <v>9.6</v>
      </c>
      <c r="E465" s="18"/>
      <c r="F465" s="361">
        <v>31.34</v>
      </c>
      <c r="G465" s="2">
        <f t="shared" si="36"/>
        <v>0</v>
      </c>
      <c r="H465" s="18">
        <f t="shared" si="37"/>
        <v>300.86399999999998</v>
      </c>
      <c r="I465" s="18">
        <f t="shared" si="38"/>
        <v>300.86399999999998</v>
      </c>
    </row>
    <row r="466" spans="1:12" ht="31.2" outlineLevel="1" x14ac:dyDescent="0.25">
      <c r="A466" s="107" t="s">
        <v>537</v>
      </c>
      <c r="B466" s="9" t="s">
        <v>1421</v>
      </c>
      <c r="C466" s="31" t="s">
        <v>14</v>
      </c>
      <c r="D466" s="31">
        <f>13.6+15.4+10.1*2</f>
        <v>49.2</v>
      </c>
      <c r="E466" s="256">
        <v>170</v>
      </c>
      <c r="F466" s="60"/>
      <c r="G466" s="2">
        <f t="shared" si="36"/>
        <v>8364</v>
      </c>
      <c r="H466" s="18">
        <f t="shared" si="37"/>
        <v>0</v>
      </c>
      <c r="I466" s="18">
        <f t="shared" si="38"/>
        <v>8364</v>
      </c>
    </row>
    <row r="467" spans="1:12" outlineLevel="1" x14ac:dyDescent="0.25">
      <c r="A467" s="84"/>
      <c r="B467" s="22" t="s">
        <v>1072</v>
      </c>
      <c r="C467" s="21" t="s">
        <v>15</v>
      </c>
      <c r="D467" s="70">
        <f>D466*6</f>
        <v>295.20000000000005</v>
      </c>
      <c r="E467" s="282"/>
      <c r="F467" s="361">
        <v>7</v>
      </c>
      <c r="G467" s="2">
        <f t="shared" si="36"/>
        <v>0</v>
      </c>
      <c r="H467" s="18">
        <f t="shared" si="37"/>
        <v>2066.4000000000005</v>
      </c>
      <c r="I467" s="18">
        <f t="shared" si="38"/>
        <v>2066.4000000000005</v>
      </c>
    </row>
    <row r="468" spans="1:12" outlineLevel="1" x14ac:dyDescent="0.25">
      <c r="A468" s="84"/>
      <c r="B468" s="22" t="s">
        <v>41</v>
      </c>
      <c r="C468" s="21" t="s">
        <v>15</v>
      </c>
      <c r="D468" s="2">
        <f>D466*0.2</f>
        <v>9.8400000000000016</v>
      </c>
      <c r="E468" s="18"/>
      <c r="F468" s="361">
        <v>20</v>
      </c>
      <c r="G468" s="2">
        <f t="shared" si="36"/>
        <v>0</v>
      </c>
      <c r="H468" s="18">
        <f t="shared" si="37"/>
        <v>196.80000000000004</v>
      </c>
      <c r="I468" s="18">
        <f t="shared" si="38"/>
        <v>196.80000000000004</v>
      </c>
    </row>
    <row r="469" spans="1:12" outlineLevel="1" x14ac:dyDescent="0.25">
      <c r="A469" s="84"/>
      <c r="B469" s="22" t="s">
        <v>715</v>
      </c>
      <c r="C469" s="21" t="s">
        <v>15</v>
      </c>
      <c r="D469" s="70">
        <f>D466*4</f>
        <v>196.8</v>
      </c>
      <c r="E469" s="18"/>
      <c r="F469" s="361">
        <v>10</v>
      </c>
      <c r="G469" s="2">
        <f t="shared" si="36"/>
        <v>0</v>
      </c>
      <c r="H469" s="18">
        <f t="shared" si="37"/>
        <v>1968</v>
      </c>
      <c r="I469" s="18">
        <f t="shared" si="38"/>
        <v>1968</v>
      </c>
    </row>
    <row r="470" spans="1:12" outlineLevel="1" x14ac:dyDescent="0.25">
      <c r="A470" s="84"/>
      <c r="B470" s="28" t="s">
        <v>1071</v>
      </c>
      <c r="C470" s="21" t="s">
        <v>30</v>
      </c>
      <c r="D470" s="64">
        <f>D466*0.4</f>
        <v>19.680000000000003</v>
      </c>
      <c r="E470" s="18"/>
      <c r="F470" s="361">
        <v>120</v>
      </c>
      <c r="G470" s="2">
        <f t="shared" si="36"/>
        <v>0</v>
      </c>
      <c r="H470" s="18">
        <f t="shared" si="37"/>
        <v>2361.6000000000004</v>
      </c>
      <c r="I470" s="18">
        <f t="shared" si="38"/>
        <v>2361.6000000000004</v>
      </c>
    </row>
    <row r="471" spans="1:12" ht="31.2" outlineLevel="1" x14ac:dyDescent="0.25">
      <c r="A471" s="107" t="s">
        <v>538</v>
      </c>
      <c r="B471" s="9" t="s">
        <v>1076</v>
      </c>
      <c r="C471" s="31" t="s">
        <v>14</v>
      </c>
      <c r="D471" s="724">
        <f>5+5+2.2*2</f>
        <v>14.4</v>
      </c>
      <c r="E471" s="256">
        <v>180</v>
      </c>
      <c r="F471" s="60"/>
      <c r="G471" s="2">
        <f t="shared" si="36"/>
        <v>2592</v>
      </c>
      <c r="H471" s="18">
        <f t="shared" si="37"/>
        <v>0</v>
      </c>
      <c r="I471" s="18">
        <f>H471+G471</f>
        <v>2592</v>
      </c>
    </row>
    <row r="472" spans="1:12" outlineLevel="1" x14ac:dyDescent="0.25">
      <c r="A472" s="84"/>
      <c r="B472" s="22" t="s">
        <v>1072</v>
      </c>
      <c r="C472" s="21" t="s">
        <v>15</v>
      </c>
      <c r="D472" s="70">
        <f>D471*6</f>
        <v>86.4</v>
      </c>
      <c r="E472" s="282"/>
      <c r="F472" s="361">
        <v>7</v>
      </c>
      <c r="G472" s="2">
        <f t="shared" si="36"/>
        <v>0</v>
      </c>
      <c r="H472" s="18">
        <f t="shared" si="37"/>
        <v>604.80000000000007</v>
      </c>
      <c r="I472" s="18">
        <f>H472+G472</f>
        <v>604.80000000000007</v>
      </c>
    </row>
    <row r="473" spans="1:12" outlineLevel="1" x14ac:dyDescent="0.25">
      <c r="A473" s="84"/>
      <c r="B473" s="22" t="s">
        <v>1077</v>
      </c>
      <c r="C473" s="21" t="s">
        <v>15</v>
      </c>
      <c r="D473" s="2">
        <f>D471*0.2</f>
        <v>2.8800000000000003</v>
      </c>
      <c r="E473" s="18"/>
      <c r="F473" s="361">
        <v>20</v>
      </c>
      <c r="G473" s="2">
        <f t="shared" si="36"/>
        <v>0</v>
      </c>
      <c r="H473" s="18">
        <f t="shared" si="37"/>
        <v>57.600000000000009</v>
      </c>
      <c r="I473" s="18">
        <f>H473+G473</f>
        <v>57.600000000000009</v>
      </c>
    </row>
    <row r="474" spans="1:12" outlineLevel="1" x14ac:dyDescent="0.25">
      <c r="A474" s="84"/>
      <c r="B474" s="22" t="s">
        <v>715</v>
      </c>
      <c r="C474" s="21" t="s">
        <v>15</v>
      </c>
      <c r="D474" s="70">
        <f>D471*4</f>
        <v>57.6</v>
      </c>
      <c r="E474" s="18"/>
      <c r="F474" s="361">
        <v>10</v>
      </c>
      <c r="G474" s="2">
        <f t="shared" si="36"/>
        <v>0</v>
      </c>
      <c r="H474" s="18">
        <f t="shared" si="37"/>
        <v>576</v>
      </c>
      <c r="I474" s="18">
        <f>H474+G474</f>
        <v>576</v>
      </c>
    </row>
    <row r="475" spans="1:12" outlineLevel="1" x14ac:dyDescent="0.25">
      <c r="A475" s="84"/>
      <c r="B475" s="28" t="s">
        <v>1071</v>
      </c>
      <c r="C475" s="21" t="s">
        <v>30</v>
      </c>
      <c r="D475" s="64">
        <f>D471*0.4</f>
        <v>5.7600000000000007</v>
      </c>
      <c r="E475" s="18"/>
      <c r="F475" s="361">
        <v>120</v>
      </c>
      <c r="G475" s="2">
        <f t="shared" si="36"/>
        <v>0</v>
      </c>
      <c r="H475" s="18">
        <f t="shared" si="37"/>
        <v>691.2</v>
      </c>
      <c r="I475" s="18">
        <f>H475+G475</f>
        <v>691.2</v>
      </c>
    </row>
    <row r="476" spans="1:12" ht="41.4" x14ac:dyDescent="0.25">
      <c r="A476" s="223"/>
      <c r="B476" s="231" t="s">
        <v>1078</v>
      </c>
      <c r="C476" s="225"/>
      <c r="D476" s="226"/>
      <c r="E476" s="227"/>
      <c r="F476" s="228"/>
      <c r="G476" s="227">
        <f>SUM(G450:G475)</f>
        <v>155134</v>
      </c>
      <c r="H476" s="227">
        <f>SUM(H450:H475)</f>
        <v>47672.742400000003</v>
      </c>
      <c r="I476" s="227">
        <f>SUM(I450:I475)</f>
        <v>202806.74240000002</v>
      </c>
      <c r="J476" s="693"/>
      <c r="L476" s="133"/>
    </row>
    <row r="477" spans="1:12" ht="18.600000000000001" customHeight="1" x14ac:dyDescent="0.25">
      <c r="A477" s="90"/>
      <c r="B477" s="471" t="s">
        <v>624</v>
      </c>
      <c r="C477" s="472"/>
      <c r="D477" s="473"/>
      <c r="E477" s="474"/>
      <c r="F477" s="475"/>
      <c r="G477" s="474"/>
      <c r="H477" s="474"/>
      <c r="I477" s="473">
        <f>ROUND(I476/1.18*0.18,2)</f>
        <v>30936.62</v>
      </c>
    </row>
    <row r="478" spans="1:12" ht="39" customHeight="1" x14ac:dyDescent="0.25">
      <c r="A478" s="109"/>
      <c r="B478" s="760" t="s">
        <v>1207</v>
      </c>
      <c r="C478" s="477"/>
      <c r="D478" s="477"/>
      <c r="E478" s="478"/>
      <c r="F478" s="479"/>
      <c r="G478" s="480"/>
      <c r="H478" s="480"/>
      <c r="I478" s="483"/>
    </row>
    <row r="479" spans="1:12" ht="31.5" customHeight="1" outlineLevel="1" x14ac:dyDescent="0.25">
      <c r="A479" s="107" t="s">
        <v>154</v>
      </c>
      <c r="B479" s="71" t="s">
        <v>1550</v>
      </c>
      <c r="C479" s="72" t="s">
        <v>14</v>
      </c>
      <c r="D479" s="72">
        <f>Д2!D390+Ек!D426+Д!D387+Е!D419</f>
        <v>1437.9</v>
      </c>
      <c r="E479" s="355">
        <v>320</v>
      </c>
      <c r="F479" s="146"/>
      <c r="G479" s="476">
        <f>E479*D479</f>
        <v>460128</v>
      </c>
      <c r="H479" s="73"/>
      <c r="I479" s="73">
        <f t="shared" ref="I479:I493" si="39">H479+G479</f>
        <v>460128</v>
      </c>
    </row>
    <row r="480" spans="1:12" outlineLevel="1" x14ac:dyDescent="0.25">
      <c r="A480" s="84"/>
      <c r="B480" s="22" t="s">
        <v>1072</v>
      </c>
      <c r="C480" s="21" t="s">
        <v>15</v>
      </c>
      <c r="D480" s="70">
        <f>D479*6</f>
        <v>8627.4000000000015</v>
      </c>
      <c r="E480" s="282"/>
      <c r="F480" s="361"/>
      <c r="G480" s="476">
        <f t="shared" ref="G480:G493" si="40">E480*D480</f>
        <v>0</v>
      </c>
      <c r="H480" s="2">
        <f>ROUND(D480*F480,2)</f>
        <v>0</v>
      </c>
      <c r="I480" s="18">
        <f t="shared" si="39"/>
        <v>0</v>
      </c>
    </row>
    <row r="481" spans="1:12" outlineLevel="1" x14ac:dyDescent="0.25">
      <c r="A481" s="84"/>
      <c r="B481" s="22" t="s">
        <v>1077</v>
      </c>
      <c r="C481" s="21" t="s">
        <v>15</v>
      </c>
      <c r="D481" s="2">
        <f>D480*0.2</f>
        <v>1725.4800000000005</v>
      </c>
      <c r="E481" s="18"/>
      <c r="F481" s="361"/>
      <c r="G481" s="476">
        <f t="shared" si="40"/>
        <v>0</v>
      </c>
      <c r="H481" s="2">
        <f>ROUND(D481*F481,2)</f>
        <v>0</v>
      </c>
      <c r="I481" s="18">
        <f>H481+G481</f>
        <v>0</v>
      </c>
    </row>
    <row r="482" spans="1:12" outlineLevel="1" x14ac:dyDescent="0.25">
      <c r="A482" s="84"/>
      <c r="B482" s="22" t="s">
        <v>715</v>
      </c>
      <c r="C482" s="21" t="s">
        <v>15</v>
      </c>
      <c r="D482" s="70">
        <f>D479*3</f>
        <v>4313.7000000000007</v>
      </c>
      <c r="E482" s="18"/>
      <c r="F482" s="361"/>
      <c r="G482" s="476">
        <f t="shared" si="40"/>
        <v>0</v>
      </c>
      <c r="H482" s="2">
        <f>ROUND(D482*F482,2)</f>
        <v>0</v>
      </c>
      <c r="I482" s="18">
        <f>H482+G482</f>
        <v>0</v>
      </c>
    </row>
    <row r="483" spans="1:12" outlineLevel="1" x14ac:dyDescent="0.25">
      <c r="A483" s="84"/>
      <c r="B483" s="28" t="s">
        <v>1423</v>
      </c>
      <c r="C483" s="21" t="s">
        <v>30</v>
      </c>
      <c r="D483" s="64">
        <f>D479*0.4</f>
        <v>575.16000000000008</v>
      </c>
      <c r="E483" s="18"/>
      <c r="F483" s="361"/>
      <c r="G483" s="476">
        <f t="shared" si="40"/>
        <v>0</v>
      </c>
      <c r="H483" s="2">
        <f>ROUND(D483*F483,2)</f>
        <v>0</v>
      </c>
      <c r="I483" s="18">
        <f>H483+G483</f>
        <v>0</v>
      </c>
    </row>
    <row r="484" spans="1:12" ht="32.25" customHeight="1" outlineLevel="1" x14ac:dyDescent="0.25">
      <c r="A484" s="107" t="s">
        <v>157</v>
      </c>
      <c r="B484" s="9" t="s">
        <v>1424</v>
      </c>
      <c r="C484" s="31" t="s">
        <v>14</v>
      </c>
      <c r="D484" s="724">
        <f>Д2!D395+Ек!D431+Д!D392+Е!D424</f>
        <v>23.6</v>
      </c>
      <c r="E484" s="256">
        <v>180</v>
      </c>
      <c r="F484" s="60"/>
      <c r="G484" s="476">
        <f t="shared" si="40"/>
        <v>4248</v>
      </c>
      <c r="H484" s="18"/>
      <c r="I484" s="18">
        <f>H484+G484</f>
        <v>4248</v>
      </c>
    </row>
    <row r="485" spans="1:12" outlineLevel="1" x14ac:dyDescent="0.25">
      <c r="A485" s="84"/>
      <c r="B485" s="22" t="s">
        <v>1077</v>
      </c>
      <c r="C485" s="21" t="s">
        <v>15</v>
      </c>
      <c r="D485" s="2">
        <f>D484*0.2</f>
        <v>4.7200000000000006</v>
      </c>
      <c r="E485" s="18"/>
      <c r="F485" s="361">
        <v>20</v>
      </c>
      <c r="G485" s="476">
        <f t="shared" si="40"/>
        <v>0</v>
      </c>
      <c r="H485" s="2">
        <f>ROUND(D485*F485,2)</f>
        <v>94.4</v>
      </c>
      <c r="I485" s="18">
        <f t="shared" si="39"/>
        <v>94.4</v>
      </c>
    </row>
    <row r="486" spans="1:12" outlineLevel="1" x14ac:dyDescent="0.25">
      <c r="A486" s="84"/>
      <c r="B486" s="22" t="s">
        <v>715</v>
      </c>
      <c r="C486" s="21" t="s">
        <v>15</v>
      </c>
      <c r="D486" s="70">
        <f>D484*9*2</f>
        <v>424.8</v>
      </c>
      <c r="E486" s="18"/>
      <c r="F486" s="361">
        <v>10</v>
      </c>
      <c r="G486" s="476">
        <f t="shared" si="40"/>
        <v>0</v>
      </c>
      <c r="H486" s="2">
        <f>ROUND(D486*F486,2)</f>
        <v>4248</v>
      </c>
      <c r="I486" s="18">
        <f t="shared" si="39"/>
        <v>4248</v>
      </c>
    </row>
    <row r="487" spans="1:12" outlineLevel="1" x14ac:dyDescent="0.25">
      <c r="A487" s="84"/>
      <c r="B487" s="28" t="s">
        <v>1423</v>
      </c>
      <c r="C487" s="21" t="s">
        <v>30</v>
      </c>
      <c r="D487" s="64">
        <f>D484*0.4</f>
        <v>9.4400000000000013</v>
      </c>
      <c r="E487" s="18"/>
      <c r="F487" s="361">
        <v>120</v>
      </c>
      <c r="G487" s="476">
        <f t="shared" si="40"/>
        <v>0</v>
      </c>
      <c r="H487" s="2">
        <f>ROUND(D487*F487,2)</f>
        <v>1132.8</v>
      </c>
      <c r="I487" s="18">
        <f t="shared" si="39"/>
        <v>1132.8</v>
      </c>
    </row>
    <row r="488" spans="1:12" ht="33" customHeight="1" outlineLevel="1" x14ac:dyDescent="0.25">
      <c r="A488" s="107" t="s">
        <v>158</v>
      </c>
      <c r="B488" s="9" t="s">
        <v>1076</v>
      </c>
      <c r="C488" s="31" t="s">
        <v>14</v>
      </c>
      <c r="D488" s="724">
        <f>Д2!D399+Ек!D435+Д!D396+Е!D428</f>
        <v>443.58000000000004</v>
      </c>
      <c r="E488" s="256">
        <v>180</v>
      </c>
      <c r="F488" s="60"/>
      <c r="G488" s="476">
        <f t="shared" si="40"/>
        <v>79844.400000000009</v>
      </c>
      <c r="H488" s="18"/>
      <c r="I488" s="18">
        <f t="shared" si="39"/>
        <v>79844.400000000009</v>
      </c>
    </row>
    <row r="489" spans="1:12" ht="17.25" customHeight="1" outlineLevel="1" x14ac:dyDescent="0.25">
      <c r="A489" s="86"/>
      <c r="B489" s="22" t="s">
        <v>1077</v>
      </c>
      <c r="C489" s="21" t="s">
        <v>15</v>
      </c>
      <c r="D489" s="2">
        <f>D488*0.2</f>
        <v>88.716000000000008</v>
      </c>
      <c r="E489" s="18"/>
      <c r="F489" s="361">
        <v>20</v>
      </c>
      <c r="G489" s="476">
        <f t="shared" si="40"/>
        <v>0</v>
      </c>
      <c r="H489" s="2">
        <f>F489*D489</f>
        <v>1774.3200000000002</v>
      </c>
      <c r="I489" s="18">
        <f t="shared" si="39"/>
        <v>1774.3200000000002</v>
      </c>
    </row>
    <row r="490" spans="1:12" ht="17.25" customHeight="1" outlineLevel="1" x14ac:dyDescent="0.25">
      <c r="A490" s="86"/>
      <c r="B490" s="22" t="s">
        <v>715</v>
      </c>
      <c r="C490" s="21" t="s">
        <v>15</v>
      </c>
      <c r="D490" s="70">
        <f>D488*9*2</f>
        <v>7984.4400000000005</v>
      </c>
      <c r="E490" s="18"/>
      <c r="F490" s="361">
        <v>10</v>
      </c>
      <c r="G490" s="476">
        <f t="shared" si="40"/>
        <v>0</v>
      </c>
      <c r="H490" s="2">
        <f>F490*D490</f>
        <v>79844.400000000009</v>
      </c>
      <c r="I490" s="18">
        <f t="shared" si="39"/>
        <v>79844.400000000009</v>
      </c>
    </row>
    <row r="491" spans="1:12" ht="17.25" customHeight="1" outlineLevel="1" x14ac:dyDescent="0.25">
      <c r="A491" s="86"/>
      <c r="B491" s="28" t="s">
        <v>1071</v>
      </c>
      <c r="C491" s="21" t="s">
        <v>30</v>
      </c>
      <c r="D491" s="64">
        <f>D488*0.4</f>
        <v>177.43200000000002</v>
      </c>
      <c r="E491" s="18"/>
      <c r="F491" s="361">
        <v>120</v>
      </c>
      <c r="G491" s="476">
        <f t="shared" si="40"/>
        <v>0</v>
      </c>
      <c r="H491" s="2">
        <f>F491*D491</f>
        <v>21291.840000000004</v>
      </c>
      <c r="I491" s="18">
        <f t="shared" si="39"/>
        <v>21291.840000000004</v>
      </c>
    </row>
    <row r="492" spans="1:12" ht="17.25" customHeight="1" outlineLevel="1" x14ac:dyDescent="0.25">
      <c r="A492" s="107" t="s">
        <v>1208</v>
      </c>
      <c r="B492" s="9" t="s">
        <v>74</v>
      </c>
      <c r="C492" s="176" t="s">
        <v>12</v>
      </c>
      <c r="D492" s="31">
        <f>D493</f>
        <v>90</v>
      </c>
      <c r="E492" s="256">
        <v>350</v>
      </c>
      <c r="F492" s="11"/>
      <c r="G492" s="476">
        <f t="shared" si="40"/>
        <v>31500</v>
      </c>
      <c r="H492" s="2">
        <f>F492*D492</f>
        <v>0</v>
      </c>
      <c r="I492" s="2">
        <f t="shared" si="39"/>
        <v>31500</v>
      </c>
    </row>
    <row r="493" spans="1:12" ht="17.25" customHeight="1" outlineLevel="1" x14ac:dyDescent="0.25">
      <c r="A493" s="86"/>
      <c r="B493" s="28" t="s">
        <v>75</v>
      </c>
      <c r="C493" s="21" t="s">
        <v>12</v>
      </c>
      <c r="D493" s="2">
        <f>Д2!D404+Ек!D440+Д!D401+Е!D433</f>
        <v>90</v>
      </c>
      <c r="E493" s="2"/>
      <c r="F493" s="361">
        <v>450</v>
      </c>
      <c r="G493" s="476">
        <f t="shared" si="40"/>
        <v>0</v>
      </c>
      <c r="H493" s="2">
        <f>F493*D493</f>
        <v>40500</v>
      </c>
      <c r="I493" s="2">
        <f t="shared" si="39"/>
        <v>40500</v>
      </c>
    </row>
    <row r="494" spans="1:12" ht="21.75" customHeight="1" x14ac:dyDescent="0.25">
      <c r="A494" s="223"/>
      <c r="B494" s="231" t="s">
        <v>71</v>
      </c>
      <c r="C494" s="225"/>
      <c r="D494" s="226"/>
      <c r="E494" s="227"/>
      <c r="F494" s="228"/>
      <c r="G494" s="227">
        <f>SUM(G479:G493)</f>
        <v>575720.4</v>
      </c>
      <c r="H494" s="227">
        <f>SUM(H479:H493)</f>
        <v>148885.76000000001</v>
      </c>
      <c r="I494" s="227">
        <f>SUM(I479:I493)</f>
        <v>724606.15999999992</v>
      </c>
      <c r="J494" s="693"/>
      <c r="L494" s="133"/>
    </row>
    <row r="495" spans="1:12" ht="16.95" customHeight="1" x14ac:dyDescent="0.25">
      <c r="A495" s="90"/>
      <c r="B495" s="471" t="s">
        <v>624</v>
      </c>
      <c r="C495" s="9"/>
      <c r="D495" s="31"/>
      <c r="E495" s="10"/>
      <c r="F495" s="57"/>
      <c r="G495" s="10"/>
      <c r="H495" s="10"/>
      <c r="I495" s="31">
        <f>ROUND(I494/1.18*0.18,2)</f>
        <v>110533.14</v>
      </c>
    </row>
    <row r="496" spans="1:12" ht="21" customHeight="1" x14ac:dyDescent="0.25">
      <c r="A496" s="108"/>
      <c r="B496" s="760" t="s">
        <v>1242</v>
      </c>
      <c r="C496" s="105"/>
      <c r="D496" s="105"/>
      <c r="E496" s="105"/>
      <c r="F496" s="138"/>
      <c r="G496" s="105"/>
      <c r="H496" s="105"/>
      <c r="I496" s="106"/>
    </row>
    <row r="497" spans="1:10" s="15" customFormat="1" ht="33" customHeight="1" outlineLevel="1" x14ac:dyDescent="0.25">
      <c r="A497" s="107" t="s">
        <v>76</v>
      </c>
      <c r="B497" s="723" t="s">
        <v>69</v>
      </c>
      <c r="C497" s="31" t="s">
        <v>8</v>
      </c>
      <c r="D497" s="31">
        <f>Д2!D408+Ек!D444+Д!D405+Е!D437</f>
        <v>20.743100000000002</v>
      </c>
      <c r="E497" s="256">
        <v>1400</v>
      </c>
      <c r="F497" s="11"/>
      <c r="G497" s="2">
        <f>ROUND(E497*D497,2)</f>
        <v>29040.34</v>
      </c>
      <c r="H497" s="2"/>
      <c r="I497" s="2">
        <f>H497+G497</f>
        <v>29040.34</v>
      </c>
    </row>
    <row r="498" spans="1:10" s="15" customFormat="1" outlineLevel="1" x14ac:dyDescent="0.25">
      <c r="A498" s="86"/>
      <c r="B498" s="11" t="s">
        <v>240</v>
      </c>
      <c r="C498" s="21" t="s">
        <v>8</v>
      </c>
      <c r="D498" s="2">
        <f>D497*1.1</f>
        <v>22.817410000000002</v>
      </c>
      <c r="E498" s="282"/>
      <c r="F498" s="361">
        <v>270</v>
      </c>
      <c r="G498" s="2"/>
      <c r="H498" s="2">
        <f>ROUND(D498*F498,2)</f>
        <v>6160.7</v>
      </c>
      <c r="I498" s="2">
        <f>H498+G498</f>
        <v>6160.7</v>
      </c>
    </row>
    <row r="499" spans="1:10" s="15" customFormat="1" outlineLevel="1" x14ac:dyDescent="0.25">
      <c r="A499" s="86"/>
      <c r="B499" s="22" t="s">
        <v>1329</v>
      </c>
      <c r="C499" s="21" t="s">
        <v>8</v>
      </c>
      <c r="D499" s="2">
        <f>1.02*D497</f>
        <v>21.157962000000001</v>
      </c>
      <c r="E499" s="282"/>
      <c r="F499" s="164">
        <v>4800</v>
      </c>
      <c r="G499" s="2"/>
      <c r="H499" s="2">
        <f>ROUND(D499*F499,2)</f>
        <v>101558.22</v>
      </c>
      <c r="I499" s="2">
        <f>H499+G499</f>
        <v>101558.22</v>
      </c>
    </row>
    <row r="500" spans="1:10" s="15" customFormat="1" hidden="1" outlineLevel="1" x14ac:dyDescent="0.25">
      <c r="A500" s="107" t="s">
        <v>78</v>
      </c>
      <c r="B500" s="344" t="s">
        <v>470</v>
      </c>
      <c r="C500" s="31" t="s">
        <v>8</v>
      </c>
      <c r="D500" s="306">
        <v>0</v>
      </c>
      <c r="E500" s="256">
        <v>1000</v>
      </c>
      <c r="F500" s="11"/>
      <c r="G500" s="2">
        <f>ROUND(E500*D500,2)</f>
        <v>0</v>
      </c>
      <c r="H500" s="2"/>
      <c r="I500" s="2">
        <f>H500+G500</f>
        <v>0</v>
      </c>
    </row>
    <row r="501" spans="1:10" s="15" customFormat="1" hidden="1" outlineLevel="1" x14ac:dyDescent="0.25">
      <c r="A501" s="86"/>
      <c r="B501" s="308" t="s">
        <v>471</v>
      </c>
      <c r="C501" s="2" t="s">
        <v>8</v>
      </c>
      <c r="D501" s="340">
        <f>D500*1.02</f>
        <v>0</v>
      </c>
      <c r="E501" s="2"/>
      <c r="F501" s="361">
        <v>3200</v>
      </c>
      <c r="G501" s="2"/>
      <c r="H501" s="2">
        <f>ROUND(D501*F501,2)</f>
        <v>0</v>
      </c>
      <c r="I501" s="2">
        <f>G501+H501</f>
        <v>0</v>
      </c>
    </row>
    <row r="502" spans="1:10" s="15" customFormat="1" hidden="1" outlineLevel="1" x14ac:dyDescent="0.25">
      <c r="A502" s="86"/>
      <c r="B502" s="308" t="s">
        <v>667</v>
      </c>
      <c r="C502" s="2" t="s">
        <v>9</v>
      </c>
      <c r="D502" s="340">
        <v>0</v>
      </c>
      <c r="E502" s="2"/>
      <c r="F502" s="361">
        <v>42000</v>
      </c>
      <c r="G502" s="2"/>
      <c r="H502" s="2">
        <f>ROUND(D502*F502,2)</f>
        <v>0</v>
      </c>
      <c r="I502" s="2">
        <f>G502+H502</f>
        <v>0</v>
      </c>
    </row>
    <row r="503" spans="1:10" s="15" customFormat="1" hidden="1" outlineLevel="1" x14ac:dyDescent="0.25">
      <c r="A503" s="86"/>
      <c r="B503" s="343" t="s">
        <v>70</v>
      </c>
      <c r="C503" s="21" t="s">
        <v>8</v>
      </c>
      <c r="D503" s="340">
        <v>0</v>
      </c>
      <c r="E503" s="2"/>
      <c r="F503" s="361">
        <v>2950</v>
      </c>
      <c r="G503" s="2"/>
      <c r="H503" s="2">
        <f>ROUND(D503*F503,2)</f>
        <v>0</v>
      </c>
      <c r="I503" s="2">
        <f>H503+G503</f>
        <v>0</v>
      </c>
    </row>
    <row r="504" spans="1:10" s="15" customFormat="1" hidden="1" outlineLevel="1" x14ac:dyDescent="0.25">
      <c r="A504" s="86"/>
      <c r="B504" s="343" t="s">
        <v>240</v>
      </c>
      <c r="C504" s="21" t="s">
        <v>8</v>
      </c>
      <c r="D504" s="340">
        <f>D503</f>
        <v>0</v>
      </c>
      <c r="E504" s="2"/>
      <c r="F504" s="361">
        <v>250</v>
      </c>
      <c r="G504" s="2"/>
      <c r="H504" s="2">
        <f>ROUND(D504*F504,2)</f>
        <v>0</v>
      </c>
      <c r="I504" s="2">
        <f>H504+G504</f>
        <v>0</v>
      </c>
    </row>
    <row r="505" spans="1:10" collapsed="1" x14ac:dyDescent="0.25">
      <c r="A505" s="223"/>
      <c r="B505" s="231" t="s">
        <v>60</v>
      </c>
      <c r="C505" s="225"/>
      <c r="D505" s="226"/>
      <c r="E505" s="227"/>
      <c r="F505" s="228"/>
      <c r="G505" s="227">
        <f>SUM(G497:G504)</f>
        <v>29040.34</v>
      </c>
      <c r="H505" s="227">
        <f>SUM(H497:H504)</f>
        <v>107718.92</v>
      </c>
      <c r="I505" s="227">
        <f>ROUND(SUM(I497:I504),2)</f>
        <v>136759.26</v>
      </c>
      <c r="J505" s="693"/>
    </row>
    <row r="506" spans="1:10" ht="16.2" customHeight="1" x14ac:dyDescent="0.25">
      <c r="A506" s="90"/>
      <c r="B506" s="471" t="s">
        <v>624</v>
      </c>
      <c r="C506" s="472"/>
      <c r="D506" s="473"/>
      <c r="E506" s="10"/>
      <c r="F506" s="57"/>
      <c r="G506" s="10"/>
      <c r="H506" s="10"/>
      <c r="I506" s="31">
        <f>ROUND(I505/1.18*0.18,2)</f>
        <v>20861.580000000002</v>
      </c>
    </row>
    <row r="507" spans="1:10" s="5" customFormat="1" ht="27" customHeight="1" x14ac:dyDescent="0.25">
      <c r="A507" s="109"/>
      <c r="B507" s="771" t="s">
        <v>1209</v>
      </c>
      <c r="C507" s="771"/>
      <c r="D507" s="771"/>
      <c r="E507" s="488"/>
      <c r="F507" s="138"/>
      <c r="G507" s="102"/>
      <c r="H507" s="111"/>
      <c r="I507" s="102"/>
    </row>
    <row r="508" spans="1:10" hidden="1" outlineLevel="1" x14ac:dyDescent="0.25">
      <c r="A508" s="84" t="s">
        <v>319</v>
      </c>
      <c r="B508" s="71" t="s">
        <v>155</v>
      </c>
      <c r="C508" s="72" t="s">
        <v>12</v>
      </c>
      <c r="D508" s="356">
        <v>0</v>
      </c>
      <c r="E508" s="354">
        <v>19000</v>
      </c>
      <c r="F508" s="137"/>
      <c r="G508" s="2">
        <f>ROUND(E508*D508,2)</f>
        <v>0</v>
      </c>
      <c r="H508" s="26"/>
      <c r="I508" s="26">
        <f>G508+H508</f>
        <v>0</v>
      </c>
    </row>
    <row r="509" spans="1:10" hidden="1" outlineLevel="1" x14ac:dyDescent="0.25">
      <c r="A509" s="84"/>
      <c r="B509" s="329" t="s">
        <v>282</v>
      </c>
      <c r="C509" s="21" t="s">
        <v>12</v>
      </c>
      <c r="D509" s="340">
        <v>0</v>
      </c>
      <c r="E509" s="18"/>
      <c r="F509" s="361">
        <v>63000</v>
      </c>
      <c r="G509" s="26"/>
      <c r="H509" s="2">
        <f>ROUND(D509*F509,2)</f>
        <v>0</v>
      </c>
      <c r="I509" s="26">
        <f t="shared" ref="I509:I580" si="41">G509+H509</f>
        <v>0</v>
      </c>
    </row>
    <row r="510" spans="1:10" hidden="1" outlineLevel="1" x14ac:dyDescent="0.25">
      <c r="A510" s="84"/>
      <c r="B510" s="28" t="s">
        <v>176</v>
      </c>
      <c r="C510" s="21" t="s">
        <v>12</v>
      </c>
      <c r="D510" s="2">
        <v>0</v>
      </c>
      <c r="E510" s="18"/>
      <c r="F510" s="361">
        <v>6000</v>
      </c>
      <c r="G510" s="26"/>
      <c r="H510" s="2">
        <f>ROUND(D510*F510,2)</f>
        <v>0</v>
      </c>
      <c r="I510" s="26">
        <f t="shared" si="41"/>
        <v>0</v>
      </c>
    </row>
    <row r="511" spans="1:10" hidden="1" outlineLevel="1" x14ac:dyDescent="0.25">
      <c r="A511" s="84"/>
      <c r="B511" s="329" t="s">
        <v>283</v>
      </c>
      <c r="C511" s="21" t="s">
        <v>12</v>
      </c>
      <c r="D511" s="340">
        <v>0</v>
      </c>
      <c r="E511" s="18"/>
      <c r="F511" s="164">
        <v>380</v>
      </c>
      <c r="G511" s="26"/>
      <c r="H511" s="2">
        <f>ROUND(D511*F511,2)</f>
        <v>0</v>
      </c>
      <c r="I511" s="26">
        <f t="shared" si="41"/>
        <v>0</v>
      </c>
    </row>
    <row r="512" spans="1:10" hidden="1" outlineLevel="1" x14ac:dyDescent="0.25">
      <c r="A512" s="84" t="s">
        <v>320</v>
      </c>
      <c r="B512" s="29" t="s">
        <v>284</v>
      </c>
      <c r="C512" s="31" t="s">
        <v>12</v>
      </c>
      <c r="D512" s="31">
        <v>0</v>
      </c>
      <c r="E512" s="354">
        <v>250</v>
      </c>
      <c r="F512" s="137"/>
      <c r="G512" s="2">
        <f>ROUND(E512*D512,2)</f>
        <v>0</v>
      </c>
      <c r="H512" s="26"/>
      <c r="I512" s="26">
        <f>G512+H512</f>
        <v>0</v>
      </c>
    </row>
    <row r="513" spans="1:10" hidden="1" outlineLevel="1" x14ac:dyDescent="0.25">
      <c r="A513" s="84"/>
      <c r="B513" s="329" t="s">
        <v>285</v>
      </c>
      <c r="C513" s="21" t="s">
        <v>12</v>
      </c>
      <c r="D513" s="340">
        <v>0</v>
      </c>
      <c r="E513" s="18"/>
      <c r="F513" s="164">
        <v>4900</v>
      </c>
      <c r="G513" s="26"/>
      <c r="H513" s="2">
        <f t="shared" ref="H513:H533" si="42">ROUND(D513*F513,2)</f>
        <v>0</v>
      </c>
      <c r="I513" s="26">
        <f>G513+H513</f>
        <v>0</v>
      </c>
    </row>
    <row r="514" spans="1:10" hidden="1" outlineLevel="1" x14ac:dyDescent="0.25">
      <c r="A514" s="84"/>
      <c r="B514" s="329" t="s">
        <v>449</v>
      </c>
      <c r="C514" s="21" t="s">
        <v>12</v>
      </c>
      <c r="D514" s="340">
        <v>0</v>
      </c>
      <c r="E514" s="18"/>
      <c r="F514" s="164">
        <v>4900</v>
      </c>
      <c r="G514" s="26"/>
      <c r="H514" s="2">
        <f t="shared" si="42"/>
        <v>0</v>
      </c>
      <c r="I514" s="26">
        <f>G514+H514</f>
        <v>0</v>
      </c>
    </row>
    <row r="515" spans="1:10" hidden="1" outlineLevel="1" x14ac:dyDescent="0.25">
      <c r="A515" s="84"/>
      <c r="B515" s="329" t="s">
        <v>448</v>
      </c>
      <c r="C515" s="21" t="s">
        <v>12</v>
      </c>
      <c r="D515" s="340">
        <v>0</v>
      </c>
      <c r="E515" s="18"/>
      <c r="F515" s="361">
        <v>1400</v>
      </c>
      <c r="G515" s="26"/>
      <c r="H515" s="2">
        <f t="shared" si="42"/>
        <v>0</v>
      </c>
      <c r="I515" s="26">
        <f>G515+H515</f>
        <v>0</v>
      </c>
    </row>
    <row r="516" spans="1:10" hidden="1" outlineLevel="1" x14ac:dyDescent="0.25">
      <c r="A516" s="84" t="s">
        <v>321</v>
      </c>
      <c r="B516" s="29" t="s">
        <v>156</v>
      </c>
      <c r="C516" s="31" t="s">
        <v>12</v>
      </c>
      <c r="D516" s="31">
        <v>0</v>
      </c>
      <c r="E516" s="354">
        <v>1000</v>
      </c>
      <c r="F516" s="137"/>
      <c r="G516" s="2">
        <f>ROUND(E516*D516,2)</f>
        <v>0</v>
      </c>
      <c r="H516" s="26">
        <f>F516*D516</f>
        <v>0</v>
      </c>
      <c r="I516" s="26">
        <f t="shared" si="41"/>
        <v>0</v>
      </c>
    </row>
    <row r="517" spans="1:10" hidden="1" outlineLevel="1" x14ac:dyDescent="0.25">
      <c r="A517" s="84"/>
      <c r="B517" s="329" t="s">
        <v>674</v>
      </c>
      <c r="C517" s="21" t="s">
        <v>12</v>
      </c>
      <c r="D517" s="340">
        <v>0</v>
      </c>
      <c r="E517" s="18"/>
      <c r="F517" s="309">
        <v>5500</v>
      </c>
      <c r="G517" s="26"/>
      <c r="H517" s="2">
        <f>ROUND(D517*F517,2)</f>
        <v>0</v>
      </c>
      <c r="I517" s="26">
        <f>G517+H517</f>
        <v>0</v>
      </c>
    </row>
    <row r="518" spans="1:10" hidden="1" outlineLevel="1" x14ac:dyDescent="0.25">
      <c r="A518" s="84"/>
      <c r="B518" s="329" t="s">
        <v>675</v>
      </c>
      <c r="C518" s="21" t="s">
        <v>12</v>
      </c>
      <c r="D518" s="340">
        <v>0</v>
      </c>
      <c r="E518" s="18"/>
      <c r="F518" s="309">
        <v>6000</v>
      </c>
      <c r="G518" s="26"/>
      <c r="H518" s="2">
        <f>ROUND(D518*F518,2)</f>
        <v>0</v>
      </c>
      <c r="I518" s="26">
        <f>G518+H518</f>
        <v>0</v>
      </c>
    </row>
    <row r="519" spans="1:10" hidden="1" outlineLevel="1" x14ac:dyDescent="0.25">
      <c r="A519" s="84"/>
      <c r="B519" s="329" t="s">
        <v>453</v>
      </c>
      <c r="C519" s="21" t="s">
        <v>12</v>
      </c>
      <c r="D519" s="340">
        <v>0</v>
      </c>
      <c r="E519" s="18"/>
      <c r="F519" s="60">
        <v>2350</v>
      </c>
      <c r="G519" s="26"/>
      <c r="H519" s="2">
        <f t="shared" si="42"/>
        <v>0</v>
      </c>
      <c r="I519" s="26">
        <f t="shared" si="41"/>
        <v>0</v>
      </c>
    </row>
    <row r="520" spans="1:10" ht="32.4" hidden="1" customHeight="1" outlineLevel="1" x14ac:dyDescent="0.25">
      <c r="A520" s="84"/>
      <c r="B520" s="329" t="s">
        <v>286</v>
      </c>
      <c r="C520" s="21" t="s">
        <v>12</v>
      </c>
      <c r="D520" s="340">
        <v>0</v>
      </c>
      <c r="E520" s="18"/>
      <c r="F520" s="60">
        <v>955</v>
      </c>
      <c r="G520" s="26"/>
      <c r="H520" s="2">
        <f t="shared" si="42"/>
        <v>0</v>
      </c>
      <c r="I520" s="26">
        <f t="shared" si="41"/>
        <v>0</v>
      </c>
    </row>
    <row r="521" spans="1:10" ht="30" hidden="1" customHeight="1" outlineLevel="1" x14ac:dyDescent="0.25">
      <c r="A521" s="84"/>
      <c r="B521" s="329" t="s">
        <v>446</v>
      </c>
      <c r="C521" s="21" t="s">
        <v>12</v>
      </c>
      <c r="D521" s="340">
        <v>0</v>
      </c>
      <c r="E521" s="18"/>
      <c r="F521" s="60">
        <v>130</v>
      </c>
      <c r="G521" s="18"/>
      <c r="H521" s="2">
        <f t="shared" si="42"/>
        <v>0</v>
      </c>
      <c r="I521" s="26">
        <f>G521+H521</f>
        <v>0</v>
      </c>
    </row>
    <row r="522" spans="1:10" ht="20.399999999999999" hidden="1" customHeight="1" outlineLevel="1" x14ac:dyDescent="0.25">
      <c r="A522" s="84"/>
      <c r="B522" s="329" t="s">
        <v>447</v>
      </c>
      <c r="C522" s="21" t="s">
        <v>12</v>
      </c>
      <c r="D522" s="340">
        <v>0</v>
      </c>
      <c r="E522" s="18"/>
      <c r="F522" s="60">
        <v>610</v>
      </c>
      <c r="G522" s="18"/>
      <c r="H522" s="2">
        <f t="shared" si="42"/>
        <v>0</v>
      </c>
      <c r="I522" s="18">
        <f>G522+H522</f>
        <v>0</v>
      </c>
    </row>
    <row r="523" spans="1:10" ht="24.6" hidden="1" customHeight="1" outlineLevel="1" x14ac:dyDescent="0.25">
      <c r="A523" s="84"/>
      <c r="B523" s="329" t="s">
        <v>450</v>
      </c>
      <c r="C523" s="21" t="s">
        <v>12</v>
      </c>
      <c r="D523" s="340">
        <v>0</v>
      </c>
      <c r="E523" s="18"/>
      <c r="F523" s="60">
        <v>303</v>
      </c>
      <c r="G523" s="18"/>
      <c r="H523" s="2">
        <f t="shared" si="42"/>
        <v>0</v>
      </c>
      <c r="I523" s="18">
        <f>G523+H523</f>
        <v>0</v>
      </c>
    </row>
    <row r="524" spans="1:10" ht="27.75" hidden="1" customHeight="1" outlineLevel="1" x14ac:dyDescent="0.25">
      <c r="A524" s="84"/>
      <c r="B524" s="329" t="s">
        <v>454</v>
      </c>
      <c r="C524" s="21" t="s">
        <v>12</v>
      </c>
      <c r="D524" s="340">
        <v>0</v>
      </c>
      <c r="E524" s="18"/>
      <c r="F524" s="60">
        <v>1061</v>
      </c>
      <c r="G524" s="18"/>
      <c r="H524" s="2">
        <f t="shared" si="42"/>
        <v>0</v>
      </c>
      <c r="I524" s="18">
        <f>G524+H524</f>
        <v>0</v>
      </c>
    </row>
    <row r="525" spans="1:10" ht="24.6" hidden="1" customHeight="1" outlineLevel="1" x14ac:dyDescent="0.25">
      <c r="A525" s="84"/>
      <c r="B525" s="329" t="s">
        <v>455</v>
      </c>
      <c r="C525" s="21" t="s">
        <v>12</v>
      </c>
      <c r="D525" s="340">
        <v>0</v>
      </c>
      <c r="E525" s="18"/>
      <c r="F525" s="60">
        <v>386</v>
      </c>
      <c r="G525" s="18"/>
      <c r="H525" s="2">
        <f t="shared" si="42"/>
        <v>0</v>
      </c>
      <c r="I525" s="18">
        <f>G525+H525</f>
        <v>0</v>
      </c>
      <c r="J525" s="5"/>
    </row>
    <row r="526" spans="1:10" hidden="1" outlineLevel="1" x14ac:dyDescent="0.25">
      <c r="A526" s="84" t="s">
        <v>322</v>
      </c>
      <c r="B526" s="29" t="s">
        <v>162</v>
      </c>
      <c r="C526" s="31" t="s">
        <v>12</v>
      </c>
      <c r="D526" s="31">
        <v>0</v>
      </c>
      <c r="E526" s="256">
        <v>500</v>
      </c>
      <c r="F526" s="60"/>
      <c r="G526" s="2">
        <f>ROUND(E526*D526,2)</f>
        <v>0</v>
      </c>
      <c r="H526" s="18">
        <f>F526*D526</f>
        <v>0</v>
      </c>
      <c r="I526" s="18">
        <f t="shared" si="41"/>
        <v>0</v>
      </c>
    </row>
    <row r="527" spans="1:10" hidden="1" outlineLevel="1" x14ac:dyDescent="0.25">
      <c r="A527" s="84"/>
      <c r="B527" s="329" t="s">
        <v>163</v>
      </c>
      <c r="C527" s="21" t="s">
        <v>12</v>
      </c>
      <c r="D527" s="340">
        <v>0</v>
      </c>
      <c r="E527" s="18"/>
      <c r="F527" s="60">
        <f>950*1.1</f>
        <v>1045</v>
      </c>
      <c r="G527" s="18"/>
      <c r="H527" s="2">
        <f t="shared" si="42"/>
        <v>0</v>
      </c>
      <c r="I527" s="18">
        <f t="shared" si="41"/>
        <v>0</v>
      </c>
    </row>
    <row r="528" spans="1:10" hidden="1" outlineLevel="1" x14ac:dyDescent="0.25">
      <c r="A528" s="84" t="s">
        <v>323</v>
      </c>
      <c r="B528" s="29" t="s">
        <v>164</v>
      </c>
      <c r="C528" s="31" t="s">
        <v>12</v>
      </c>
      <c r="D528" s="31">
        <v>0</v>
      </c>
      <c r="E528" s="256">
        <v>250</v>
      </c>
      <c r="F528" s="60"/>
      <c r="G528" s="2">
        <f>ROUND(E528*D528,2)</f>
        <v>0</v>
      </c>
      <c r="H528" s="18">
        <f>F528*D528</f>
        <v>0</v>
      </c>
      <c r="I528" s="18">
        <f t="shared" si="41"/>
        <v>0</v>
      </c>
    </row>
    <row r="529" spans="1:9" hidden="1" outlineLevel="1" x14ac:dyDescent="0.25">
      <c r="A529" s="84"/>
      <c r="B529" s="329" t="s">
        <v>165</v>
      </c>
      <c r="C529" s="21" t="s">
        <v>12</v>
      </c>
      <c r="D529" s="340">
        <v>0</v>
      </c>
      <c r="E529" s="18"/>
      <c r="F529" s="60">
        <v>674.3</v>
      </c>
      <c r="G529" s="18"/>
      <c r="H529" s="2">
        <f t="shared" si="42"/>
        <v>0</v>
      </c>
      <c r="I529" s="18">
        <f t="shared" si="41"/>
        <v>0</v>
      </c>
    </row>
    <row r="530" spans="1:9" hidden="1" outlineLevel="1" x14ac:dyDescent="0.25">
      <c r="A530" s="84"/>
      <c r="B530" s="329" t="s">
        <v>309</v>
      </c>
      <c r="C530" s="21" t="s">
        <v>12</v>
      </c>
      <c r="D530" s="340">
        <v>0</v>
      </c>
      <c r="E530" s="18"/>
      <c r="F530" s="60">
        <v>850</v>
      </c>
      <c r="G530" s="18"/>
      <c r="H530" s="2">
        <f t="shared" si="42"/>
        <v>0</v>
      </c>
      <c r="I530" s="18">
        <f>G530+H530</f>
        <v>0</v>
      </c>
    </row>
    <row r="531" spans="1:9" hidden="1" outlineLevel="1" x14ac:dyDescent="0.25">
      <c r="A531" s="84"/>
      <c r="B531" s="329" t="s">
        <v>345</v>
      </c>
      <c r="C531" s="21" t="s">
        <v>12</v>
      </c>
      <c r="D531" s="340">
        <v>0</v>
      </c>
      <c r="E531" s="18"/>
      <c r="F531" s="60">
        <v>851</v>
      </c>
      <c r="G531" s="18"/>
      <c r="H531" s="2">
        <f>ROUND(D531*F531,2)</f>
        <v>0</v>
      </c>
      <c r="I531" s="18">
        <f>G531+H531</f>
        <v>0</v>
      </c>
    </row>
    <row r="532" spans="1:9" ht="17.25" hidden="1" customHeight="1" outlineLevel="1" x14ac:dyDescent="0.25">
      <c r="A532" s="84"/>
      <c r="B532" s="329" t="s">
        <v>301</v>
      </c>
      <c r="C532" s="21" t="s">
        <v>12</v>
      </c>
      <c r="D532" s="340">
        <v>0</v>
      </c>
      <c r="E532" s="18"/>
      <c r="F532" s="60">
        <v>449</v>
      </c>
      <c r="G532" s="18"/>
      <c r="H532" s="2">
        <f t="shared" si="42"/>
        <v>0</v>
      </c>
      <c r="I532" s="18">
        <f t="shared" si="41"/>
        <v>0</v>
      </c>
    </row>
    <row r="533" spans="1:9" ht="17.25" hidden="1" customHeight="1" outlineLevel="1" x14ac:dyDescent="0.25">
      <c r="A533" s="84"/>
      <c r="B533" s="329" t="s">
        <v>344</v>
      </c>
      <c r="C533" s="21" t="s">
        <v>12</v>
      </c>
      <c r="D533" s="340">
        <v>0</v>
      </c>
      <c r="E533" s="18"/>
      <c r="F533" s="60">
        <v>914</v>
      </c>
      <c r="G533" s="18"/>
      <c r="H533" s="18">
        <f t="shared" si="42"/>
        <v>0</v>
      </c>
      <c r="I533" s="18">
        <f t="shared" si="41"/>
        <v>0</v>
      </c>
    </row>
    <row r="534" spans="1:9" ht="17.25" hidden="1" customHeight="1" outlineLevel="1" x14ac:dyDescent="0.25">
      <c r="A534" s="84"/>
      <c r="B534" s="329" t="s">
        <v>670</v>
      </c>
      <c r="C534" s="21" t="s">
        <v>12</v>
      </c>
      <c r="D534" s="340">
        <v>0</v>
      </c>
      <c r="E534" s="18"/>
      <c r="F534" s="164">
        <v>914</v>
      </c>
      <c r="G534" s="18"/>
      <c r="H534" s="18">
        <f>ROUND(D534*F534,2)</f>
        <v>0</v>
      </c>
      <c r="I534" s="18">
        <f>G534+H534</f>
        <v>0</v>
      </c>
    </row>
    <row r="535" spans="1:9" ht="17.25" hidden="1" customHeight="1" outlineLevel="1" x14ac:dyDescent="0.25">
      <c r="A535" s="84"/>
      <c r="B535" s="329" t="s">
        <v>679</v>
      </c>
      <c r="C535" s="21" t="s">
        <v>12</v>
      </c>
      <c r="D535" s="340">
        <v>0</v>
      </c>
      <c r="E535" s="18"/>
      <c r="F535" s="164">
        <v>100</v>
      </c>
      <c r="G535" s="18"/>
      <c r="H535" s="18">
        <f>ROUND(D535*F535,2)</f>
        <v>0</v>
      </c>
      <c r="I535" s="18">
        <f>G535+H535</f>
        <v>0</v>
      </c>
    </row>
    <row r="536" spans="1:9" ht="17.25" hidden="1" customHeight="1" outlineLevel="1" x14ac:dyDescent="0.25">
      <c r="A536" s="84"/>
      <c r="B536" s="329" t="s">
        <v>680</v>
      </c>
      <c r="C536" s="21" t="s">
        <v>12</v>
      </c>
      <c r="D536" s="340">
        <v>0</v>
      </c>
      <c r="E536" s="18"/>
      <c r="F536" s="164">
        <v>200</v>
      </c>
      <c r="G536" s="18"/>
      <c r="H536" s="18">
        <f>ROUND(D536*F536,2)</f>
        <v>0</v>
      </c>
      <c r="I536" s="18">
        <f>G536+H536</f>
        <v>0</v>
      </c>
    </row>
    <row r="537" spans="1:9" ht="17.25" hidden="1" customHeight="1" outlineLevel="1" x14ac:dyDescent="0.25">
      <c r="A537" s="84"/>
      <c r="B537" s="28"/>
      <c r="C537" s="21"/>
      <c r="D537" s="340"/>
      <c r="E537" s="18"/>
      <c r="F537" s="164"/>
      <c r="G537" s="18"/>
      <c r="H537" s="18"/>
      <c r="I537" s="18"/>
    </row>
    <row r="538" spans="1:9" hidden="1" outlineLevel="1" x14ac:dyDescent="0.25">
      <c r="A538" s="84" t="s">
        <v>324</v>
      </c>
      <c r="B538" s="79" t="s">
        <v>166</v>
      </c>
      <c r="C538" s="31" t="s">
        <v>12</v>
      </c>
      <c r="D538" s="31">
        <v>0</v>
      </c>
      <c r="E538" s="256">
        <v>35</v>
      </c>
      <c r="F538" s="60"/>
      <c r="G538" s="2">
        <f>ROUND(E538*D538,2)</f>
        <v>0</v>
      </c>
      <c r="H538" s="18">
        <f>F538*D538</f>
        <v>0</v>
      </c>
      <c r="I538" s="18">
        <f t="shared" si="41"/>
        <v>0</v>
      </c>
    </row>
    <row r="539" spans="1:9" ht="31.2" hidden="1" outlineLevel="1" x14ac:dyDescent="0.25">
      <c r="A539" s="84"/>
      <c r="B539" s="329" t="s">
        <v>167</v>
      </c>
      <c r="C539" s="21" t="s">
        <v>12</v>
      </c>
      <c r="D539" s="340">
        <v>0</v>
      </c>
      <c r="E539" s="18"/>
      <c r="F539" s="60">
        <v>50</v>
      </c>
      <c r="G539" s="18"/>
      <c r="H539" s="2">
        <f t="shared" ref="H539:H551" si="43">ROUND(D539*F539,2)</f>
        <v>0</v>
      </c>
      <c r="I539" s="18">
        <f t="shared" si="41"/>
        <v>0</v>
      </c>
    </row>
    <row r="540" spans="1:9" ht="46.8" hidden="1" outlineLevel="1" x14ac:dyDescent="0.25">
      <c r="A540" s="84"/>
      <c r="B540" s="329" t="s">
        <v>292</v>
      </c>
      <c r="C540" s="21" t="s">
        <v>12</v>
      </c>
      <c r="D540" s="340">
        <v>0</v>
      </c>
      <c r="E540" s="18"/>
      <c r="F540" s="60">
        <v>30.46</v>
      </c>
      <c r="G540" s="18"/>
      <c r="H540" s="2">
        <f t="shared" si="43"/>
        <v>0</v>
      </c>
      <c r="I540" s="18">
        <f t="shared" si="41"/>
        <v>0</v>
      </c>
    </row>
    <row r="541" spans="1:9" ht="31.2" hidden="1" outlineLevel="1" x14ac:dyDescent="0.25">
      <c r="A541" s="84"/>
      <c r="B541" s="329" t="s">
        <v>293</v>
      </c>
      <c r="C541" s="21" t="s">
        <v>12</v>
      </c>
      <c r="D541" s="340">
        <v>0</v>
      </c>
      <c r="E541" s="18"/>
      <c r="F541" s="60">
        <v>30.46</v>
      </c>
      <c r="G541" s="18"/>
      <c r="H541" s="2">
        <f t="shared" si="43"/>
        <v>0</v>
      </c>
      <c r="I541" s="18">
        <f>G541+H541</f>
        <v>0</v>
      </c>
    </row>
    <row r="542" spans="1:9" ht="31.2" hidden="1" outlineLevel="1" x14ac:dyDescent="0.25">
      <c r="A542" s="84"/>
      <c r="B542" s="329" t="s">
        <v>294</v>
      </c>
      <c r="C542" s="21" t="s">
        <v>12</v>
      </c>
      <c r="D542" s="340">
        <v>0</v>
      </c>
      <c r="E542" s="18"/>
      <c r="F542" s="60">
        <v>41.85</v>
      </c>
      <c r="G542" s="18"/>
      <c r="H542" s="2">
        <f t="shared" si="43"/>
        <v>0</v>
      </c>
      <c r="I542" s="18">
        <f t="shared" si="41"/>
        <v>0</v>
      </c>
    </row>
    <row r="543" spans="1:9" ht="31.2" hidden="1" outlineLevel="1" x14ac:dyDescent="0.25">
      <c r="A543" s="84"/>
      <c r="B543" s="329" t="s">
        <v>289</v>
      </c>
      <c r="C543" s="21" t="s">
        <v>12</v>
      </c>
      <c r="D543" s="340">
        <v>0</v>
      </c>
      <c r="E543" s="18"/>
      <c r="F543" s="60">
        <f>59*1.1</f>
        <v>64.900000000000006</v>
      </c>
      <c r="G543" s="18"/>
      <c r="H543" s="2">
        <f t="shared" si="43"/>
        <v>0</v>
      </c>
      <c r="I543" s="18">
        <f t="shared" si="41"/>
        <v>0</v>
      </c>
    </row>
    <row r="544" spans="1:9" ht="31.2" hidden="1" outlineLevel="1" x14ac:dyDescent="0.25">
      <c r="A544" s="84"/>
      <c r="B544" s="329" t="s">
        <v>288</v>
      </c>
      <c r="C544" s="21" t="s">
        <v>12</v>
      </c>
      <c r="D544" s="340">
        <v>0</v>
      </c>
      <c r="E544" s="18"/>
      <c r="F544" s="60">
        <v>37.25</v>
      </c>
      <c r="G544" s="18"/>
      <c r="H544" s="2">
        <f t="shared" si="43"/>
        <v>0</v>
      </c>
      <c r="I544" s="18">
        <f t="shared" si="41"/>
        <v>0</v>
      </c>
    </row>
    <row r="545" spans="1:9" ht="31.2" hidden="1" outlineLevel="1" x14ac:dyDescent="0.25">
      <c r="A545" s="84"/>
      <c r="B545" s="329" t="s">
        <v>290</v>
      </c>
      <c r="C545" s="21" t="s">
        <v>12</v>
      </c>
      <c r="D545" s="340">
        <v>0</v>
      </c>
      <c r="E545" s="18"/>
      <c r="F545" s="60">
        <v>277</v>
      </c>
      <c r="G545" s="18"/>
      <c r="H545" s="2">
        <f t="shared" si="43"/>
        <v>0</v>
      </c>
      <c r="I545" s="18">
        <f t="shared" si="41"/>
        <v>0</v>
      </c>
    </row>
    <row r="546" spans="1:9" ht="31.2" hidden="1" outlineLevel="1" x14ac:dyDescent="0.25">
      <c r="A546" s="84"/>
      <c r="B546" s="329" t="s">
        <v>291</v>
      </c>
      <c r="C546" s="21" t="s">
        <v>12</v>
      </c>
      <c r="D546" s="340">
        <v>0</v>
      </c>
      <c r="E546" s="18"/>
      <c r="F546" s="60">
        <v>65.900000000000006</v>
      </c>
      <c r="G546" s="18"/>
      <c r="H546" s="2">
        <f t="shared" si="43"/>
        <v>0</v>
      </c>
      <c r="I546" s="18">
        <f t="shared" si="41"/>
        <v>0</v>
      </c>
    </row>
    <row r="547" spans="1:9" hidden="1" outlineLevel="1" x14ac:dyDescent="0.25">
      <c r="A547" s="84"/>
      <c r="B547" s="329" t="s">
        <v>168</v>
      </c>
      <c r="C547" s="21" t="s">
        <v>12</v>
      </c>
      <c r="D547" s="340">
        <v>0</v>
      </c>
      <c r="E547" s="18"/>
      <c r="F547" s="60">
        <v>127</v>
      </c>
      <c r="G547" s="18"/>
      <c r="H547" s="2">
        <f t="shared" si="43"/>
        <v>0</v>
      </c>
      <c r="I547" s="18">
        <f t="shared" si="41"/>
        <v>0</v>
      </c>
    </row>
    <row r="548" spans="1:9" hidden="1" outlineLevel="1" x14ac:dyDescent="0.25">
      <c r="A548" s="84"/>
      <c r="B548" s="329" t="s">
        <v>287</v>
      </c>
      <c r="C548" s="21" t="s">
        <v>12</v>
      </c>
      <c r="D548" s="340">
        <v>0</v>
      </c>
      <c r="E548" s="18"/>
      <c r="F548" s="60">
        <v>20</v>
      </c>
      <c r="G548" s="18"/>
      <c r="H548" s="2">
        <f t="shared" si="43"/>
        <v>0</v>
      </c>
      <c r="I548" s="18">
        <f t="shared" si="41"/>
        <v>0</v>
      </c>
    </row>
    <row r="549" spans="1:9" hidden="1" outlineLevel="1" x14ac:dyDescent="0.25">
      <c r="A549" s="84"/>
      <c r="B549" s="329" t="s">
        <v>677</v>
      </c>
      <c r="C549" s="21" t="s">
        <v>12</v>
      </c>
      <c r="D549" s="340">
        <v>0</v>
      </c>
      <c r="E549" s="18"/>
      <c r="F549" s="60">
        <v>30</v>
      </c>
      <c r="G549" s="18"/>
      <c r="H549" s="2">
        <f t="shared" si="43"/>
        <v>0</v>
      </c>
      <c r="I549" s="18">
        <f>G549+H549</f>
        <v>0</v>
      </c>
    </row>
    <row r="550" spans="1:9" ht="31.2" hidden="1" outlineLevel="1" x14ac:dyDescent="0.25">
      <c r="A550" s="84"/>
      <c r="B550" s="329" t="s">
        <v>442</v>
      </c>
      <c r="C550" s="21" t="s">
        <v>12</v>
      </c>
      <c r="D550" s="340">
        <v>0</v>
      </c>
      <c r="E550" s="18"/>
      <c r="F550" s="60">
        <v>78</v>
      </c>
      <c r="G550" s="18"/>
      <c r="H550" s="2">
        <f t="shared" si="43"/>
        <v>0</v>
      </c>
      <c r="I550" s="18">
        <f>G550+H550</f>
        <v>0</v>
      </c>
    </row>
    <row r="551" spans="1:9" ht="18.75" hidden="1" customHeight="1" outlineLevel="1" x14ac:dyDescent="0.25">
      <c r="A551" s="84"/>
      <c r="B551" s="329" t="s">
        <v>673</v>
      </c>
      <c r="C551" s="21" t="s">
        <v>12</v>
      </c>
      <c r="D551" s="340">
        <v>0</v>
      </c>
      <c r="E551" s="18"/>
      <c r="F551" s="60">
        <v>90</v>
      </c>
      <c r="G551" s="18"/>
      <c r="H551" s="2">
        <f t="shared" si="43"/>
        <v>0</v>
      </c>
      <c r="I551" s="18">
        <f>G551+H551</f>
        <v>0</v>
      </c>
    </row>
    <row r="552" spans="1:9" ht="31.2" hidden="1" outlineLevel="1" x14ac:dyDescent="0.25">
      <c r="A552" s="84"/>
      <c r="B552" s="329" t="s">
        <v>668</v>
      </c>
      <c r="C552" s="21" t="s">
        <v>12</v>
      </c>
      <c r="D552" s="340">
        <v>0</v>
      </c>
      <c r="E552" s="18"/>
      <c r="F552" s="60">
        <v>90</v>
      </c>
      <c r="G552" s="18"/>
      <c r="H552" s="2">
        <f>ROUND(D552*F552,2)</f>
        <v>0</v>
      </c>
      <c r="I552" s="18">
        <f>G552+H552</f>
        <v>0</v>
      </c>
    </row>
    <row r="553" spans="1:9" hidden="1" outlineLevel="1" x14ac:dyDescent="0.25">
      <c r="A553" s="84"/>
      <c r="B553" s="329" t="s">
        <v>678</v>
      </c>
      <c r="C553" s="21" t="s">
        <v>12</v>
      </c>
      <c r="D553" s="340">
        <v>0</v>
      </c>
      <c r="E553" s="18"/>
      <c r="F553" s="164">
        <v>100</v>
      </c>
      <c r="G553" s="18"/>
      <c r="H553" s="2">
        <f>ROUND(D553*F553,2)</f>
        <v>0</v>
      </c>
      <c r="I553" s="18">
        <f>G553+H553</f>
        <v>0</v>
      </c>
    </row>
    <row r="554" spans="1:9" hidden="1" outlineLevel="1" x14ac:dyDescent="0.25">
      <c r="A554" s="84" t="s">
        <v>532</v>
      </c>
      <c r="B554" s="29" t="s">
        <v>489</v>
      </c>
      <c r="C554" s="31" t="s">
        <v>29</v>
      </c>
      <c r="D554" s="31">
        <v>0</v>
      </c>
      <c r="E554" s="256">
        <v>35</v>
      </c>
      <c r="F554" s="60"/>
      <c r="G554" s="2">
        <f>ROUND(E554*D554,2)</f>
        <v>0</v>
      </c>
      <c r="H554" s="18">
        <f>F554*D554</f>
        <v>0</v>
      </c>
      <c r="I554" s="18">
        <f t="shared" si="41"/>
        <v>0</v>
      </c>
    </row>
    <row r="555" spans="1:9" hidden="1" outlineLevel="1" x14ac:dyDescent="0.25">
      <c r="A555" s="84"/>
      <c r="B555" s="329" t="s">
        <v>296</v>
      </c>
      <c r="C555" s="21" t="s">
        <v>29</v>
      </c>
      <c r="D555" s="340">
        <v>0</v>
      </c>
      <c r="E555" s="18"/>
      <c r="F555" s="60">
        <v>31</v>
      </c>
      <c r="G555" s="18"/>
      <c r="H555" s="2">
        <f t="shared" ref="H555:H573" si="44">ROUND(D555*F555,2)</f>
        <v>0</v>
      </c>
      <c r="I555" s="18">
        <f t="shared" si="41"/>
        <v>0</v>
      </c>
    </row>
    <row r="556" spans="1:9" hidden="1" outlineLevel="1" x14ac:dyDescent="0.25">
      <c r="A556" s="84"/>
      <c r="B556" s="329" t="s">
        <v>311</v>
      </c>
      <c r="C556" s="21" t="s">
        <v>29</v>
      </c>
      <c r="D556" s="340">
        <v>0</v>
      </c>
      <c r="E556" s="18"/>
      <c r="F556" s="60">
        <f>459.7*1.1</f>
        <v>505.67</v>
      </c>
      <c r="G556" s="18"/>
      <c r="H556" s="2">
        <f t="shared" si="44"/>
        <v>0</v>
      </c>
      <c r="I556" s="18">
        <f t="shared" si="41"/>
        <v>0</v>
      </c>
    </row>
    <row r="557" spans="1:9" hidden="1" outlineLevel="1" x14ac:dyDescent="0.25">
      <c r="A557" s="84"/>
      <c r="B557" s="329" t="s">
        <v>297</v>
      </c>
      <c r="C557" s="21" t="s">
        <v>29</v>
      </c>
      <c r="D557" s="340">
        <v>0</v>
      </c>
      <c r="E557" s="18"/>
      <c r="F557" s="60">
        <f>10.16*1.1</f>
        <v>11.176000000000002</v>
      </c>
      <c r="G557" s="18"/>
      <c r="H557" s="2">
        <f t="shared" si="44"/>
        <v>0</v>
      </c>
      <c r="I557" s="18">
        <f t="shared" si="41"/>
        <v>0</v>
      </c>
    </row>
    <row r="558" spans="1:9" hidden="1" outlineLevel="1" x14ac:dyDescent="0.25">
      <c r="A558" s="84"/>
      <c r="B558" s="329" t="s">
        <v>299</v>
      </c>
      <c r="C558" s="21" t="s">
        <v>29</v>
      </c>
      <c r="D558" s="340">
        <v>0</v>
      </c>
      <c r="E558" s="18"/>
      <c r="F558" s="60">
        <f>11.4*1.1</f>
        <v>12.540000000000001</v>
      </c>
      <c r="G558" s="18"/>
      <c r="H558" s="2">
        <f t="shared" si="44"/>
        <v>0</v>
      </c>
      <c r="I558" s="18">
        <f>G558+H558</f>
        <v>0</v>
      </c>
    </row>
    <row r="559" spans="1:9" hidden="1" outlineLevel="1" x14ac:dyDescent="0.25">
      <c r="A559" s="84"/>
      <c r="B559" s="329" t="s">
        <v>298</v>
      </c>
      <c r="C559" s="21" t="s">
        <v>29</v>
      </c>
      <c r="D559" s="340">
        <v>0</v>
      </c>
      <c r="E559" s="18"/>
      <c r="F559" s="60">
        <f>19.4*1.1</f>
        <v>21.34</v>
      </c>
      <c r="G559" s="18"/>
      <c r="H559" s="2">
        <f t="shared" si="44"/>
        <v>0</v>
      </c>
      <c r="I559" s="18">
        <f>G559+H559</f>
        <v>0</v>
      </c>
    </row>
    <row r="560" spans="1:9" hidden="1" outlineLevel="1" x14ac:dyDescent="0.25">
      <c r="A560" s="84"/>
      <c r="B560" s="329" t="s">
        <v>171</v>
      </c>
      <c r="C560" s="21" t="s">
        <v>29</v>
      </c>
      <c r="D560" s="340">
        <v>0</v>
      </c>
      <c r="E560" s="18"/>
      <c r="F560" s="60">
        <f>50.41*1.1</f>
        <v>55.451000000000001</v>
      </c>
      <c r="G560" s="18"/>
      <c r="H560" s="2">
        <f t="shared" si="44"/>
        <v>0</v>
      </c>
      <c r="I560" s="18">
        <f t="shared" si="41"/>
        <v>0</v>
      </c>
    </row>
    <row r="561" spans="1:9" hidden="1" outlineLevel="1" x14ac:dyDescent="0.25">
      <c r="A561" s="84"/>
      <c r="B561" s="329" t="s">
        <v>458</v>
      </c>
      <c r="C561" s="21" t="s">
        <v>29</v>
      </c>
      <c r="D561" s="340">
        <v>0</v>
      </c>
      <c r="E561" s="18"/>
      <c r="F561" s="60">
        <v>205</v>
      </c>
      <c r="G561" s="18"/>
      <c r="H561" s="2">
        <f t="shared" si="44"/>
        <v>0</v>
      </c>
      <c r="I561" s="18">
        <f>G561+H561</f>
        <v>0</v>
      </c>
    </row>
    <row r="562" spans="1:9" hidden="1" outlineLevel="1" x14ac:dyDescent="0.25">
      <c r="A562" s="84"/>
      <c r="B562" s="329" t="s">
        <v>169</v>
      </c>
      <c r="C562" s="21" t="s">
        <v>29</v>
      </c>
      <c r="D562" s="340">
        <v>0</v>
      </c>
      <c r="E562" s="18"/>
      <c r="F562" s="60">
        <f>22.48*1.1</f>
        <v>24.728000000000002</v>
      </c>
      <c r="G562" s="18"/>
      <c r="H562" s="2">
        <f t="shared" si="44"/>
        <v>0</v>
      </c>
      <c r="I562" s="18">
        <f t="shared" si="41"/>
        <v>0</v>
      </c>
    </row>
    <row r="563" spans="1:9" hidden="1" outlineLevel="1" x14ac:dyDescent="0.25">
      <c r="A563" s="84"/>
      <c r="B563" s="329" t="s">
        <v>457</v>
      </c>
      <c r="C563" s="21" t="s">
        <v>29</v>
      </c>
      <c r="D563" s="340">
        <v>0</v>
      </c>
      <c r="E563" s="18"/>
      <c r="F563" s="60">
        <f>15.53*1.1</f>
        <v>17.083000000000002</v>
      </c>
      <c r="G563" s="18"/>
      <c r="H563" s="2">
        <f t="shared" si="44"/>
        <v>0</v>
      </c>
      <c r="I563" s="18">
        <f t="shared" si="41"/>
        <v>0</v>
      </c>
    </row>
    <row r="564" spans="1:9" ht="17.25" hidden="1" customHeight="1" outlineLevel="1" x14ac:dyDescent="0.25">
      <c r="A564" s="84"/>
      <c r="B564" s="329" t="s">
        <v>170</v>
      </c>
      <c r="C564" s="21" t="s">
        <v>12</v>
      </c>
      <c r="D564" s="340">
        <v>0</v>
      </c>
      <c r="E564" s="18"/>
      <c r="F564" s="60">
        <v>8</v>
      </c>
      <c r="G564" s="18"/>
      <c r="H564" s="2">
        <f t="shared" si="44"/>
        <v>0</v>
      </c>
      <c r="I564" s="18">
        <f>G564+H564</f>
        <v>0</v>
      </c>
    </row>
    <row r="565" spans="1:9" hidden="1" outlineLevel="1" x14ac:dyDescent="0.25">
      <c r="A565" s="84"/>
      <c r="B565" s="329" t="s">
        <v>302</v>
      </c>
      <c r="C565" s="21" t="s">
        <v>29</v>
      </c>
      <c r="D565" s="340">
        <v>0</v>
      </c>
      <c r="E565" s="18"/>
      <c r="F565" s="60">
        <v>194</v>
      </c>
      <c r="G565" s="18"/>
      <c r="H565" s="2">
        <f t="shared" si="44"/>
        <v>0</v>
      </c>
      <c r="I565" s="18">
        <f t="shared" si="41"/>
        <v>0</v>
      </c>
    </row>
    <row r="566" spans="1:9" hidden="1" outlineLevel="1" x14ac:dyDescent="0.25">
      <c r="A566" s="84"/>
      <c r="B566" s="329" t="s">
        <v>443</v>
      </c>
      <c r="C566" s="21" t="s">
        <v>29</v>
      </c>
      <c r="D566" s="340">
        <v>0</v>
      </c>
      <c r="E566" s="18"/>
      <c r="F566" s="60">
        <v>45</v>
      </c>
      <c r="G566" s="18"/>
      <c r="H566" s="2">
        <f t="shared" si="44"/>
        <v>0</v>
      </c>
      <c r="I566" s="18">
        <f t="shared" si="41"/>
        <v>0</v>
      </c>
    </row>
    <row r="567" spans="1:9" hidden="1" outlineLevel="1" x14ac:dyDescent="0.25">
      <c r="A567" s="84"/>
      <c r="B567" s="329" t="s">
        <v>300</v>
      </c>
      <c r="C567" s="21" t="s">
        <v>29</v>
      </c>
      <c r="D567" s="340">
        <v>0</v>
      </c>
      <c r="E567" s="18"/>
      <c r="F567" s="60">
        <v>78</v>
      </c>
      <c r="G567" s="18"/>
      <c r="H567" s="2">
        <f t="shared" si="44"/>
        <v>0</v>
      </c>
      <c r="I567" s="18">
        <f t="shared" si="41"/>
        <v>0</v>
      </c>
    </row>
    <row r="568" spans="1:9" hidden="1" outlineLevel="1" x14ac:dyDescent="0.25">
      <c r="A568" s="84"/>
      <c r="B568" s="329" t="s">
        <v>91</v>
      </c>
      <c r="C568" s="21" t="s">
        <v>15</v>
      </c>
      <c r="D568" s="340">
        <v>0</v>
      </c>
      <c r="E568" s="18"/>
      <c r="F568" s="164">
        <v>42</v>
      </c>
      <c r="G568" s="18"/>
      <c r="H568" s="2">
        <f>ROUND(D568*F568,2)</f>
        <v>0</v>
      </c>
      <c r="I568" s="18">
        <f t="shared" si="41"/>
        <v>0</v>
      </c>
    </row>
    <row r="569" spans="1:9" hidden="1" outlineLevel="1" x14ac:dyDescent="0.25">
      <c r="A569" s="84"/>
      <c r="B569" s="329" t="s">
        <v>676</v>
      </c>
      <c r="C569" s="21" t="s">
        <v>29</v>
      </c>
      <c r="D569" s="340">
        <v>0</v>
      </c>
      <c r="E569" s="18"/>
      <c r="F569" s="164">
        <v>9.8699999999999992</v>
      </c>
      <c r="G569" s="18"/>
      <c r="H569" s="2">
        <f>ROUND(D569*F569,2)</f>
        <v>0</v>
      </c>
      <c r="I569" s="18">
        <f t="shared" si="41"/>
        <v>0</v>
      </c>
    </row>
    <row r="570" spans="1:9" hidden="1" outlineLevel="1" x14ac:dyDescent="0.25">
      <c r="A570" s="84"/>
      <c r="B570" s="329" t="s">
        <v>669</v>
      </c>
      <c r="C570" s="21" t="s">
        <v>29</v>
      </c>
      <c r="D570" s="340">
        <v>0</v>
      </c>
      <c r="E570" s="18"/>
      <c r="F570" s="164">
        <v>9.8699999999999992</v>
      </c>
      <c r="G570" s="18"/>
      <c r="H570" s="2">
        <f>ROUND(D570*F570,2)</f>
        <v>0</v>
      </c>
      <c r="I570" s="18">
        <f t="shared" si="41"/>
        <v>0</v>
      </c>
    </row>
    <row r="571" spans="1:9" hidden="1" outlineLevel="1" x14ac:dyDescent="0.25">
      <c r="A571" s="84"/>
      <c r="B571" s="329" t="s">
        <v>672</v>
      </c>
      <c r="C571" s="21" t="s">
        <v>29</v>
      </c>
      <c r="D571" s="340">
        <v>0</v>
      </c>
      <c r="E571" s="18"/>
      <c r="F571" s="164">
        <v>9.8699999999999992</v>
      </c>
      <c r="G571" s="18"/>
      <c r="H571" s="2">
        <f>ROUND(D571*F571,2)</f>
        <v>0</v>
      </c>
      <c r="I571" s="18">
        <f t="shared" si="41"/>
        <v>0</v>
      </c>
    </row>
    <row r="572" spans="1:9" hidden="1" outlineLevel="1" x14ac:dyDescent="0.25">
      <c r="A572" s="84"/>
      <c r="B572" s="329" t="s">
        <v>444</v>
      </c>
      <c r="C572" s="21" t="s">
        <v>29</v>
      </c>
      <c r="D572" s="340">
        <v>0</v>
      </c>
      <c r="E572" s="18"/>
      <c r="F572" s="60">
        <v>56</v>
      </c>
      <c r="G572" s="18"/>
      <c r="H572" s="2">
        <f t="shared" si="44"/>
        <v>0</v>
      </c>
      <c r="I572" s="18">
        <f t="shared" si="41"/>
        <v>0</v>
      </c>
    </row>
    <row r="573" spans="1:9" hidden="1" outlineLevel="1" x14ac:dyDescent="0.25">
      <c r="A573" s="84"/>
      <c r="B573" s="329" t="s">
        <v>445</v>
      </c>
      <c r="C573" s="21" t="s">
        <v>29</v>
      </c>
      <c r="D573" s="340">
        <v>0</v>
      </c>
      <c r="E573" s="18"/>
      <c r="F573" s="60">
        <v>70</v>
      </c>
      <c r="G573" s="18"/>
      <c r="H573" s="2">
        <f t="shared" si="44"/>
        <v>0</v>
      </c>
      <c r="I573" s="18">
        <f t="shared" si="41"/>
        <v>0</v>
      </c>
    </row>
    <row r="574" spans="1:9" hidden="1" outlineLevel="1" x14ac:dyDescent="0.25">
      <c r="A574" s="84"/>
      <c r="B574" s="329" t="s">
        <v>671</v>
      </c>
      <c r="C574" s="21" t="s">
        <v>29</v>
      </c>
      <c r="D574" s="340">
        <v>0</v>
      </c>
      <c r="E574" s="18"/>
      <c r="F574" s="164">
        <v>170</v>
      </c>
      <c r="G574" s="18"/>
      <c r="H574" s="2">
        <f>ROUND(D574*F574,2)</f>
        <v>0</v>
      </c>
      <c r="I574" s="18">
        <f t="shared" si="41"/>
        <v>0</v>
      </c>
    </row>
    <row r="575" spans="1:9" hidden="1" outlineLevel="1" x14ac:dyDescent="0.25">
      <c r="A575" s="84" t="s">
        <v>533</v>
      </c>
      <c r="B575" s="29" t="s">
        <v>303</v>
      </c>
      <c r="C575" s="31" t="s">
        <v>12</v>
      </c>
      <c r="D575" s="158"/>
      <c r="E575" s="18"/>
      <c r="F575" s="60"/>
      <c r="G575" s="18">
        <f>E575*D575</f>
        <v>0</v>
      </c>
      <c r="H575" s="18"/>
      <c r="I575" s="18">
        <f t="shared" si="41"/>
        <v>0</v>
      </c>
    </row>
    <row r="576" spans="1:9" hidden="1" outlineLevel="1" x14ac:dyDescent="0.25">
      <c r="A576" s="84"/>
      <c r="B576" s="329" t="s">
        <v>304</v>
      </c>
      <c r="C576" s="21" t="s">
        <v>12</v>
      </c>
      <c r="D576" s="340">
        <v>0</v>
      </c>
      <c r="E576" s="18"/>
      <c r="F576" s="60">
        <v>462</v>
      </c>
      <c r="G576" s="18"/>
      <c r="H576" s="2">
        <f>ROUND(D576*F576,2)</f>
        <v>0</v>
      </c>
      <c r="I576" s="18">
        <f t="shared" si="41"/>
        <v>0</v>
      </c>
    </row>
    <row r="577" spans="1:9" hidden="1" outlineLevel="1" x14ac:dyDescent="0.25">
      <c r="A577" s="84"/>
      <c r="B577" s="329" t="s">
        <v>306</v>
      </c>
      <c r="C577" s="21" t="s">
        <v>12</v>
      </c>
      <c r="D577" s="340">
        <v>0</v>
      </c>
      <c r="E577" s="18"/>
      <c r="F577" s="60">
        <v>216</v>
      </c>
      <c r="G577" s="18"/>
      <c r="H577" s="2">
        <f>ROUND(D577*F577,2)</f>
        <v>0</v>
      </c>
      <c r="I577" s="18">
        <f t="shared" si="41"/>
        <v>0</v>
      </c>
    </row>
    <row r="578" spans="1:9" hidden="1" outlineLevel="1" x14ac:dyDescent="0.25">
      <c r="A578" s="84"/>
      <c r="B578" s="329" t="s">
        <v>305</v>
      </c>
      <c r="C578" s="21" t="s">
        <v>12</v>
      </c>
      <c r="D578" s="340">
        <v>0</v>
      </c>
      <c r="E578" s="18"/>
      <c r="F578" s="60">
        <v>216</v>
      </c>
      <c r="G578" s="18"/>
      <c r="H578" s="2">
        <f>ROUND(D578*F578,2)</f>
        <v>0</v>
      </c>
      <c r="I578" s="18">
        <f t="shared" si="41"/>
        <v>0</v>
      </c>
    </row>
    <row r="579" spans="1:9" hidden="1" outlineLevel="1" x14ac:dyDescent="0.25">
      <c r="A579" s="84"/>
      <c r="B579" s="329" t="s">
        <v>307</v>
      </c>
      <c r="C579" s="21" t="s">
        <v>12</v>
      </c>
      <c r="D579" s="340">
        <v>0</v>
      </c>
      <c r="E579" s="18"/>
      <c r="F579" s="60">
        <v>300</v>
      </c>
      <c r="G579" s="18"/>
      <c r="H579" s="2">
        <f>ROUND(D579*F579,2)</f>
        <v>0</v>
      </c>
      <c r="I579" s="18">
        <f t="shared" si="41"/>
        <v>0</v>
      </c>
    </row>
    <row r="580" spans="1:9" hidden="1" outlineLevel="1" x14ac:dyDescent="0.25">
      <c r="A580" s="84" t="s">
        <v>534</v>
      </c>
      <c r="B580" s="29" t="s">
        <v>310</v>
      </c>
      <c r="C580" s="31" t="s">
        <v>173</v>
      </c>
      <c r="D580" s="31">
        <v>0</v>
      </c>
      <c r="E580" s="18"/>
      <c r="F580" s="60">
        <f>30000</f>
        <v>30000</v>
      </c>
      <c r="G580" s="18"/>
      <c r="H580" s="2">
        <f>ROUND(D580*F580,2)</f>
        <v>0</v>
      </c>
      <c r="I580" s="18">
        <f t="shared" si="41"/>
        <v>0</v>
      </c>
    </row>
    <row r="581" spans="1:9" hidden="1" outlineLevel="1" x14ac:dyDescent="0.25">
      <c r="A581" s="84" t="s">
        <v>611</v>
      </c>
      <c r="B581" s="192" t="s">
        <v>590</v>
      </c>
      <c r="C581" s="31"/>
      <c r="D581" s="18"/>
      <c r="E581" s="256">
        <v>0</v>
      </c>
      <c r="F581" s="60"/>
      <c r="G581" s="18">
        <f>E581</f>
        <v>0</v>
      </c>
      <c r="H581" s="18">
        <v>0</v>
      </c>
      <c r="I581" s="18">
        <f>G581+H581</f>
        <v>0</v>
      </c>
    </row>
    <row r="582" spans="1:9" hidden="1" outlineLevel="1" x14ac:dyDescent="0.25">
      <c r="A582" s="84"/>
      <c r="B582" s="329" t="s">
        <v>591</v>
      </c>
      <c r="C582" s="21" t="s">
        <v>12</v>
      </c>
      <c r="D582" s="340">
        <v>0</v>
      </c>
      <c r="E582" s="18"/>
      <c r="F582" s="60">
        <f>1144.07*1.1</f>
        <v>1258.4770000000001</v>
      </c>
      <c r="G582" s="18"/>
      <c r="H582" s="18">
        <f>F582*D582</f>
        <v>0</v>
      </c>
      <c r="I582" s="18">
        <f>G582+H582</f>
        <v>0</v>
      </c>
    </row>
    <row r="583" spans="1:9" hidden="1" outlineLevel="1" x14ac:dyDescent="0.25">
      <c r="A583" s="84"/>
      <c r="B583" s="329" t="s">
        <v>592</v>
      </c>
      <c r="C583" s="21" t="s">
        <v>12</v>
      </c>
      <c r="D583" s="340">
        <v>0</v>
      </c>
      <c r="E583" s="18"/>
      <c r="F583" s="60">
        <f>1144.07*1.1</f>
        <v>1258.4770000000001</v>
      </c>
      <c r="G583" s="18"/>
      <c r="H583" s="18">
        <f>F583*D583</f>
        <v>0</v>
      </c>
      <c r="I583" s="18">
        <f>G583+H583</f>
        <v>0</v>
      </c>
    </row>
    <row r="584" spans="1:9" hidden="1" outlineLevel="1" x14ac:dyDescent="0.25">
      <c r="A584" s="84"/>
      <c r="B584" s="329" t="s">
        <v>593</v>
      </c>
      <c r="C584" s="21" t="s">
        <v>12</v>
      </c>
      <c r="D584" s="340">
        <v>0</v>
      </c>
      <c r="E584" s="18"/>
      <c r="F584" s="60">
        <f>1144.07*1.1</f>
        <v>1258.4770000000001</v>
      </c>
      <c r="G584" s="18"/>
      <c r="H584" s="18">
        <f>F584*D584</f>
        <v>0</v>
      </c>
      <c r="I584" s="18">
        <f>G584+H584</f>
        <v>0</v>
      </c>
    </row>
    <row r="585" spans="1:9" hidden="1" outlineLevel="1" x14ac:dyDescent="0.25">
      <c r="A585" s="84"/>
      <c r="B585" s="329" t="s">
        <v>594</v>
      </c>
      <c r="C585" s="21" t="s">
        <v>12</v>
      </c>
      <c r="D585" s="340">
        <v>0</v>
      </c>
      <c r="E585" s="18"/>
      <c r="F585" s="60">
        <f>1101.7*1.18</f>
        <v>1300.0060000000001</v>
      </c>
      <c r="G585" s="18"/>
      <c r="H585" s="18">
        <f>F585*D585</f>
        <v>0</v>
      </c>
      <c r="I585" s="18">
        <f>G585+H585</f>
        <v>0</v>
      </c>
    </row>
    <row r="586" spans="1:9" hidden="1" outlineLevel="1" x14ac:dyDescent="0.25">
      <c r="A586" s="84"/>
      <c r="B586" s="308" t="s">
        <v>595</v>
      </c>
      <c r="C586" s="21" t="s">
        <v>12</v>
      </c>
      <c r="D586" s="340">
        <v>0</v>
      </c>
      <c r="E586" s="18"/>
      <c r="F586" s="60">
        <f>120</f>
        <v>120</v>
      </c>
      <c r="G586" s="18"/>
      <c r="H586" s="18">
        <f t="shared" ref="H586:H603" si="45">F586*D586</f>
        <v>0</v>
      </c>
      <c r="I586" s="18">
        <f t="shared" ref="I586:I603" si="46">G586+H586</f>
        <v>0</v>
      </c>
    </row>
    <row r="587" spans="1:9" hidden="1" outlineLevel="1" x14ac:dyDescent="0.25">
      <c r="A587" s="84"/>
      <c r="B587" s="308" t="s">
        <v>596</v>
      </c>
      <c r="C587" s="21" t="s">
        <v>12</v>
      </c>
      <c r="D587" s="340">
        <v>0</v>
      </c>
      <c r="E587" s="18"/>
      <c r="F587" s="60">
        <f>127.12*1.18</f>
        <v>150.0016</v>
      </c>
      <c r="G587" s="18"/>
      <c r="H587" s="18">
        <f t="shared" si="45"/>
        <v>0</v>
      </c>
      <c r="I587" s="18">
        <f t="shared" si="46"/>
        <v>0</v>
      </c>
    </row>
    <row r="588" spans="1:9" hidden="1" outlineLevel="1" x14ac:dyDescent="0.25">
      <c r="A588" s="84"/>
      <c r="B588" s="308" t="s">
        <v>597</v>
      </c>
      <c r="C588" s="21" t="s">
        <v>12</v>
      </c>
      <c r="D588" s="340">
        <v>0</v>
      </c>
      <c r="E588" s="18"/>
      <c r="F588" s="60">
        <f>127.12*1.18</f>
        <v>150.0016</v>
      </c>
      <c r="G588" s="18"/>
      <c r="H588" s="18">
        <f t="shared" si="45"/>
        <v>0</v>
      </c>
      <c r="I588" s="18">
        <f t="shared" si="46"/>
        <v>0</v>
      </c>
    </row>
    <row r="589" spans="1:9" hidden="1" outlineLevel="1" x14ac:dyDescent="0.25">
      <c r="A589" s="84"/>
      <c r="B589" s="308" t="s">
        <v>598</v>
      </c>
      <c r="C589" s="21" t="s">
        <v>12</v>
      </c>
      <c r="D589" s="340">
        <v>0</v>
      </c>
      <c r="E589" s="18"/>
      <c r="F589" s="60">
        <v>50</v>
      </c>
      <c r="G589" s="18"/>
      <c r="H589" s="18">
        <f t="shared" si="45"/>
        <v>0</v>
      </c>
      <c r="I589" s="18">
        <f t="shared" si="46"/>
        <v>0</v>
      </c>
    </row>
    <row r="590" spans="1:9" hidden="1" outlineLevel="1" x14ac:dyDescent="0.25">
      <c r="A590" s="84"/>
      <c r="B590" s="308" t="s">
        <v>599</v>
      </c>
      <c r="C590" s="21" t="s">
        <v>12</v>
      </c>
      <c r="D590" s="340">
        <v>0</v>
      </c>
      <c r="E590" s="18"/>
      <c r="F590" s="60">
        <v>200</v>
      </c>
      <c r="G590" s="18"/>
      <c r="H590" s="18">
        <f t="shared" si="45"/>
        <v>0</v>
      </c>
      <c r="I590" s="18">
        <f t="shared" si="46"/>
        <v>0</v>
      </c>
    </row>
    <row r="591" spans="1:9" hidden="1" outlineLevel="1" x14ac:dyDescent="0.25">
      <c r="A591" s="84"/>
      <c r="B591" s="308" t="s">
        <v>600</v>
      </c>
      <c r="C591" s="21" t="s">
        <v>12</v>
      </c>
      <c r="D591" s="340">
        <v>0</v>
      </c>
      <c r="E591" s="18"/>
      <c r="F591" s="60">
        <v>10</v>
      </c>
      <c r="G591" s="18"/>
      <c r="H591" s="18">
        <f t="shared" si="45"/>
        <v>0</v>
      </c>
      <c r="I591" s="18">
        <f t="shared" si="46"/>
        <v>0</v>
      </c>
    </row>
    <row r="592" spans="1:9" hidden="1" outlineLevel="1" x14ac:dyDescent="0.25">
      <c r="A592" s="84"/>
      <c r="B592" s="308" t="s">
        <v>601</v>
      </c>
      <c r="C592" s="21" t="s">
        <v>12</v>
      </c>
      <c r="D592" s="340">
        <v>0</v>
      </c>
      <c r="E592" s="18"/>
      <c r="F592" s="60">
        <v>18</v>
      </c>
      <c r="G592" s="18"/>
      <c r="H592" s="18">
        <f t="shared" si="45"/>
        <v>0</v>
      </c>
      <c r="I592" s="18">
        <f t="shared" si="46"/>
        <v>0</v>
      </c>
    </row>
    <row r="593" spans="1:12" hidden="1" outlineLevel="1" x14ac:dyDescent="0.25">
      <c r="A593" s="84"/>
      <c r="B593" s="308" t="s">
        <v>602</v>
      </c>
      <c r="C593" s="21" t="s">
        <v>12</v>
      </c>
      <c r="D593" s="340">
        <v>0</v>
      </c>
      <c r="E593" s="18"/>
      <c r="F593" s="60">
        <v>67</v>
      </c>
      <c r="G593" s="18"/>
      <c r="H593" s="18">
        <f t="shared" si="45"/>
        <v>0</v>
      </c>
      <c r="I593" s="18">
        <f t="shared" si="46"/>
        <v>0</v>
      </c>
    </row>
    <row r="594" spans="1:12" hidden="1" outlineLevel="1" x14ac:dyDescent="0.25">
      <c r="A594" s="84"/>
      <c r="B594" s="33" t="s">
        <v>603</v>
      </c>
      <c r="C594" s="21" t="s">
        <v>12</v>
      </c>
      <c r="D594" s="18"/>
      <c r="E594" s="18"/>
      <c r="F594" s="60">
        <v>65</v>
      </c>
      <c r="G594" s="18"/>
      <c r="H594" s="18">
        <f t="shared" si="45"/>
        <v>0</v>
      </c>
      <c r="I594" s="18">
        <f t="shared" si="46"/>
        <v>0</v>
      </c>
    </row>
    <row r="595" spans="1:12" hidden="1" outlineLevel="1" x14ac:dyDescent="0.25">
      <c r="A595" s="84"/>
      <c r="B595" s="308" t="s">
        <v>604</v>
      </c>
      <c r="C595" s="21" t="s">
        <v>12</v>
      </c>
      <c r="D595" s="340">
        <v>0</v>
      </c>
      <c r="E595" s="18"/>
      <c r="F595" s="60">
        <v>150</v>
      </c>
      <c r="G595" s="18"/>
      <c r="H595" s="18">
        <f t="shared" si="45"/>
        <v>0</v>
      </c>
      <c r="I595" s="18">
        <f t="shared" si="46"/>
        <v>0</v>
      </c>
    </row>
    <row r="596" spans="1:12" hidden="1" outlineLevel="1" x14ac:dyDescent="0.25">
      <c r="A596" s="84"/>
      <c r="B596" s="308" t="s">
        <v>605</v>
      </c>
      <c r="C596" s="21" t="s">
        <v>12</v>
      </c>
      <c r="D596" s="340">
        <v>0</v>
      </c>
      <c r="E596" s="18"/>
      <c r="F596" s="60">
        <v>45</v>
      </c>
      <c r="G596" s="18"/>
      <c r="H596" s="18">
        <f t="shared" si="45"/>
        <v>0</v>
      </c>
      <c r="I596" s="18">
        <f t="shared" si="46"/>
        <v>0</v>
      </c>
    </row>
    <row r="597" spans="1:12" hidden="1" outlineLevel="1" x14ac:dyDescent="0.25">
      <c r="A597" s="84"/>
      <c r="B597" s="308" t="s">
        <v>606</v>
      </c>
      <c r="C597" s="21" t="s">
        <v>12</v>
      </c>
      <c r="D597" s="340">
        <v>0</v>
      </c>
      <c r="E597" s="18"/>
      <c r="F597" s="60">
        <v>65</v>
      </c>
      <c r="G597" s="18"/>
      <c r="H597" s="18">
        <f t="shared" si="45"/>
        <v>0</v>
      </c>
      <c r="I597" s="18">
        <f t="shared" si="46"/>
        <v>0</v>
      </c>
    </row>
    <row r="598" spans="1:12" hidden="1" outlineLevel="1" x14ac:dyDescent="0.25">
      <c r="A598" s="84"/>
      <c r="B598" s="308" t="s">
        <v>716</v>
      </c>
      <c r="C598" s="21" t="s">
        <v>12</v>
      </c>
      <c r="D598" s="340">
        <v>0</v>
      </c>
      <c r="E598" s="18"/>
      <c r="F598" s="164">
        <v>100</v>
      </c>
      <c r="G598" s="18"/>
      <c r="H598" s="18">
        <f>F598*D598</f>
        <v>0</v>
      </c>
      <c r="I598" s="18">
        <f>G598+H598</f>
        <v>0</v>
      </c>
    </row>
    <row r="599" spans="1:12" hidden="1" outlineLevel="1" x14ac:dyDescent="0.25">
      <c r="A599" s="84"/>
      <c r="B599" s="308" t="s">
        <v>717</v>
      </c>
      <c r="C599" s="21" t="s">
        <v>12</v>
      </c>
      <c r="D599" s="340">
        <v>0</v>
      </c>
      <c r="E599" s="18"/>
      <c r="F599" s="164">
        <v>100</v>
      </c>
      <c r="G599" s="18"/>
      <c r="H599" s="18">
        <f>F599*D599</f>
        <v>0</v>
      </c>
      <c r="I599" s="18">
        <f>G599+H599</f>
        <v>0</v>
      </c>
    </row>
    <row r="600" spans="1:12" hidden="1" outlineLevel="1" x14ac:dyDescent="0.25">
      <c r="A600" s="84"/>
      <c r="B600" s="308" t="s">
        <v>607</v>
      </c>
      <c r="C600" s="21" t="s">
        <v>29</v>
      </c>
      <c r="D600" s="340">
        <v>0</v>
      </c>
      <c r="E600" s="18"/>
      <c r="F600" s="60">
        <v>50</v>
      </c>
      <c r="G600" s="18"/>
      <c r="H600" s="18">
        <f t="shared" si="45"/>
        <v>0</v>
      </c>
      <c r="I600" s="18">
        <f t="shared" si="46"/>
        <v>0</v>
      </c>
    </row>
    <row r="601" spans="1:12" hidden="1" outlineLevel="1" x14ac:dyDescent="0.25">
      <c r="A601" s="84"/>
      <c r="B601" s="308" t="s">
        <v>608</v>
      </c>
      <c r="C601" s="21" t="s">
        <v>29</v>
      </c>
      <c r="D601" s="340">
        <v>0</v>
      </c>
      <c r="E601" s="18"/>
      <c r="F601" s="60">
        <v>59</v>
      </c>
      <c r="G601" s="18"/>
      <c r="H601" s="18">
        <f t="shared" si="45"/>
        <v>0</v>
      </c>
      <c r="I601" s="18">
        <f t="shared" si="46"/>
        <v>0</v>
      </c>
    </row>
    <row r="602" spans="1:12" hidden="1" outlineLevel="1" x14ac:dyDescent="0.25">
      <c r="A602" s="84"/>
      <c r="B602" s="308" t="s">
        <v>90</v>
      </c>
      <c r="C602" s="2" t="s">
        <v>29</v>
      </c>
      <c r="D602" s="340">
        <v>0</v>
      </c>
      <c r="E602" s="18"/>
      <c r="F602" s="60">
        <v>20</v>
      </c>
      <c r="G602" s="18"/>
      <c r="H602" s="18">
        <f t="shared" si="45"/>
        <v>0</v>
      </c>
      <c r="I602" s="18">
        <f t="shared" si="46"/>
        <v>0</v>
      </c>
    </row>
    <row r="603" spans="1:12" hidden="1" outlineLevel="1" x14ac:dyDescent="0.25">
      <c r="A603" s="84"/>
      <c r="B603" s="308" t="s">
        <v>91</v>
      </c>
      <c r="C603" s="31" t="s">
        <v>15</v>
      </c>
      <c r="D603" s="340">
        <v>0</v>
      </c>
      <c r="E603" s="18"/>
      <c r="F603" s="60">
        <v>42</v>
      </c>
      <c r="G603" s="18"/>
      <c r="H603" s="18">
        <f t="shared" si="45"/>
        <v>0</v>
      </c>
      <c r="I603" s="18">
        <f t="shared" si="46"/>
        <v>0</v>
      </c>
    </row>
    <row r="604" spans="1:12" s="6" customFormat="1" hidden="1" outlineLevel="1" x14ac:dyDescent="0.25">
      <c r="A604" s="84" t="s">
        <v>612</v>
      </c>
      <c r="B604" s="192" t="s">
        <v>609</v>
      </c>
      <c r="C604" s="31"/>
      <c r="D604" s="18"/>
      <c r="E604" s="130"/>
      <c r="F604" s="60"/>
      <c r="G604" s="18"/>
      <c r="H604" s="18"/>
      <c r="I604" s="18"/>
    </row>
    <row r="605" spans="1:12" s="6" customFormat="1" hidden="1" outlineLevel="1" x14ac:dyDescent="0.25">
      <c r="A605" s="84"/>
      <c r="B605" s="308" t="s">
        <v>610</v>
      </c>
      <c r="C605" s="31" t="s">
        <v>12</v>
      </c>
      <c r="D605" s="306">
        <v>0</v>
      </c>
      <c r="E605" s="256">
        <v>0</v>
      </c>
      <c r="F605" s="57">
        <v>350</v>
      </c>
      <c r="G605" s="18">
        <f>E605</f>
        <v>0</v>
      </c>
      <c r="H605" s="18">
        <f>F605*D605</f>
        <v>0</v>
      </c>
      <c r="I605" s="18">
        <f>G605+H605</f>
        <v>0</v>
      </c>
    </row>
    <row r="606" spans="1:12" s="6" customFormat="1" outlineLevel="1" x14ac:dyDescent="0.25">
      <c r="A606" s="84" t="s">
        <v>338</v>
      </c>
      <c r="B606" s="308" t="s">
        <v>1574</v>
      </c>
      <c r="C606" s="31" t="s">
        <v>173</v>
      </c>
      <c r="D606" s="306">
        <v>1</v>
      </c>
      <c r="E606" s="256">
        <f>G607</f>
        <v>1000000</v>
      </c>
      <c r="F606" s="57">
        <f>H607</f>
        <v>2100000</v>
      </c>
      <c r="G606" s="18">
        <f>D606*E606</f>
        <v>1000000</v>
      </c>
      <c r="H606" s="18">
        <f>F606*D606</f>
        <v>2100000</v>
      </c>
      <c r="I606" s="18">
        <f>G606+H606</f>
        <v>3100000</v>
      </c>
    </row>
    <row r="607" spans="1:12" s="5" customFormat="1" ht="38.4" customHeight="1" x14ac:dyDescent="0.25">
      <c r="A607" s="223"/>
      <c r="B607" s="233" t="s">
        <v>61</v>
      </c>
      <c r="C607" s="234"/>
      <c r="D607" s="235"/>
      <c r="E607" s="236"/>
      <c r="F607" s="237"/>
      <c r="G607" s="236">
        <v>1000000</v>
      </c>
      <c r="H607" s="236">
        <v>2100000</v>
      </c>
      <c r="I607" s="236">
        <f>G607+H607</f>
        <v>3100000</v>
      </c>
      <c r="K607" s="5">
        <f>10000*90+2200000</f>
        <v>3100000</v>
      </c>
      <c r="L607" s="5">
        <f>K607-I607</f>
        <v>0</v>
      </c>
    </row>
    <row r="608" spans="1:12" s="5" customFormat="1" ht="18.600000000000001" customHeight="1" x14ac:dyDescent="0.25">
      <c r="A608" s="92"/>
      <c r="B608" s="471" t="s">
        <v>624</v>
      </c>
      <c r="C608" s="9"/>
      <c r="D608" s="31"/>
      <c r="E608" s="10"/>
      <c r="F608" s="57"/>
      <c r="G608" s="10"/>
      <c r="H608" s="10"/>
      <c r="I608" s="31">
        <f>ROUND(I607/1.18*0.18,2)</f>
        <v>472881.36</v>
      </c>
    </row>
    <row r="609" spans="1:9" s="5" customFormat="1" ht="18.75" customHeight="1" x14ac:dyDescent="0.25">
      <c r="A609" s="489"/>
      <c r="B609" s="769" t="s">
        <v>1210</v>
      </c>
      <c r="C609" s="490"/>
      <c r="D609" s="128"/>
      <c r="E609" s="119"/>
      <c r="F609" s="145"/>
      <c r="G609" s="128"/>
      <c r="H609" s="128"/>
      <c r="I609" s="111"/>
    </row>
    <row r="610" spans="1:9" ht="31.2" hidden="1" outlineLevel="1" x14ac:dyDescent="0.25">
      <c r="A610" s="93" t="s">
        <v>325</v>
      </c>
      <c r="B610" s="357" t="s">
        <v>77</v>
      </c>
      <c r="C610" s="72" t="s">
        <v>12</v>
      </c>
      <c r="D610" s="356">
        <v>0</v>
      </c>
      <c r="E610" s="355">
        <v>1500</v>
      </c>
      <c r="F610" s="146"/>
      <c r="G610" s="2">
        <f>ROUND(E610*D610,2)</f>
        <v>0</v>
      </c>
      <c r="H610" s="73"/>
      <c r="I610" s="73">
        <f>G610+H610</f>
        <v>0</v>
      </c>
    </row>
    <row r="611" spans="1:9" hidden="1" outlineLevel="1" x14ac:dyDescent="0.25">
      <c r="A611" s="84"/>
      <c r="B611" s="329" t="s">
        <v>181</v>
      </c>
      <c r="C611" s="21" t="s">
        <v>173</v>
      </c>
      <c r="D611" s="340">
        <v>0</v>
      </c>
      <c r="E611" s="282"/>
      <c r="F611" s="361">
        <v>31000</v>
      </c>
      <c r="G611" s="18"/>
      <c r="H611" s="2">
        <f>ROUND(D611*F611,2)</f>
        <v>0</v>
      </c>
      <c r="I611" s="18">
        <f>G611+H611</f>
        <v>0</v>
      </c>
    </row>
    <row r="612" spans="1:9" hidden="1" outlineLevel="1" x14ac:dyDescent="0.25">
      <c r="A612" s="84" t="s">
        <v>326</v>
      </c>
      <c r="B612" s="9" t="s">
        <v>79</v>
      </c>
      <c r="C612" s="31" t="s">
        <v>80</v>
      </c>
      <c r="D612" s="306">
        <v>0</v>
      </c>
      <c r="E612" s="256">
        <v>75</v>
      </c>
      <c r="F612" s="60"/>
      <c r="G612" s="2">
        <f>ROUND(E612*D612,2)</f>
        <v>0</v>
      </c>
      <c r="H612" s="18"/>
      <c r="I612" s="18">
        <f t="shared" ref="I612:I657" si="47">G612+H612</f>
        <v>0</v>
      </c>
    </row>
    <row r="613" spans="1:9" hidden="1" outlineLevel="1" x14ac:dyDescent="0.25">
      <c r="A613" s="84"/>
      <c r="B613" s="343" t="s">
        <v>81</v>
      </c>
      <c r="C613" s="21" t="s">
        <v>80</v>
      </c>
      <c r="D613" s="340">
        <v>0</v>
      </c>
      <c r="E613" s="18"/>
      <c r="F613" s="361">
        <v>240</v>
      </c>
      <c r="G613" s="18"/>
      <c r="H613" s="2">
        <f>ROUND(D613*F613,2)</f>
        <v>0</v>
      </c>
      <c r="I613" s="18">
        <f t="shared" si="47"/>
        <v>0</v>
      </c>
    </row>
    <row r="614" spans="1:9" hidden="1" outlineLevel="1" x14ac:dyDescent="0.25">
      <c r="A614" s="84" t="s">
        <v>327</v>
      </c>
      <c r="B614" s="9" t="s">
        <v>83</v>
      </c>
      <c r="C614" s="31" t="s">
        <v>12</v>
      </c>
      <c r="D614" s="306">
        <v>0</v>
      </c>
      <c r="E614" s="256">
        <v>600</v>
      </c>
      <c r="F614" s="60"/>
      <c r="G614" s="2">
        <f>ROUND(E614*D614,2)</f>
        <v>0</v>
      </c>
      <c r="H614" s="18"/>
      <c r="I614" s="18">
        <f t="shared" si="47"/>
        <v>0</v>
      </c>
    </row>
    <row r="615" spans="1:9" ht="31.2" hidden="1" outlineLevel="1" x14ac:dyDescent="0.25">
      <c r="A615" s="84"/>
      <c r="B615" s="329" t="s">
        <v>266</v>
      </c>
      <c r="C615" s="21" t="s">
        <v>12</v>
      </c>
      <c r="D615" s="340">
        <v>0</v>
      </c>
      <c r="E615" s="18"/>
      <c r="F615" s="361">
        <v>950</v>
      </c>
      <c r="G615" s="18"/>
      <c r="H615" s="2">
        <f>ROUND(D615*F615,2)</f>
        <v>0</v>
      </c>
      <c r="I615" s="18">
        <f t="shared" si="47"/>
        <v>0</v>
      </c>
    </row>
    <row r="616" spans="1:9" ht="31.2" hidden="1" outlineLevel="1" x14ac:dyDescent="0.25">
      <c r="A616" s="84" t="s">
        <v>536</v>
      </c>
      <c r="B616" s="9" t="s">
        <v>85</v>
      </c>
      <c r="C616" s="31" t="s">
        <v>29</v>
      </c>
      <c r="D616" s="31">
        <v>0</v>
      </c>
      <c r="E616" s="256">
        <v>60</v>
      </c>
      <c r="F616" s="60"/>
      <c r="G616" s="2">
        <f>ROUND(E616*D616,2)</f>
        <v>0</v>
      </c>
      <c r="H616" s="18"/>
      <c r="I616" s="18">
        <f t="shared" si="47"/>
        <v>0</v>
      </c>
    </row>
    <row r="617" spans="1:9" ht="31.2" hidden="1" outlineLevel="1" x14ac:dyDescent="0.25">
      <c r="A617" s="84"/>
      <c r="B617" s="329" t="s">
        <v>412</v>
      </c>
      <c r="C617" s="21" t="s">
        <v>29</v>
      </c>
      <c r="D617" s="340">
        <v>0</v>
      </c>
      <c r="E617" s="18"/>
      <c r="F617" s="60">
        <v>40</v>
      </c>
      <c r="G617" s="18"/>
      <c r="H617" s="2">
        <f t="shared" ref="H617:H623" si="48">ROUND(D617*F617,2)</f>
        <v>0</v>
      </c>
      <c r="I617" s="18">
        <f t="shared" si="47"/>
        <v>0</v>
      </c>
    </row>
    <row r="618" spans="1:9" hidden="1" outlineLevel="1" x14ac:dyDescent="0.25">
      <c r="A618" s="84"/>
      <c r="B618" s="343" t="s">
        <v>86</v>
      </c>
      <c r="C618" s="21" t="s">
        <v>12</v>
      </c>
      <c r="D618" s="340">
        <v>0</v>
      </c>
      <c r="E618" s="18"/>
      <c r="F618" s="60">
        <v>98.64</v>
      </c>
      <c r="G618" s="18"/>
      <c r="H618" s="2">
        <f t="shared" si="48"/>
        <v>0</v>
      </c>
      <c r="I618" s="18">
        <f t="shared" si="47"/>
        <v>0</v>
      </c>
    </row>
    <row r="619" spans="1:9" ht="31.2" hidden="1" outlineLevel="1" x14ac:dyDescent="0.25">
      <c r="A619" s="84"/>
      <c r="B619" s="343" t="s">
        <v>263</v>
      </c>
      <c r="C619" s="21" t="s">
        <v>12</v>
      </c>
      <c r="D619" s="340">
        <v>0</v>
      </c>
      <c r="E619" s="18"/>
      <c r="F619" s="60">
        <v>145.03</v>
      </c>
      <c r="G619" s="18"/>
      <c r="H619" s="2">
        <f t="shared" si="48"/>
        <v>0</v>
      </c>
      <c r="I619" s="18">
        <f t="shared" si="47"/>
        <v>0</v>
      </c>
    </row>
    <row r="620" spans="1:9" ht="31.2" hidden="1" outlineLevel="1" x14ac:dyDescent="0.25">
      <c r="A620" s="84"/>
      <c r="B620" s="329" t="s">
        <v>264</v>
      </c>
      <c r="C620" s="21" t="s">
        <v>12</v>
      </c>
      <c r="D620" s="340">
        <v>0</v>
      </c>
      <c r="E620" s="18"/>
      <c r="F620" s="60">
        <v>450</v>
      </c>
      <c r="G620" s="18"/>
      <c r="H620" s="2">
        <f t="shared" si="48"/>
        <v>0</v>
      </c>
      <c r="I620" s="18">
        <f>G620+H620</f>
        <v>0</v>
      </c>
    </row>
    <row r="621" spans="1:9" ht="31.2" hidden="1" outlineLevel="1" x14ac:dyDescent="0.25">
      <c r="A621" s="84"/>
      <c r="B621" s="329" t="s">
        <v>265</v>
      </c>
      <c r="C621" s="21" t="s">
        <v>12</v>
      </c>
      <c r="D621" s="340">
        <v>0</v>
      </c>
      <c r="E621" s="18"/>
      <c r="F621" s="60">
        <v>450</v>
      </c>
      <c r="G621" s="18"/>
      <c r="H621" s="2">
        <f t="shared" si="48"/>
        <v>0</v>
      </c>
      <c r="I621" s="18">
        <f>G621+H621</f>
        <v>0</v>
      </c>
    </row>
    <row r="622" spans="1:9" hidden="1" outlineLevel="1" x14ac:dyDescent="0.25">
      <c r="A622" s="84"/>
      <c r="B622" s="343" t="s">
        <v>87</v>
      </c>
      <c r="C622" s="21" t="s">
        <v>12</v>
      </c>
      <c r="D622" s="340">
        <v>0</v>
      </c>
      <c r="E622" s="18"/>
      <c r="F622" s="60">
        <v>470</v>
      </c>
      <c r="G622" s="18"/>
      <c r="H622" s="2">
        <f t="shared" si="48"/>
        <v>0</v>
      </c>
      <c r="I622" s="18">
        <f t="shared" si="47"/>
        <v>0</v>
      </c>
    </row>
    <row r="623" spans="1:9" hidden="1" outlineLevel="1" x14ac:dyDescent="0.25">
      <c r="A623" s="84"/>
      <c r="B623" s="343" t="s">
        <v>88</v>
      </c>
      <c r="C623" s="21" t="s">
        <v>12</v>
      </c>
      <c r="D623" s="340">
        <v>0</v>
      </c>
      <c r="E623" s="18"/>
      <c r="F623" s="60">
        <v>1.5</v>
      </c>
      <c r="G623" s="18"/>
      <c r="H623" s="2">
        <f t="shared" si="48"/>
        <v>0</v>
      </c>
      <c r="I623" s="18">
        <f t="shared" si="47"/>
        <v>0</v>
      </c>
    </row>
    <row r="624" spans="1:9" ht="31.2" hidden="1" outlineLevel="1" x14ac:dyDescent="0.25">
      <c r="A624" s="84"/>
      <c r="B624" s="343" t="s">
        <v>681</v>
      </c>
      <c r="C624" s="21" t="s">
        <v>29</v>
      </c>
      <c r="D624" s="340">
        <v>0</v>
      </c>
      <c r="E624" s="18"/>
      <c r="F624" s="164">
        <v>100</v>
      </c>
      <c r="G624" s="18"/>
      <c r="H624" s="2">
        <f>ROUND(D624*F624,2)</f>
        <v>0</v>
      </c>
      <c r="I624" s="18">
        <f>G624+H624</f>
        <v>0</v>
      </c>
    </row>
    <row r="625" spans="1:12" ht="18" hidden="1" customHeight="1" outlineLevel="1" x14ac:dyDescent="0.25">
      <c r="A625" s="84"/>
      <c r="B625" s="343" t="s">
        <v>682</v>
      </c>
      <c r="C625" s="21" t="s">
        <v>12</v>
      </c>
      <c r="D625" s="340">
        <v>0</v>
      </c>
      <c r="E625" s="18"/>
      <c r="F625" s="164">
        <v>100</v>
      </c>
      <c r="G625" s="18"/>
      <c r="H625" s="2">
        <f>ROUND(D625*F625,2)</f>
        <v>0</v>
      </c>
      <c r="I625" s="18">
        <f>G625+H625</f>
        <v>0</v>
      </c>
    </row>
    <row r="626" spans="1:12" ht="31.2" hidden="1" outlineLevel="1" x14ac:dyDescent="0.25">
      <c r="A626" s="84" t="s">
        <v>538</v>
      </c>
      <c r="B626" s="307" t="s">
        <v>267</v>
      </c>
      <c r="C626" s="31" t="s">
        <v>12</v>
      </c>
      <c r="D626" s="306">
        <f>D627</f>
        <v>0</v>
      </c>
      <c r="E626" s="256">
        <v>300</v>
      </c>
      <c r="F626" s="11"/>
      <c r="G626" s="2">
        <f>ROUND(E626*D626,2)</f>
        <v>0</v>
      </c>
      <c r="H626" s="18"/>
      <c r="I626" s="18">
        <f t="shared" si="47"/>
        <v>0</v>
      </c>
    </row>
    <row r="627" spans="1:12" hidden="1" outlineLevel="1" x14ac:dyDescent="0.25">
      <c r="A627" s="84"/>
      <c r="B627" s="308" t="s">
        <v>416</v>
      </c>
      <c r="C627" s="2" t="s">
        <v>12</v>
      </c>
      <c r="D627" s="340">
        <v>0</v>
      </c>
      <c r="E627" s="2"/>
      <c r="F627" s="11">
        <f>2500*1.1</f>
        <v>2750</v>
      </c>
      <c r="G627" s="18"/>
      <c r="H627" s="2">
        <f>ROUND(D627*F627,2)</f>
        <v>0</v>
      </c>
      <c r="I627" s="18">
        <f t="shared" si="47"/>
        <v>0</v>
      </c>
    </row>
    <row r="628" spans="1:12" outlineLevel="1" x14ac:dyDescent="0.25">
      <c r="A628" s="84" t="s">
        <v>582</v>
      </c>
      <c r="B628" s="308" t="s">
        <v>1575</v>
      </c>
      <c r="C628" s="31" t="s">
        <v>173</v>
      </c>
      <c r="D628" s="306">
        <v>1</v>
      </c>
      <c r="E628" s="256">
        <f>G629</f>
        <v>680000</v>
      </c>
      <c r="F628" s="57">
        <f>H629</f>
        <v>4050000</v>
      </c>
      <c r="G628" s="18">
        <f>D628*E628</f>
        <v>680000</v>
      </c>
      <c r="H628" s="18">
        <f>F628*D628</f>
        <v>4050000</v>
      </c>
      <c r="I628" s="18">
        <f>G628+H628</f>
        <v>4730000</v>
      </c>
    </row>
    <row r="629" spans="1:12" x14ac:dyDescent="0.25">
      <c r="A629" s="223"/>
      <c r="B629" s="238" t="s">
        <v>539</v>
      </c>
      <c r="C629" s="234"/>
      <c r="D629" s="235"/>
      <c r="E629" s="236"/>
      <c r="F629" s="237"/>
      <c r="G629" s="236">
        <v>680000</v>
      </c>
      <c r="H629" s="236">
        <v>4050000</v>
      </c>
      <c r="I629" s="236">
        <f>G629+H629</f>
        <v>4730000</v>
      </c>
      <c r="K629" s="25">
        <f>90*26000+1300000+90*6000</f>
        <v>4180000</v>
      </c>
      <c r="L629" s="5">
        <f>K629-I629</f>
        <v>-550000</v>
      </c>
    </row>
    <row r="630" spans="1:12" s="5" customFormat="1" ht="18.600000000000001" customHeight="1" x14ac:dyDescent="0.25">
      <c r="A630" s="92"/>
      <c r="B630" s="471" t="s">
        <v>624</v>
      </c>
      <c r="C630" s="9"/>
      <c r="D630" s="31"/>
      <c r="E630" s="10"/>
      <c r="F630" s="57"/>
      <c r="G630" s="10"/>
      <c r="H630" s="10"/>
      <c r="I630" s="31">
        <f>ROUND(I629/1.18*0.18,2)</f>
        <v>721525.42</v>
      </c>
    </row>
    <row r="631" spans="1:12" s="6" customFormat="1" x14ac:dyDescent="0.25">
      <c r="A631" s="492"/>
      <c r="B631" s="769" t="s">
        <v>1211</v>
      </c>
      <c r="C631" s="493"/>
      <c r="D631" s="103"/>
      <c r="E631" s="118"/>
      <c r="F631" s="112"/>
      <c r="G631" s="102"/>
      <c r="H631" s="102"/>
      <c r="I631" s="102"/>
    </row>
    <row r="632" spans="1:12" ht="31.2" hidden="1" outlineLevel="1" x14ac:dyDescent="0.25">
      <c r="A632" s="84" t="s">
        <v>154</v>
      </c>
      <c r="B632" s="494" t="s">
        <v>269</v>
      </c>
      <c r="C632" s="192" t="s">
        <v>29</v>
      </c>
      <c r="D632" s="10">
        <f>D633+D634</f>
        <v>0</v>
      </c>
      <c r="E632" s="256">
        <v>150</v>
      </c>
      <c r="F632" s="60"/>
      <c r="G632" s="2">
        <f>ROUND(E632*D632,2)</f>
        <v>0</v>
      </c>
      <c r="H632" s="18"/>
      <c r="I632" s="18">
        <f>G632+H632</f>
        <v>0</v>
      </c>
    </row>
    <row r="633" spans="1:12" ht="31.2" hidden="1" outlineLevel="1" x14ac:dyDescent="0.25">
      <c r="A633" s="84"/>
      <c r="B633" s="308" t="s">
        <v>683</v>
      </c>
      <c r="C633" s="21" t="s">
        <v>29</v>
      </c>
      <c r="D633" s="340">
        <v>0</v>
      </c>
      <c r="E633" s="282"/>
      <c r="F633" s="60">
        <f>(0.2+0.2+0.15+0.15)*500</f>
        <v>350.00000000000006</v>
      </c>
      <c r="G633" s="18"/>
      <c r="H633" s="2">
        <f>ROUND(D633*F633,2)</f>
        <v>0</v>
      </c>
      <c r="I633" s="18">
        <f>G633+H633</f>
        <v>0</v>
      </c>
    </row>
    <row r="634" spans="1:12" ht="31.2" hidden="1" outlineLevel="1" x14ac:dyDescent="0.25">
      <c r="A634" s="84"/>
      <c r="B634" s="308" t="s">
        <v>271</v>
      </c>
      <c r="C634" s="21" t="s">
        <v>29</v>
      </c>
      <c r="D634" s="340">
        <v>0</v>
      </c>
      <c r="E634" s="282"/>
      <c r="F634" s="60">
        <f>0.15*4*500</f>
        <v>300</v>
      </c>
      <c r="G634" s="18"/>
      <c r="H634" s="2">
        <f>ROUND(D634*F634,2)</f>
        <v>0</v>
      </c>
      <c r="I634" s="18">
        <f>G634+H634</f>
        <v>0</v>
      </c>
    </row>
    <row r="635" spans="1:12" ht="31.2" hidden="1" outlineLevel="1" x14ac:dyDescent="0.25">
      <c r="A635" s="84"/>
      <c r="B635" s="308" t="s">
        <v>684</v>
      </c>
      <c r="C635" s="21" t="s">
        <v>29</v>
      </c>
      <c r="D635" s="340">
        <v>0</v>
      </c>
      <c r="E635" s="282"/>
      <c r="F635" s="60">
        <f>0.15*4*500</f>
        <v>300</v>
      </c>
      <c r="G635" s="18"/>
      <c r="H635" s="2">
        <f>ROUND(D635*F635,2)</f>
        <v>0</v>
      </c>
      <c r="I635" s="18">
        <f>G635+H635</f>
        <v>0</v>
      </c>
    </row>
    <row r="636" spans="1:12" hidden="1" outlineLevel="1" x14ac:dyDescent="0.25">
      <c r="A636" s="84" t="s">
        <v>157</v>
      </c>
      <c r="B636" s="9" t="s">
        <v>89</v>
      </c>
      <c r="C636" s="31" t="s">
        <v>12</v>
      </c>
      <c r="D636" s="10">
        <f>D637+D638+D639+D642+D640+D641</f>
        <v>0</v>
      </c>
      <c r="E636" s="256">
        <v>50</v>
      </c>
      <c r="F636" s="60"/>
      <c r="G636" s="2">
        <f>ROUND(E636*D636,2)</f>
        <v>0</v>
      </c>
      <c r="H636" s="18"/>
      <c r="I636" s="18">
        <f t="shared" si="47"/>
        <v>0</v>
      </c>
    </row>
    <row r="637" spans="1:12" hidden="1" outlineLevel="1" x14ac:dyDescent="0.25">
      <c r="A637" s="84"/>
      <c r="B637" s="329" t="s">
        <v>686</v>
      </c>
      <c r="C637" s="21" t="s">
        <v>12</v>
      </c>
      <c r="D637" s="340">
        <v>0</v>
      </c>
      <c r="E637" s="18"/>
      <c r="F637" s="361">
        <v>100</v>
      </c>
      <c r="G637" s="18"/>
      <c r="H637" s="2">
        <f t="shared" ref="H637:H649" si="49">ROUND(D637*F637,2)</f>
        <v>0</v>
      </c>
      <c r="I637" s="18">
        <f t="shared" si="47"/>
        <v>0</v>
      </c>
    </row>
    <row r="638" spans="1:12" hidden="1" outlineLevel="1" x14ac:dyDescent="0.25">
      <c r="A638" s="84"/>
      <c r="B638" s="329" t="s">
        <v>685</v>
      </c>
      <c r="C638" s="21" t="s">
        <v>12</v>
      </c>
      <c r="D638" s="340">
        <v>0</v>
      </c>
      <c r="E638" s="18"/>
      <c r="F638" s="361">
        <v>100</v>
      </c>
      <c r="G638" s="18"/>
      <c r="H638" s="2">
        <f t="shared" si="49"/>
        <v>0</v>
      </c>
      <c r="I638" s="18">
        <f t="shared" si="47"/>
        <v>0</v>
      </c>
    </row>
    <row r="639" spans="1:12" hidden="1" outlineLevel="1" x14ac:dyDescent="0.25">
      <c r="A639" s="84"/>
      <c r="B639" s="329" t="s">
        <v>274</v>
      </c>
      <c r="C639" s="21" t="s">
        <v>12</v>
      </c>
      <c r="D639" s="340">
        <v>0</v>
      </c>
      <c r="E639" s="18"/>
      <c r="F639" s="361">
        <v>150</v>
      </c>
      <c r="G639" s="18"/>
      <c r="H639" s="2">
        <f t="shared" si="49"/>
        <v>0</v>
      </c>
      <c r="I639" s="18">
        <f t="shared" si="47"/>
        <v>0</v>
      </c>
    </row>
    <row r="640" spans="1:12" hidden="1" outlineLevel="1" x14ac:dyDescent="0.25">
      <c r="A640" s="84"/>
      <c r="B640" s="329" t="s">
        <v>687</v>
      </c>
      <c r="C640" s="21" t="s">
        <v>12</v>
      </c>
      <c r="D640" s="340">
        <v>0</v>
      </c>
      <c r="E640" s="18"/>
      <c r="F640" s="361">
        <v>200</v>
      </c>
      <c r="G640" s="18"/>
      <c r="H640" s="2">
        <f t="shared" si="49"/>
        <v>0</v>
      </c>
      <c r="I640" s="18">
        <f t="shared" si="47"/>
        <v>0</v>
      </c>
    </row>
    <row r="641" spans="1:9" ht="31.2" hidden="1" outlineLevel="1" x14ac:dyDescent="0.25">
      <c r="A641" s="84"/>
      <c r="B641" s="329" t="s">
        <v>420</v>
      </c>
      <c r="C641" s="21" t="s">
        <v>12</v>
      </c>
      <c r="D641" s="340">
        <v>0</v>
      </c>
      <c r="E641" s="18"/>
      <c r="F641" s="361">
        <v>100</v>
      </c>
      <c r="G641" s="18"/>
      <c r="H641" s="2">
        <f t="shared" si="49"/>
        <v>0</v>
      </c>
      <c r="I641" s="18">
        <f t="shared" si="47"/>
        <v>0</v>
      </c>
    </row>
    <row r="642" spans="1:9" hidden="1" outlineLevel="1" x14ac:dyDescent="0.25">
      <c r="A642" s="84"/>
      <c r="B642" s="329" t="s">
        <v>275</v>
      </c>
      <c r="C642" s="21" t="s">
        <v>12</v>
      </c>
      <c r="D642" s="340">
        <v>0</v>
      </c>
      <c r="E642" s="18"/>
      <c r="F642" s="361">
        <v>1800</v>
      </c>
      <c r="G642" s="18"/>
      <c r="H642" s="2">
        <f t="shared" si="49"/>
        <v>0</v>
      </c>
      <c r="I642" s="18">
        <f t="shared" si="47"/>
        <v>0</v>
      </c>
    </row>
    <row r="643" spans="1:9" hidden="1" outlineLevel="1" x14ac:dyDescent="0.25">
      <c r="A643" s="84"/>
      <c r="B643" s="329" t="s">
        <v>688</v>
      </c>
      <c r="C643" s="21" t="s">
        <v>12</v>
      </c>
      <c r="D643" s="340">
        <v>0</v>
      </c>
      <c r="E643" s="18"/>
      <c r="F643" s="164">
        <v>2000</v>
      </c>
      <c r="G643" s="18"/>
      <c r="H643" s="2">
        <f>ROUND(D643*F643,2)</f>
        <v>0</v>
      </c>
      <c r="I643" s="18">
        <f>G643+H643</f>
        <v>0</v>
      </c>
    </row>
    <row r="644" spans="1:9" hidden="1" outlineLevel="1" x14ac:dyDescent="0.25">
      <c r="A644" s="84"/>
      <c r="B644" s="329" t="s">
        <v>689</v>
      </c>
      <c r="C644" s="21" t="s">
        <v>12</v>
      </c>
      <c r="D644" s="340">
        <v>0</v>
      </c>
      <c r="E644" s="18"/>
      <c r="F644" s="164">
        <v>2000</v>
      </c>
      <c r="G644" s="18"/>
      <c r="H644" s="2">
        <f>ROUND(D644*F644,2)</f>
        <v>0</v>
      </c>
      <c r="I644" s="18">
        <f>G644+H644</f>
        <v>0</v>
      </c>
    </row>
    <row r="645" spans="1:9" hidden="1" outlineLevel="1" x14ac:dyDescent="0.25">
      <c r="A645" s="84"/>
      <c r="B645" s="9" t="s">
        <v>691</v>
      </c>
      <c r="C645" s="31" t="s">
        <v>12</v>
      </c>
      <c r="D645" s="10">
        <v>0</v>
      </c>
      <c r="E645" s="166">
        <v>300</v>
      </c>
      <c r="F645" s="60"/>
      <c r="G645" s="2">
        <f>ROUND(E645*D645,2)</f>
        <v>0</v>
      </c>
      <c r="H645" s="18"/>
      <c r="I645" s="18">
        <f>G645+H645</f>
        <v>0</v>
      </c>
    </row>
    <row r="646" spans="1:9" hidden="1" outlineLevel="1" x14ac:dyDescent="0.25">
      <c r="A646" s="84"/>
      <c r="B646" s="329" t="s">
        <v>692</v>
      </c>
      <c r="C646" s="21" t="s">
        <v>12</v>
      </c>
      <c r="D646" s="340">
        <v>0</v>
      </c>
      <c r="E646" s="18"/>
      <c r="F646" s="164">
        <v>5000</v>
      </c>
      <c r="G646" s="18"/>
      <c r="H646" s="2">
        <f>ROUND(D646*F646,2)</f>
        <v>0</v>
      </c>
      <c r="I646" s="18">
        <f>G646+H646</f>
        <v>0</v>
      </c>
    </row>
    <row r="647" spans="1:9" hidden="1" outlineLevel="1" x14ac:dyDescent="0.25">
      <c r="A647" s="84"/>
      <c r="B647" s="329" t="s">
        <v>693</v>
      </c>
      <c r="C647" s="21" t="s">
        <v>12</v>
      </c>
      <c r="D647" s="340">
        <v>0</v>
      </c>
      <c r="E647" s="18"/>
      <c r="F647" s="164">
        <v>500</v>
      </c>
      <c r="G647" s="18"/>
      <c r="H647" s="2">
        <f>ROUND(D647*F647,2)</f>
        <v>0</v>
      </c>
      <c r="I647" s="18">
        <f>G647+H647</f>
        <v>0</v>
      </c>
    </row>
    <row r="648" spans="1:9" hidden="1" outlineLevel="1" x14ac:dyDescent="0.25">
      <c r="A648" s="84"/>
      <c r="B648" s="329" t="s">
        <v>695</v>
      </c>
      <c r="C648" s="21" t="s">
        <v>12</v>
      </c>
      <c r="D648" s="340">
        <v>0</v>
      </c>
      <c r="E648" s="18"/>
      <c r="F648" s="164">
        <v>100</v>
      </c>
      <c r="G648" s="18"/>
      <c r="H648" s="2">
        <f t="shared" si="49"/>
        <v>0</v>
      </c>
      <c r="I648" s="18">
        <f t="shared" si="47"/>
        <v>0</v>
      </c>
    </row>
    <row r="649" spans="1:9" ht="31.2" hidden="1" outlineLevel="1" x14ac:dyDescent="0.25">
      <c r="A649" s="84"/>
      <c r="B649" s="329" t="s">
        <v>694</v>
      </c>
      <c r="C649" s="21" t="s">
        <v>12</v>
      </c>
      <c r="D649" s="340">
        <v>0</v>
      </c>
      <c r="E649" s="18"/>
      <c r="F649" s="164">
        <v>100</v>
      </c>
      <c r="G649" s="18"/>
      <c r="H649" s="2">
        <f t="shared" si="49"/>
        <v>0</v>
      </c>
      <c r="I649" s="18">
        <f t="shared" si="47"/>
        <v>0</v>
      </c>
    </row>
    <row r="650" spans="1:9" ht="31.2" hidden="1" outlineLevel="1" x14ac:dyDescent="0.25">
      <c r="A650" s="84"/>
      <c r="B650" s="329" t="s">
        <v>696</v>
      </c>
      <c r="C650" s="21" t="s">
        <v>12</v>
      </c>
      <c r="D650" s="340">
        <v>0</v>
      </c>
      <c r="E650" s="18"/>
      <c r="F650" s="164">
        <v>100</v>
      </c>
      <c r="G650" s="18"/>
      <c r="H650" s="2">
        <f>ROUND(D650*F650,2)</f>
        <v>0</v>
      </c>
      <c r="I650" s="18">
        <f t="shared" si="47"/>
        <v>0</v>
      </c>
    </row>
    <row r="651" spans="1:9" ht="31.2" hidden="1" outlineLevel="1" x14ac:dyDescent="0.25">
      <c r="A651" s="84"/>
      <c r="B651" s="329" t="s">
        <v>697</v>
      </c>
      <c r="C651" s="21" t="s">
        <v>12</v>
      </c>
      <c r="D651" s="340">
        <v>0</v>
      </c>
      <c r="E651" s="18"/>
      <c r="F651" s="164">
        <v>100</v>
      </c>
      <c r="G651" s="18"/>
      <c r="H651" s="2">
        <f>ROUND(D651*F651,2)</f>
        <v>0</v>
      </c>
      <c r="I651" s="18">
        <f t="shared" si="47"/>
        <v>0</v>
      </c>
    </row>
    <row r="652" spans="1:9" ht="31.2" hidden="1" outlineLevel="1" x14ac:dyDescent="0.25">
      <c r="A652" s="84"/>
      <c r="B652" s="329" t="s">
        <v>699</v>
      </c>
      <c r="C652" s="21" t="s">
        <v>12</v>
      </c>
      <c r="D652" s="340">
        <v>0</v>
      </c>
      <c r="E652" s="18"/>
      <c r="F652" s="164">
        <v>200</v>
      </c>
      <c r="G652" s="18"/>
      <c r="H652" s="2">
        <f>ROUND(D652*F652,2)</f>
        <v>0</v>
      </c>
      <c r="I652" s="18">
        <f t="shared" si="47"/>
        <v>0</v>
      </c>
    </row>
    <row r="653" spans="1:9" ht="31.2" hidden="1" outlineLevel="1" x14ac:dyDescent="0.25">
      <c r="A653" s="84"/>
      <c r="B653" s="329" t="s">
        <v>700</v>
      </c>
      <c r="C653" s="21" t="s">
        <v>12</v>
      </c>
      <c r="D653" s="340">
        <v>0</v>
      </c>
      <c r="E653" s="18"/>
      <c r="F653" s="164">
        <v>200</v>
      </c>
      <c r="G653" s="18"/>
      <c r="H653" s="2">
        <f>ROUND(D653*F653,2)</f>
        <v>0</v>
      </c>
      <c r="I653" s="18">
        <f t="shared" si="47"/>
        <v>0</v>
      </c>
    </row>
    <row r="654" spans="1:9" ht="31.2" hidden="1" outlineLevel="1" x14ac:dyDescent="0.25">
      <c r="A654" s="84"/>
      <c r="B654" s="329" t="s">
        <v>698</v>
      </c>
      <c r="C654" s="21" t="s">
        <v>12</v>
      </c>
      <c r="D654" s="340">
        <v>0</v>
      </c>
      <c r="E654" s="18"/>
      <c r="F654" s="164">
        <v>200</v>
      </c>
      <c r="G654" s="18"/>
      <c r="H654" s="2">
        <f>ROUND(D654*F654,2)</f>
        <v>0</v>
      </c>
      <c r="I654" s="18">
        <f t="shared" si="47"/>
        <v>0</v>
      </c>
    </row>
    <row r="655" spans="1:9" hidden="1" outlineLevel="1" x14ac:dyDescent="0.25">
      <c r="A655" s="84" t="s">
        <v>158</v>
      </c>
      <c r="B655" s="9" t="s">
        <v>279</v>
      </c>
      <c r="C655" s="31" t="s">
        <v>14</v>
      </c>
      <c r="D655" s="10">
        <f>D657+D656</f>
        <v>0</v>
      </c>
      <c r="E655" s="256">
        <v>150</v>
      </c>
      <c r="F655" s="60"/>
      <c r="G655" s="2">
        <f>ROUND(E655*D655,2)</f>
        <v>0</v>
      </c>
      <c r="H655" s="18"/>
      <c r="I655" s="18">
        <f t="shared" si="47"/>
        <v>0</v>
      </c>
    </row>
    <row r="656" spans="1:9" hidden="1" outlineLevel="1" x14ac:dyDescent="0.25">
      <c r="A656" s="84"/>
      <c r="B656" s="329" t="s">
        <v>422</v>
      </c>
      <c r="C656" s="21" t="s">
        <v>14</v>
      </c>
      <c r="D656" s="340">
        <v>0</v>
      </c>
      <c r="E656" s="18"/>
      <c r="F656" s="164">
        <v>350</v>
      </c>
      <c r="G656" s="18"/>
      <c r="H656" s="2">
        <f>ROUND(D656*F656,2)</f>
        <v>0</v>
      </c>
      <c r="I656" s="18">
        <f t="shared" si="47"/>
        <v>0</v>
      </c>
    </row>
    <row r="657" spans="1:12" ht="31.2" hidden="1" outlineLevel="1" x14ac:dyDescent="0.25">
      <c r="A657" s="84"/>
      <c r="B657" s="329" t="s">
        <v>690</v>
      </c>
      <c r="C657" s="21" t="s">
        <v>14</v>
      </c>
      <c r="D657" s="340">
        <v>0</v>
      </c>
      <c r="E657" s="18"/>
      <c r="F657" s="164">
        <v>350</v>
      </c>
      <c r="G657" s="18"/>
      <c r="H657" s="2">
        <f>ROUND(D657*F657,2)</f>
        <v>0</v>
      </c>
      <c r="I657" s="18">
        <f t="shared" si="47"/>
        <v>0</v>
      </c>
    </row>
    <row r="658" spans="1:12" outlineLevel="1" x14ac:dyDescent="0.25">
      <c r="A658" s="84" t="s">
        <v>1576</v>
      </c>
      <c r="B658" s="308" t="s">
        <v>1577</v>
      </c>
      <c r="C658" s="31" t="s">
        <v>173</v>
      </c>
      <c r="D658" s="306">
        <v>1</v>
      </c>
      <c r="E658" s="256">
        <f>G659</f>
        <v>250000</v>
      </c>
      <c r="F658" s="57">
        <f>H659</f>
        <v>800000</v>
      </c>
      <c r="G658" s="18">
        <f>D658*E658</f>
        <v>250000</v>
      </c>
      <c r="H658" s="18">
        <f>F658*D658</f>
        <v>800000</v>
      </c>
      <c r="I658" s="18">
        <f>G658+H658</f>
        <v>1050000</v>
      </c>
    </row>
    <row r="659" spans="1:12" s="5" customFormat="1" x14ac:dyDescent="0.25">
      <c r="A659" s="223"/>
      <c r="B659" s="238" t="s">
        <v>328</v>
      </c>
      <c r="C659" s="234"/>
      <c r="D659" s="235"/>
      <c r="E659" s="236"/>
      <c r="F659" s="237"/>
      <c r="G659" s="236">
        <v>250000</v>
      </c>
      <c r="H659" s="236">
        <v>800000</v>
      </c>
      <c r="I659" s="236">
        <f>G659+H659</f>
        <v>1050000</v>
      </c>
      <c r="K659" s="5">
        <v>800000</v>
      </c>
      <c r="L659" s="5">
        <f>K659-I659</f>
        <v>-250000</v>
      </c>
    </row>
    <row r="660" spans="1:12" s="5" customFormat="1" ht="18.600000000000001" customHeight="1" x14ac:dyDescent="0.25">
      <c r="A660" s="84"/>
      <c r="B660" s="471" t="s">
        <v>624</v>
      </c>
      <c r="C660" s="9"/>
      <c r="D660" s="31"/>
      <c r="E660" s="10"/>
      <c r="F660" s="57"/>
      <c r="G660" s="10"/>
      <c r="H660" s="10"/>
      <c r="I660" s="31">
        <f>ROUND(I659/1.18*0.18,2)</f>
        <v>160169.49</v>
      </c>
    </row>
    <row r="661" spans="1:12" s="5" customFormat="1" ht="18.75" customHeight="1" x14ac:dyDescent="0.25">
      <c r="A661" s="109"/>
      <c r="B661" s="769" t="s">
        <v>1212</v>
      </c>
      <c r="C661" s="105"/>
      <c r="D661" s="105"/>
      <c r="E661" s="105"/>
      <c r="F661" s="138"/>
      <c r="G661" s="105"/>
      <c r="H661" s="105"/>
      <c r="I661" s="106"/>
    </row>
    <row r="662" spans="1:12" s="36" customFormat="1" ht="30" hidden="1" customHeight="1" outlineLevel="1" x14ac:dyDescent="0.25">
      <c r="A662" s="84" t="s">
        <v>76</v>
      </c>
      <c r="B662" s="495" t="s">
        <v>120</v>
      </c>
      <c r="C662" s="2"/>
      <c r="D662" s="2"/>
      <c r="E662" s="117"/>
      <c r="F662" s="11"/>
      <c r="G662" s="18"/>
      <c r="H662" s="18"/>
      <c r="I662" s="18"/>
    </row>
    <row r="663" spans="1:12" ht="31.2" hidden="1" outlineLevel="1" x14ac:dyDescent="0.25">
      <c r="A663" s="84" t="s">
        <v>542</v>
      </c>
      <c r="B663" s="29" t="s">
        <v>95</v>
      </c>
      <c r="C663" s="31" t="s">
        <v>29</v>
      </c>
      <c r="D663" s="10">
        <f>D664+D665+D666+D667+D668</f>
        <v>0</v>
      </c>
      <c r="E663" s="256">
        <v>85</v>
      </c>
      <c r="F663" s="60"/>
      <c r="G663" s="2">
        <f>ROUND(E663*D663,2)</f>
        <v>0</v>
      </c>
      <c r="H663" s="18"/>
      <c r="I663" s="18">
        <f>G663+H663</f>
        <v>0</v>
      </c>
    </row>
    <row r="664" spans="1:12" hidden="1" outlineLevel="1" x14ac:dyDescent="0.25">
      <c r="A664" s="84"/>
      <c r="B664" s="329" t="s">
        <v>96</v>
      </c>
      <c r="C664" s="21" t="s">
        <v>29</v>
      </c>
      <c r="D664" s="340">
        <v>0</v>
      </c>
      <c r="E664" s="18"/>
      <c r="F664" s="60">
        <v>42.23</v>
      </c>
      <c r="G664" s="18"/>
      <c r="H664" s="2">
        <f t="shared" ref="H664:H671" si="50">ROUND(D664*F664,2)</f>
        <v>0</v>
      </c>
      <c r="I664" s="18">
        <f>G664+H664</f>
        <v>0</v>
      </c>
    </row>
    <row r="665" spans="1:12" hidden="1" outlineLevel="1" x14ac:dyDescent="0.25">
      <c r="A665" s="84"/>
      <c r="B665" s="343" t="s">
        <v>98</v>
      </c>
      <c r="C665" s="21" t="s">
        <v>29</v>
      </c>
      <c r="D665" s="340">
        <v>0</v>
      </c>
      <c r="E665" s="18"/>
      <c r="F665" s="60">
        <v>58.9</v>
      </c>
      <c r="G665" s="18"/>
      <c r="H665" s="2">
        <f t="shared" si="50"/>
        <v>0</v>
      </c>
      <c r="I665" s="18">
        <f>G665+H665</f>
        <v>0</v>
      </c>
    </row>
    <row r="666" spans="1:12" hidden="1" outlineLevel="1" x14ac:dyDescent="0.25">
      <c r="A666" s="84"/>
      <c r="B666" s="329" t="s">
        <v>423</v>
      </c>
      <c r="C666" s="21" t="s">
        <v>29</v>
      </c>
      <c r="D666" s="340">
        <v>0</v>
      </c>
      <c r="E666" s="18"/>
      <c r="F666" s="60">
        <v>94.01</v>
      </c>
      <c r="G666" s="18"/>
      <c r="H666" s="2">
        <f t="shared" si="50"/>
        <v>0</v>
      </c>
      <c r="I666" s="18">
        <f>G666+H666</f>
        <v>0</v>
      </c>
    </row>
    <row r="667" spans="1:12" hidden="1" outlineLevel="1" x14ac:dyDescent="0.25">
      <c r="A667" s="84"/>
      <c r="B667" s="329" t="s">
        <v>424</v>
      </c>
      <c r="C667" s="21" t="s">
        <v>29</v>
      </c>
      <c r="D667" s="340">
        <v>0</v>
      </c>
      <c r="E667" s="18"/>
      <c r="F667" s="60">
        <v>135.80000000000001</v>
      </c>
      <c r="G667" s="18"/>
      <c r="H667" s="2">
        <f t="shared" si="50"/>
        <v>0</v>
      </c>
      <c r="I667" s="18">
        <f>G667+H667</f>
        <v>0</v>
      </c>
    </row>
    <row r="668" spans="1:12" hidden="1" outlineLevel="1" x14ac:dyDescent="0.25">
      <c r="A668" s="84"/>
      <c r="B668" s="329" t="s">
        <v>119</v>
      </c>
      <c r="C668" s="21" t="s">
        <v>29</v>
      </c>
      <c r="D668" s="340">
        <v>0</v>
      </c>
      <c r="E668" s="18"/>
      <c r="F668" s="60">
        <v>226</v>
      </c>
      <c r="G668" s="18"/>
      <c r="H668" s="2">
        <f t="shared" si="50"/>
        <v>0</v>
      </c>
      <c r="I668" s="18">
        <f t="shared" ref="I668:I740" si="51">G668+H668</f>
        <v>0</v>
      </c>
    </row>
    <row r="669" spans="1:12" hidden="1" outlineLevel="1" x14ac:dyDescent="0.25">
      <c r="A669" s="84"/>
      <c r="B669" s="329" t="s">
        <v>121</v>
      </c>
      <c r="C669" s="21" t="s">
        <v>12</v>
      </c>
      <c r="D669" s="340">
        <v>0</v>
      </c>
      <c r="E669" s="18"/>
      <c r="F669" s="60">
        <v>77.25</v>
      </c>
      <c r="G669" s="18"/>
      <c r="H669" s="2">
        <f t="shared" si="50"/>
        <v>0</v>
      </c>
      <c r="I669" s="18">
        <f t="shared" si="51"/>
        <v>0</v>
      </c>
    </row>
    <row r="670" spans="1:12" hidden="1" outlineLevel="1" x14ac:dyDescent="0.25">
      <c r="A670" s="84"/>
      <c r="B670" s="329" t="s">
        <v>426</v>
      </c>
      <c r="C670" s="21" t="s">
        <v>12</v>
      </c>
      <c r="D670" s="340">
        <v>0</v>
      </c>
      <c r="E670" s="18"/>
      <c r="F670" s="60">
        <v>77.25</v>
      </c>
      <c r="G670" s="18"/>
      <c r="H670" s="2">
        <f t="shared" si="50"/>
        <v>0</v>
      </c>
      <c r="I670" s="18">
        <f>G670+H670</f>
        <v>0</v>
      </c>
    </row>
    <row r="671" spans="1:12" ht="31.2" hidden="1" outlineLevel="1" x14ac:dyDescent="0.25">
      <c r="A671" s="84"/>
      <c r="B671" s="329" t="s">
        <v>107</v>
      </c>
      <c r="C671" s="21" t="s">
        <v>12</v>
      </c>
      <c r="D671" s="340">
        <v>0</v>
      </c>
      <c r="E671" s="18"/>
      <c r="F671" s="60">
        <v>40</v>
      </c>
      <c r="G671" s="18"/>
      <c r="H671" s="2">
        <f t="shared" si="50"/>
        <v>0</v>
      </c>
      <c r="I671" s="18">
        <f t="shared" si="51"/>
        <v>0</v>
      </c>
    </row>
    <row r="672" spans="1:12" hidden="1" outlineLevel="1" x14ac:dyDescent="0.25">
      <c r="A672" s="84"/>
      <c r="B672" s="329" t="s">
        <v>703</v>
      </c>
      <c r="C672" s="21" t="s">
        <v>14</v>
      </c>
      <c r="D672" s="340">
        <v>0</v>
      </c>
      <c r="E672" s="18"/>
      <c r="F672" s="164">
        <v>100</v>
      </c>
      <c r="G672" s="18"/>
      <c r="H672" s="2">
        <f>ROUND(D672*F672,2)</f>
        <v>0</v>
      </c>
      <c r="I672" s="18">
        <f>G672+H672</f>
        <v>0</v>
      </c>
    </row>
    <row r="673" spans="1:9" hidden="1" outlineLevel="1" x14ac:dyDescent="0.25">
      <c r="A673" s="84" t="s">
        <v>543</v>
      </c>
      <c r="B673" s="358" t="s">
        <v>427</v>
      </c>
      <c r="C673" s="176" t="s">
        <v>12</v>
      </c>
      <c r="D673" s="306">
        <v>0</v>
      </c>
      <c r="E673" s="18"/>
      <c r="F673" s="60"/>
      <c r="G673" s="18"/>
      <c r="H673" s="18"/>
      <c r="I673" s="18"/>
    </row>
    <row r="674" spans="1:9" hidden="1" outlineLevel="1" x14ac:dyDescent="0.25">
      <c r="A674" s="84"/>
      <c r="B674" s="329" t="s">
        <v>702</v>
      </c>
      <c r="C674" s="21" t="s">
        <v>12</v>
      </c>
      <c r="D674" s="340">
        <v>0</v>
      </c>
      <c r="E674" s="18"/>
      <c r="F674" s="60">
        <v>283</v>
      </c>
      <c r="G674" s="18"/>
      <c r="H674" s="2">
        <f>ROUND(D674*F674,2)</f>
        <v>0</v>
      </c>
      <c r="I674" s="18">
        <f t="shared" si="51"/>
        <v>0</v>
      </c>
    </row>
    <row r="675" spans="1:9" hidden="1" outlineLevel="1" x14ac:dyDescent="0.25">
      <c r="A675" s="84"/>
      <c r="B675" s="329" t="s">
        <v>467</v>
      </c>
      <c r="C675" s="21" t="s">
        <v>12</v>
      </c>
      <c r="D675" s="340">
        <v>0</v>
      </c>
      <c r="E675" s="18"/>
      <c r="F675" s="60">
        <v>322.2</v>
      </c>
      <c r="G675" s="18"/>
      <c r="H675" s="2">
        <f>ROUND(D675*F675,2)</f>
        <v>0</v>
      </c>
      <c r="I675" s="18">
        <f t="shared" si="51"/>
        <v>0</v>
      </c>
    </row>
    <row r="676" spans="1:9" hidden="1" outlineLevel="1" x14ac:dyDescent="0.25">
      <c r="A676" s="84" t="s">
        <v>544</v>
      </c>
      <c r="B676" s="307" t="s">
        <v>101</v>
      </c>
      <c r="C676" s="31" t="s">
        <v>29</v>
      </c>
      <c r="D676" s="306">
        <f>D663</f>
        <v>0</v>
      </c>
      <c r="E676" s="256">
        <v>30</v>
      </c>
      <c r="F676" s="60"/>
      <c r="G676" s="2">
        <f>ROUND(E676*D676,2)</f>
        <v>0</v>
      </c>
      <c r="H676" s="18"/>
      <c r="I676" s="18">
        <f t="shared" si="51"/>
        <v>0</v>
      </c>
    </row>
    <row r="677" spans="1:9" hidden="1" outlineLevel="1" x14ac:dyDescent="0.25">
      <c r="A677" s="84"/>
      <c r="B677" s="329" t="s">
        <v>122</v>
      </c>
      <c r="C677" s="21" t="s">
        <v>29</v>
      </c>
      <c r="D677" s="340">
        <v>0</v>
      </c>
      <c r="E677" s="282"/>
      <c r="F677" s="60">
        <v>62</v>
      </c>
      <c r="G677" s="18"/>
      <c r="H677" s="2">
        <f>ROUND(D677*F677,2)</f>
        <v>0</v>
      </c>
      <c r="I677" s="18">
        <f t="shared" si="51"/>
        <v>0</v>
      </c>
    </row>
    <row r="678" spans="1:9" hidden="1" outlineLevel="1" x14ac:dyDescent="0.25">
      <c r="A678" s="84" t="s">
        <v>545</v>
      </c>
      <c r="B678" s="307" t="s">
        <v>123</v>
      </c>
      <c r="C678" s="31" t="s">
        <v>12</v>
      </c>
      <c r="D678" s="306">
        <v>0</v>
      </c>
      <c r="E678" s="256">
        <v>500</v>
      </c>
      <c r="F678" s="60"/>
      <c r="G678" s="2">
        <f>ROUND(E678*D678,2)</f>
        <v>0</v>
      </c>
      <c r="H678" s="18"/>
      <c r="I678" s="18">
        <f t="shared" si="51"/>
        <v>0</v>
      </c>
    </row>
    <row r="679" spans="1:9" hidden="1" outlineLevel="1" x14ac:dyDescent="0.25">
      <c r="A679" s="84"/>
      <c r="B679" s="329" t="s">
        <v>124</v>
      </c>
      <c r="C679" s="21" t="s">
        <v>12</v>
      </c>
      <c r="D679" s="340">
        <v>0</v>
      </c>
      <c r="E679" s="282"/>
      <c r="F679" s="60">
        <v>100</v>
      </c>
      <c r="G679" s="18"/>
      <c r="H679" s="2">
        <f>ROUND(D679*F679,2)</f>
        <v>0</v>
      </c>
      <c r="I679" s="18">
        <f t="shared" si="51"/>
        <v>0</v>
      </c>
    </row>
    <row r="680" spans="1:9" hidden="1" outlineLevel="1" x14ac:dyDescent="0.25">
      <c r="A680" s="84"/>
      <c r="B680" s="343" t="s">
        <v>125</v>
      </c>
      <c r="C680" s="21" t="s">
        <v>12</v>
      </c>
      <c r="D680" s="340">
        <v>0</v>
      </c>
      <c r="E680" s="282"/>
      <c r="F680" s="60">
        <f>30*20</f>
        <v>600</v>
      </c>
      <c r="G680" s="18"/>
      <c r="H680" s="2">
        <f>ROUND(D680*F680,2)</f>
        <v>0</v>
      </c>
      <c r="I680" s="18">
        <f t="shared" si="51"/>
        <v>0</v>
      </c>
    </row>
    <row r="681" spans="1:9" hidden="1" outlineLevel="1" x14ac:dyDescent="0.25">
      <c r="A681" s="84" t="s">
        <v>78</v>
      </c>
      <c r="B681" s="75" t="s">
        <v>126</v>
      </c>
      <c r="C681" s="2"/>
      <c r="D681" s="2"/>
      <c r="E681" s="282"/>
      <c r="F681" s="11"/>
      <c r="G681" s="18"/>
      <c r="H681" s="18"/>
      <c r="I681" s="18">
        <f t="shared" si="51"/>
        <v>0</v>
      </c>
    </row>
    <row r="682" spans="1:9" hidden="1" outlineLevel="1" x14ac:dyDescent="0.25">
      <c r="A682" s="84" t="s">
        <v>546</v>
      </c>
      <c r="B682" s="29" t="s">
        <v>127</v>
      </c>
      <c r="C682" s="31" t="s">
        <v>12</v>
      </c>
      <c r="D682" s="31">
        <v>0</v>
      </c>
      <c r="E682" s="256">
        <v>10000</v>
      </c>
      <c r="F682" s="60"/>
      <c r="G682" s="2">
        <f>ROUND(E682*D682,2)</f>
        <v>0</v>
      </c>
      <c r="H682" s="18"/>
      <c r="I682" s="18">
        <f t="shared" si="51"/>
        <v>0</v>
      </c>
    </row>
    <row r="683" spans="1:9" hidden="1" outlineLevel="1" x14ac:dyDescent="0.25">
      <c r="A683" s="84"/>
      <c r="B683" s="343" t="s">
        <v>128</v>
      </c>
      <c r="C683" s="21" t="s">
        <v>12</v>
      </c>
      <c r="D683" s="340">
        <v>0</v>
      </c>
      <c r="E683" s="18"/>
      <c r="F683" s="60">
        <v>1033.78</v>
      </c>
      <c r="G683" s="18"/>
      <c r="H683" s="2">
        <f t="shared" ref="H683:H693" si="52">ROUND(D683*F683,2)</f>
        <v>0</v>
      </c>
      <c r="I683" s="18">
        <f t="shared" si="51"/>
        <v>0</v>
      </c>
    </row>
    <row r="684" spans="1:9" hidden="1" outlineLevel="1" x14ac:dyDescent="0.25">
      <c r="A684" s="84"/>
      <c r="B684" s="343" t="s">
        <v>129</v>
      </c>
      <c r="C684" s="21" t="s">
        <v>12</v>
      </c>
      <c r="D684" s="340">
        <v>0</v>
      </c>
      <c r="E684" s="18"/>
      <c r="F684" s="60">
        <v>2018.83</v>
      </c>
      <c r="G684" s="18"/>
      <c r="H684" s="2">
        <f t="shared" si="52"/>
        <v>0</v>
      </c>
      <c r="I684" s="18">
        <f t="shared" si="51"/>
        <v>0</v>
      </c>
    </row>
    <row r="685" spans="1:9" hidden="1" outlineLevel="1" x14ac:dyDescent="0.25">
      <c r="A685" s="84"/>
      <c r="B685" s="329" t="s">
        <v>130</v>
      </c>
      <c r="C685" s="21" t="s">
        <v>12</v>
      </c>
      <c r="D685" s="340">
        <v>0</v>
      </c>
      <c r="E685" s="18"/>
      <c r="F685" s="60">
        <v>109.44</v>
      </c>
      <c r="G685" s="18"/>
      <c r="H685" s="2">
        <f t="shared" si="52"/>
        <v>0</v>
      </c>
      <c r="I685" s="18">
        <f t="shared" si="51"/>
        <v>0</v>
      </c>
    </row>
    <row r="686" spans="1:9" hidden="1" outlineLevel="1" x14ac:dyDescent="0.25">
      <c r="A686" s="84"/>
      <c r="B686" s="329" t="s">
        <v>131</v>
      </c>
      <c r="C686" s="21" t="s">
        <v>12</v>
      </c>
      <c r="D686" s="340">
        <v>0</v>
      </c>
      <c r="E686" s="18"/>
      <c r="F686" s="60">
        <v>228.92</v>
      </c>
      <c r="G686" s="18"/>
      <c r="H686" s="2">
        <f t="shared" si="52"/>
        <v>0</v>
      </c>
      <c r="I686" s="18">
        <f t="shared" si="51"/>
        <v>0</v>
      </c>
    </row>
    <row r="687" spans="1:9" hidden="1" outlineLevel="1" x14ac:dyDescent="0.25">
      <c r="A687" s="84"/>
      <c r="B687" s="329" t="s">
        <v>132</v>
      </c>
      <c r="C687" s="21" t="s">
        <v>12</v>
      </c>
      <c r="D687" s="340">
        <v>0</v>
      </c>
      <c r="E687" s="18"/>
      <c r="F687" s="60">
        <v>198</v>
      </c>
      <c r="G687" s="18"/>
      <c r="H687" s="2">
        <f t="shared" si="52"/>
        <v>0</v>
      </c>
      <c r="I687" s="18">
        <f t="shared" si="51"/>
        <v>0</v>
      </c>
    </row>
    <row r="688" spans="1:9" hidden="1" outlineLevel="1" x14ac:dyDescent="0.25">
      <c r="A688" s="84"/>
      <c r="B688" s="329" t="s">
        <v>704</v>
      </c>
      <c r="C688" s="21" t="s">
        <v>12</v>
      </c>
      <c r="D688" s="340">
        <v>0</v>
      </c>
      <c r="E688" s="18"/>
      <c r="F688" s="164">
        <v>100</v>
      </c>
      <c r="G688" s="18"/>
      <c r="H688" s="2">
        <f>ROUND(D688*F688,2)</f>
        <v>0</v>
      </c>
      <c r="I688" s="18">
        <f>G688+H688</f>
        <v>0</v>
      </c>
    </row>
    <row r="689" spans="1:9" ht="19.95" hidden="1" customHeight="1" outlineLevel="1" x14ac:dyDescent="0.25">
      <c r="A689" s="84"/>
      <c r="B689" s="329" t="s">
        <v>706</v>
      </c>
      <c r="C689" s="21" t="s">
        <v>12</v>
      </c>
      <c r="D689" s="340">
        <v>0</v>
      </c>
      <c r="E689" s="18"/>
      <c r="F689" s="60">
        <v>43</v>
      </c>
      <c r="G689" s="18"/>
      <c r="H689" s="2">
        <f t="shared" si="52"/>
        <v>0</v>
      </c>
      <c r="I689" s="18">
        <f t="shared" si="51"/>
        <v>0</v>
      </c>
    </row>
    <row r="690" spans="1:9" ht="31.2" hidden="1" customHeight="1" outlineLevel="1" x14ac:dyDescent="0.25">
      <c r="A690" s="84"/>
      <c r="B690" s="329" t="s">
        <v>707</v>
      </c>
      <c r="C690" s="21" t="s">
        <v>12</v>
      </c>
      <c r="D690" s="340">
        <v>0</v>
      </c>
      <c r="E690" s="18"/>
      <c r="F690" s="60">
        <v>448</v>
      </c>
      <c r="G690" s="18"/>
      <c r="H690" s="2">
        <f t="shared" si="52"/>
        <v>0</v>
      </c>
      <c r="I690" s="18">
        <f t="shared" si="51"/>
        <v>0</v>
      </c>
    </row>
    <row r="691" spans="1:9" hidden="1" outlineLevel="1" x14ac:dyDescent="0.25">
      <c r="A691" s="84"/>
      <c r="B691" s="329" t="s">
        <v>133</v>
      </c>
      <c r="C691" s="21" t="s">
        <v>12</v>
      </c>
      <c r="D691" s="340">
        <v>0</v>
      </c>
      <c r="E691" s="18"/>
      <c r="F691" s="60">
        <v>5922.3</v>
      </c>
      <c r="G691" s="18"/>
      <c r="H691" s="2">
        <f t="shared" si="52"/>
        <v>0</v>
      </c>
      <c r="I691" s="18">
        <f>G691+H691</f>
        <v>0</v>
      </c>
    </row>
    <row r="692" spans="1:9" hidden="1" outlineLevel="1" x14ac:dyDescent="0.25">
      <c r="A692" s="84"/>
      <c r="B692" s="329" t="s">
        <v>705</v>
      </c>
      <c r="C692" s="21" t="s">
        <v>12</v>
      </c>
      <c r="D692" s="340">
        <v>0</v>
      </c>
      <c r="E692" s="18"/>
      <c r="F692" s="60">
        <v>127</v>
      </c>
      <c r="G692" s="18"/>
      <c r="H692" s="2">
        <f t="shared" si="52"/>
        <v>0</v>
      </c>
      <c r="I692" s="18">
        <f t="shared" si="51"/>
        <v>0</v>
      </c>
    </row>
    <row r="693" spans="1:9" hidden="1" outlineLevel="1" x14ac:dyDescent="0.25">
      <c r="A693" s="84"/>
      <c r="B693" s="329" t="s">
        <v>91</v>
      </c>
      <c r="C693" s="21" t="s">
        <v>15</v>
      </c>
      <c r="D693" s="340">
        <v>0</v>
      </c>
      <c r="E693" s="18"/>
      <c r="F693" s="60">
        <f>37500/1000</f>
        <v>37.5</v>
      </c>
      <c r="G693" s="18"/>
      <c r="H693" s="2">
        <f t="shared" si="52"/>
        <v>0</v>
      </c>
      <c r="I693" s="18">
        <f t="shared" si="51"/>
        <v>0</v>
      </c>
    </row>
    <row r="694" spans="1:9" hidden="1" outlineLevel="1" x14ac:dyDescent="0.25">
      <c r="A694" s="84" t="s">
        <v>82</v>
      </c>
      <c r="B694" s="75" t="s">
        <v>134</v>
      </c>
      <c r="C694" s="2"/>
      <c r="D694" s="158"/>
      <c r="E694" s="2"/>
      <c r="F694" s="11"/>
      <c r="G694" s="18"/>
      <c r="H694" s="18"/>
      <c r="I694" s="18">
        <f t="shared" si="51"/>
        <v>0</v>
      </c>
    </row>
    <row r="695" spans="1:9" ht="31.2" hidden="1" outlineLevel="1" x14ac:dyDescent="0.25">
      <c r="A695" s="84" t="s">
        <v>547</v>
      </c>
      <c r="B695" s="307" t="s">
        <v>112</v>
      </c>
      <c r="C695" s="31" t="s">
        <v>29</v>
      </c>
      <c r="D695" s="31">
        <f>D696</f>
        <v>0</v>
      </c>
      <c r="E695" s="256">
        <v>85</v>
      </c>
      <c r="F695" s="60"/>
      <c r="G695" s="2">
        <f>ROUND(E695*D695,2)</f>
        <v>0</v>
      </c>
      <c r="H695" s="18"/>
      <c r="I695" s="18">
        <f t="shared" si="51"/>
        <v>0</v>
      </c>
    </row>
    <row r="696" spans="1:9" hidden="1" outlineLevel="1" x14ac:dyDescent="0.25">
      <c r="A696" s="84"/>
      <c r="B696" s="329" t="s">
        <v>114</v>
      </c>
      <c r="C696" s="21" t="s">
        <v>29</v>
      </c>
      <c r="D696" s="340">
        <v>0</v>
      </c>
      <c r="E696" s="282"/>
      <c r="F696" s="60">
        <f>311.85/3</f>
        <v>103.95</v>
      </c>
      <c r="G696" s="18"/>
      <c r="H696" s="2">
        <f>ROUND(D696*F696,2)</f>
        <v>0</v>
      </c>
      <c r="I696" s="18">
        <f t="shared" si="51"/>
        <v>0</v>
      </c>
    </row>
    <row r="697" spans="1:9" hidden="1" outlineLevel="1" x14ac:dyDescent="0.25">
      <c r="A697" s="84"/>
      <c r="B697" s="329" t="s">
        <v>329</v>
      </c>
      <c r="C697" s="21" t="s">
        <v>12</v>
      </c>
      <c r="D697" s="340">
        <v>0</v>
      </c>
      <c r="E697" s="282"/>
      <c r="F697" s="60">
        <v>200</v>
      </c>
      <c r="G697" s="18"/>
      <c r="H697" s="2">
        <f>ROUND(D697*F697,2)</f>
        <v>0</v>
      </c>
      <c r="I697" s="18">
        <f t="shared" si="51"/>
        <v>0</v>
      </c>
    </row>
    <row r="698" spans="1:9" hidden="1" outlineLevel="1" x14ac:dyDescent="0.25">
      <c r="A698" s="84"/>
      <c r="B698" s="329" t="s">
        <v>135</v>
      </c>
      <c r="C698" s="21" t="s">
        <v>12</v>
      </c>
      <c r="D698" s="340">
        <v>0</v>
      </c>
      <c r="E698" s="282"/>
      <c r="F698" s="60">
        <v>61.27</v>
      </c>
      <c r="G698" s="18"/>
      <c r="H698" s="2">
        <f>ROUND(D698*F698,2)</f>
        <v>0</v>
      </c>
      <c r="I698" s="18">
        <f t="shared" si="51"/>
        <v>0</v>
      </c>
    </row>
    <row r="699" spans="1:9" hidden="1" outlineLevel="1" x14ac:dyDescent="0.25">
      <c r="A699" s="84"/>
      <c r="B699" s="329" t="s">
        <v>433</v>
      </c>
      <c r="C699" s="21" t="s">
        <v>12</v>
      </c>
      <c r="D699" s="340">
        <v>0</v>
      </c>
      <c r="E699" s="282"/>
      <c r="F699" s="60">
        <v>40</v>
      </c>
      <c r="G699" s="18"/>
      <c r="H699" s="2">
        <f>ROUND(D699*F699,2)</f>
        <v>0</v>
      </c>
      <c r="I699" s="18">
        <f>G699+H699</f>
        <v>0</v>
      </c>
    </row>
    <row r="700" spans="1:9" hidden="1" outlineLevel="1" x14ac:dyDescent="0.25">
      <c r="A700" s="84" t="s">
        <v>548</v>
      </c>
      <c r="B700" s="307" t="s">
        <v>136</v>
      </c>
      <c r="C700" s="31" t="s">
        <v>29</v>
      </c>
      <c r="D700" s="306">
        <f>D701</f>
        <v>0</v>
      </c>
      <c r="E700" s="256">
        <v>150</v>
      </c>
      <c r="F700" s="60"/>
      <c r="G700" s="2">
        <f>ROUND(E700*D700,2)</f>
        <v>0</v>
      </c>
      <c r="H700" s="18"/>
      <c r="I700" s="18">
        <f t="shared" si="51"/>
        <v>0</v>
      </c>
    </row>
    <row r="701" spans="1:9" hidden="1" outlineLevel="1" x14ac:dyDescent="0.25">
      <c r="A701" s="84"/>
      <c r="B701" s="329" t="s">
        <v>432</v>
      </c>
      <c r="C701" s="21" t="s">
        <v>29</v>
      </c>
      <c r="D701" s="340">
        <v>0</v>
      </c>
      <c r="E701" s="282"/>
      <c r="F701" s="60">
        <f>107*3</f>
        <v>321</v>
      </c>
      <c r="G701" s="18"/>
      <c r="H701" s="2">
        <f>ROUND(D701*F701,2)</f>
        <v>0</v>
      </c>
      <c r="I701" s="18">
        <f t="shared" si="51"/>
        <v>0</v>
      </c>
    </row>
    <row r="702" spans="1:9" hidden="1" outlineLevel="1" x14ac:dyDescent="0.25">
      <c r="A702" s="84"/>
      <c r="B702" s="329" t="s">
        <v>708</v>
      </c>
      <c r="C702" s="21" t="s">
        <v>12</v>
      </c>
      <c r="D702" s="340">
        <v>0</v>
      </c>
      <c r="E702" s="282"/>
      <c r="F702" s="60">
        <v>205</v>
      </c>
      <c r="G702" s="18"/>
      <c r="H702" s="2">
        <f>ROUND(D702*F702,2)</f>
        <v>0</v>
      </c>
      <c r="I702" s="18">
        <f t="shared" si="51"/>
        <v>0</v>
      </c>
    </row>
    <row r="703" spans="1:9" hidden="1" outlineLevel="1" x14ac:dyDescent="0.25">
      <c r="A703" s="87" t="s">
        <v>549</v>
      </c>
      <c r="B703" s="29" t="s">
        <v>101</v>
      </c>
      <c r="C703" s="31" t="s">
        <v>29</v>
      </c>
      <c r="D703" s="31">
        <f>D695</f>
        <v>0</v>
      </c>
      <c r="E703" s="256">
        <v>150</v>
      </c>
      <c r="F703" s="60"/>
      <c r="G703" s="2">
        <f>ROUND(E703*D703,2)</f>
        <v>0</v>
      </c>
      <c r="H703" s="18"/>
      <c r="I703" s="18">
        <f t="shared" si="51"/>
        <v>0</v>
      </c>
    </row>
    <row r="704" spans="1:9" hidden="1" outlineLevel="1" x14ac:dyDescent="0.25">
      <c r="A704" s="84"/>
      <c r="B704" s="329" t="s">
        <v>174</v>
      </c>
      <c r="C704" s="21" t="s">
        <v>12</v>
      </c>
      <c r="D704" s="340">
        <v>0</v>
      </c>
      <c r="E704" s="282"/>
      <c r="F704" s="60">
        <v>200</v>
      </c>
      <c r="G704" s="18"/>
      <c r="H704" s="2">
        <f>ROUND(D704*F704,2)</f>
        <v>0</v>
      </c>
      <c r="I704" s="18">
        <f t="shared" si="51"/>
        <v>0</v>
      </c>
    </row>
    <row r="705" spans="1:10" hidden="1" outlineLevel="1" x14ac:dyDescent="0.25">
      <c r="A705" s="87" t="s">
        <v>550</v>
      </c>
      <c r="B705" s="307" t="s">
        <v>138</v>
      </c>
      <c r="C705" s="31" t="s">
        <v>12</v>
      </c>
      <c r="D705" s="306">
        <v>0</v>
      </c>
      <c r="E705" s="282"/>
      <c r="F705" s="60"/>
      <c r="G705" s="18"/>
      <c r="H705" s="18"/>
      <c r="I705" s="18">
        <f t="shared" si="51"/>
        <v>0</v>
      </c>
    </row>
    <row r="706" spans="1:10" hidden="1" outlineLevel="1" x14ac:dyDescent="0.25">
      <c r="A706" s="84"/>
      <c r="B706" s="329" t="s">
        <v>709</v>
      </c>
      <c r="C706" s="21" t="s">
        <v>12</v>
      </c>
      <c r="D706" s="340">
        <v>0</v>
      </c>
      <c r="E706" s="282"/>
      <c r="F706" s="60">
        <v>5555</v>
      </c>
      <c r="G706" s="18"/>
      <c r="H706" s="2">
        <f>ROUND(D706*F706,2)</f>
        <v>0</v>
      </c>
      <c r="I706" s="18">
        <f t="shared" si="51"/>
        <v>0</v>
      </c>
    </row>
    <row r="707" spans="1:10" hidden="1" outlineLevel="1" x14ac:dyDescent="0.25">
      <c r="A707" s="84"/>
      <c r="B707" s="329" t="s">
        <v>710</v>
      </c>
      <c r="C707" s="21" t="s">
        <v>12</v>
      </c>
      <c r="D707" s="340">
        <v>0</v>
      </c>
      <c r="E707" s="282"/>
      <c r="F707" s="164">
        <v>300</v>
      </c>
      <c r="G707" s="18"/>
      <c r="H707" s="2">
        <f>ROUND(D707*F707,2)</f>
        <v>0</v>
      </c>
      <c r="I707" s="18">
        <f>G707+H707</f>
        <v>0</v>
      </c>
    </row>
    <row r="708" spans="1:10" ht="31.2" hidden="1" outlineLevel="1" x14ac:dyDescent="0.25">
      <c r="A708" s="87" t="s">
        <v>551</v>
      </c>
      <c r="B708" s="29" t="s">
        <v>434</v>
      </c>
      <c r="C708" s="31" t="s">
        <v>29</v>
      </c>
      <c r="D708" s="31">
        <f>D709</f>
        <v>0</v>
      </c>
      <c r="E708" s="256">
        <v>250</v>
      </c>
      <c r="F708" s="60"/>
      <c r="G708" s="2">
        <f>ROUND(E708*D708,2)</f>
        <v>0</v>
      </c>
      <c r="H708" s="18"/>
      <c r="I708" s="18">
        <f t="shared" si="51"/>
        <v>0</v>
      </c>
    </row>
    <row r="709" spans="1:10" hidden="1" outlineLevel="1" x14ac:dyDescent="0.25">
      <c r="A709" s="84"/>
      <c r="B709" s="329" t="s">
        <v>114</v>
      </c>
      <c r="C709" s="21" t="s">
        <v>29</v>
      </c>
      <c r="D709" s="340">
        <v>0</v>
      </c>
      <c r="E709" s="18"/>
      <c r="F709" s="60">
        <v>103.95</v>
      </c>
      <c r="G709" s="18"/>
      <c r="H709" s="2">
        <f>ROUND(D709*F709,2)</f>
        <v>0</v>
      </c>
      <c r="I709" s="18">
        <f t="shared" si="51"/>
        <v>0</v>
      </c>
    </row>
    <row r="710" spans="1:10" hidden="1" outlineLevel="1" x14ac:dyDescent="0.25">
      <c r="A710" s="84"/>
      <c r="B710" s="329" t="s">
        <v>703</v>
      </c>
      <c r="C710" s="21" t="s">
        <v>14</v>
      </c>
      <c r="D710" s="340">
        <v>0</v>
      </c>
      <c r="E710" s="18"/>
      <c r="F710" s="164">
        <v>100</v>
      </c>
      <c r="G710" s="18"/>
      <c r="H710" s="2">
        <f>ROUND(D710*F710,2)</f>
        <v>0</v>
      </c>
      <c r="I710" s="18">
        <f t="shared" si="51"/>
        <v>0</v>
      </c>
    </row>
    <row r="711" spans="1:10" hidden="1" outlineLevel="1" x14ac:dyDescent="0.25">
      <c r="A711" s="84"/>
      <c r="B711" s="192" t="s">
        <v>140</v>
      </c>
      <c r="C711" s="2"/>
      <c r="D711" s="2"/>
      <c r="E711" s="2"/>
      <c r="F711" s="11"/>
      <c r="G711" s="18"/>
      <c r="H711" s="18"/>
      <c r="I711" s="18">
        <f t="shared" si="51"/>
        <v>0</v>
      </c>
    </row>
    <row r="712" spans="1:10" ht="31.2" hidden="1" outlineLevel="1" x14ac:dyDescent="0.25">
      <c r="A712" s="84"/>
      <c r="B712" s="307" t="s">
        <v>112</v>
      </c>
      <c r="C712" s="2" t="s">
        <v>29</v>
      </c>
      <c r="D712" s="306">
        <f>D713</f>
        <v>0</v>
      </c>
      <c r="E712" s="31">
        <v>250</v>
      </c>
      <c r="F712" s="60"/>
      <c r="G712" s="2">
        <f>ROUND(E712*D712,2)</f>
        <v>0</v>
      </c>
      <c r="H712" s="18"/>
      <c r="I712" s="18">
        <f>G712+H712</f>
        <v>0</v>
      </c>
      <c r="J712" s="780"/>
    </row>
    <row r="713" spans="1:10" hidden="1" outlineLevel="1" x14ac:dyDescent="0.25">
      <c r="A713" s="84"/>
      <c r="B713" s="329" t="s">
        <v>711</v>
      </c>
      <c r="C713" s="21" t="s">
        <v>29</v>
      </c>
      <c r="D713" s="340">
        <v>0</v>
      </c>
      <c r="E713" s="2"/>
      <c r="F713" s="11">
        <v>103.95</v>
      </c>
      <c r="G713" s="158"/>
      <c r="H713" s="2">
        <f t="shared" ref="H713:H723" si="53">ROUND(D713*F713,2)</f>
        <v>0</v>
      </c>
      <c r="I713" s="18">
        <f t="shared" si="51"/>
        <v>0</v>
      </c>
      <c r="J713" s="780"/>
    </row>
    <row r="714" spans="1:10" hidden="1" outlineLevel="1" x14ac:dyDescent="0.25">
      <c r="A714" s="84"/>
      <c r="B714" s="329" t="s">
        <v>91</v>
      </c>
      <c r="C714" s="21" t="s">
        <v>15</v>
      </c>
      <c r="D714" s="340">
        <v>0</v>
      </c>
      <c r="E714" s="2"/>
      <c r="F714" s="11">
        <v>42</v>
      </c>
      <c r="G714" s="158"/>
      <c r="H714" s="2">
        <f t="shared" si="53"/>
        <v>0</v>
      </c>
      <c r="I714" s="18">
        <f t="shared" si="51"/>
        <v>0</v>
      </c>
      <c r="J714" s="780"/>
    </row>
    <row r="715" spans="1:10" hidden="1" outlineLevel="1" x14ac:dyDescent="0.25">
      <c r="A715" s="84"/>
      <c r="B715" s="307" t="s">
        <v>141</v>
      </c>
      <c r="C715" s="2" t="s">
        <v>12</v>
      </c>
      <c r="D715" s="340">
        <v>0</v>
      </c>
      <c r="E715" s="2"/>
      <c r="F715" s="11"/>
      <c r="G715" s="158"/>
      <c r="H715" s="2">
        <f t="shared" si="53"/>
        <v>0</v>
      </c>
      <c r="I715" s="18">
        <f t="shared" si="51"/>
        <v>0</v>
      </c>
      <c r="J715" s="780"/>
    </row>
    <row r="716" spans="1:10" hidden="1" outlineLevel="1" x14ac:dyDescent="0.25">
      <c r="A716" s="84"/>
      <c r="B716" s="329" t="s">
        <v>142</v>
      </c>
      <c r="C716" s="21" t="s">
        <v>12</v>
      </c>
      <c r="D716" s="340">
        <v>0</v>
      </c>
      <c r="E716" s="2"/>
      <c r="F716" s="11">
        <v>586.74</v>
      </c>
      <c r="G716" s="158"/>
      <c r="H716" s="2">
        <f t="shared" si="53"/>
        <v>0</v>
      </c>
      <c r="I716" s="18">
        <f t="shared" si="51"/>
        <v>0</v>
      </c>
      <c r="J716" s="780"/>
    </row>
    <row r="717" spans="1:10" hidden="1" outlineLevel="1" x14ac:dyDescent="0.25">
      <c r="A717" s="84"/>
      <c r="B717" s="329" t="s">
        <v>143</v>
      </c>
      <c r="C717" s="21" t="s">
        <v>12</v>
      </c>
      <c r="D717" s="340">
        <v>0</v>
      </c>
      <c r="E717" s="2"/>
      <c r="F717" s="11">
        <v>429</v>
      </c>
      <c r="G717" s="158"/>
      <c r="H717" s="2">
        <f t="shared" si="53"/>
        <v>0</v>
      </c>
      <c r="I717" s="18">
        <f t="shared" si="51"/>
        <v>0</v>
      </c>
      <c r="J717" s="780"/>
    </row>
    <row r="718" spans="1:10" hidden="1" outlineLevel="1" x14ac:dyDescent="0.25">
      <c r="A718" s="84"/>
      <c r="B718" s="329" t="s">
        <v>712</v>
      </c>
      <c r="C718" s="21" t="s">
        <v>12</v>
      </c>
      <c r="D718" s="340">
        <v>0</v>
      </c>
      <c r="E718" s="18"/>
      <c r="F718" s="164">
        <v>100</v>
      </c>
      <c r="G718" s="18"/>
      <c r="H718" s="2">
        <f t="shared" si="53"/>
        <v>0</v>
      </c>
      <c r="I718" s="18">
        <f t="shared" si="51"/>
        <v>0</v>
      </c>
      <c r="J718" s="780"/>
    </row>
    <row r="719" spans="1:10" hidden="1" outlineLevel="1" x14ac:dyDescent="0.25">
      <c r="A719" s="84"/>
      <c r="B719" s="329" t="s">
        <v>713</v>
      </c>
      <c r="C719" s="21" t="s">
        <v>12</v>
      </c>
      <c r="D719" s="340">
        <v>0</v>
      </c>
      <c r="E719" s="282"/>
      <c r="F719" s="164">
        <v>40</v>
      </c>
      <c r="G719" s="18"/>
      <c r="H719" s="2">
        <f>ROUND(D719*F719,2)</f>
        <v>0</v>
      </c>
      <c r="I719" s="18">
        <f>G719+H719</f>
        <v>0</v>
      </c>
      <c r="J719" s="780"/>
    </row>
    <row r="720" spans="1:10" hidden="1" outlineLevel="1" x14ac:dyDescent="0.25">
      <c r="A720" s="84"/>
      <c r="B720" s="307" t="s">
        <v>101</v>
      </c>
      <c r="C720" s="2" t="s">
        <v>29</v>
      </c>
      <c r="D720" s="340">
        <f>D712</f>
        <v>0</v>
      </c>
      <c r="E720" s="2"/>
      <c r="F720" s="11"/>
      <c r="G720" s="158"/>
      <c r="H720" s="2">
        <f t="shared" si="53"/>
        <v>0</v>
      </c>
      <c r="I720" s="18">
        <f t="shared" si="51"/>
        <v>0</v>
      </c>
      <c r="J720" s="780"/>
    </row>
    <row r="721" spans="1:10" hidden="1" outlineLevel="1" x14ac:dyDescent="0.25">
      <c r="A721" s="84"/>
      <c r="B721" s="329" t="s">
        <v>137</v>
      </c>
      <c r="C721" s="21" t="s">
        <v>12</v>
      </c>
      <c r="D721" s="340">
        <v>0</v>
      </c>
      <c r="E721" s="2"/>
      <c r="F721" s="11">
        <v>200</v>
      </c>
      <c r="G721" s="158"/>
      <c r="H721" s="2">
        <f t="shared" si="53"/>
        <v>0</v>
      </c>
      <c r="I721" s="18">
        <f t="shared" si="51"/>
        <v>0</v>
      </c>
      <c r="J721" s="780"/>
    </row>
    <row r="722" spans="1:10" hidden="1" outlineLevel="1" x14ac:dyDescent="0.25">
      <c r="A722" s="84"/>
      <c r="B722" s="329" t="s">
        <v>703</v>
      </c>
      <c r="C722" s="21" t="s">
        <v>14</v>
      </c>
      <c r="D722" s="340">
        <v>0</v>
      </c>
      <c r="E722" s="18"/>
      <c r="F722" s="164">
        <v>100</v>
      </c>
      <c r="G722" s="18"/>
      <c r="H722" s="2">
        <f t="shared" si="53"/>
        <v>0</v>
      </c>
      <c r="I722" s="18">
        <f>G722+H722</f>
        <v>0</v>
      </c>
      <c r="J722" s="359"/>
    </row>
    <row r="723" spans="1:10" hidden="1" outlineLevel="1" x14ac:dyDescent="0.25">
      <c r="A723" s="84" t="s">
        <v>84</v>
      </c>
      <c r="B723" s="75" t="s">
        <v>144</v>
      </c>
      <c r="C723" s="2"/>
      <c r="D723" s="2"/>
      <c r="E723" s="2"/>
      <c r="F723" s="11"/>
      <c r="G723" s="18"/>
      <c r="H723" s="2">
        <f t="shared" si="53"/>
        <v>0</v>
      </c>
      <c r="I723" s="18">
        <f t="shared" si="51"/>
        <v>0</v>
      </c>
    </row>
    <row r="724" spans="1:10" ht="31.2" hidden="1" outlineLevel="1" x14ac:dyDescent="0.25">
      <c r="A724" s="84" t="s">
        <v>552</v>
      </c>
      <c r="B724" s="177" t="s">
        <v>145</v>
      </c>
      <c r="C724" s="31" t="s">
        <v>29</v>
      </c>
      <c r="D724" s="31">
        <v>0</v>
      </c>
      <c r="E724" s="256">
        <v>30</v>
      </c>
      <c r="F724" s="60"/>
      <c r="G724" s="2"/>
      <c r="H724" s="18"/>
      <c r="I724" s="18"/>
    </row>
    <row r="725" spans="1:10" hidden="1" outlineLevel="1" x14ac:dyDescent="0.25">
      <c r="A725" s="84"/>
      <c r="B725" s="173" t="s">
        <v>146</v>
      </c>
      <c r="C725" s="21" t="s">
        <v>12</v>
      </c>
      <c r="D725" s="184">
        <v>0</v>
      </c>
      <c r="E725" s="18"/>
      <c r="F725" s="60">
        <v>9275</v>
      </c>
      <c r="G725" s="18"/>
      <c r="H725" s="2"/>
      <c r="I725" s="18"/>
    </row>
    <row r="726" spans="1:10" hidden="1" outlineLevel="1" x14ac:dyDescent="0.25">
      <c r="A726" s="84"/>
      <c r="B726" s="173" t="s">
        <v>147</v>
      </c>
      <c r="C726" s="21" t="s">
        <v>29</v>
      </c>
      <c r="D726" s="2">
        <f>D724</f>
        <v>0</v>
      </c>
      <c r="E726" s="18"/>
      <c r="F726" s="60">
        <v>3</v>
      </c>
      <c r="G726" s="18"/>
      <c r="H726" s="2"/>
      <c r="I726" s="18"/>
    </row>
    <row r="727" spans="1:10" ht="31.2" hidden="1" outlineLevel="1" x14ac:dyDescent="0.25">
      <c r="A727" s="84" t="s">
        <v>331</v>
      </c>
      <c r="B727" s="75" t="s">
        <v>148</v>
      </c>
      <c r="C727" s="2"/>
      <c r="D727" s="2"/>
      <c r="E727" s="2"/>
      <c r="F727" s="11"/>
      <c r="G727" s="18"/>
      <c r="H727" s="18"/>
      <c r="I727" s="18">
        <f t="shared" si="51"/>
        <v>0</v>
      </c>
    </row>
    <row r="728" spans="1:10" hidden="1" outlineLevel="1" x14ac:dyDescent="0.25">
      <c r="A728" s="84"/>
      <c r="B728" s="177" t="s">
        <v>149</v>
      </c>
      <c r="C728" s="158" t="s">
        <v>12</v>
      </c>
      <c r="D728" s="158">
        <v>0</v>
      </c>
      <c r="E728" s="158"/>
      <c r="F728" s="164"/>
      <c r="G728" s="158"/>
      <c r="H728" s="158"/>
      <c r="I728" s="158"/>
      <c r="J728" s="780"/>
    </row>
    <row r="729" spans="1:10" ht="31.2" hidden="1" outlineLevel="1" x14ac:dyDescent="0.25">
      <c r="A729" s="84"/>
      <c r="B729" s="173" t="s">
        <v>150</v>
      </c>
      <c r="C729" s="171" t="s">
        <v>12</v>
      </c>
      <c r="D729" s="158">
        <v>0</v>
      </c>
      <c r="E729" s="158"/>
      <c r="F729" s="164">
        <f>2352*1.18</f>
        <v>2775.3599999999997</v>
      </c>
      <c r="G729" s="158"/>
      <c r="H729" s="158"/>
      <c r="I729" s="158"/>
      <c r="J729" s="780"/>
    </row>
    <row r="730" spans="1:10" hidden="1" outlineLevel="1" x14ac:dyDescent="0.25">
      <c r="A730" s="84" t="s">
        <v>553</v>
      </c>
      <c r="B730" s="307" t="s">
        <v>151</v>
      </c>
      <c r="C730" s="31" t="s">
        <v>29</v>
      </c>
      <c r="D730" s="306">
        <f>D731</f>
        <v>0</v>
      </c>
      <c r="E730" s="256">
        <v>100</v>
      </c>
      <c r="F730" s="60"/>
      <c r="G730" s="2">
        <f>ROUND(E730*D730,2)</f>
        <v>0</v>
      </c>
      <c r="H730" s="18"/>
      <c r="I730" s="18">
        <f t="shared" si="51"/>
        <v>0</v>
      </c>
    </row>
    <row r="731" spans="1:10" hidden="1" outlineLevel="1" x14ac:dyDescent="0.25">
      <c r="A731" s="84"/>
      <c r="B731" s="329" t="s">
        <v>701</v>
      </c>
      <c r="C731" s="21" t="s">
        <v>29</v>
      </c>
      <c r="D731" s="340">
        <v>0</v>
      </c>
      <c r="E731" s="18"/>
      <c r="F731" s="60">
        <f>2779*1.18</f>
        <v>3279.22</v>
      </c>
      <c r="G731" s="18"/>
      <c r="H731" s="2">
        <f>ROUND(D731*F731,2)</f>
        <v>0</v>
      </c>
      <c r="I731" s="18">
        <f t="shared" si="51"/>
        <v>0</v>
      </c>
    </row>
    <row r="732" spans="1:10" ht="31.2" hidden="1" outlineLevel="1" x14ac:dyDescent="0.25">
      <c r="A732" s="84" t="s">
        <v>554</v>
      </c>
      <c r="B732" s="307" t="s">
        <v>152</v>
      </c>
      <c r="C732" s="31" t="s">
        <v>29</v>
      </c>
      <c r="D732" s="306">
        <f>D733</f>
        <v>0</v>
      </c>
      <c r="E732" s="256">
        <v>85</v>
      </c>
      <c r="F732" s="60"/>
      <c r="G732" s="2">
        <f>ROUND(E732*D732,2)</f>
        <v>0</v>
      </c>
      <c r="H732" s="18"/>
      <c r="I732" s="18">
        <f t="shared" si="51"/>
        <v>0</v>
      </c>
    </row>
    <row r="733" spans="1:10" hidden="1" outlineLevel="1" x14ac:dyDescent="0.25">
      <c r="A733" s="84"/>
      <c r="B733" s="329" t="s">
        <v>438</v>
      </c>
      <c r="C733" s="21" t="s">
        <v>29</v>
      </c>
      <c r="D733" s="340">
        <v>0</v>
      </c>
      <c r="E733" s="18"/>
      <c r="F733" s="60">
        <f>1626.1/5.5</f>
        <v>295.65454545454543</v>
      </c>
      <c r="G733" s="18"/>
      <c r="H733" s="2">
        <f>ROUND(D733*F733,2)</f>
        <v>0</v>
      </c>
      <c r="I733" s="18">
        <f t="shared" si="51"/>
        <v>0</v>
      </c>
    </row>
    <row r="734" spans="1:10" s="6" customFormat="1" hidden="1" outlineLevel="1" x14ac:dyDescent="0.25">
      <c r="A734" s="84" t="s">
        <v>555</v>
      </c>
      <c r="B734" s="307" t="s">
        <v>153</v>
      </c>
      <c r="C734" s="31" t="s">
        <v>12</v>
      </c>
      <c r="D734" s="306">
        <v>0</v>
      </c>
      <c r="E734" s="5"/>
      <c r="F734" s="60"/>
      <c r="G734" s="18"/>
      <c r="H734" s="18"/>
      <c r="I734" s="18">
        <f t="shared" si="51"/>
        <v>0</v>
      </c>
    </row>
    <row r="735" spans="1:10" hidden="1" outlineLevel="1" x14ac:dyDescent="0.25">
      <c r="A735" s="84"/>
      <c r="B735" s="329" t="s">
        <v>436</v>
      </c>
      <c r="C735" s="21" t="s">
        <v>12</v>
      </c>
      <c r="D735" s="340">
        <v>0</v>
      </c>
      <c r="E735" s="18"/>
      <c r="F735" s="60">
        <v>480.3</v>
      </c>
      <c r="G735" s="18"/>
      <c r="H735" s="2">
        <f>ROUND(D735*F735,2)</f>
        <v>0</v>
      </c>
      <c r="I735" s="18">
        <f t="shared" si="51"/>
        <v>0</v>
      </c>
    </row>
    <row r="736" spans="1:10" hidden="1" outlineLevel="1" x14ac:dyDescent="0.25">
      <c r="A736" s="84"/>
      <c r="B736" s="329" t="s">
        <v>435</v>
      </c>
      <c r="C736" s="21" t="s">
        <v>12</v>
      </c>
      <c r="D736" s="340">
        <v>0</v>
      </c>
      <c r="E736" s="18"/>
      <c r="F736" s="60">
        <v>322.2</v>
      </c>
      <c r="G736" s="18"/>
      <c r="H736" s="2">
        <f>ROUND(D736*F736,2)</f>
        <v>0</v>
      </c>
      <c r="I736" s="18">
        <f t="shared" si="51"/>
        <v>0</v>
      </c>
    </row>
    <row r="737" spans="1:9" hidden="1" outlineLevel="1" x14ac:dyDescent="0.25">
      <c r="A737" s="84" t="s">
        <v>556</v>
      </c>
      <c r="B737" s="75" t="s">
        <v>92</v>
      </c>
      <c r="C737" s="2"/>
      <c r="D737" s="2"/>
      <c r="E737" s="2"/>
      <c r="F737" s="11"/>
      <c r="G737" s="18"/>
      <c r="H737" s="18"/>
      <c r="I737" s="18">
        <f t="shared" si="51"/>
        <v>0</v>
      </c>
    </row>
    <row r="738" spans="1:9" ht="31.2" hidden="1" outlineLevel="1" x14ac:dyDescent="0.25">
      <c r="A738" s="84" t="s">
        <v>557</v>
      </c>
      <c r="B738" s="9" t="s">
        <v>93</v>
      </c>
      <c r="C738" s="31" t="s">
        <v>29</v>
      </c>
      <c r="D738" s="31">
        <v>0</v>
      </c>
      <c r="E738" s="256">
        <v>150</v>
      </c>
      <c r="F738" s="60"/>
      <c r="G738" s="2">
        <f>ROUND(E738*D738,2)</f>
        <v>0</v>
      </c>
      <c r="H738" s="18"/>
      <c r="I738" s="18">
        <f t="shared" si="51"/>
        <v>0</v>
      </c>
    </row>
    <row r="739" spans="1:9" hidden="1" outlineLevel="1" x14ac:dyDescent="0.25">
      <c r="A739" s="84"/>
      <c r="B739" s="343" t="s">
        <v>94</v>
      </c>
      <c r="C739" s="21" t="s">
        <v>29</v>
      </c>
      <c r="D739" s="340">
        <v>0</v>
      </c>
      <c r="E739" s="282"/>
      <c r="F739" s="60">
        <v>64.900000000000006</v>
      </c>
      <c r="G739" s="18"/>
      <c r="H739" s="2">
        <f>ROUND(D739*F739,2)</f>
        <v>0</v>
      </c>
      <c r="I739" s="18">
        <f t="shared" si="51"/>
        <v>0</v>
      </c>
    </row>
    <row r="740" spans="1:9" ht="31.2" hidden="1" outlineLevel="1" x14ac:dyDescent="0.25">
      <c r="A740" s="84" t="s">
        <v>558</v>
      </c>
      <c r="B740" s="29" t="s">
        <v>95</v>
      </c>
      <c r="C740" s="31" t="s">
        <v>29</v>
      </c>
      <c r="D740" s="31">
        <f>D741+D742+D743+D744</f>
        <v>0</v>
      </c>
      <c r="E740" s="256">
        <v>85</v>
      </c>
      <c r="F740" s="60"/>
      <c r="G740" s="2">
        <f>ROUND(E740*D740,2)</f>
        <v>0</v>
      </c>
      <c r="H740" s="18"/>
      <c r="I740" s="18">
        <f t="shared" si="51"/>
        <v>0</v>
      </c>
    </row>
    <row r="741" spans="1:9" hidden="1" outlineLevel="1" x14ac:dyDescent="0.25">
      <c r="A741" s="84"/>
      <c r="B741" s="343" t="s">
        <v>96</v>
      </c>
      <c r="C741" s="21" t="s">
        <v>29</v>
      </c>
      <c r="D741" s="340">
        <v>0</v>
      </c>
      <c r="E741" s="282"/>
      <c r="F741" s="60">
        <v>22.07</v>
      </c>
      <c r="G741" s="18"/>
      <c r="H741" s="2">
        <f t="shared" ref="H741:H748" si="54">ROUND(D741*F741,2)</f>
        <v>0</v>
      </c>
      <c r="I741" s="18">
        <f t="shared" ref="I741:I771" si="55">G741+H741</f>
        <v>0</v>
      </c>
    </row>
    <row r="742" spans="1:9" hidden="1" outlineLevel="1" x14ac:dyDescent="0.25">
      <c r="A742" s="84"/>
      <c r="B742" s="343" t="s">
        <v>97</v>
      </c>
      <c r="C742" s="21" t="s">
        <v>29</v>
      </c>
      <c r="D742" s="340">
        <v>0</v>
      </c>
      <c r="E742" s="282"/>
      <c r="F742" s="60">
        <v>25.75</v>
      </c>
      <c r="G742" s="18"/>
      <c r="H742" s="2">
        <f t="shared" si="54"/>
        <v>0</v>
      </c>
      <c r="I742" s="18">
        <f t="shared" si="55"/>
        <v>0</v>
      </c>
    </row>
    <row r="743" spans="1:9" hidden="1" outlineLevel="1" x14ac:dyDescent="0.25">
      <c r="A743" s="84"/>
      <c r="B743" s="343" t="s">
        <v>98</v>
      </c>
      <c r="C743" s="21" t="s">
        <v>29</v>
      </c>
      <c r="D743" s="340">
        <v>0</v>
      </c>
      <c r="E743" s="282"/>
      <c r="F743" s="60">
        <v>58.9</v>
      </c>
      <c r="G743" s="18"/>
      <c r="H743" s="2">
        <f t="shared" si="54"/>
        <v>0</v>
      </c>
      <c r="I743" s="18">
        <f t="shared" si="55"/>
        <v>0</v>
      </c>
    </row>
    <row r="744" spans="1:9" hidden="1" outlineLevel="1" x14ac:dyDescent="0.25">
      <c r="A744" s="84"/>
      <c r="B744" s="343" t="s">
        <v>241</v>
      </c>
      <c r="C744" s="21" t="s">
        <v>29</v>
      </c>
      <c r="D744" s="340">
        <v>0</v>
      </c>
      <c r="E744" s="282"/>
      <c r="F744" s="60">
        <v>75</v>
      </c>
      <c r="G744" s="18"/>
      <c r="H744" s="2">
        <f t="shared" si="54"/>
        <v>0</v>
      </c>
      <c r="I744" s="18">
        <f>G744+H744</f>
        <v>0</v>
      </c>
    </row>
    <row r="745" spans="1:9" hidden="1" outlineLevel="1" x14ac:dyDescent="0.25">
      <c r="A745" s="84"/>
      <c r="B745" s="329" t="s">
        <v>99</v>
      </c>
      <c r="C745" s="21" t="s">
        <v>12</v>
      </c>
      <c r="D745" s="340">
        <v>0</v>
      </c>
      <c r="E745" s="282"/>
      <c r="F745" s="60">
        <v>198</v>
      </c>
      <c r="G745" s="18"/>
      <c r="H745" s="2">
        <f t="shared" si="54"/>
        <v>0</v>
      </c>
      <c r="I745" s="18">
        <f t="shared" si="55"/>
        <v>0</v>
      </c>
    </row>
    <row r="746" spans="1:9" hidden="1" outlineLevel="1" x14ac:dyDescent="0.25">
      <c r="A746" s="84"/>
      <c r="B746" s="329" t="s">
        <v>100</v>
      </c>
      <c r="C746" s="21" t="s">
        <v>12</v>
      </c>
      <c r="D746" s="340">
        <v>0</v>
      </c>
      <c r="E746" s="282"/>
      <c r="F746" s="60">
        <v>198</v>
      </c>
      <c r="G746" s="18"/>
      <c r="H746" s="2">
        <f t="shared" si="54"/>
        <v>0</v>
      </c>
      <c r="I746" s="18">
        <f t="shared" si="55"/>
        <v>0</v>
      </c>
    </row>
    <row r="747" spans="1:9" ht="31.2" hidden="1" outlineLevel="1" x14ac:dyDescent="0.25">
      <c r="A747" s="84"/>
      <c r="B747" s="329" t="s">
        <v>107</v>
      </c>
      <c r="C747" s="21" t="s">
        <v>12</v>
      </c>
      <c r="D747" s="360">
        <v>0</v>
      </c>
      <c r="E747" s="282"/>
      <c r="F747" s="361">
        <v>70</v>
      </c>
      <c r="G747" s="18"/>
      <c r="H747" s="2">
        <f t="shared" si="54"/>
        <v>0</v>
      </c>
      <c r="I747" s="18">
        <f t="shared" si="55"/>
        <v>0</v>
      </c>
    </row>
    <row r="748" spans="1:9" ht="31.2" hidden="1" outlineLevel="1" x14ac:dyDescent="0.25">
      <c r="A748" s="84"/>
      <c r="B748" s="329" t="s">
        <v>242</v>
      </c>
      <c r="C748" s="21" t="s">
        <v>29</v>
      </c>
      <c r="D748" s="340">
        <v>0</v>
      </c>
      <c r="E748" s="282"/>
      <c r="F748" s="60">
        <v>35</v>
      </c>
      <c r="G748" s="18"/>
      <c r="H748" s="2">
        <f t="shared" si="54"/>
        <v>0</v>
      </c>
      <c r="I748" s="18">
        <f>G748+H748</f>
        <v>0</v>
      </c>
    </row>
    <row r="749" spans="1:9" hidden="1" outlineLevel="1" x14ac:dyDescent="0.25">
      <c r="A749" s="84" t="s">
        <v>559</v>
      </c>
      <c r="B749" s="29" t="s">
        <v>101</v>
      </c>
      <c r="C749" s="31" t="s">
        <v>29</v>
      </c>
      <c r="D749" s="306">
        <f>D750</f>
        <v>0</v>
      </c>
      <c r="E749" s="256">
        <v>30</v>
      </c>
      <c r="F749" s="60"/>
      <c r="G749" s="2">
        <f>ROUND(E749*D749,2)</f>
        <v>0</v>
      </c>
      <c r="H749" s="18"/>
      <c r="I749" s="18">
        <f t="shared" si="55"/>
        <v>0</v>
      </c>
    </row>
    <row r="750" spans="1:9" hidden="1" outlineLevel="1" x14ac:dyDescent="0.25">
      <c r="A750" s="84"/>
      <c r="B750" s="329" t="s">
        <v>175</v>
      </c>
      <c r="C750" s="21" t="s">
        <v>29</v>
      </c>
      <c r="D750" s="340">
        <v>0</v>
      </c>
      <c r="E750" s="18"/>
      <c r="F750" s="164">
        <v>74</v>
      </c>
      <c r="G750" s="18"/>
      <c r="H750" s="2">
        <f>ROUND(D750*F750,2)</f>
        <v>0</v>
      </c>
      <c r="I750" s="18">
        <f t="shared" si="55"/>
        <v>0</v>
      </c>
    </row>
    <row r="751" spans="1:9" hidden="1" outlineLevel="1" x14ac:dyDescent="0.25">
      <c r="A751" s="84" t="s">
        <v>560</v>
      </c>
      <c r="B751" s="29" t="s">
        <v>102</v>
      </c>
      <c r="C751" s="31" t="s">
        <v>12</v>
      </c>
      <c r="D751" s="306">
        <f>D752</f>
        <v>0</v>
      </c>
      <c r="E751" s="256">
        <v>500</v>
      </c>
      <c r="F751" s="60"/>
      <c r="G751" s="2">
        <f>ROUND(E751*D751,2)</f>
        <v>0</v>
      </c>
      <c r="H751" s="18"/>
      <c r="I751" s="18">
        <f t="shared" si="55"/>
        <v>0</v>
      </c>
    </row>
    <row r="752" spans="1:9" hidden="1" outlineLevel="1" x14ac:dyDescent="0.25">
      <c r="A752" s="84"/>
      <c r="B752" s="343" t="s">
        <v>103</v>
      </c>
      <c r="C752" s="21" t="s">
        <v>12</v>
      </c>
      <c r="D752" s="340">
        <v>0</v>
      </c>
      <c r="E752" s="282"/>
      <c r="F752" s="60">
        <v>400</v>
      </c>
      <c r="G752" s="18"/>
      <c r="H752" s="2">
        <f>ROUND(D752*F752,2)</f>
        <v>0</v>
      </c>
      <c r="I752" s="18">
        <f t="shared" si="55"/>
        <v>0</v>
      </c>
    </row>
    <row r="753" spans="1:9" hidden="1" outlineLevel="1" x14ac:dyDescent="0.25">
      <c r="A753" s="84"/>
      <c r="B753" s="343" t="s">
        <v>104</v>
      </c>
      <c r="C753" s="21" t="s">
        <v>12</v>
      </c>
      <c r="D753" s="340">
        <f>D752</f>
        <v>0</v>
      </c>
      <c r="E753" s="282"/>
      <c r="F753" s="60">
        <v>210.8</v>
      </c>
      <c r="G753" s="18"/>
      <c r="H753" s="2">
        <f>ROUND(D753*F753,2)</f>
        <v>0</v>
      </c>
      <c r="I753" s="18">
        <f t="shared" si="55"/>
        <v>0</v>
      </c>
    </row>
    <row r="754" spans="1:9" hidden="1" outlineLevel="1" x14ac:dyDescent="0.25">
      <c r="A754" s="84" t="s">
        <v>561</v>
      </c>
      <c r="B754" s="29" t="s">
        <v>105</v>
      </c>
      <c r="C754" s="31" t="s">
        <v>12</v>
      </c>
      <c r="D754" s="306">
        <f>D753</f>
        <v>0</v>
      </c>
      <c r="E754" s="256">
        <v>520</v>
      </c>
      <c r="F754" s="60"/>
      <c r="G754" s="2">
        <f>ROUND(E754*D754,2)</f>
        <v>0</v>
      </c>
      <c r="H754" s="18"/>
      <c r="I754" s="18">
        <f t="shared" si="55"/>
        <v>0</v>
      </c>
    </row>
    <row r="755" spans="1:9" ht="31.2" hidden="1" outlineLevel="1" x14ac:dyDescent="0.25">
      <c r="A755" s="84"/>
      <c r="B755" s="343" t="s">
        <v>106</v>
      </c>
      <c r="C755" s="21" t="s">
        <v>12</v>
      </c>
      <c r="D755" s="340">
        <f>D754</f>
        <v>0</v>
      </c>
      <c r="E755" s="282"/>
      <c r="F755" s="60">
        <v>900</v>
      </c>
      <c r="G755" s="18"/>
      <c r="H755" s="2">
        <f>ROUND(D755*F755,2)</f>
        <v>0</v>
      </c>
      <c r="I755" s="18">
        <f t="shared" si="55"/>
        <v>0</v>
      </c>
    </row>
    <row r="756" spans="1:9" hidden="1" outlineLevel="1" x14ac:dyDescent="0.25">
      <c r="A756" s="84" t="s">
        <v>562</v>
      </c>
      <c r="B756" s="75" t="s">
        <v>108</v>
      </c>
      <c r="C756" s="2"/>
      <c r="D756" s="158"/>
      <c r="E756" s="282"/>
      <c r="F756" s="11"/>
      <c r="G756" s="18"/>
      <c r="H756" s="18"/>
      <c r="I756" s="18">
        <f t="shared" si="55"/>
        <v>0</v>
      </c>
    </row>
    <row r="757" spans="1:9" ht="31.2" hidden="1" outlineLevel="1" x14ac:dyDescent="0.25">
      <c r="A757" s="84" t="s">
        <v>563</v>
      </c>
      <c r="B757" s="29" t="s">
        <v>110</v>
      </c>
      <c r="C757" s="31" t="s">
        <v>29</v>
      </c>
      <c r="D757" s="31">
        <f>D758</f>
        <v>0</v>
      </c>
      <c r="E757" s="256">
        <v>85</v>
      </c>
      <c r="F757" s="60"/>
      <c r="G757" s="2">
        <f>ROUND(E757*D757,2)</f>
        <v>0</v>
      </c>
      <c r="H757" s="18">
        <f>D757*F757</f>
        <v>0</v>
      </c>
      <c r="I757" s="18">
        <f t="shared" si="55"/>
        <v>0</v>
      </c>
    </row>
    <row r="758" spans="1:9" ht="31.2" hidden="1" outlineLevel="1" x14ac:dyDescent="0.25">
      <c r="A758" s="84"/>
      <c r="B758" s="343" t="s">
        <v>109</v>
      </c>
      <c r="C758" s="21" t="s">
        <v>29</v>
      </c>
      <c r="D758" s="340">
        <v>0</v>
      </c>
      <c r="E758" s="18"/>
      <c r="F758" s="361">
        <v>170</v>
      </c>
      <c r="G758" s="18"/>
      <c r="H758" s="2">
        <f>ROUND(D758*F758,2)</f>
        <v>0</v>
      </c>
      <c r="I758" s="18">
        <f t="shared" si="55"/>
        <v>0</v>
      </c>
    </row>
    <row r="759" spans="1:9" hidden="1" outlineLevel="1" x14ac:dyDescent="0.25">
      <c r="A759" s="84"/>
      <c r="B759" s="329" t="s">
        <v>100</v>
      </c>
      <c r="C759" s="21" t="s">
        <v>12</v>
      </c>
      <c r="D759" s="340">
        <v>0</v>
      </c>
      <c r="E759" s="18"/>
      <c r="F759" s="361">
        <v>198</v>
      </c>
      <c r="G759" s="18"/>
      <c r="H759" s="2">
        <f>ROUND(D759*F759,2)</f>
        <v>0</v>
      </c>
      <c r="I759" s="18">
        <f t="shared" si="55"/>
        <v>0</v>
      </c>
    </row>
    <row r="760" spans="1:9" ht="31.2" hidden="1" outlineLevel="1" x14ac:dyDescent="0.25">
      <c r="A760" s="84"/>
      <c r="B760" s="329" t="s">
        <v>107</v>
      </c>
      <c r="C760" s="21" t="s">
        <v>12</v>
      </c>
      <c r="D760" s="340">
        <v>0</v>
      </c>
      <c r="E760" s="18"/>
      <c r="F760" s="361">
        <v>120</v>
      </c>
      <c r="G760" s="18"/>
      <c r="H760" s="2">
        <f>ROUND(D760*F760,2)</f>
        <v>0</v>
      </c>
      <c r="I760" s="18">
        <f t="shared" si="55"/>
        <v>0</v>
      </c>
    </row>
    <row r="761" spans="1:9" ht="31.2" hidden="1" outlineLevel="1" x14ac:dyDescent="0.25">
      <c r="A761" s="84"/>
      <c r="B761" s="329" t="s">
        <v>439</v>
      </c>
      <c r="C761" s="21" t="s">
        <v>29</v>
      </c>
      <c r="D761" s="340">
        <v>0</v>
      </c>
      <c r="E761" s="18"/>
      <c r="F761" s="60">
        <v>35</v>
      </c>
      <c r="G761" s="18"/>
      <c r="H761" s="2">
        <f>ROUND(D761*F761,2)</f>
        <v>0</v>
      </c>
      <c r="I761" s="18">
        <f>G761+H761</f>
        <v>0</v>
      </c>
    </row>
    <row r="762" spans="1:9" hidden="1" outlineLevel="1" x14ac:dyDescent="0.25">
      <c r="A762" s="84" t="s">
        <v>564</v>
      </c>
      <c r="B762" s="75" t="s">
        <v>111</v>
      </c>
      <c r="C762" s="2"/>
      <c r="D762" s="158"/>
      <c r="E762" s="2"/>
      <c r="F762" s="11"/>
      <c r="G762" s="18"/>
      <c r="H762" s="18"/>
      <c r="I762" s="18">
        <f t="shared" si="55"/>
        <v>0</v>
      </c>
    </row>
    <row r="763" spans="1:9" ht="31.2" hidden="1" outlineLevel="1" x14ac:dyDescent="0.25">
      <c r="A763" s="84" t="s">
        <v>565</v>
      </c>
      <c r="B763" s="29" t="s">
        <v>112</v>
      </c>
      <c r="C763" s="31" t="s">
        <v>29</v>
      </c>
      <c r="D763" s="31">
        <f>D764+D765+D766</f>
        <v>0</v>
      </c>
      <c r="E763" s="256">
        <v>85</v>
      </c>
      <c r="F763" s="60"/>
      <c r="G763" s="2">
        <f>ROUND(E763*D763,2)</f>
        <v>0</v>
      </c>
      <c r="H763" s="18"/>
      <c r="I763" s="18">
        <f t="shared" si="55"/>
        <v>0</v>
      </c>
    </row>
    <row r="764" spans="1:9" hidden="1" outlineLevel="1" x14ac:dyDescent="0.25">
      <c r="A764" s="84"/>
      <c r="B764" s="329" t="s">
        <v>113</v>
      </c>
      <c r="C764" s="21" t="s">
        <v>29</v>
      </c>
      <c r="D764" s="340">
        <v>0</v>
      </c>
      <c r="E764" s="18"/>
      <c r="F764" s="60">
        <v>63.8</v>
      </c>
      <c r="G764" s="18"/>
      <c r="H764" s="2">
        <f t="shared" ref="H764:H770" si="56">ROUND(D764*F764,2)</f>
        <v>0</v>
      </c>
      <c r="I764" s="18">
        <f t="shared" si="55"/>
        <v>0</v>
      </c>
    </row>
    <row r="765" spans="1:9" hidden="1" outlineLevel="1" x14ac:dyDescent="0.25">
      <c r="A765" s="84"/>
      <c r="B765" s="329" t="s">
        <v>440</v>
      </c>
      <c r="C765" s="21" t="s">
        <v>29</v>
      </c>
      <c r="D765" s="340">
        <v>0</v>
      </c>
      <c r="E765" s="18"/>
      <c r="F765" s="11">
        <v>55</v>
      </c>
      <c r="G765" s="18"/>
      <c r="H765" s="2">
        <f t="shared" si="56"/>
        <v>0</v>
      </c>
      <c r="I765" s="18">
        <f>G765+H765</f>
        <v>0</v>
      </c>
    </row>
    <row r="766" spans="1:9" hidden="1" outlineLevel="1" x14ac:dyDescent="0.25">
      <c r="A766" s="84"/>
      <c r="B766" s="329" t="s">
        <v>114</v>
      </c>
      <c r="C766" s="21" t="s">
        <v>29</v>
      </c>
      <c r="D766" s="340">
        <v>0</v>
      </c>
      <c r="E766" s="18"/>
      <c r="F766" s="60">
        <v>103.95</v>
      </c>
      <c r="G766" s="18"/>
      <c r="H766" s="2">
        <f t="shared" si="56"/>
        <v>0</v>
      </c>
      <c r="I766" s="18">
        <f>G766+H766</f>
        <v>0</v>
      </c>
    </row>
    <row r="767" spans="1:9" hidden="1" outlineLevel="1" x14ac:dyDescent="0.25">
      <c r="A767" s="84"/>
      <c r="B767" s="329" t="s">
        <v>115</v>
      </c>
      <c r="C767" s="21" t="s">
        <v>12</v>
      </c>
      <c r="D767" s="340">
        <v>0</v>
      </c>
      <c r="E767" s="18"/>
      <c r="F767" s="60">
        <v>61.27</v>
      </c>
      <c r="G767" s="18"/>
      <c r="H767" s="2">
        <f t="shared" si="56"/>
        <v>0</v>
      </c>
      <c r="I767" s="18">
        <f t="shared" si="55"/>
        <v>0</v>
      </c>
    </row>
    <row r="768" spans="1:9" hidden="1" outlineLevel="1" x14ac:dyDescent="0.25">
      <c r="A768" s="84"/>
      <c r="B768" s="343" t="s">
        <v>91</v>
      </c>
      <c r="C768" s="21" t="s">
        <v>15</v>
      </c>
      <c r="D768" s="340">
        <v>0</v>
      </c>
      <c r="E768" s="18"/>
      <c r="F768" s="60">
        <f>37500/1000</f>
        <v>37.5</v>
      </c>
      <c r="G768" s="18"/>
      <c r="H768" s="2">
        <f t="shared" si="56"/>
        <v>0</v>
      </c>
      <c r="I768" s="18">
        <f t="shared" si="55"/>
        <v>0</v>
      </c>
    </row>
    <row r="769" spans="1:12" hidden="1" outlineLevel="1" x14ac:dyDescent="0.25">
      <c r="A769" s="84"/>
      <c r="B769" s="329" t="s">
        <v>116</v>
      </c>
      <c r="C769" s="21" t="s">
        <v>12</v>
      </c>
      <c r="D769" s="340">
        <v>0</v>
      </c>
      <c r="E769" s="18"/>
      <c r="F769" s="60">
        <v>320</v>
      </c>
      <c r="G769" s="18"/>
      <c r="H769" s="2">
        <f t="shared" si="56"/>
        <v>0</v>
      </c>
      <c r="I769" s="18">
        <f t="shared" si="55"/>
        <v>0</v>
      </c>
    </row>
    <row r="770" spans="1:12" hidden="1" outlineLevel="1" x14ac:dyDescent="0.25">
      <c r="A770" s="84"/>
      <c r="B770" s="329" t="s">
        <v>441</v>
      </c>
      <c r="C770" s="21" t="s">
        <v>12</v>
      </c>
      <c r="D770" s="340">
        <v>0</v>
      </c>
      <c r="E770" s="18"/>
      <c r="F770" s="60">
        <v>1250</v>
      </c>
      <c r="G770" s="18"/>
      <c r="H770" s="2">
        <f t="shared" si="56"/>
        <v>0</v>
      </c>
      <c r="I770" s="18">
        <f>G770+H770</f>
        <v>0</v>
      </c>
    </row>
    <row r="771" spans="1:12" hidden="1" outlineLevel="1" x14ac:dyDescent="0.25">
      <c r="A771" s="84"/>
      <c r="B771" s="75" t="s">
        <v>117</v>
      </c>
      <c r="C771" s="2"/>
      <c r="D771" s="158"/>
      <c r="E771" s="2"/>
      <c r="F771" s="11"/>
      <c r="G771" s="18"/>
      <c r="H771" s="18"/>
      <c r="I771" s="18">
        <f t="shared" si="55"/>
        <v>0</v>
      </c>
    </row>
    <row r="772" spans="1:12" ht="31.2" hidden="1" outlineLevel="1" x14ac:dyDescent="0.25">
      <c r="A772" s="87"/>
      <c r="B772" s="307" t="s">
        <v>112</v>
      </c>
      <c r="C772" s="2" t="s">
        <v>29</v>
      </c>
      <c r="D772" s="306">
        <f>D773</f>
        <v>0</v>
      </c>
      <c r="E772" s="256">
        <v>85</v>
      </c>
      <c r="F772" s="60"/>
      <c r="G772" s="2">
        <f>ROUND(E772*D772,2)</f>
        <v>0</v>
      </c>
      <c r="H772" s="18"/>
      <c r="I772" s="18">
        <f>G772+H772</f>
        <v>0</v>
      </c>
      <c r="J772" s="780"/>
    </row>
    <row r="773" spans="1:12" hidden="1" outlineLevel="1" x14ac:dyDescent="0.25">
      <c r="A773" s="84"/>
      <c r="B773" s="329" t="s">
        <v>114</v>
      </c>
      <c r="C773" s="21" t="s">
        <v>29</v>
      </c>
      <c r="D773" s="340">
        <v>0</v>
      </c>
      <c r="E773" s="158"/>
      <c r="F773" s="60">
        <v>103.95</v>
      </c>
      <c r="G773" s="158"/>
      <c r="H773" s="2">
        <f t="shared" ref="H773:H778" si="57">ROUND(D773*F773,2)</f>
        <v>0</v>
      </c>
      <c r="I773" s="18">
        <f t="shared" ref="I773:I778" si="58">G773+H773</f>
        <v>0</v>
      </c>
      <c r="J773" s="780"/>
    </row>
    <row r="774" spans="1:12" hidden="1" outlineLevel="1" x14ac:dyDescent="0.25">
      <c r="A774" s="84"/>
      <c r="B774" s="329" t="s">
        <v>115</v>
      </c>
      <c r="C774" s="21" t="s">
        <v>12</v>
      </c>
      <c r="D774" s="340">
        <v>0</v>
      </c>
      <c r="E774" s="158"/>
      <c r="F774" s="60">
        <v>61.27</v>
      </c>
      <c r="G774" s="158"/>
      <c r="H774" s="2">
        <f t="shared" si="57"/>
        <v>0</v>
      </c>
      <c r="I774" s="18">
        <f t="shared" si="58"/>
        <v>0</v>
      </c>
      <c r="J774" s="780"/>
    </row>
    <row r="775" spans="1:12" hidden="1" outlineLevel="1" x14ac:dyDescent="0.25">
      <c r="A775" s="84"/>
      <c r="B775" s="343" t="s">
        <v>91</v>
      </c>
      <c r="C775" s="21" t="s">
        <v>15</v>
      </c>
      <c r="D775" s="340">
        <v>0</v>
      </c>
      <c r="E775" s="158"/>
      <c r="F775" s="11">
        <f>37500/1000</f>
        <v>37.5</v>
      </c>
      <c r="G775" s="158"/>
      <c r="H775" s="2">
        <f t="shared" si="57"/>
        <v>0</v>
      </c>
      <c r="I775" s="18">
        <f t="shared" si="58"/>
        <v>0</v>
      </c>
      <c r="J775" s="780"/>
    </row>
    <row r="776" spans="1:12" hidden="1" outlineLevel="1" x14ac:dyDescent="0.25">
      <c r="A776" s="84"/>
      <c r="B776" s="329" t="s">
        <v>116</v>
      </c>
      <c r="C776" s="21" t="s">
        <v>12</v>
      </c>
      <c r="D776" s="340">
        <v>0</v>
      </c>
      <c r="E776" s="158"/>
      <c r="F776" s="11">
        <v>320</v>
      </c>
      <c r="G776" s="158"/>
      <c r="H776" s="2">
        <f t="shared" si="57"/>
        <v>0</v>
      </c>
      <c r="I776" s="18">
        <f t="shared" si="58"/>
        <v>0</v>
      </c>
      <c r="J776" s="780"/>
    </row>
    <row r="777" spans="1:12" hidden="1" outlineLevel="1" x14ac:dyDescent="0.25">
      <c r="A777" s="84"/>
      <c r="B777" s="329" t="s">
        <v>118</v>
      </c>
      <c r="C777" s="21" t="s">
        <v>12</v>
      </c>
      <c r="D777" s="340">
        <v>0</v>
      </c>
      <c r="E777" s="158"/>
      <c r="F777" s="164">
        <v>2435.6</v>
      </c>
      <c r="G777" s="158"/>
      <c r="H777" s="2">
        <f>ROUND(D777*F777,2)</f>
        <v>0</v>
      </c>
      <c r="I777" s="18">
        <f>G777+H777</f>
        <v>0</v>
      </c>
      <c r="J777" s="780"/>
    </row>
    <row r="778" spans="1:12" hidden="1" outlineLevel="1" x14ac:dyDescent="0.25">
      <c r="A778" s="84"/>
      <c r="B778" s="329" t="s">
        <v>714</v>
      </c>
      <c r="C778" s="21" t="s">
        <v>12</v>
      </c>
      <c r="D778" s="340">
        <v>0</v>
      </c>
      <c r="E778" s="158"/>
      <c r="F778" s="164">
        <v>100</v>
      </c>
      <c r="G778" s="158"/>
      <c r="H778" s="2">
        <f t="shared" si="57"/>
        <v>0</v>
      </c>
      <c r="I778" s="18">
        <f t="shared" si="58"/>
        <v>0</v>
      </c>
      <c r="J778" s="780"/>
    </row>
    <row r="779" spans="1:12" outlineLevel="1" x14ac:dyDescent="0.25">
      <c r="A779" s="84" t="s">
        <v>1579</v>
      </c>
      <c r="B779" s="308" t="s">
        <v>1578</v>
      </c>
      <c r="C779" s="31" t="s">
        <v>173</v>
      </c>
      <c r="D779" s="306">
        <v>1</v>
      </c>
      <c r="E779" s="256">
        <f>G780</f>
        <v>420000</v>
      </c>
      <c r="F779" s="57">
        <f>H780</f>
        <v>1100000</v>
      </c>
      <c r="G779" s="18">
        <f>D779*E779</f>
        <v>420000</v>
      </c>
      <c r="H779" s="18">
        <f>F779*D779</f>
        <v>1100000</v>
      </c>
      <c r="I779" s="18">
        <f>G779+H779</f>
        <v>1520000</v>
      </c>
    </row>
    <row r="780" spans="1:12" s="5" customFormat="1" ht="26.4" customHeight="1" x14ac:dyDescent="0.25">
      <c r="A780" s="223"/>
      <c r="B780" s="233" t="s">
        <v>62</v>
      </c>
      <c r="C780" s="234"/>
      <c r="D780" s="235"/>
      <c r="E780" s="236"/>
      <c r="F780" s="237"/>
      <c r="G780" s="236">
        <v>420000</v>
      </c>
      <c r="H780" s="236">
        <v>1100000</v>
      </c>
      <c r="I780" s="236">
        <f>G780+H780</f>
        <v>1520000</v>
      </c>
      <c r="K780" s="5">
        <f>90*4000+1150000</f>
        <v>1510000</v>
      </c>
      <c r="L780" s="5">
        <f>K780-I780</f>
        <v>-10000</v>
      </c>
    </row>
    <row r="781" spans="1:12" s="5" customFormat="1" x14ac:dyDescent="0.25">
      <c r="A781" s="84"/>
      <c r="B781" s="471" t="s">
        <v>624</v>
      </c>
      <c r="C781" s="9"/>
      <c r="D781" s="31"/>
      <c r="E781" s="10"/>
      <c r="F781" s="57"/>
      <c r="G781" s="10"/>
      <c r="H781" s="10"/>
      <c r="I781" s="31">
        <f>ROUND(I780/1.18*0.18,2)</f>
        <v>231864.41</v>
      </c>
    </row>
    <row r="782" spans="1:12" s="5" customFormat="1" ht="18.75" customHeight="1" x14ac:dyDescent="0.25">
      <c r="A782" s="109"/>
      <c r="B782" s="769" t="s">
        <v>1213</v>
      </c>
      <c r="C782" s="105"/>
      <c r="D782" s="105"/>
      <c r="E782" s="105"/>
      <c r="F782" s="138"/>
      <c r="G782" s="105"/>
      <c r="H782" s="105"/>
      <c r="I782" s="106"/>
    </row>
    <row r="783" spans="1:12" hidden="1" outlineLevel="1" x14ac:dyDescent="0.25">
      <c r="A783" s="90"/>
      <c r="B783" s="496" t="s">
        <v>177</v>
      </c>
      <c r="C783" s="13"/>
      <c r="D783" s="2"/>
      <c r="E783" s="130">
        <f>H818*0.5</f>
        <v>0</v>
      </c>
      <c r="F783" s="147"/>
      <c r="G783" s="764">
        <f>E783</f>
        <v>0</v>
      </c>
      <c r="H783" s="26"/>
      <c r="I783" s="764">
        <f>G783+H783</f>
        <v>0</v>
      </c>
    </row>
    <row r="784" spans="1:12" hidden="1" outlineLevel="1" x14ac:dyDescent="0.25">
      <c r="A784" s="87" t="s">
        <v>338</v>
      </c>
      <c r="B784" s="29" t="s">
        <v>178</v>
      </c>
      <c r="C784" s="2" t="s">
        <v>12</v>
      </c>
      <c r="D784" s="340">
        <v>0</v>
      </c>
      <c r="E784" s="18"/>
      <c r="F784" s="60"/>
      <c r="G784" s="18"/>
      <c r="H784" s="18"/>
      <c r="I784" s="18">
        <f>G784+H784</f>
        <v>0</v>
      </c>
    </row>
    <row r="785" spans="1:12" hidden="1" outlineLevel="1" x14ac:dyDescent="0.25">
      <c r="A785" s="84"/>
      <c r="B785" s="28" t="s">
        <v>243</v>
      </c>
      <c r="C785" s="21" t="s">
        <v>12</v>
      </c>
      <c r="D785" s="340">
        <v>0</v>
      </c>
      <c r="E785" s="18"/>
      <c r="F785" s="60">
        <v>1530</v>
      </c>
      <c r="G785" s="18"/>
      <c r="H785" s="2">
        <f>ROUND(D785*F785,2)</f>
        <v>0</v>
      </c>
      <c r="I785" s="18">
        <f t="shared" ref="I785:I811" si="59">G785+H785</f>
        <v>0</v>
      </c>
    </row>
    <row r="786" spans="1:12" s="6" customFormat="1" hidden="1" outlineLevel="1" x14ac:dyDescent="0.25">
      <c r="A786" s="87" t="s">
        <v>567</v>
      </c>
      <c r="B786" s="63" t="s">
        <v>179</v>
      </c>
      <c r="C786" s="2" t="s">
        <v>173</v>
      </c>
      <c r="D786" s="340">
        <v>0</v>
      </c>
      <c r="E786" s="2"/>
      <c r="F786" s="11"/>
      <c r="G786" s="18"/>
      <c r="H786" s="18"/>
      <c r="I786" s="18">
        <f t="shared" si="59"/>
        <v>0</v>
      </c>
    </row>
    <row r="787" spans="1:12" hidden="1" outlineLevel="1" x14ac:dyDescent="0.25">
      <c r="A787" s="84"/>
      <c r="B787" s="60" t="s">
        <v>180</v>
      </c>
      <c r="C787" s="2" t="s">
        <v>12</v>
      </c>
      <c r="D787" s="340">
        <v>0</v>
      </c>
      <c r="E787" s="2"/>
      <c r="F787" s="11">
        <v>4200</v>
      </c>
      <c r="G787" s="18"/>
      <c r="H787" s="2">
        <f>ROUND(D787*F787,2)</f>
        <v>0</v>
      </c>
      <c r="I787" s="18">
        <f t="shared" si="59"/>
        <v>0</v>
      </c>
    </row>
    <row r="788" spans="1:12" hidden="1" outlineLevel="1" x14ac:dyDescent="0.25">
      <c r="A788" s="84"/>
      <c r="B788" s="60" t="s">
        <v>244</v>
      </c>
      <c r="C788" s="2" t="s">
        <v>12</v>
      </c>
      <c r="D788" s="340">
        <v>0</v>
      </c>
      <c r="E788" s="2"/>
      <c r="F788" s="11">
        <v>380</v>
      </c>
      <c r="G788" s="18"/>
      <c r="H788" s="2">
        <f>ROUND(D788*F788,2)</f>
        <v>0</v>
      </c>
      <c r="I788" s="18">
        <f>G788+H788</f>
        <v>0</v>
      </c>
    </row>
    <row r="789" spans="1:12" ht="31.2" hidden="1" outlineLevel="1" x14ac:dyDescent="0.25">
      <c r="A789" s="84" t="s">
        <v>568</v>
      </c>
      <c r="B789" s="63" t="s">
        <v>262</v>
      </c>
      <c r="C789" s="2" t="s">
        <v>173</v>
      </c>
      <c r="D789" s="2">
        <v>0</v>
      </c>
      <c r="E789" s="2"/>
      <c r="F789" s="11"/>
      <c r="G789" s="18"/>
      <c r="H789" s="18"/>
      <c r="I789" s="18">
        <f>G789+H789</f>
        <v>0</v>
      </c>
    </row>
    <row r="790" spans="1:12" ht="25.2" hidden="1" customHeight="1" outlineLevel="1" x14ac:dyDescent="0.25">
      <c r="A790" s="84"/>
      <c r="B790" s="152" t="s">
        <v>353</v>
      </c>
      <c r="C790" s="150" t="s">
        <v>12</v>
      </c>
      <c r="D790" s="150">
        <f>D789</f>
        <v>0</v>
      </c>
      <c r="E790" s="150"/>
      <c r="F790" s="151">
        <f>185000/3</f>
        <v>61666.666666666664</v>
      </c>
      <c r="G790" s="149"/>
      <c r="H790" s="150">
        <f>ROUND(D790*F790,2)</f>
        <v>0</v>
      </c>
      <c r="I790" s="149">
        <f>G790+H790</f>
        <v>0</v>
      </c>
      <c r="K790" s="781"/>
      <c r="L790" s="782"/>
    </row>
    <row r="791" spans="1:12" hidden="1" outlineLevel="1" x14ac:dyDescent="0.25">
      <c r="A791" s="84" t="s">
        <v>569</v>
      </c>
      <c r="B791" s="62" t="s">
        <v>245</v>
      </c>
      <c r="C791" s="2" t="s">
        <v>29</v>
      </c>
      <c r="D791" s="2">
        <f>D793+D794+D795+D796+D792</f>
        <v>0</v>
      </c>
      <c r="E791" s="2"/>
      <c r="F791" s="11"/>
      <c r="G791" s="18"/>
      <c r="H791" s="18">
        <f>E791*D791</f>
        <v>0</v>
      </c>
      <c r="I791" s="18">
        <f t="shared" si="59"/>
        <v>0</v>
      </c>
    </row>
    <row r="792" spans="1:12" hidden="1" outlineLevel="1" x14ac:dyDescent="0.25">
      <c r="A792" s="84"/>
      <c r="B792" s="74" t="s">
        <v>460</v>
      </c>
      <c r="C792" s="2" t="s">
        <v>29</v>
      </c>
      <c r="D792" s="2">
        <v>0</v>
      </c>
      <c r="E792" s="2"/>
      <c r="F792" s="11">
        <v>252.4</v>
      </c>
      <c r="G792" s="18"/>
      <c r="H792" s="2">
        <f t="shared" ref="H792:H811" si="60">ROUND(D792*F792,2)</f>
        <v>0</v>
      </c>
      <c r="I792" s="18">
        <f>G792+H792</f>
        <v>0</v>
      </c>
    </row>
    <row r="793" spans="1:12" hidden="1" outlineLevel="1" x14ac:dyDescent="0.25">
      <c r="A793" s="84"/>
      <c r="B793" s="74" t="s">
        <v>246</v>
      </c>
      <c r="C793" s="2" t="s">
        <v>29</v>
      </c>
      <c r="D793" s="2">
        <v>0</v>
      </c>
      <c r="E793" s="2"/>
      <c r="F793" s="11">
        <v>145.19999999999999</v>
      </c>
      <c r="G793" s="18"/>
      <c r="H793" s="2">
        <f t="shared" si="60"/>
        <v>0</v>
      </c>
      <c r="I793" s="18">
        <f t="shared" si="59"/>
        <v>0</v>
      </c>
    </row>
    <row r="794" spans="1:12" hidden="1" outlineLevel="1" x14ac:dyDescent="0.25">
      <c r="A794" s="84"/>
      <c r="B794" s="74" t="s">
        <v>247</v>
      </c>
      <c r="C794" s="2" t="s">
        <v>29</v>
      </c>
      <c r="D794" s="2">
        <v>0</v>
      </c>
      <c r="E794" s="2"/>
      <c r="F794" s="11">
        <f>2.91*42</f>
        <v>122.22</v>
      </c>
      <c r="G794" s="18"/>
      <c r="H794" s="2">
        <f t="shared" si="60"/>
        <v>0</v>
      </c>
      <c r="I794" s="18">
        <f t="shared" si="59"/>
        <v>0</v>
      </c>
    </row>
    <row r="795" spans="1:12" hidden="1" outlineLevel="1" x14ac:dyDescent="0.25">
      <c r="A795" s="84"/>
      <c r="B795" s="74" t="s">
        <v>248</v>
      </c>
      <c r="C795" s="2" t="s">
        <v>29</v>
      </c>
      <c r="D795" s="2">
        <v>0</v>
      </c>
      <c r="E795" s="2"/>
      <c r="F795" s="11">
        <f>2.12*42</f>
        <v>89.04</v>
      </c>
      <c r="G795" s="18"/>
      <c r="H795" s="2">
        <f t="shared" si="60"/>
        <v>0</v>
      </c>
      <c r="I795" s="18">
        <f t="shared" si="59"/>
        <v>0</v>
      </c>
    </row>
    <row r="796" spans="1:12" hidden="1" outlineLevel="1" x14ac:dyDescent="0.25">
      <c r="A796" s="84"/>
      <c r="B796" s="74" t="s">
        <v>249</v>
      </c>
      <c r="C796" s="2" t="s">
        <v>29</v>
      </c>
      <c r="D796" s="2">
        <v>0</v>
      </c>
      <c r="E796" s="2"/>
      <c r="F796" s="11">
        <v>70.900000000000006</v>
      </c>
      <c r="G796" s="18"/>
      <c r="H796" s="2">
        <f t="shared" si="60"/>
        <v>0</v>
      </c>
      <c r="I796" s="18">
        <f t="shared" si="59"/>
        <v>0</v>
      </c>
    </row>
    <row r="797" spans="1:12" hidden="1" outlineLevel="1" x14ac:dyDescent="0.25">
      <c r="A797" s="84"/>
      <c r="B797" s="74" t="s">
        <v>465</v>
      </c>
      <c r="C797" s="2" t="s">
        <v>29</v>
      </c>
      <c r="D797" s="2">
        <v>0</v>
      </c>
      <c r="E797" s="2"/>
      <c r="F797" s="11">
        <v>232</v>
      </c>
      <c r="G797" s="18"/>
      <c r="H797" s="2">
        <f t="shared" si="60"/>
        <v>0</v>
      </c>
      <c r="I797" s="18">
        <f t="shared" si="59"/>
        <v>0</v>
      </c>
    </row>
    <row r="798" spans="1:12" hidden="1" outlineLevel="1" x14ac:dyDescent="0.25">
      <c r="A798" s="84"/>
      <c r="B798" s="74" t="s">
        <v>254</v>
      </c>
      <c r="C798" s="2" t="s">
        <v>29</v>
      </c>
      <c r="D798" s="2">
        <v>0</v>
      </c>
      <c r="E798" s="2"/>
      <c r="F798" s="11">
        <v>158</v>
      </c>
      <c r="G798" s="18"/>
      <c r="H798" s="2">
        <f t="shared" si="60"/>
        <v>0</v>
      </c>
      <c r="I798" s="18">
        <f t="shared" si="59"/>
        <v>0</v>
      </c>
    </row>
    <row r="799" spans="1:12" hidden="1" outlineLevel="1" x14ac:dyDescent="0.25">
      <c r="A799" s="84"/>
      <c r="B799" s="74" t="s">
        <v>463</v>
      </c>
      <c r="C799" s="2" t="s">
        <v>15</v>
      </c>
      <c r="D799" s="2">
        <v>0</v>
      </c>
      <c r="E799" s="2"/>
      <c r="F799" s="11">
        <v>45</v>
      </c>
      <c r="G799" s="18"/>
      <c r="H799" s="18">
        <f t="shared" si="60"/>
        <v>0</v>
      </c>
      <c r="I799" s="18">
        <f t="shared" si="59"/>
        <v>0</v>
      </c>
    </row>
    <row r="800" spans="1:12" hidden="1" outlineLevel="1" x14ac:dyDescent="0.25">
      <c r="A800" s="84" t="s">
        <v>570</v>
      </c>
      <c r="B800" s="63" t="s">
        <v>250</v>
      </c>
      <c r="C800" s="2" t="s">
        <v>12</v>
      </c>
      <c r="D800" s="2">
        <f>D801+D802+D803+D805+D804+D806</f>
        <v>0</v>
      </c>
      <c r="E800" s="2"/>
      <c r="F800" s="11"/>
      <c r="G800" s="18"/>
      <c r="H800" s="18"/>
      <c r="I800" s="18">
        <f t="shared" si="59"/>
        <v>0</v>
      </c>
    </row>
    <row r="801" spans="1:9" hidden="1" outlineLevel="1" x14ac:dyDescent="0.25">
      <c r="A801" s="84"/>
      <c r="B801" s="28" t="s">
        <v>251</v>
      </c>
      <c r="C801" s="21" t="s">
        <v>12</v>
      </c>
      <c r="D801" s="2">
        <v>0</v>
      </c>
      <c r="E801" s="18"/>
      <c r="F801" s="60">
        <v>278</v>
      </c>
      <c r="G801" s="18"/>
      <c r="H801" s="18">
        <f t="shared" si="60"/>
        <v>0</v>
      </c>
      <c r="I801" s="18">
        <f t="shared" si="59"/>
        <v>0</v>
      </c>
    </row>
    <row r="802" spans="1:9" hidden="1" outlineLevel="1" x14ac:dyDescent="0.25">
      <c r="A802" s="84"/>
      <c r="B802" s="28" t="s">
        <v>252</v>
      </c>
      <c r="C802" s="21" t="s">
        <v>12</v>
      </c>
      <c r="D802" s="2">
        <v>0</v>
      </c>
      <c r="E802" s="18"/>
      <c r="F802" s="60">
        <v>143</v>
      </c>
      <c r="G802" s="18"/>
      <c r="H802" s="18">
        <f t="shared" si="60"/>
        <v>0</v>
      </c>
      <c r="I802" s="18">
        <f t="shared" si="59"/>
        <v>0</v>
      </c>
    </row>
    <row r="803" spans="1:9" hidden="1" outlineLevel="1" x14ac:dyDescent="0.25">
      <c r="A803" s="84"/>
      <c r="B803" s="28" t="s">
        <v>253</v>
      </c>
      <c r="C803" s="21" t="s">
        <v>12</v>
      </c>
      <c r="D803" s="2">
        <v>0</v>
      </c>
      <c r="E803" s="18"/>
      <c r="F803" s="60">
        <v>89.7</v>
      </c>
      <c r="G803" s="18"/>
      <c r="H803" s="18">
        <f t="shared" si="60"/>
        <v>0</v>
      </c>
      <c r="I803" s="18">
        <f t="shared" si="59"/>
        <v>0</v>
      </c>
    </row>
    <row r="804" spans="1:9" hidden="1" outlineLevel="1" x14ac:dyDescent="0.25">
      <c r="A804" s="84"/>
      <c r="B804" s="74" t="s">
        <v>488</v>
      </c>
      <c r="C804" s="2" t="s">
        <v>12</v>
      </c>
      <c r="D804" s="2">
        <v>0</v>
      </c>
      <c r="E804" s="2"/>
      <c r="F804" s="60">
        <v>1320</v>
      </c>
      <c r="G804" s="18"/>
      <c r="H804" s="18">
        <f t="shared" si="60"/>
        <v>0</v>
      </c>
      <c r="I804" s="18">
        <f t="shared" si="59"/>
        <v>0</v>
      </c>
    </row>
    <row r="805" spans="1:9" hidden="1" outlineLevel="1" x14ac:dyDescent="0.25">
      <c r="A805" s="84"/>
      <c r="B805" s="74" t="s">
        <v>487</v>
      </c>
      <c r="C805" s="2" t="s">
        <v>12</v>
      </c>
      <c r="D805" s="2">
        <v>0</v>
      </c>
      <c r="E805" s="2"/>
      <c r="F805" s="60">
        <v>1200</v>
      </c>
      <c r="G805" s="18"/>
      <c r="H805" s="18">
        <f t="shared" si="60"/>
        <v>0</v>
      </c>
      <c r="I805" s="18">
        <f t="shared" si="59"/>
        <v>0</v>
      </c>
    </row>
    <row r="806" spans="1:9" hidden="1" outlineLevel="1" x14ac:dyDescent="0.25">
      <c r="A806" s="84"/>
      <c r="B806" s="28" t="s">
        <v>459</v>
      </c>
      <c r="C806" s="21" t="s">
        <v>12</v>
      </c>
      <c r="D806" s="2">
        <v>0</v>
      </c>
      <c r="E806" s="2"/>
      <c r="F806" s="60">
        <v>490</v>
      </c>
      <c r="G806" s="18"/>
      <c r="H806" s="18">
        <f t="shared" si="60"/>
        <v>0</v>
      </c>
      <c r="I806" s="18">
        <f t="shared" si="59"/>
        <v>0</v>
      </c>
    </row>
    <row r="807" spans="1:9" hidden="1" outlineLevel="1" x14ac:dyDescent="0.25">
      <c r="A807" s="84"/>
      <c r="B807" s="74" t="s">
        <v>255</v>
      </c>
      <c r="C807" s="2" t="s">
        <v>12</v>
      </c>
      <c r="D807" s="2">
        <v>0</v>
      </c>
      <c r="E807" s="2"/>
      <c r="F807" s="11">
        <v>22.22</v>
      </c>
      <c r="G807" s="18"/>
      <c r="H807" s="18">
        <f t="shared" si="60"/>
        <v>0</v>
      </c>
      <c r="I807" s="18">
        <f t="shared" si="59"/>
        <v>0</v>
      </c>
    </row>
    <row r="808" spans="1:9" hidden="1" outlineLevel="1" x14ac:dyDescent="0.25">
      <c r="A808" s="84"/>
      <c r="B808" s="74" t="s">
        <v>256</v>
      </c>
      <c r="C808" s="2" t="s">
        <v>12</v>
      </c>
      <c r="D808" s="2">
        <v>0</v>
      </c>
      <c r="E808" s="2"/>
      <c r="F808" s="11">
        <v>16.760000000000002</v>
      </c>
      <c r="G808" s="18"/>
      <c r="H808" s="18">
        <f t="shared" si="60"/>
        <v>0</v>
      </c>
      <c r="I808" s="18">
        <f t="shared" si="59"/>
        <v>0</v>
      </c>
    </row>
    <row r="809" spans="1:9" hidden="1" outlineLevel="1" x14ac:dyDescent="0.25">
      <c r="A809" s="84"/>
      <c r="B809" s="74" t="s">
        <v>461</v>
      </c>
      <c r="C809" s="2" t="s">
        <v>12</v>
      </c>
      <c r="D809" s="2">
        <v>0</v>
      </c>
      <c r="E809" s="2"/>
      <c r="F809" s="11">
        <v>54.92</v>
      </c>
      <c r="G809" s="18"/>
      <c r="H809" s="18">
        <f t="shared" si="60"/>
        <v>0</v>
      </c>
      <c r="I809" s="18">
        <f t="shared" si="59"/>
        <v>0</v>
      </c>
    </row>
    <row r="810" spans="1:9" hidden="1" outlineLevel="1" x14ac:dyDescent="0.25">
      <c r="A810" s="84"/>
      <c r="B810" s="74" t="s">
        <v>257</v>
      </c>
      <c r="C810" s="2" t="s">
        <v>12</v>
      </c>
      <c r="D810" s="2">
        <v>0</v>
      </c>
      <c r="E810" s="2"/>
      <c r="F810" s="11">
        <v>19.12</v>
      </c>
      <c r="G810" s="18"/>
      <c r="H810" s="18">
        <f t="shared" si="60"/>
        <v>0</v>
      </c>
      <c r="I810" s="18">
        <f t="shared" si="59"/>
        <v>0</v>
      </c>
    </row>
    <row r="811" spans="1:9" hidden="1" outlineLevel="1" x14ac:dyDescent="0.25">
      <c r="A811" s="84"/>
      <c r="B811" s="74" t="s">
        <v>258</v>
      </c>
      <c r="C811" s="2" t="s">
        <v>12</v>
      </c>
      <c r="D811" s="2">
        <v>0</v>
      </c>
      <c r="E811" s="2"/>
      <c r="F811" s="11">
        <v>19.13</v>
      </c>
      <c r="G811" s="18"/>
      <c r="H811" s="18">
        <f t="shared" si="60"/>
        <v>0</v>
      </c>
      <c r="I811" s="18">
        <f t="shared" si="59"/>
        <v>0</v>
      </c>
    </row>
    <row r="812" spans="1:9" hidden="1" outlineLevel="1" x14ac:dyDescent="0.25">
      <c r="A812" s="84"/>
      <c r="B812" s="74" t="s">
        <v>462</v>
      </c>
      <c r="C812" s="2" t="s">
        <v>12</v>
      </c>
      <c r="D812" s="2">
        <v>0</v>
      </c>
      <c r="E812" s="2"/>
      <c r="F812" s="11">
        <v>32.700000000000003</v>
      </c>
      <c r="G812" s="18"/>
      <c r="H812" s="18">
        <f>ROUND(D812*F812,2)</f>
        <v>0</v>
      </c>
      <c r="I812" s="18">
        <f>G812+H812</f>
        <v>0</v>
      </c>
    </row>
    <row r="813" spans="1:9" hidden="1" outlineLevel="1" x14ac:dyDescent="0.25">
      <c r="A813" s="84" t="s">
        <v>571</v>
      </c>
      <c r="B813" s="62" t="s">
        <v>259</v>
      </c>
      <c r="C813" s="2" t="s">
        <v>14</v>
      </c>
      <c r="D813" s="2">
        <v>0</v>
      </c>
      <c r="E813" s="2"/>
      <c r="F813" s="11"/>
      <c r="G813" s="18"/>
      <c r="H813" s="18"/>
      <c r="I813" s="18"/>
    </row>
    <row r="814" spans="1:9" hidden="1" outlineLevel="1" x14ac:dyDescent="0.25">
      <c r="A814" s="84"/>
      <c r="B814" s="28" t="s">
        <v>260</v>
      </c>
      <c r="C814" s="21" t="s">
        <v>15</v>
      </c>
      <c r="D814" s="2">
        <f>D813*0.2</f>
        <v>0</v>
      </c>
      <c r="E814" s="18"/>
      <c r="F814" s="60">
        <v>100</v>
      </c>
      <c r="G814" s="18"/>
      <c r="H814" s="18">
        <f>ROUND(D814*F814,2)</f>
        <v>0</v>
      </c>
      <c r="I814" s="18">
        <f>H814+G814</f>
        <v>0</v>
      </c>
    </row>
    <row r="815" spans="1:9" hidden="1" outlineLevel="1" x14ac:dyDescent="0.25">
      <c r="A815" s="84"/>
      <c r="B815" s="28" t="s">
        <v>261</v>
      </c>
      <c r="C815" s="21" t="s">
        <v>15</v>
      </c>
      <c r="D815" s="2">
        <f>D813*0.4</f>
        <v>0</v>
      </c>
      <c r="E815" s="18"/>
      <c r="F815" s="60">
        <v>200</v>
      </c>
      <c r="G815" s="18"/>
      <c r="H815" s="18">
        <f>ROUND(D815*F815,2)</f>
        <v>0</v>
      </c>
      <c r="I815" s="18">
        <f>H815+G815</f>
        <v>0</v>
      </c>
    </row>
    <row r="816" spans="1:9" hidden="1" outlineLevel="1" x14ac:dyDescent="0.25">
      <c r="A816" s="84" t="s">
        <v>572</v>
      </c>
      <c r="B816" s="183" t="s">
        <v>464</v>
      </c>
      <c r="C816" s="178" t="s">
        <v>29</v>
      </c>
      <c r="D816" s="179">
        <f>D791</f>
        <v>0</v>
      </c>
      <c r="E816" s="180"/>
      <c r="F816" s="181"/>
      <c r="G816" s="182"/>
      <c r="H816" s="18"/>
      <c r="I816" s="18"/>
    </row>
    <row r="817" spans="1:9" outlineLevel="1" x14ac:dyDescent="0.25">
      <c r="A817" s="84" t="s">
        <v>1580</v>
      </c>
      <c r="B817" s="308" t="s">
        <v>1485</v>
      </c>
      <c r="C817" s="31" t="s">
        <v>173</v>
      </c>
      <c r="D817" s="306">
        <v>1</v>
      </c>
      <c r="E817" s="256">
        <f>G818</f>
        <v>0</v>
      </c>
      <c r="F817" s="57">
        <f>H818</f>
        <v>0</v>
      </c>
      <c r="G817" s="18">
        <f>D817*E817</f>
        <v>0</v>
      </c>
      <c r="H817" s="18">
        <f>F817*D817</f>
        <v>0</v>
      </c>
      <c r="I817" s="18">
        <f>G817+H817</f>
        <v>0</v>
      </c>
    </row>
    <row r="818" spans="1:9" s="5" customFormat="1" x14ac:dyDescent="0.25">
      <c r="A818" s="223"/>
      <c r="B818" s="233" t="s">
        <v>63</v>
      </c>
      <c r="C818" s="234"/>
      <c r="D818" s="235"/>
      <c r="E818" s="236"/>
      <c r="F818" s="237"/>
      <c r="G818" s="236"/>
      <c r="H818" s="236"/>
      <c r="I818" s="236"/>
    </row>
    <row r="819" spans="1:9" s="5" customFormat="1" ht="18.600000000000001" customHeight="1" x14ac:dyDescent="0.25">
      <c r="A819" s="84"/>
      <c r="B819" s="471" t="s">
        <v>624</v>
      </c>
      <c r="C819" s="9"/>
      <c r="D819" s="31"/>
      <c r="E819" s="10"/>
      <c r="F819" s="57"/>
      <c r="G819" s="10"/>
      <c r="H819" s="10"/>
      <c r="I819" s="31">
        <f>ROUND(I818/1.18*0.18,2)</f>
        <v>0</v>
      </c>
    </row>
    <row r="820" spans="1:9" s="5" customFormat="1" ht="18.600000000000001" customHeight="1" x14ac:dyDescent="0.25">
      <c r="A820" s="84"/>
      <c r="B820" s="794" t="s">
        <v>1564</v>
      </c>
      <c r="C820" s="9"/>
      <c r="D820" s="31"/>
      <c r="E820" s="10"/>
      <c r="F820" s="57"/>
      <c r="G820" s="10"/>
      <c r="H820" s="10"/>
      <c r="I820" s="31"/>
    </row>
    <row r="821" spans="1:9" s="5" customFormat="1" ht="18.600000000000001" customHeight="1" x14ac:dyDescent="0.25">
      <c r="A821" s="84" t="s">
        <v>1565</v>
      </c>
      <c r="B821" s="471" t="s">
        <v>1562</v>
      </c>
      <c r="C821" s="9"/>
      <c r="D821" s="31"/>
      <c r="E821" s="10"/>
      <c r="F821" s="57"/>
      <c r="G821" s="10">
        <f>I821</f>
        <v>846039.58214000007</v>
      </c>
      <c r="H821" s="10"/>
      <c r="I821" s="31">
        <f>(I17+I19+I23+I26+I28+I37+I39+I42+I48+I59+I66+I81+I93+I109+I133+I137+I147+I172+I175+I185+I200+I221+I242+I232+I235+I315+I313+I319+I325+I333+I357+I393+I422+I433+I438+I479+I484+I488+I497+G629+G607+G659+G780)*0.08</f>
        <v>846039.58214000007</v>
      </c>
    </row>
    <row r="822" spans="1:9" s="5" customFormat="1" ht="18.600000000000001" customHeight="1" x14ac:dyDescent="0.25">
      <c r="A822" s="84" t="s">
        <v>1566</v>
      </c>
      <c r="B822" s="471" t="s">
        <v>1553</v>
      </c>
      <c r="C822" s="9"/>
      <c r="D822" s="31"/>
      <c r="E822" s="10"/>
      <c r="F822" s="57"/>
      <c r="G822" s="10">
        <f>5*4*40000</f>
        <v>800000</v>
      </c>
      <c r="H822" s="10"/>
      <c r="I822" s="31">
        <f>G822</f>
        <v>800000</v>
      </c>
    </row>
    <row r="823" spans="1:9" s="5" customFormat="1" ht="18.600000000000001" customHeight="1" x14ac:dyDescent="0.25">
      <c r="A823" s="84" t="s">
        <v>1567</v>
      </c>
      <c r="B823" s="471" t="s">
        <v>1554</v>
      </c>
      <c r="C823" s="9"/>
      <c r="D823" s="31"/>
      <c r="E823" s="10"/>
      <c r="F823" s="57"/>
      <c r="G823" s="10">
        <f>4*4*30000</f>
        <v>480000</v>
      </c>
      <c r="H823" s="10"/>
      <c r="I823" s="31">
        <f t="shared" ref="I823:I829" si="61">G823</f>
        <v>480000</v>
      </c>
    </row>
    <row r="824" spans="1:9" s="5" customFormat="1" ht="18.600000000000001" customHeight="1" x14ac:dyDescent="0.25">
      <c r="A824" s="84" t="s">
        <v>1568</v>
      </c>
      <c r="B824" s="471" t="s">
        <v>1544</v>
      </c>
      <c r="C824" s="9"/>
      <c r="D824" s="31"/>
      <c r="E824" s="10"/>
      <c r="F824" s="57"/>
      <c r="G824" s="10">
        <v>500000</v>
      </c>
      <c r="H824" s="10"/>
      <c r="I824" s="31">
        <f t="shared" si="61"/>
        <v>500000</v>
      </c>
    </row>
    <row r="825" spans="1:9" s="5" customFormat="1" ht="18.600000000000001" customHeight="1" x14ac:dyDescent="0.25">
      <c r="A825" s="84" t="s">
        <v>1569</v>
      </c>
      <c r="B825" s="471" t="s">
        <v>1555</v>
      </c>
      <c r="C825" s="9"/>
      <c r="D825" s="31"/>
      <c r="E825" s="10"/>
      <c r="F825" s="57"/>
      <c r="G825" s="10">
        <v>700000</v>
      </c>
      <c r="H825" s="10"/>
      <c r="I825" s="31">
        <f t="shared" si="61"/>
        <v>700000</v>
      </c>
    </row>
    <row r="826" spans="1:9" s="5" customFormat="1" ht="18.600000000000001" customHeight="1" x14ac:dyDescent="0.25">
      <c r="A826" s="84" t="s">
        <v>1570</v>
      </c>
      <c r="B826" s="471" t="s">
        <v>1556</v>
      </c>
      <c r="C826" s="9"/>
      <c r="D826" s="31"/>
      <c r="E826" s="10"/>
      <c r="F826" s="57"/>
      <c r="G826" s="10">
        <v>200000</v>
      </c>
      <c r="H826" s="10"/>
      <c r="I826" s="31">
        <f t="shared" si="61"/>
        <v>200000</v>
      </c>
    </row>
    <row r="827" spans="1:9" s="5" customFormat="1" ht="18.600000000000001" customHeight="1" x14ac:dyDescent="0.25">
      <c r="A827" s="84" t="s">
        <v>1571</v>
      </c>
      <c r="B827" s="471" t="s">
        <v>1557</v>
      </c>
      <c r="C827" s="9"/>
      <c r="D827" s="31"/>
      <c r="E827" s="10"/>
      <c r="F827" s="57"/>
      <c r="G827" s="10">
        <v>200000</v>
      </c>
      <c r="H827" s="10"/>
      <c r="I827" s="31">
        <f t="shared" si="61"/>
        <v>200000</v>
      </c>
    </row>
    <row r="828" spans="1:9" s="5" customFormat="1" ht="18.600000000000001" customHeight="1" x14ac:dyDescent="0.25">
      <c r="A828" s="84" t="s">
        <v>1572</v>
      </c>
      <c r="B828" s="471" t="s">
        <v>1558</v>
      </c>
      <c r="C828" s="9"/>
      <c r="D828" s="31"/>
      <c r="E828" s="10"/>
      <c r="F828" s="57"/>
      <c r="G828" s="10">
        <v>350000</v>
      </c>
      <c r="H828" s="10"/>
      <c r="I828" s="31">
        <f t="shared" si="61"/>
        <v>350000</v>
      </c>
    </row>
    <row r="829" spans="1:9" s="5" customFormat="1" ht="18.600000000000001" customHeight="1" x14ac:dyDescent="0.25">
      <c r="A829" s="84" t="s">
        <v>1573</v>
      </c>
      <c r="B829" s="471" t="s">
        <v>1559</v>
      </c>
      <c r="C829" s="9"/>
      <c r="D829" s="31"/>
      <c r="E829" s="10"/>
      <c r="F829" s="57"/>
      <c r="G829" s="10">
        <v>750000</v>
      </c>
      <c r="H829" s="10"/>
      <c r="I829" s="31">
        <f t="shared" si="61"/>
        <v>750000</v>
      </c>
    </row>
    <row r="830" spans="1:9" s="5" customFormat="1" ht="25.5" customHeight="1" x14ac:dyDescent="0.25">
      <c r="A830" s="241"/>
      <c r="B830" s="242" t="s">
        <v>24</v>
      </c>
      <c r="C830" s="243"/>
      <c r="D830" s="244"/>
      <c r="E830" s="243"/>
      <c r="F830" s="242"/>
      <c r="G830" s="243">
        <f>G56+G124+G197+G384+G390+G411+G418+G476+G494+G505+G607+G659+G780+G818+G629+G447+G322+G229+G255+G822+G823+G824+G825+G826+G827+G828+G829</f>
        <v>21653468.919650003</v>
      </c>
      <c r="H830" s="243">
        <f>H56+H124+H197+H384+H390+H411+H418+H476+H494+H505+H607+H659+H780+H818+H629+H447+H322+H255+H229</f>
        <v>43827492.564073682</v>
      </c>
      <c r="I830" s="243">
        <f>I818+I780+I659+I629+I607+I505+I494+I476+I418+I411+I390+I384+I197+I124+I56+I229+I255+I322+I447+I822+I823+I824+I825+I826+I827+I828+I829+I821</f>
        <v>66327001.065863684</v>
      </c>
    </row>
    <row r="831" spans="1:9" s="101" customFormat="1" ht="21" customHeight="1" x14ac:dyDescent="0.25">
      <c r="A831" s="245"/>
      <c r="B831" s="246" t="s">
        <v>26</v>
      </c>
      <c r="C831" s="247"/>
      <c r="D831" s="247"/>
      <c r="E831" s="247"/>
      <c r="F831" s="246"/>
      <c r="G831" s="247"/>
      <c r="H831" s="247"/>
      <c r="I831" s="247">
        <f>I830/1.18*18/100</f>
        <v>10117678.12869107</v>
      </c>
    </row>
    <row r="832" spans="1:9" ht="25.5" customHeight="1" x14ac:dyDescent="0.25">
      <c r="A832" s="98"/>
      <c r="B832" s="99" t="s">
        <v>342</v>
      </c>
      <c r="C832" s="100"/>
      <c r="D832" s="100"/>
      <c r="E832" s="100"/>
      <c r="F832" s="99"/>
      <c r="G832" s="100">
        <f>G830/C10</f>
        <v>6299.7407540003505</v>
      </c>
      <c r="H832" s="100">
        <f>H830/C10</f>
        <v>12750.928826973608</v>
      </c>
      <c r="I832" s="100">
        <f>I830/C10</f>
        <v>19296.81166817866</v>
      </c>
    </row>
  </sheetData>
  <mergeCells count="21">
    <mergeCell ref="D14:D15"/>
    <mergeCell ref="E14:F14"/>
    <mergeCell ref="B16:E16"/>
    <mergeCell ref="B58:F58"/>
    <mergeCell ref="M14:N14"/>
    <mergeCell ref="B420:F420"/>
    <mergeCell ref="B507:D507"/>
    <mergeCell ref="B7:H7"/>
    <mergeCell ref="B8:H8"/>
    <mergeCell ref="G9:H9"/>
    <mergeCell ref="A10:B10"/>
    <mergeCell ref="F10:H10"/>
    <mergeCell ref="A14:A15"/>
    <mergeCell ref="B14:B15"/>
    <mergeCell ref="C14:C15"/>
    <mergeCell ref="J712:J721"/>
    <mergeCell ref="J728:J729"/>
    <mergeCell ref="J772:J778"/>
    <mergeCell ref="K790:L790"/>
    <mergeCell ref="G14:H14"/>
    <mergeCell ref="I14:I1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workbookViewId="0">
      <pane ySplit="1" topLeftCell="A5" activePane="bottomLeft" state="frozen"/>
      <selection pane="bottomLeft" activeCell="H70" sqref="H70"/>
    </sheetView>
  </sheetViews>
  <sheetFormatPr defaultColWidth="9" defaultRowHeight="13.8" x14ac:dyDescent="0.25"/>
  <cols>
    <col min="1" max="1" width="9" style="288"/>
    <col min="2" max="2" width="18.44140625" style="288" customWidth="1"/>
    <col min="3" max="6" width="9" style="288"/>
    <col min="7" max="7" width="10.33203125" style="288" customWidth="1"/>
    <col min="8" max="8" width="13.44140625" style="288" customWidth="1"/>
    <col min="9" max="9" width="13" style="288" customWidth="1"/>
    <col min="10" max="10" width="15.109375" style="288" customWidth="1"/>
    <col min="11" max="11" width="9.88671875" style="288" bestFit="1" customWidth="1"/>
    <col min="12" max="16384" width="9" style="288"/>
  </cols>
  <sheetData>
    <row r="1" spans="2:13" x14ac:dyDescent="0.25">
      <c r="C1" s="348" t="s">
        <v>864</v>
      </c>
      <c r="D1" s="348" t="s">
        <v>865</v>
      </c>
      <c r="E1" s="348" t="s">
        <v>866</v>
      </c>
      <c r="F1" s="338"/>
      <c r="G1" s="339"/>
      <c r="H1" s="288" t="s">
        <v>1021</v>
      </c>
      <c r="L1" s="338"/>
      <c r="M1" s="339"/>
    </row>
    <row r="2" spans="2:13" ht="15.6" x14ac:dyDescent="0.25">
      <c r="B2" s="377" t="s">
        <v>855</v>
      </c>
      <c r="C2" s="288">
        <v>16</v>
      </c>
      <c r="D2" s="288">
        <v>16</v>
      </c>
      <c r="E2" s="288">
        <v>22</v>
      </c>
      <c r="F2" s="288">
        <f>SUM(C2:E2)</f>
        <v>54</v>
      </c>
    </row>
    <row r="3" spans="2:13" ht="15.6" x14ac:dyDescent="0.25">
      <c r="B3" s="377" t="s">
        <v>857</v>
      </c>
      <c r="C3" s="300">
        <v>2</v>
      </c>
      <c r="D3" s="288">
        <v>2</v>
      </c>
      <c r="E3" s="288">
        <v>5</v>
      </c>
      <c r="F3" s="288">
        <f t="shared" ref="F3:F45" si="0">SUM(C3:E3)</f>
        <v>9</v>
      </c>
    </row>
    <row r="4" spans="2:13" ht="15.6" x14ac:dyDescent="0.25">
      <c r="B4" s="377" t="s">
        <v>871</v>
      </c>
      <c r="C4" s="300">
        <v>6</v>
      </c>
      <c r="D4" s="288">
        <v>6</v>
      </c>
      <c r="E4" s="288">
        <v>15</v>
      </c>
      <c r="F4" s="288">
        <f t="shared" si="0"/>
        <v>27</v>
      </c>
    </row>
    <row r="5" spans="2:13" ht="15.6" x14ac:dyDescent="0.25">
      <c r="B5" s="377" t="s">
        <v>858</v>
      </c>
      <c r="C5" s="300">
        <v>1</v>
      </c>
      <c r="D5" s="288">
        <v>1</v>
      </c>
      <c r="E5" s="288">
        <v>10</v>
      </c>
      <c r="F5" s="288">
        <f t="shared" si="0"/>
        <v>12</v>
      </c>
    </row>
    <row r="6" spans="2:13" ht="15.6" x14ac:dyDescent="0.25">
      <c r="B6" s="377" t="s">
        <v>859</v>
      </c>
      <c r="C6" s="300">
        <v>1</v>
      </c>
      <c r="D6" s="288">
        <v>1</v>
      </c>
      <c r="E6" s="288">
        <v>1</v>
      </c>
      <c r="F6" s="288">
        <f t="shared" si="0"/>
        <v>3</v>
      </c>
    </row>
    <row r="7" spans="2:13" ht="15.6" x14ac:dyDescent="0.25">
      <c r="B7" s="361" t="s">
        <v>872</v>
      </c>
      <c r="C7" s="300">
        <v>57</v>
      </c>
      <c r="D7" s="288">
        <v>57</v>
      </c>
      <c r="E7" s="288">
        <v>54</v>
      </c>
      <c r="F7" s="288">
        <f t="shared" si="0"/>
        <v>168</v>
      </c>
    </row>
    <row r="8" spans="2:13" ht="15.6" x14ac:dyDescent="0.25">
      <c r="B8" s="361" t="s">
        <v>873</v>
      </c>
      <c r="C8" s="300">
        <v>3</v>
      </c>
      <c r="D8" s="288">
        <v>3</v>
      </c>
      <c r="F8" s="288">
        <f t="shared" si="0"/>
        <v>6</v>
      </c>
    </row>
    <row r="9" spans="2:13" ht="15.6" x14ac:dyDescent="0.25">
      <c r="B9" s="45" t="s">
        <v>876</v>
      </c>
      <c r="C9" s="300"/>
      <c r="E9" s="288">
        <v>21</v>
      </c>
      <c r="F9" s="288">
        <f t="shared" si="0"/>
        <v>21</v>
      </c>
    </row>
    <row r="10" spans="2:13" ht="15.6" x14ac:dyDescent="0.25">
      <c r="B10" s="45" t="s">
        <v>860</v>
      </c>
      <c r="C10" s="288">
        <v>4</v>
      </c>
      <c r="D10" s="288">
        <v>4</v>
      </c>
      <c r="F10" s="288">
        <f t="shared" si="0"/>
        <v>8</v>
      </c>
    </row>
    <row r="11" spans="2:13" ht="15.6" x14ac:dyDescent="0.25">
      <c r="B11" s="45" t="s">
        <v>880</v>
      </c>
      <c r="C11" s="288">
        <v>3</v>
      </c>
      <c r="D11" s="288">
        <v>3</v>
      </c>
      <c r="E11" s="288">
        <v>3</v>
      </c>
      <c r="F11" s="288">
        <f t="shared" si="0"/>
        <v>9</v>
      </c>
    </row>
    <row r="12" spans="2:13" ht="15.6" x14ac:dyDescent="0.25">
      <c r="B12" s="45" t="s">
        <v>877</v>
      </c>
      <c r="E12" s="288">
        <v>6</v>
      </c>
      <c r="F12" s="288">
        <f t="shared" si="0"/>
        <v>6</v>
      </c>
    </row>
    <row r="13" spans="2:13" ht="15.6" x14ac:dyDescent="0.25">
      <c r="B13" s="45" t="s">
        <v>895</v>
      </c>
      <c r="E13" s="288">
        <v>3</v>
      </c>
      <c r="F13" s="288">
        <f t="shared" si="0"/>
        <v>3</v>
      </c>
    </row>
    <row r="14" spans="2:13" ht="15.6" x14ac:dyDescent="0.25">
      <c r="B14" s="45" t="s">
        <v>861</v>
      </c>
      <c r="C14" s="288">
        <v>2</v>
      </c>
      <c r="D14" s="288">
        <v>2</v>
      </c>
      <c r="F14" s="288">
        <f t="shared" si="0"/>
        <v>4</v>
      </c>
    </row>
    <row r="15" spans="2:13" x14ac:dyDescent="0.25">
      <c r="B15" s="289" t="s">
        <v>856</v>
      </c>
      <c r="C15" s="288">
        <v>1</v>
      </c>
      <c r="D15" s="288">
        <v>1</v>
      </c>
      <c r="F15" s="288">
        <f t="shared" si="0"/>
        <v>2</v>
      </c>
      <c r="H15" s="288">
        <v>0.19</v>
      </c>
      <c r="I15" s="288">
        <f>H15*F15</f>
        <v>0.38</v>
      </c>
    </row>
    <row r="16" spans="2:13" x14ac:dyDescent="0.25">
      <c r="B16" s="289" t="s">
        <v>874</v>
      </c>
      <c r="C16" s="288">
        <v>7</v>
      </c>
      <c r="D16" s="288">
        <v>7</v>
      </c>
      <c r="E16" s="288">
        <v>12</v>
      </c>
      <c r="F16" s="288">
        <f t="shared" si="0"/>
        <v>26</v>
      </c>
      <c r="H16" s="288">
        <v>0.31</v>
      </c>
      <c r="I16" s="288">
        <f>H16*F16</f>
        <v>8.06</v>
      </c>
    </row>
    <row r="17" spans="2:13" x14ac:dyDescent="0.25">
      <c r="B17" s="289" t="s">
        <v>878</v>
      </c>
      <c r="E17" s="288">
        <v>4</v>
      </c>
      <c r="F17" s="288">
        <f t="shared" si="0"/>
        <v>4</v>
      </c>
      <c r="H17" s="288">
        <v>0.28000000000000003</v>
      </c>
      <c r="I17" s="288">
        <f>H17*F17</f>
        <v>1.1200000000000001</v>
      </c>
    </row>
    <row r="18" spans="2:13" x14ac:dyDescent="0.25">
      <c r="B18" s="289" t="s">
        <v>879</v>
      </c>
      <c r="E18" s="288">
        <v>4</v>
      </c>
      <c r="F18" s="288">
        <f t="shared" si="0"/>
        <v>4</v>
      </c>
      <c r="H18" s="288">
        <v>0.3</v>
      </c>
      <c r="I18" s="288">
        <f>H18*F18</f>
        <v>1.2</v>
      </c>
      <c r="J18" s="288">
        <f>SUM(I15:I18)</f>
        <v>10.760000000000002</v>
      </c>
    </row>
    <row r="19" spans="2:13" x14ac:dyDescent="0.25">
      <c r="B19" s="289" t="s">
        <v>875</v>
      </c>
      <c r="C19" s="288">
        <f>2*12.1+4*9.9</f>
        <v>63.8</v>
      </c>
      <c r="D19" s="288">
        <f>2*12.1+4*9.9</f>
        <v>63.8</v>
      </c>
      <c r="E19" s="288">
        <f>4*10.73</f>
        <v>42.92</v>
      </c>
      <c r="F19" s="288">
        <f t="shared" si="0"/>
        <v>170.51999999999998</v>
      </c>
    </row>
    <row r="20" spans="2:13" x14ac:dyDescent="0.25">
      <c r="B20" s="289" t="s">
        <v>881</v>
      </c>
      <c r="C20" s="288">
        <f>2*2.85</f>
        <v>5.7</v>
      </c>
      <c r="D20" s="288">
        <f>2*2.85</f>
        <v>5.7</v>
      </c>
      <c r="F20" s="288">
        <f t="shared" si="0"/>
        <v>11.4</v>
      </c>
      <c r="K20" s="370"/>
      <c r="M20" s="370"/>
    </row>
    <row r="21" spans="2:13" x14ac:dyDescent="0.25">
      <c r="B21" s="289" t="s">
        <v>882</v>
      </c>
      <c r="C21" s="288">
        <v>2</v>
      </c>
      <c r="D21" s="288">
        <v>2</v>
      </c>
      <c r="F21" s="288">
        <f t="shared" si="0"/>
        <v>4</v>
      </c>
      <c r="K21" s="300"/>
    </row>
    <row r="22" spans="2:13" x14ac:dyDescent="0.25">
      <c r="B22" s="289" t="s">
        <v>883</v>
      </c>
      <c r="C22" s="288">
        <f>24*0.68</f>
        <v>16.32</v>
      </c>
      <c r="D22" s="288">
        <f>24*0.68</f>
        <v>16.32</v>
      </c>
      <c r="E22" s="288">
        <f>54*0.68</f>
        <v>36.720000000000006</v>
      </c>
      <c r="F22" s="288">
        <f t="shared" si="0"/>
        <v>69.360000000000014</v>
      </c>
      <c r="J22" s="289"/>
    </row>
    <row r="23" spans="2:13" x14ac:dyDescent="0.25">
      <c r="B23" s="289" t="s">
        <v>884</v>
      </c>
      <c r="E23" s="288">
        <f>3*1.87</f>
        <v>5.61</v>
      </c>
      <c r="F23" s="288">
        <f t="shared" si="0"/>
        <v>5.61</v>
      </c>
      <c r="J23" s="289"/>
    </row>
    <row r="24" spans="2:13" x14ac:dyDescent="0.25">
      <c r="B24" s="289" t="s">
        <v>885</v>
      </c>
      <c r="C24" s="288">
        <f>4*3.12</f>
        <v>12.48</v>
      </c>
      <c r="D24" s="288">
        <f>4*3.12</f>
        <v>12.48</v>
      </c>
      <c r="E24" s="288">
        <f>6*3.12</f>
        <v>18.72</v>
      </c>
      <c r="F24" s="288">
        <f t="shared" si="0"/>
        <v>43.68</v>
      </c>
      <c r="J24" s="289"/>
    </row>
    <row r="25" spans="2:13" x14ac:dyDescent="0.25">
      <c r="B25" s="289"/>
      <c r="J25" s="289"/>
    </row>
    <row r="26" spans="2:13" x14ac:dyDescent="0.25">
      <c r="B26" s="289" t="s">
        <v>886</v>
      </c>
      <c r="E26" s="288">
        <v>66</v>
      </c>
      <c r="F26" s="288">
        <f t="shared" si="0"/>
        <v>66</v>
      </c>
    </row>
    <row r="27" spans="2:13" x14ac:dyDescent="0.25">
      <c r="B27" s="292" t="s">
        <v>887</v>
      </c>
      <c r="E27" s="288">
        <v>9</v>
      </c>
      <c r="F27" s="288">
        <f t="shared" si="0"/>
        <v>9</v>
      </c>
      <c r="K27" s="300"/>
    </row>
    <row r="28" spans="2:13" x14ac:dyDescent="0.25">
      <c r="B28" s="289" t="s">
        <v>888</v>
      </c>
      <c r="C28" s="288">
        <v>6</v>
      </c>
      <c r="D28" s="288">
        <v>6</v>
      </c>
      <c r="E28" s="288">
        <v>18</v>
      </c>
      <c r="F28" s="288">
        <f t="shared" si="0"/>
        <v>30</v>
      </c>
      <c r="J28" s="289"/>
    </row>
    <row r="29" spans="2:13" x14ac:dyDescent="0.25">
      <c r="B29" s="289" t="s">
        <v>889</v>
      </c>
      <c r="C29" s="288">
        <v>39</v>
      </c>
      <c r="D29" s="288">
        <v>39</v>
      </c>
      <c r="E29" s="288">
        <v>57</v>
      </c>
      <c r="F29" s="288">
        <f t="shared" si="0"/>
        <v>135</v>
      </c>
      <c r="J29" s="289"/>
    </row>
    <row r="30" spans="2:13" x14ac:dyDescent="0.25">
      <c r="B30" s="289" t="s">
        <v>744</v>
      </c>
      <c r="E30" s="288">
        <v>12</v>
      </c>
      <c r="F30" s="288">
        <f t="shared" si="0"/>
        <v>12</v>
      </c>
      <c r="J30" s="289"/>
    </row>
    <row r="31" spans="2:13" x14ac:dyDescent="0.25">
      <c r="B31" s="289" t="s">
        <v>890</v>
      </c>
      <c r="C31" s="288">
        <v>5</v>
      </c>
      <c r="E31" s="288">
        <v>5</v>
      </c>
      <c r="F31" s="288">
        <f t="shared" si="0"/>
        <v>10</v>
      </c>
    </row>
    <row r="32" spans="2:13" x14ac:dyDescent="0.25">
      <c r="B32" s="292" t="s">
        <v>891</v>
      </c>
      <c r="C32" s="288">
        <v>33</v>
      </c>
      <c r="D32" s="288">
        <v>33</v>
      </c>
      <c r="F32" s="288">
        <f t="shared" si="0"/>
        <v>66</v>
      </c>
      <c r="K32" s="300"/>
    </row>
    <row r="33" spans="1:11" x14ac:dyDescent="0.25">
      <c r="A33" s="300"/>
      <c r="B33" s="289" t="s">
        <v>892</v>
      </c>
      <c r="C33" s="288">
        <v>6</v>
      </c>
      <c r="D33" s="288">
        <v>6</v>
      </c>
      <c r="F33" s="288">
        <f t="shared" si="0"/>
        <v>12</v>
      </c>
    </row>
    <row r="34" spans="1:11" x14ac:dyDescent="0.25">
      <c r="A34" s="300"/>
      <c r="B34" s="289" t="s">
        <v>893</v>
      </c>
      <c r="C34" s="288">
        <v>1</v>
      </c>
      <c r="D34" s="288">
        <v>6</v>
      </c>
      <c r="F34" s="288">
        <f t="shared" si="0"/>
        <v>7</v>
      </c>
    </row>
    <row r="35" spans="1:11" x14ac:dyDescent="0.25">
      <c r="A35" s="300"/>
      <c r="B35" s="289" t="s">
        <v>747</v>
      </c>
      <c r="C35" s="288">
        <v>8</v>
      </c>
      <c r="D35" s="288">
        <v>8</v>
      </c>
      <c r="E35" s="288">
        <v>12</v>
      </c>
      <c r="F35" s="288">
        <f t="shared" si="0"/>
        <v>28</v>
      </c>
    </row>
    <row r="36" spans="1:11" x14ac:dyDescent="0.25">
      <c r="A36" s="300"/>
      <c r="B36" s="289" t="s">
        <v>749</v>
      </c>
      <c r="E36" s="288">
        <v>4</v>
      </c>
      <c r="F36" s="288">
        <f t="shared" si="0"/>
        <v>4</v>
      </c>
    </row>
    <row r="37" spans="1:11" x14ac:dyDescent="0.25">
      <c r="A37" s="300"/>
      <c r="B37" s="289" t="s">
        <v>750</v>
      </c>
      <c r="E37" s="288">
        <v>4</v>
      </c>
      <c r="F37" s="288">
        <f t="shared" si="0"/>
        <v>4</v>
      </c>
    </row>
    <row r="38" spans="1:11" x14ac:dyDescent="0.25">
      <c r="A38" s="300"/>
      <c r="B38" s="289" t="s">
        <v>894</v>
      </c>
      <c r="C38" s="288">
        <f>12*0.9</f>
        <v>10.8</v>
      </c>
      <c r="D38" s="288">
        <f>12*0.9</f>
        <v>10.8</v>
      </c>
      <c r="E38" s="288">
        <f>6*0.9</f>
        <v>5.4</v>
      </c>
      <c r="F38" s="288">
        <f t="shared" si="0"/>
        <v>27</v>
      </c>
    </row>
    <row r="39" spans="1:11" x14ac:dyDescent="0.25">
      <c r="A39" s="300"/>
      <c r="B39" s="289" t="s">
        <v>900</v>
      </c>
      <c r="C39" s="288">
        <f>46*1.73</f>
        <v>79.58</v>
      </c>
      <c r="D39" s="288">
        <f>46*1.73</f>
        <v>79.58</v>
      </c>
      <c r="E39" s="288">
        <f>124*1.73</f>
        <v>214.52</v>
      </c>
      <c r="F39" s="288">
        <f t="shared" si="0"/>
        <v>373.68</v>
      </c>
    </row>
    <row r="40" spans="1:11" x14ac:dyDescent="0.25">
      <c r="A40" s="300"/>
      <c r="B40" s="289" t="s">
        <v>896</v>
      </c>
      <c r="C40" s="288">
        <f>12*15.42</f>
        <v>185.04</v>
      </c>
      <c r="D40" s="288">
        <f>12*15.42</f>
        <v>185.04</v>
      </c>
      <c r="E40" s="288">
        <f>28*15.42</f>
        <v>431.76</v>
      </c>
      <c r="F40" s="288">
        <f t="shared" si="0"/>
        <v>801.83999999999992</v>
      </c>
    </row>
    <row r="41" spans="1:11" x14ac:dyDescent="0.25">
      <c r="A41" s="300"/>
      <c r="B41" s="289" t="s">
        <v>897</v>
      </c>
      <c r="C41" s="288">
        <f>44*0.87</f>
        <v>38.28</v>
      </c>
      <c r="D41" s="288">
        <f>44*0.87</f>
        <v>38.28</v>
      </c>
      <c r="E41" s="288">
        <f>69*0.87</f>
        <v>60.03</v>
      </c>
      <c r="F41" s="288">
        <f t="shared" si="0"/>
        <v>136.59</v>
      </c>
    </row>
    <row r="42" spans="1:11" x14ac:dyDescent="0.25">
      <c r="A42" s="300"/>
      <c r="B42" s="289" t="s">
        <v>898</v>
      </c>
      <c r="C42" s="288">
        <f>42*0.87</f>
        <v>36.54</v>
      </c>
      <c r="D42" s="288">
        <f>42*0.87</f>
        <v>36.54</v>
      </c>
      <c r="E42" s="288">
        <f>78*0.87</f>
        <v>67.86</v>
      </c>
      <c r="F42" s="288">
        <f t="shared" si="0"/>
        <v>140.94</v>
      </c>
    </row>
    <row r="43" spans="1:11" x14ac:dyDescent="0.25">
      <c r="A43" s="300"/>
      <c r="B43" s="289" t="s">
        <v>899</v>
      </c>
      <c r="C43" s="288">
        <f>8*2.55</f>
        <v>20.399999999999999</v>
      </c>
      <c r="D43" s="288">
        <f>8*2.55</f>
        <v>20.399999999999999</v>
      </c>
      <c r="E43" s="288">
        <f>22*2.55</f>
        <v>56.099999999999994</v>
      </c>
      <c r="F43" s="288">
        <f t="shared" si="0"/>
        <v>96.899999999999991</v>
      </c>
      <c r="G43" s="288">
        <f>SUM(F38:F43)</f>
        <v>1576.95</v>
      </c>
    </row>
    <row r="44" spans="1:11" x14ac:dyDescent="0.25">
      <c r="A44" s="300"/>
      <c r="B44" s="289" t="s">
        <v>901</v>
      </c>
      <c r="C44" s="288">
        <f>46*1.13</f>
        <v>51.98</v>
      </c>
      <c r="D44" s="288">
        <f>46*1.13</f>
        <v>51.98</v>
      </c>
      <c r="E44" s="288">
        <f>124*1.13</f>
        <v>140.11999999999998</v>
      </c>
      <c r="F44" s="288">
        <f t="shared" si="0"/>
        <v>244.07999999999998</v>
      </c>
    </row>
    <row r="45" spans="1:11" x14ac:dyDescent="0.25">
      <c r="B45" s="289" t="s">
        <v>875</v>
      </c>
      <c r="C45" s="288">
        <f>4*1.13</f>
        <v>4.5199999999999996</v>
      </c>
      <c r="D45" s="288">
        <f>4*1.13</f>
        <v>4.5199999999999996</v>
      </c>
      <c r="E45" s="288">
        <f>6*1.13</f>
        <v>6.7799999999999994</v>
      </c>
      <c r="F45" s="288">
        <f t="shared" si="0"/>
        <v>15.819999999999999</v>
      </c>
    </row>
    <row r="46" spans="1:11" x14ac:dyDescent="0.25">
      <c r="B46" s="292"/>
      <c r="C46" s="300"/>
      <c r="K46" s="300"/>
    </row>
    <row r="47" spans="1:11" x14ac:dyDescent="0.25">
      <c r="B47" s="289"/>
      <c r="C47" s="300"/>
    </row>
    <row r="48" spans="1:11" x14ac:dyDescent="0.25">
      <c r="B48" s="405" t="s">
        <v>874</v>
      </c>
      <c r="C48" s="300"/>
      <c r="E48" s="288">
        <f>SUM(E49:E54)</f>
        <v>78.37</v>
      </c>
      <c r="F48" s="288">
        <f>E48*F16</f>
        <v>2037.6200000000001</v>
      </c>
    </row>
    <row r="49" spans="2:11" x14ac:dyDescent="0.25">
      <c r="B49" s="289" t="s">
        <v>1015</v>
      </c>
      <c r="C49" s="433">
        <v>2</v>
      </c>
      <c r="D49" s="288">
        <v>13.9</v>
      </c>
      <c r="E49" s="288">
        <f>C49*D49</f>
        <v>27.8</v>
      </c>
    </row>
    <row r="50" spans="2:11" x14ac:dyDescent="0.25">
      <c r="B50" s="289" t="s">
        <v>1016</v>
      </c>
      <c r="C50" s="433">
        <v>3</v>
      </c>
      <c r="D50" s="288">
        <v>14.25</v>
      </c>
      <c r="E50" s="288">
        <f t="shared" ref="E50:E73" si="1">C50*D50</f>
        <v>42.75</v>
      </c>
    </row>
    <row r="51" spans="2:11" x14ac:dyDescent="0.25">
      <c r="B51" s="289" t="s">
        <v>1017</v>
      </c>
      <c r="C51" s="433">
        <v>8</v>
      </c>
      <c r="D51" s="288">
        <v>0.48</v>
      </c>
      <c r="E51" s="288">
        <f t="shared" si="1"/>
        <v>3.84</v>
      </c>
    </row>
    <row r="52" spans="2:11" x14ac:dyDescent="0.25">
      <c r="B52" s="289" t="s">
        <v>1018</v>
      </c>
      <c r="C52" s="433">
        <v>2</v>
      </c>
      <c r="D52" s="288">
        <v>0.46</v>
      </c>
      <c r="E52" s="288">
        <f t="shared" si="1"/>
        <v>0.92</v>
      </c>
    </row>
    <row r="53" spans="2:11" x14ac:dyDescent="0.25">
      <c r="B53" s="289" t="s">
        <v>1019</v>
      </c>
      <c r="C53" s="433">
        <v>18</v>
      </c>
      <c r="D53" s="288">
        <v>0.09</v>
      </c>
      <c r="E53" s="288">
        <f t="shared" si="1"/>
        <v>1.6199999999999999</v>
      </c>
    </row>
    <row r="54" spans="2:11" x14ac:dyDescent="0.25">
      <c r="B54" s="319" t="s">
        <v>1020</v>
      </c>
      <c r="C54" s="433">
        <v>18</v>
      </c>
      <c r="D54" s="288">
        <v>0.08</v>
      </c>
      <c r="E54" s="288">
        <f t="shared" si="1"/>
        <v>1.44</v>
      </c>
      <c r="K54" s="300"/>
    </row>
    <row r="55" spans="2:11" x14ac:dyDescent="0.25">
      <c r="B55" s="405" t="s">
        <v>879</v>
      </c>
      <c r="C55" s="433"/>
      <c r="E55" s="288">
        <f>SUM(E56:E61)</f>
        <v>24.930000000000003</v>
      </c>
      <c r="F55" s="288">
        <f>E55*F18</f>
        <v>99.720000000000013</v>
      </c>
      <c r="J55" s="300"/>
    </row>
    <row r="56" spans="2:11" x14ac:dyDescent="0.25">
      <c r="B56" s="319" t="s">
        <v>1022</v>
      </c>
      <c r="C56" s="433">
        <v>2</v>
      </c>
      <c r="D56" s="288">
        <v>4.07</v>
      </c>
      <c r="E56" s="288">
        <f t="shared" si="1"/>
        <v>8.14</v>
      </c>
      <c r="J56" s="300"/>
    </row>
    <row r="57" spans="2:11" x14ac:dyDescent="0.25">
      <c r="B57" s="319" t="s">
        <v>1023</v>
      </c>
      <c r="C57" s="433">
        <v>2</v>
      </c>
      <c r="D57" s="288">
        <v>4.4000000000000004</v>
      </c>
      <c r="E57" s="288">
        <f t="shared" si="1"/>
        <v>8.8000000000000007</v>
      </c>
    </row>
    <row r="58" spans="2:11" x14ac:dyDescent="0.25">
      <c r="B58" s="319" t="s">
        <v>1017</v>
      </c>
      <c r="C58" s="433">
        <v>8</v>
      </c>
      <c r="D58" s="288">
        <v>0.48</v>
      </c>
      <c r="E58" s="288">
        <f t="shared" si="1"/>
        <v>3.84</v>
      </c>
    </row>
    <row r="59" spans="2:11" x14ac:dyDescent="0.25">
      <c r="B59" s="319" t="s">
        <v>1024</v>
      </c>
      <c r="C59" s="288">
        <v>2</v>
      </c>
      <c r="D59" s="288">
        <v>0.63</v>
      </c>
      <c r="E59" s="288">
        <f t="shared" si="1"/>
        <v>1.26</v>
      </c>
      <c r="J59" s="300"/>
    </row>
    <row r="60" spans="2:11" x14ac:dyDescent="0.25">
      <c r="B60" s="289" t="s">
        <v>1019</v>
      </c>
      <c r="C60" s="288">
        <v>17</v>
      </c>
      <c r="D60" s="288">
        <v>0.09</v>
      </c>
      <c r="E60" s="288">
        <f t="shared" si="1"/>
        <v>1.53</v>
      </c>
      <c r="J60" s="300"/>
    </row>
    <row r="61" spans="2:11" x14ac:dyDescent="0.25">
      <c r="B61" s="319" t="s">
        <v>1020</v>
      </c>
      <c r="C61" s="288">
        <v>17</v>
      </c>
      <c r="D61" s="288">
        <v>0.08</v>
      </c>
      <c r="E61" s="288">
        <f t="shared" si="1"/>
        <v>1.36</v>
      </c>
    </row>
    <row r="62" spans="2:11" x14ac:dyDescent="0.25">
      <c r="B62" s="405" t="s">
        <v>878</v>
      </c>
      <c r="E62" s="288">
        <f>SUM(E63:E68)</f>
        <v>51.400000000000006</v>
      </c>
      <c r="F62" s="288">
        <f>E62*F17</f>
        <v>205.60000000000002</v>
      </c>
      <c r="J62" s="300"/>
    </row>
    <row r="63" spans="2:11" x14ac:dyDescent="0.25">
      <c r="B63" s="319" t="s">
        <v>1025</v>
      </c>
      <c r="C63" s="288">
        <v>1</v>
      </c>
      <c r="D63" s="288">
        <v>14.64</v>
      </c>
      <c r="E63" s="288">
        <f t="shared" si="1"/>
        <v>14.64</v>
      </c>
    </row>
    <row r="64" spans="2:11" x14ac:dyDescent="0.25">
      <c r="B64" s="319" t="s">
        <v>1026</v>
      </c>
      <c r="C64" s="288">
        <v>2</v>
      </c>
      <c r="D64" s="288">
        <v>14.64</v>
      </c>
      <c r="E64" s="288">
        <f t="shared" si="1"/>
        <v>29.28</v>
      </c>
    </row>
    <row r="65" spans="2:10" x14ac:dyDescent="0.25">
      <c r="B65" s="319" t="s">
        <v>1017</v>
      </c>
      <c r="C65" s="288">
        <v>8</v>
      </c>
      <c r="D65" s="288">
        <v>0.48</v>
      </c>
      <c r="E65" s="288">
        <f t="shared" si="1"/>
        <v>3.84</v>
      </c>
    </row>
    <row r="66" spans="2:10" x14ac:dyDescent="0.25">
      <c r="B66" s="319" t="s">
        <v>1018</v>
      </c>
      <c r="C66" s="288">
        <v>2</v>
      </c>
      <c r="D66" s="288">
        <v>0.46</v>
      </c>
      <c r="E66" s="288">
        <f t="shared" si="1"/>
        <v>0.92</v>
      </c>
    </row>
    <row r="67" spans="2:10" x14ac:dyDescent="0.25">
      <c r="B67" s="289" t="s">
        <v>1019</v>
      </c>
      <c r="C67" s="288">
        <v>16</v>
      </c>
      <c r="D67" s="288">
        <v>0.09</v>
      </c>
      <c r="E67" s="288">
        <f t="shared" si="1"/>
        <v>1.44</v>
      </c>
      <c r="J67" s="300"/>
    </row>
    <row r="68" spans="2:10" x14ac:dyDescent="0.25">
      <c r="B68" s="319" t="s">
        <v>1020</v>
      </c>
      <c r="C68" s="288">
        <v>16</v>
      </c>
      <c r="D68" s="288">
        <v>0.08</v>
      </c>
      <c r="E68" s="288">
        <f t="shared" si="1"/>
        <v>1.28</v>
      </c>
    </row>
    <row r="69" spans="2:10" x14ac:dyDescent="0.25">
      <c r="B69" s="405" t="s">
        <v>856</v>
      </c>
      <c r="E69" s="288">
        <f>SUM(E70:E73)</f>
        <v>22.700000000000003</v>
      </c>
      <c r="F69" s="288">
        <f>E69*F15</f>
        <v>45.400000000000006</v>
      </c>
      <c r="J69" s="300"/>
    </row>
    <row r="70" spans="2:10" x14ac:dyDescent="0.25">
      <c r="B70" s="289" t="s">
        <v>1027</v>
      </c>
      <c r="C70" s="288">
        <v>5</v>
      </c>
      <c r="D70" s="288">
        <v>3.46</v>
      </c>
      <c r="E70" s="288">
        <f t="shared" si="1"/>
        <v>17.3</v>
      </c>
    </row>
    <row r="71" spans="2:10" x14ac:dyDescent="0.25">
      <c r="B71" s="319" t="s">
        <v>1020</v>
      </c>
      <c r="C71" s="288">
        <v>26</v>
      </c>
      <c r="D71" s="288">
        <v>0.08</v>
      </c>
      <c r="E71" s="288">
        <f t="shared" si="1"/>
        <v>2.08</v>
      </c>
    </row>
    <row r="72" spans="2:10" x14ac:dyDescent="0.25">
      <c r="B72" s="319" t="s">
        <v>1017</v>
      </c>
      <c r="C72" s="288">
        <v>5</v>
      </c>
      <c r="D72" s="288">
        <v>0.48</v>
      </c>
      <c r="E72" s="288">
        <f t="shared" si="1"/>
        <v>2.4</v>
      </c>
      <c r="J72" s="300"/>
    </row>
    <row r="73" spans="2:10" x14ac:dyDescent="0.25">
      <c r="B73" s="319" t="s">
        <v>1028</v>
      </c>
      <c r="C73" s="288">
        <v>2</v>
      </c>
      <c r="D73" s="288">
        <v>0.46</v>
      </c>
      <c r="E73" s="288">
        <f t="shared" si="1"/>
        <v>0.92</v>
      </c>
    </row>
    <row r="74" spans="2:10" x14ac:dyDescent="0.25">
      <c r="B74" s="300"/>
      <c r="F74" s="408">
        <f>SUM(F48:F73)</f>
        <v>2388.34</v>
      </c>
      <c r="J74" s="300"/>
    </row>
    <row r="75" spans="2:10" x14ac:dyDescent="0.25">
      <c r="B75" s="300"/>
      <c r="J75" s="300"/>
    </row>
    <row r="76" spans="2:10" x14ac:dyDescent="0.25">
      <c r="B76" s="300"/>
      <c r="J76" s="300"/>
    </row>
    <row r="78" spans="2:10" x14ac:dyDescent="0.25">
      <c r="B78" s="296"/>
    </row>
    <row r="79" spans="2:10" x14ac:dyDescent="0.25">
      <c r="B79" s="300"/>
      <c r="J79" s="300"/>
    </row>
    <row r="80" spans="2:10" x14ac:dyDescent="0.25">
      <c r="B80" s="300"/>
      <c r="J80" s="300"/>
    </row>
    <row r="81" spans="2:11" x14ac:dyDescent="0.25">
      <c r="B81" s="300"/>
      <c r="J81" s="300"/>
    </row>
    <row r="82" spans="2:11" x14ac:dyDescent="0.25">
      <c r="B82" s="300"/>
      <c r="J82" s="300"/>
    </row>
    <row r="83" spans="2:11" x14ac:dyDescent="0.25">
      <c r="B83" s="300"/>
      <c r="J83" s="300"/>
    </row>
    <row r="85" spans="2:11" x14ac:dyDescent="0.25">
      <c r="B85" s="300"/>
      <c r="J85" s="300"/>
    </row>
    <row r="89" spans="2:11" x14ac:dyDescent="0.25">
      <c r="B89" s="300"/>
      <c r="K89" s="370"/>
    </row>
    <row r="90" spans="2:11" x14ac:dyDescent="0.25">
      <c r="B90" s="300"/>
      <c r="J90" s="300"/>
      <c r="K90" s="300"/>
    </row>
    <row r="91" spans="2:11" x14ac:dyDescent="0.25">
      <c r="B91" s="300"/>
      <c r="J91" s="300"/>
      <c r="K91" s="300"/>
    </row>
    <row r="94" spans="2:11" x14ac:dyDescent="0.25">
      <c r="J94" s="300"/>
      <c r="K94" s="300"/>
    </row>
    <row r="95" spans="2:11" x14ac:dyDescent="0.25">
      <c r="B95" s="300"/>
      <c r="J95" s="300"/>
      <c r="K95" s="300"/>
    </row>
    <row r="97" spans="2:11" x14ac:dyDescent="0.25">
      <c r="B97" s="300"/>
      <c r="J97" s="300"/>
      <c r="K97" s="300"/>
    </row>
    <row r="101" spans="2:11" x14ac:dyDescent="0.25">
      <c r="B101" s="300"/>
      <c r="J101" s="300"/>
    </row>
    <row r="109" spans="2:11" x14ac:dyDescent="0.25">
      <c r="J109" s="300"/>
    </row>
    <row r="116" spans="2:12" x14ac:dyDescent="0.25">
      <c r="J116" s="296"/>
      <c r="L116" s="296"/>
    </row>
    <row r="117" spans="2:12" x14ac:dyDescent="0.25">
      <c r="J117" s="296"/>
      <c r="L117" s="296"/>
    </row>
    <row r="118" spans="2:12" x14ac:dyDescent="0.25">
      <c r="J118" s="296"/>
      <c r="L118" s="296"/>
    </row>
    <row r="119" spans="2:12" x14ac:dyDescent="0.25">
      <c r="J119" s="296"/>
      <c r="L119" s="296"/>
    </row>
    <row r="121" spans="2:12" x14ac:dyDescent="0.25">
      <c r="B121" s="300"/>
    </row>
    <row r="122" spans="2:12" x14ac:dyDescent="0.25">
      <c r="K122" s="300"/>
    </row>
    <row r="127" spans="2:12" x14ac:dyDescent="0.25">
      <c r="B127" s="300"/>
      <c r="K127" s="300"/>
    </row>
    <row r="138" spans="2:11" x14ac:dyDescent="0.25">
      <c r="K138" s="370"/>
    </row>
    <row r="139" spans="2:11" x14ac:dyDescent="0.25">
      <c r="B139" s="300"/>
    </row>
    <row r="144" spans="2:11" x14ac:dyDescent="0.25">
      <c r="B144" s="300"/>
    </row>
    <row r="145" spans="2:11" x14ac:dyDescent="0.25">
      <c r="B145" s="300"/>
    </row>
    <row r="147" spans="2:11" x14ac:dyDescent="0.25">
      <c r="B147" s="300"/>
    </row>
    <row r="149" spans="2:11" x14ac:dyDescent="0.25">
      <c r="B149" s="296"/>
    </row>
    <row r="151" spans="2:11" x14ac:dyDescent="0.25">
      <c r="K151" s="370"/>
    </row>
    <row r="152" spans="2:11" x14ac:dyDescent="0.25">
      <c r="B152" s="300"/>
      <c r="J152" s="300"/>
    </row>
    <row r="154" spans="2:11" x14ac:dyDescent="0.25">
      <c r="B154" s="300"/>
      <c r="J154" s="300"/>
    </row>
    <row r="155" spans="2:11" x14ac:dyDescent="0.25">
      <c r="B155" s="300"/>
      <c r="J155" s="300"/>
    </row>
    <row r="156" spans="2:11" x14ac:dyDescent="0.25">
      <c r="B156" s="300"/>
      <c r="J156" s="300"/>
    </row>
    <row r="157" spans="2:11" x14ac:dyDescent="0.25">
      <c r="B157" s="300"/>
      <c r="J157" s="300"/>
    </row>
    <row r="158" spans="2:11" x14ac:dyDescent="0.25">
      <c r="B158" s="300"/>
      <c r="J158" s="300"/>
    </row>
    <row r="159" spans="2:11" x14ac:dyDescent="0.25">
      <c r="B159" s="300"/>
      <c r="J159" s="300"/>
    </row>
    <row r="161" spans="1:11" x14ac:dyDescent="0.25">
      <c r="B161" s="296"/>
    </row>
    <row r="163" spans="1:11" x14ac:dyDescent="0.25">
      <c r="B163" s="300"/>
      <c r="C163" s="369"/>
      <c r="K163" s="370"/>
    </row>
    <row r="168" spans="1:11" x14ac:dyDescent="0.25">
      <c r="B168" s="300"/>
      <c r="K168" s="370"/>
    </row>
    <row r="169" spans="1:11" x14ac:dyDescent="0.25">
      <c r="A169" s="333"/>
    </row>
    <row r="172" spans="1:11" x14ac:dyDescent="0.25">
      <c r="A172" s="334"/>
    </row>
    <row r="179" spans="1:11" x14ac:dyDescent="0.25">
      <c r="K179" s="370"/>
    </row>
    <row r="180" spans="1:11" x14ac:dyDescent="0.25">
      <c r="A180" s="371"/>
      <c r="B180" s="300"/>
    </row>
    <row r="181" spans="1:11" x14ac:dyDescent="0.25">
      <c r="A181" s="312"/>
    </row>
    <row r="182" spans="1:11" x14ac:dyDescent="0.25">
      <c r="A182" s="312"/>
    </row>
    <row r="183" spans="1:11" x14ac:dyDescent="0.25">
      <c r="A183" s="312"/>
    </row>
    <row r="184" spans="1:11" x14ac:dyDescent="0.25">
      <c r="A184" s="312"/>
    </row>
    <row r="185" spans="1:11" x14ac:dyDescent="0.25">
      <c r="A185" s="312"/>
    </row>
    <row r="186" spans="1:11" x14ac:dyDescent="0.25">
      <c r="A186" s="312"/>
    </row>
    <row r="187" spans="1:11" x14ac:dyDescent="0.25">
      <c r="A187" s="312"/>
    </row>
    <row r="188" spans="1:11" x14ac:dyDescent="0.25">
      <c r="A188" s="312"/>
    </row>
    <row r="189" spans="1:11" x14ac:dyDescent="0.25">
      <c r="A189" s="312"/>
    </row>
    <row r="190" spans="1:11" x14ac:dyDescent="0.25">
      <c r="A190" s="312"/>
    </row>
    <row r="191" spans="1:11" x14ac:dyDescent="0.25">
      <c r="A191" s="312"/>
    </row>
    <row r="192" spans="1:11" x14ac:dyDescent="0.25">
      <c r="A192" s="312"/>
    </row>
    <row r="193" spans="1:11" x14ac:dyDescent="0.25">
      <c r="A193" s="312"/>
    </row>
    <row r="194" spans="1:11" x14ac:dyDescent="0.25">
      <c r="A194" s="312"/>
    </row>
    <row r="195" spans="1:11" x14ac:dyDescent="0.25">
      <c r="A195" s="312"/>
    </row>
    <row r="196" spans="1:11" x14ac:dyDescent="0.25">
      <c r="A196" s="312"/>
    </row>
    <row r="197" spans="1:11" x14ac:dyDescent="0.25">
      <c r="A197" s="312"/>
    </row>
    <row r="198" spans="1:11" x14ac:dyDescent="0.25">
      <c r="A198" s="312"/>
    </row>
    <row r="199" spans="1:11" x14ac:dyDescent="0.25">
      <c r="A199" s="312"/>
    </row>
    <row r="200" spans="1:11" x14ac:dyDescent="0.25">
      <c r="A200" s="312"/>
    </row>
    <row r="201" spans="1:11" x14ac:dyDescent="0.25">
      <c r="A201" s="312"/>
      <c r="B201" s="300"/>
      <c r="K201" s="300"/>
    </row>
    <row r="202" spans="1:11" x14ac:dyDescent="0.25">
      <c r="B202" s="300"/>
      <c r="K202" s="300"/>
    </row>
    <row r="212" spans="2:11" x14ac:dyDescent="0.25">
      <c r="B212" s="300"/>
      <c r="K212" s="300"/>
    </row>
    <row r="216" spans="2:11" x14ac:dyDescent="0.25">
      <c r="B216" s="300"/>
      <c r="K216" s="300"/>
    </row>
    <row r="219" spans="2:11" x14ac:dyDescent="0.25">
      <c r="B219" s="300"/>
      <c r="K219" s="370"/>
    </row>
    <row r="227" spans="2:11" ht="15.6" x14ac:dyDescent="0.25">
      <c r="B227" s="332"/>
      <c r="C227" s="41"/>
      <c r="D227" s="336"/>
      <c r="E227" s="198"/>
      <c r="F227" s="337"/>
      <c r="G227" s="279"/>
      <c r="H227" s="117"/>
      <c r="I227" s="372"/>
      <c r="J227" s="374"/>
      <c r="K227" s="375"/>
    </row>
    <row r="228" spans="2:11" ht="15.6" x14ac:dyDescent="0.25">
      <c r="B228" s="332"/>
      <c r="C228" s="41"/>
      <c r="D228" s="324"/>
      <c r="E228" s="198"/>
      <c r="F228" s="43"/>
      <c r="G228" s="2"/>
      <c r="H228" s="11"/>
      <c r="I228" s="11"/>
    </row>
    <row r="230" spans="2:11" ht="15.6" x14ac:dyDescent="0.25">
      <c r="B230" s="342"/>
      <c r="C230" s="46"/>
      <c r="D230" s="336"/>
      <c r="E230" s="352"/>
      <c r="F230" s="43"/>
      <c r="G230" s="117"/>
      <c r="H230" s="11"/>
      <c r="I230" s="11"/>
    </row>
    <row r="231" spans="2:11" ht="15.6" x14ac:dyDescent="0.25">
      <c r="B231" s="335"/>
      <c r="C231" s="41"/>
      <c r="D231" s="341"/>
      <c r="E231" s="43"/>
      <c r="F231" s="364"/>
      <c r="G231" s="18"/>
      <c r="H231" s="2"/>
      <c r="I231" s="11"/>
    </row>
    <row r="232" spans="2:11" ht="15.6" x14ac:dyDescent="0.25">
      <c r="B232" s="45"/>
      <c r="C232" s="41"/>
      <c r="D232" s="42"/>
      <c r="E232" s="43"/>
      <c r="F232" s="364"/>
      <c r="G232" s="2"/>
      <c r="H232" s="2"/>
      <c r="I232" s="11"/>
    </row>
    <row r="233" spans="2:11" ht="15.6" x14ac:dyDescent="0.25">
      <c r="B233" s="47"/>
      <c r="C233" s="41"/>
      <c r="D233" s="42"/>
      <c r="E233" s="43"/>
      <c r="F233" s="361"/>
      <c r="G233" s="18"/>
      <c r="H233" s="2"/>
      <c r="I233" s="11"/>
    </row>
    <row r="234" spans="2:11" ht="15.6" x14ac:dyDescent="0.25">
      <c r="B234" s="47"/>
      <c r="C234" s="41"/>
      <c r="D234" s="42"/>
      <c r="E234" s="43"/>
      <c r="F234" s="361"/>
      <c r="G234" s="18"/>
      <c r="H234" s="2"/>
      <c r="I234" s="11"/>
    </row>
    <row r="235" spans="2:11" ht="15.6" x14ac:dyDescent="0.25">
      <c r="B235" s="45"/>
      <c r="C235" s="41"/>
      <c r="D235" s="42"/>
      <c r="E235" s="43"/>
      <c r="F235" s="361"/>
      <c r="G235" s="18"/>
      <c r="H235" s="2"/>
      <c r="I235" s="11"/>
    </row>
    <row r="237" spans="2:11" ht="15.6" x14ac:dyDescent="0.25">
      <c r="B237" s="307"/>
      <c r="C237" s="174"/>
      <c r="D237" s="306"/>
      <c r="E237" s="351"/>
      <c r="F237" s="11"/>
      <c r="G237" s="117"/>
      <c r="H237" s="2"/>
      <c r="I237" s="11"/>
      <c r="J237" s="374"/>
    </row>
    <row r="238" spans="2:11" ht="15.6" x14ac:dyDescent="0.25">
      <c r="B238" s="309"/>
      <c r="C238" s="2"/>
      <c r="D238" s="340"/>
      <c r="E238" s="2"/>
      <c r="F238" s="367"/>
      <c r="G238" s="2"/>
      <c r="H238" s="2"/>
      <c r="I238" s="11"/>
    </row>
    <row r="239" spans="2:11" ht="15.6" x14ac:dyDescent="0.25">
      <c r="B239" s="309"/>
      <c r="C239" s="2"/>
      <c r="D239" s="340"/>
      <c r="E239" s="2"/>
      <c r="F239" s="164"/>
      <c r="G239" s="2"/>
      <c r="H239" s="2"/>
      <c r="I239" s="11"/>
    </row>
    <row r="240" spans="2:11" ht="15.6" x14ac:dyDescent="0.25">
      <c r="B240" s="309"/>
      <c r="C240" s="2"/>
      <c r="D240" s="340"/>
      <c r="E240" s="2"/>
      <c r="F240" s="164"/>
      <c r="G240" s="2"/>
      <c r="H240" s="2"/>
      <c r="I240" s="11"/>
    </row>
    <row r="241" spans="2:9" ht="15.6" x14ac:dyDescent="0.25">
      <c r="B241" s="309"/>
      <c r="C241" s="2"/>
      <c r="D241" s="340"/>
      <c r="E241" s="2"/>
      <c r="F241" s="164"/>
      <c r="G241" s="2"/>
      <c r="H241" s="2"/>
      <c r="I241" s="11"/>
    </row>
    <row r="242" spans="2:9" ht="15.6" x14ac:dyDescent="0.25">
      <c r="B242" s="307"/>
      <c r="C242" s="174"/>
      <c r="D242" s="306"/>
      <c r="E242" s="351"/>
      <c r="F242" s="164"/>
      <c r="G242" s="117"/>
      <c r="H242" s="2"/>
      <c r="I242" s="11"/>
    </row>
    <row r="243" spans="2:9" ht="15.6" x14ac:dyDescent="0.25">
      <c r="B243" s="309"/>
      <c r="C243" s="2"/>
      <c r="D243" s="340"/>
      <c r="E243" s="2"/>
      <c r="F243" s="367"/>
      <c r="G243" s="2"/>
      <c r="H243" s="2"/>
      <c r="I243" s="11"/>
    </row>
    <row r="244" spans="2:9" ht="15.6" x14ac:dyDescent="0.25">
      <c r="B244" s="309"/>
      <c r="C244" s="2"/>
      <c r="D244" s="340"/>
      <c r="E244" s="2"/>
      <c r="F244" s="164"/>
      <c r="G244" s="2"/>
      <c r="H244" s="2"/>
      <c r="I244" s="11"/>
    </row>
    <row r="245" spans="2:9" ht="15.6" x14ac:dyDescent="0.25">
      <c r="B245" s="309"/>
      <c r="C245" s="2"/>
      <c r="D245" s="340"/>
      <c r="E245" s="2"/>
      <c r="F245" s="164"/>
      <c r="G245" s="2"/>
      <c r="H245" s="2"/>
      <c r="I245" s="11"/>
    </row>
    <row r="246" spans="2:9" ht="15.6" x14ac:dyDescent="0.25">
      <c r="B246" s="309"/>
      <c r="C246" s="2"/>
      <c r="D246" s="340"/>
      <c r="E246" s="2"/>
      <c r="F246" s="164"/>
      <c r="G246" s="2"/>
      <c r="H246" s="2"/>
      <c r="I246" s="1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workbookViewId="0">
      <pane ySplit="1" topLeftCell="A86" activePane="bottomLeft" state="frozen"/>
      <selection pane="bottomLeft" activeCell="I119" sqref="I119"/>
    </sheetView>
  </sheetViews>
  <sheetFormatPr defaultRowHeight="14.4" x14ac:dyDescent="0.25"/>
  <cols>
    <col min="3" max="3" width="17.109375" customWidth="1"/>
    <col min="10" max="10" width="16.77734375" customWidth="1"/>
  </cols>
  <sheetData>
    <row r="1" spans="1:15" ht="15" x14ac:dyDescent="0.25">
      <c r="A1" s="501" t="s">
        <v>1266</v>
      </c>
      <c r="B1" s="501"/>
      <c r="C1" s="501" t="s">
        <v>1249</v>
      </c>
      <c r="D1" s="501" t="s">
        <v>1250</v>
      </c>
      <c r="E1" s="501" t="s">
        <v>1251</v>
      </c>
      <c r="F1" s="501" t="s">
        <v>1250</v>
      </c>
      <c r="G1" s="501"/>
      <c r="H1" s="501" t="s">
        <v>1267</v>
      </c>
      <c r="I1" s="501"/>
      <c r="J1" s="501" t="s">
        <v>1249</v>
      </c>
      <c r="K1" s="501" t="s">
        <v>1250</v>
      </c>
      <c r="L1" s="501" t="s">
        <v>1251</v>
      </c>
      <c r="M1" s="501" t="s">
        <v>1250</v>
      </c>
      <c r="N1" s="501"/>
      <c r="O1" s="501"/>
    </row>
    <row r="2" spans="1:15" ht="15" x14ac:dyDescent="0.25">
      <c r="B2" s="501">
        <v>2.5499999999999998</v>
      </c>
      <c r="C2" s="501">
        <v>2.88</v>
      </c>
      <c r="D2" s="501">
        <f>1.5*0.83</f>
        <v>1.2449999999999999</v>
      </c>
      <c r="E2" s="501">
        <v>5.28</v>
      </c>
      <c r="F2" s="501">
        <f>2.1*1</f>
        <v>2.1</v>
      </c>
      <c r="G2" s="501"/>
      <c r="I2" s="501"/>
      <c r="J2" s="501">
        <v>4.8600000000000003</v>
      </c>
      <c r="K2" s="501">
        <f>2.35*0.74</f>
        <v>1.7390000000000001</v>
      </c>
      <c r="L2" s="501">
        <v>5.28</v>
      </c>
      <c r="M2" s="501">
        <f t="shared" ref="M2:M7" si="0">2.1*1</f>
        <v>2.1</v>
      </c>
      <c r="N2" s="501"/>
      <c r="O2" s="501"/>
    </row>
    <row r="3" spans="1:15" ht="15" x14ac:dyDescent="0.25">
      <c r="A3" s="501"/>
      <c r="B3" s="501"/>
      <c r="C3" s="501">
        <v>4.8600000000000003</v>
      </c>
      <c r="D3" s="501">
        <f>2.35*0.74</f>
        <v>1.7390000000000001</v>
      </c>
      <c r="E3" s="501">
        <v>5.28</v>
      </c>
      <c r="F3" s="501">
        <f>2.1*1</f>
        <v>2.1</v>
      </c>
      <c r="G3" s="501"/>
      <c r="I3" s="501"/>
      <c r="J3" s="501">
        <v>2</v>
      </c>
      <c r="K3" s="501">
        <f>1.5*0.83</f>
        <v>1.2449999999999999</v>
      </c>
      <c r="L3" s="501">
        <v>5.28</v>
      </c>
      <c r="M3" s="501">
        <f t="shared" si="0"/>
        <v>2.1</v>
      </c>
      <c r="N3" s="501"/>
      <c r="O3" s="501"/>
    </row>
    <row r="4" spans="1:15" ht="15" x14ac:dyDescent="0.25">
      <c r="A4" s="501" t="s">
        <v>1252</v>
      </c>
      <c r="B4" s="501">
        <f>2.35*0.74</f>
        <v>1.7390000000000001</v>
      </c>
      <c r="C4" s="501">
        <v>2</v>
      </c>
      <c r="D4" s="501">
        <f>2.1*1</f>
        <v>2.1</v>
      </c>
      <c r="E4">
        <v>1.52</v>
      </c>
      <c r="F4" s="501">
        <f>2.35*0.74</f>
        <v>1.7390000000000001</v>
      </c>
      <c r="G4" s="501"/>
      <c r="I4" s="501"/>
      <c r="J4" s="501">
        <v>2.88</v>
      </c>
      <c r="K4" s="501">
        <f>2.1*1</f>
        <v>2.1</v>
      </c>
      <c r="L4" s="501">
        <v>1.52</v>
      </c>
      <c r="M4" s="501">
        <f t="shared" si="0"/>
        <v>2.1</v>
      </c>
      <c r="N4" s="501"/>
      <c r="O4" s="501"/>
    </row>
    <row r="5" spans="1:15" ht="15" x14ac:dyDescent="0.25">
      <c r="A5" s="501" t="s">
        <v>1256</v>
      </c>
      <c r="B5" s="501">
        <f>2.35*1.18</f>
        <v>2.7730000000000001</v>
      </c>
      <c r="C5" s="501">
        <f>7.25-0.19-0.12</f>
        <v>6.9399999999999995</v>
      </c>
      <c r="D5" s="501">
        <f>1.5*1.57</f>
        <v>2.355</v>
      </c>
      <c r="E5" s="501">
        <v>1.76</v>
      </c>
      <c r="F5" s="501">
        <f>2.35*0.74</f>
        <v>1.7390000000000001</v>
      </c>
      <c r="G5" s="501"/>
      <c r="I5" s="501"/>
      <c r="J5" s="501">
        <v>6.94</v>
      </c>
      <c r="K5" s="501">
        <f>1.5*1.57</f>
        <v>2.355</v>
      </c>
      <c r="L5" s="501">
        <v>1.76</v>
      </c>
      <c r="M5" s="501">
        <f t="shared" si="0"/>
        <v>2.1</v>
      </c>
      <c r="N5" s="501"/>
      <c r="O5" s="501"/>
    </row>
    <row r="6" spans="1:15" ht="15" x14ac:dyDescent="0.25">
      <c r="A6" s="501" t="s">
        <v>1259</v>
      </c>
      <c r="B6" s="501">
        <f>2.35*0.91</f>
        <v>2.1385000000000001</v>
      </c>
      <c r="C6" s="501">
        <v>1.72</v>
      </c>
      <c r="D6" s="501">
        <f>1.5*0.83</f>
        <v>1.2449999999999999</v>
      </c>
      <c r="E6" s="501">
        <v>2.11</v>
      </c>
      <c r="F6" s="501">
        <f>2.35*0.74</f>
        <v>1.7390000000000001</v>
      </c>
      <c r="G6" s="501"/>
      <c r="I6" s="501"/>
      <c r="J6" s="501">
        <f>0.79+0.08+1.56+0.08+2.77</f>
        <v>5.28</v>
      </c>
      <c r="K6" s="501">
        <f>1.5*0.83</f>
        <v>1.2449999999999999</v>
      </c>
      <c r="L6" s="501">
        <v>2.11</v>
      </c>
      <c r="M6" s="501">
        <f t="shared" si="0"/>
        <v>2.1</v>
      </c>
      <c r="N6" s="501"/>
      <c r="O6" s="501"/>
    </row>
    <row r="7" spans="1:15" ht="15" x14ac:dyDescent="0.25">
      <c r="A7" s="501"/>
      <c r="B7" s="501"/>
      <c r="C7" s="501">
        <v>3.52</v>
      </c>
      <c r="D7" s="501">
        <f>2.35*0.74</f>
        <v>1.7390000000000001</v>
      </c>
      <c r="E7" s="501">
        <v>2.11</v>
      </c>
      <c r="F7" s="501">
        <f>1.46*2.1</f>
        <v>3.0659999999999998</v>
      </c>
      <c r="G7" s="501"/>
      <c r="I7" s="501"/>
      <c r="J7" s="501">
        <f>2.45+0.13</f>
        <v>2.58</v>
      </c>
      <c r="K7" s="501">
        <f>2.35*0.74</f>
        <v>1.7390000000000001</v>
      </c>
      <c r="L7" s="501">
        <v>2.11</v>
      </c>
      <c r="M7" s="501">
        <f t="shared" si="0"/>
        <v>2.1</v>
      </c>
      <c r="N7" s="501"/>
      <c r="O7" s="501"/>
    </row>
    <row r="8" spans="1:15" ht="15" x14ac:dyDescent="0.25">
      <c r="A8" s="501"/>
      <c r="B8" s="501"/>
      <c r="C8" s="501">
        <v>3.52</v>
      </c>
      <c r="D8" s="501">
        <f>1.5*1.57</f>
        <v>2.355</v>
      </c>
      <c r="E8" s="501">
        <v>1.76</v>
      </c>
      <c r="F8" s="501">
        <f>1.46*2.1</f>
        <v>3.0659999999999998</v>
      </c>
      <c r="G8" s="501"/>
      <c r="I8" s="501"/>
      <c r="J8" s="501">
        <v>2.89</v>
      </c>
      <c r="K8" s="501">
        <f>1.5*1.57</f>
        <v>2.355</v>
      </c>
      <c r="L8" s="501">
        <v>1.76</v>
      </c>
      <c r="M8" s="501">
        <f>1.46*2.1</f>
        <v>3.0659999999999998</v>
      </c>
      <c r="N8" s="501"/>
      <c r="O8" s="501"/>
    </row>
    <row r="9" spans="1:15" ht="15" x14ac:dyDescent="0.25">
      <c r="A9" s="501" t="s">
        <v>1253</v>
      </c>
      <c r="B9" s="501">
        <f>1.5*0.83</f>
        <v>1.2449999999999999</v>
      </c>
      <c r="C9" s="501">
        <v>4.66</v>
      </c>
      <c r="D9" s="501">
        <f>1.5*0.83</f>
        <v>1.2449999999999999</v>
      </c>
      <c r="E9" s="501">
        <v>1.52</v>
      </c>
      <c r="F9" s="501"/>
      <c r="G9" s="501"/>
      <c r="I9" s="501"/>
      <c r="J9" s="501">
        <v>2.89</v>
      </c>
      <c r="K9" s="501">
        <f>1.5*0.83</f>
        <v>1.2449999999999999</v>
      </c>
      <c r="L9" s="501">
        <v>1.52</v>
      </c>
      <c r="M9" s="501">
        <f>1.46*2.1</f>
        <v>3.0659999999999998</v>
      </c>
      <c r="N9" s="501"/>
      <c r="O9" s="501"/>
    </row>
    <row r="10" spans="1:15" ht="15" x14ac:dyDescent="0.25">
      <c r="A10" s="501" t="s">
        <v>1254</v>
      </c>
      <c r="B10" s="501">
        <f>1.5*1.57</f>
        <v>2.355</v>
      </c>
      <c r="C10" s="501">
        <v>4.66</v>
      </c>
      <c r="D10" s="501">
        <f>2.35*0.74</f>
        <v>1.7390000000000001</v>
      </c>
      <c r="E10" s="501">
        <v>5.74</v>
      </c>
      <c r="F10" s="501"/>
      <c r="G10" s="501"/>
      <c r="I10" s="501"/>
      <c r="J10" s="501">
        <f>2.45+0.13</f>
        <v>2.58</v>
      </c>
      <c r="K10" s="501">
        <f>2.35*0.74</f>
        <v>1.7390000000000001</v>
      </c>
      <c r="L10" s="501">
        <v>5.74</v>
      </c>
      <c r="M10" s="501"/>
      <c r="N10" s="501"/>
      <c r="O10" s="501"/>
    </row>
    <row r="11" spans="1:15" ht="15" x14ac:dyDescent="0.25">
      <c r="A11" s="501" t="s">
        <v>1255</v>
      </c>
      <c r="B11" s="501">
        <f>1.5*1.31</f>
        <v>1.9650000000000001</v>
      </c>
      <c r="C11" s="501">
        <v>1</v>
      </c>
      <c r="D11" s="501">
        <f>1.08*2.1</f>
        <v>2.2680000000000002</v>
      </c>
      <c r="E11" s="501">
        <v>5.74</v>
      </c>
      <c r="F11" s="501"/>
      <c r="G11" s="501"/>
      <c r="H11" s="501"/>
      <c r="I11" s="501"/>
      <c r="J11" s="501">
        <v>1</v>
      </c>
      <c r="K11" s="501">
        <f>1.08*2.1</f>
        <v>2.2680000000000002</v>
      </c>
      <c r="L11" s="501">
        <v>5.74</v>
      </c>
      <c r="M11" s="501"/>
      <c r="N11" s="501"/>
      <c r="O11" s="501"/>
    </row>
    <row r="12" spans="1:15" ht="15" x14ac:dyDescent="0.25">
      <c r="A12" s="501" t="s">
        <v>1257</v>
      </c>
      <c r="B12" s="501">
        <f>1.5*1.18</f>
        <v>1.77</v>
      </c>
      <c r="C12" s="501">
        <v>1</v>
      </c>
      <c r="D12" s="501">
        <f>1.5*1.83</f>
        <v>2.7450000000000001</v>
      </c>
      <c r="E12" s="501">
        <v>5.28</v>
      </c>
      <c r="F12" s="501"/>
      <c r="G12" s="501"/>
      <c r="H12" s="501"/>
      <c r="I12" s="501"/>
      <c r="J12" s="501">
        <v>4.66</v>
      </c>
      <c r="K12" s="501">
        <f>1.08*2.1</f>
        <v>2.2680000000000002</v>
      </c>
      <c r="L12" s="501">
        <v>5.74</v>
      </c>
      <c r="M12" s="501"/>
      <c r="N12" s="501"/>
      <c r="O12" s="501"/>
    </row>
    <row r="13" spans="1:15" ht="15" x14ac:dyDescent="0.25">
      <c r="A13" s="501" t="s">
        <v>1258</v>
      </c>
      <c r="B13" s="501">
        <f>1.5*0.92</f>
        <v>1.3800000000000001</v>
      </c>
      <c r="C13" s="501">
        <v>5.28</v>
      </c>
      <c r="D13" s="501">
        <f>2.1*1</f>
        <v>2.1</v>
      </c>
      <c r="E13" s="501">
        <v>1.66</v>
      </c>
      <c r="F13" s="501"/>
      <c r="G13" s="501"/>
      <c r="H13" s="501"/>
      <c r="I13" s="501"/>
      <c r="J13" s="501">
        <v>2.88</v>
      </c>
      <c r="K13" s="501">
        <f>1.5*1.83</f>
        <v>2.7450000000000001</v>
      </c>
      <c r="L13" s="501">
        <f>5.74-0.08</f>
        <v>5.66</v>
      </c>
      <c r="M13" s="501"/>
      <c r="N13" s="501"/>
      <c r="O13" s="501"/>
    </row>
    <row r="14" spans="1:15" ht="15" x14ac:dyDescent="0.25">
      <c r="A14" s="501" t="s">
        <v>1260</v>
      </c>
      <c r="B14" s="501">
        <f>1.5*1.83</f>
        <v>2.7450000000000001</v>
      </c>
      <c r="C14" s="501">
        <v>3.21</v>
      </c>
      <c r="D14" s="501">
        <f>1.5*1.83</f>
        <v>2.7450000000000001</v>
      </c>
      <c r="E14" s="501">
        <v>1.55</v>
      </c>
      <c r="F14" s="501"/>
      <c r="G14" s="501"/>
      <c r="H14" s="501"/>
      <c r="I14" s="501"/>
      <c r="J14" s="501">
        <v>2.88</v>
      </c>
      <c r="K14" s="501">
        <f>1.5*1.83</f>
        <v>2.7450000000000001</v>
      </c>
      <c r="L14" s="501">
        <f>2.21+0.13+2.5-0.08</f>
        <v>4.76</v>
      </c>
      <c r="M14" s="501"/>
      <c r="N14" s="501"/>
      <c r="O14" s="501"/>
    </row>
    <row r="15" spans="1:15" ht="15" x14ac:dyDescent="0.25">
      <c r="A15" s="501"/>
      <c r="B15" s="501"/>
      <c r="C15" s="501">
        <v>1.99</v>
      </c>
      <c r="D15" s="501">
        <f>1.5*0.83</f>
        <v>1.2449999999999999</v>
      </c>
      <c r="E15" s="501">
        <v>1.55</v>
      </c>
      <c r="F15" s="501"/>
      <c r="G15" s="501"/>
      <c r="H15" s="501"/>
      <c r="I15" s="501"/>
      <c r="J15" s="501">
        <v>2.83</v>
      </c>
      <c r="K15" s="501">
        <f>1.5*1.83</f>
        <v>2.7450000000000001</v>
      </c>
      <c r="L15" s="501">
        <f>2.51+2.3+0.13-0.08</f>
        <v>4.8599999999999994</v>
      </c>
      <c r="M15" s="501"/>
      <c r="N15" s="501"/>
      <c r="O15" s="501"/>
    </row>
    <row r="16" spans="1:15" ht="15" x14ac:dyDescent="0.25">
      <c r="A16" s="501" t="s">
        <v>1261</v>
      </c>
      <c r="B16" s="501">
        <f>2.1*1.44</f>
        <v>3.024</v>
      </c>
      <c r="C16" s="501">
        <v>2.58</v>
      </c>
      <c r="D16" s="501">
        <f>2.35*0.74</f>
        <v>1.7390000000000001</v>
      </c>
      <c r="E16" s="501">
        <v>5.28</v>
      </c>
      <c r="F16" s="501"/>
      <c r="G16" s="501"/>
      <c r="H16" s="501"/>
      <c r="I16" s="501"/>
      <c r="J16" s="501">
        <v>2.83</v>
      </c>
      <c r="K16" s="501">
        <f>2.1*1</f>
        <v>2.1</v>
      </c>
      <c r="L16" s="501">
        <v>3.26</v>
      </c>
      <c r="M16" s="501"/>
      <c r="N16" s="501"/>
      <c r="O16" s="501"/>
    </row>
    <row r="17" spans="1:15" ht="15" x14ac:dyDescent="0.25">
      <c r="A17" s="501" t="s">
        <v>1262</v>
      </c>
      <c r="B17" s="501">
        <f>2.1*0.91</f>
        <v>1.9110000000000003</v>
      </c>
      <c r="C17" s="501">
        <v>2.89</v>
      </c>
      <c r="D17" s="501">
        <f>1.5*1.57</f>
        <v>2.355</v>
      </c>
      <c r="E17" s="501">
        <v>1.66</v>
      </c>
      <c r="F17" s="501"/>
      <c r="G17" s="501"/>
      <c r="H17" s="501"/>
      <c r="I17" s="501"/>
      <c r="J17" s="501">
        <v>2.38</v>
      </c>
      <c r="K17" s="501">
        <f>1.5*0.83</f>
        <v>1.2449999999999999</v>
      </c>
      <c r="L17" s="501">
        <v>2.19</v>
      </c>
      <c r="M17" s="501"/>
      <c r="N17" s="501"/>
      <c r="O17" s="501"/>
    </row>
    <row r="18" spans="1:15" ht="15" x14ac:dyDescent="0.25">
      <c r="A18" s="501" t="s">
        <v>1263</v>
      </c>
      <c r="B18" s="501">
        <f>2.1*1</f>
        <v>2.1</v>
      </c>
      <c r="C18" s="501">
        <v>2.89</v>
      </c>
      <c r="D18" s="501">
        <f>1.5*0.83</f>
        <v>1.2449999999999999</v>
      </c>
      <c r="E18" s="501">
        <v>1.6</v>
      </c>
      <c r="F18" s="501"/>
      <c r="G18" s="501"/>
      <c r="H18" s="501"/>
      <c r="I18" s="501"/>
      <c r="J18" s="501">
        <v>2.33</v>
      </c>
      <c r="K18" s="501">
        <f>2.35*0.74</f>
        <v>1.7390000000000001</v>
      </c>
      <c r="L18" s="501">
        <v>1.4</v>
      </c>
      <c r="M18" s="501"/>
      <c r="N18" s="501"/>
      <c r="O18" s="501"/>
    </row>
    <row r="19" spans="1:15" ht="15" x14ac:dyDescent="0.25">
      <c r="A19" s="501" t="s">
        <v>1264</v>
      </c>
      <c r="B19" s="501">
        <f>2.1*0.9</f>
        <v>1.8900000000000001</v>
      </c>
      <c r="C19" s="501">
        <v>2.58</v>
      </c>
      <c r="D19" s="501">
        <f>2.35*0.74</f>
        <v>1.7390000000000001</v>
      </c>
      <c r="E19" s="501">
        <v>1.6</v>
      </c>
      <c r="F19" s="501"/>
      <c r="G19" s="501"/>
      <c r="H19" s="501"/>
      <c r="I19" s="501"/>
      <c r="J19" s="501">
        <v>1.72</v>
      </c>
      <c r="K19" s="501">
        <f>1.5*1.57</f>
        <v>2.355</v>
      </c>
      <c r="L19" s="501">
        <v>1.1000000000000001</v>
      </c>
      <c r="M19" s="501"/>
      <c r="N19" s="501"/>
      <c r="O19" s="501"/>
    </row>
    <row r="20" spans="1:15" ht="15" x14ac:dyDescent="0.25">
      <c r="A20" s="501" t="s">
        <v>1265</v>
      </c>
      <c r="B20" s="501">
        <f>2.1*1.35</f>
        <v>2.8350000000000004</v>
      </c>
      <c r="C20" s="501">
        <v>5.74</v>
      </c>
      <c r="D20" s="501">
        <f>2.1*1</f>
        <v>2.1</v>
      </c>
      <c r="E20" s="501">
        <v>3.26</v>
      </c>
      <c r="F20" s="501"/>
      <c r="G20" s="501"/>
      <c r="H20" s="501"/>
      <c r="I20" s="501"/>
      <c r="J20" s="501">
        <v>1.77</v>
      </c>
      <c r="K20" s="501">
        <f>1.5*0.83</f>
        <v>1.2449999999999999</v>
      </c>
      <c r="L20" s="501">
        <v>1.4</v>
      </c>
      <c r="M20" s="501"/>
      <c r="N20" s="501"/>
      <c r="O20" s="501"/>
    </row>
    <row r="21" spans="1:15" ht="15" x14ac:dyDescent="0.25">
      <c r="A21" s="501"/>
      <c r="B21" s="501"/>
      <c r="C21" s="501">
        <v>3.89</v>
      </c>
      <c r="D21" s="501">
        <f>2.1*1</f>
        <v>2.1</v>
      </c>
      <c r="E21" s="501">
        <v>2.19</v>
      </c>
      <c r="F21" s="501"/>
      <c r="G21" s="501"/>
      <c r="H21" s="501"/>
      <c r="I21" s="501"/>
      <c r="J21" s="501">
        <f>5.74-1.77-0.08</f>
        <v>3.89</v>
      </c>
      <c r="K21" s="501">
        <f>2.35*0.74</f>
        <v>1.7390000000000001</v>
      </c>
      <c r="L21" s="501">
        <f>1.5*1.31</f>
        <v>1.9650000000000001</v>
      </c>
      <c r="M21" s="501"/>
      <c r="N21" s="501"/>
      <c r="O21" s="501"/>
    </row>
    <row r="22" spans="1:15" ht="15" x14ac:dyDescent="0.25">
      <c r="A22" s="501"/>
      <c r="B22" s="501"/>
      <c r="C22" s="501">
        <v>1.77</v>
      </c>
      <c r="D22" s="501">
        <f>1.5*1.57</f>
        <v>2.355</v>
      </c>
      <c r="E22" s="501">
        <v>1.4</v>
      </c>
      <c r="F22" s="501"/>
      <c r="G22" s="501"/>
      <c r="H22" s="501"/>
      <c r="I22" s="501"/>
      <c r="J22" s="501">
        <f>3.11+0.13</f>
        <v>3.2399999999999998</v>
      </c>
      <c r="K22" s="501">
        <f>2.1*1</f>
        <v>2.1</v>
      </c>
      <c r="L22" s="501">
        <f>2.35*1.18</f>
        <v>2.7730000000000001</v>
      </c>
      <c r="M22" s="501"/>
      <c r="N22" s="501"/>
      <c r="O22" s="501"/>
    </row>
    <row r="23" spans="1:15" ht="15" x14ac:dyDescent="0.25">
      <c r="A23" s="501"/>
      <c r="B23" s="501"/>
      <c r="C23" s="501">
        <v>3.54</v>
      </c>
      <c r="D23" s="501">
        <f>2.35*0.91</f>
        <v>2.1385000000000001</v>
      </c>
      <c r="F23" s="501"/>
      <c r="G23" s="501"/>
      <c r="H23" s="501"/>
      <c r="I23" s="501"/>
      <c r="J23" s="501">
        <v>3.27</v>
      </c>
      <c r="K23" s="501">
        <f>2.1*1</f>
        <v>2.1</v>
      </c>
      <c r="L23" s="501">
        <f>1.5*1.57</f>
        <v>2.355</v>
      </c>
      <c r="M23" s="501"/>
      <c r="N23" s="501"/>
      <c r="O23" s="501"/>
    </row>
    <row r="24" spans="1:15" ht="15" x14ac:dyDescent="0.25">
      <c r="A24" s="501"/>
      <c r="B24" s="501"/>
      <c r="C24" s="501">
        <v>3.24</v>
      </c>
      <c r="D24" s="501">
        <f>1.5*0.92</f>
        <v>1.3800000000000001</v>
      </c>
      <c r="F24" s="501"/>
      <c r="G24" s="501"/>
      <c r="H24" s="501"/>
      <c r="I24" s="501"/>
      <c r="J24" s="501">
        <v>1.77</v>
      </c>
      <c r="K24" s="501">
        <f>1.5*1.57</f>
        <v>2.355</v>
      </c>
      <c r="L24" s="501">
        <f>1.5*1.31</f>
        <v>1.9650000000000001</v>
      </c>
      <c r="M24" s="501"/>
      <c r="N24" s="501"/>
      <c r="O24" s="501"/>
    </row>
    <row r="25" spans="1:15" ht="15" x14ac:dyDescent="0.25">
      <c r="A25" s="501"/>
      <c r="B25" s="501"/>
      <c r="C25" s="501">
        <v>2.65</v>
      </c>
      <c r="D25" s="501">
        <f>1.5*1.18</f>
        <v>1.77</v>
      </c>
      <c r="E25" s="501"/>
      <c r="F25" s="501"/>
      <c r="G25" s="501"/>
      <c r="H25" s="501"/>
      <c r="I25" s="501"/>
      <c r="J25" s="501">
        <v>3.89</v>
      </c>
      <c r="K25" s="501">
        <f>1.5*0.92</f>
        <v>1.3800000000000001</v>
      </c>
      <c r="L25" s="501">
        <f>2.35*1.18</f>
        <v>2.7730000000000001</v>
      </c>
      <c r="M25" s="501"/>
      <c r="N25" s="501"/>
      <c r="O25" s="501"/>
    </row>
    <row r="26" spans="1:15" ht="15" x14ac:dyDescent="0.25">
      <c r="A26" s="501"/>
      <c r="B26" s="501"/>
      <c r="C26" s="501">
        <v>2.33</v>
      </c>
      <c r="D26" s="501">
        <f>2.1*1</f>
        <v>2.1</v>
      </c>
      <c r="E26" s="501"/>
      <c r="F26" s="501"/>
      <c r="G26" s="501"/>
      <c r="H26" s="501"/>
      <c r="I26" s="501"/>
      <c r="J26" s="501">
        <v>1.72</v>
      </c>
      <c r="K26" s="501">
        <f>2.35*0.91</f>
        <v>2.1385000000000001</v>
      </c>
      <c r="L26" s="501"/>
      <c r="M26" s="501"/>
      <c r="N26" s="501"/>
      <c r="O26" s="501"/>
    </row>
    <row r="27" spans="1:15" ht="15" x14ac:dyDescent="0.25">
      <c r="A27" s="501"/>
      <c r="B27" s="501"/>
      <c r="C27" s="501">
        <v>1.72</v>
      </c>
      <c r="D27" s="501">
        <f>1.5*1.83</f>
        <v>2.7450000000000001</v>
      </c>
      <c r="E27" s="501"/>
      <c r="F27" s="501"/>
      <c r="G27" s="501"/>
      <c r="H27" s="501"/>
      <c r="I27" s="501"/>
      <c r="J27" s="501">
        <v>5.05</v>
      </c>
      <c r="K27" s="501">
        <f>1.5*1.18</f>
        <v>1.77</v>
      </c>
      <c r="L27" s="501"/>
      <c r="M27" s="501"/>
      <c r="N27" s="501"/>
      <c r="O27" s="501"/>
    </row>
    <row r="28" spans="1:15" ht="15" x14ac:dyDescent="0.25">
      <c r="A28" s="501"/>
      <c r="B28" s="501"/>
      <c r="C28" s="501">
        <v>1.72</v>
      </c>
      <c r="D28" s="501">
        <f>1.5*0.83</f>
        <v>1.2449999999999999</v>
      </c>
      <c r="E28" s="501"/>
      <c r="F28" s="501"/>
      <c r="G28" s="501"/>
      <c r="H28" s="501"/>
      <c r="I28" s="501"/>
      <c r="J28" s="501">
        <v>1.77</v>
      </c>
      <c r="K28" s="501">
        <f>2.1*1</f>
        <v>2.1</v>
      </c>
      <c r="L28" s="501"/>
      <c r="M28" s="501"/>
      <c r="N28" s="501"/>
      <c r="O28" s="501"/>
    </row>
    <row r="29" spans="1:15" ht="15" x14ac:dyDescent="0.25">
      <c r="A29" s="501"/>
      <c r="B29" s="501"/>
      <c r="C29" s="501">
        <v>5.05</v>
      </c>
      <c r="D29" s="501">
        <f>2.35*0.74</f>
        <v>1.7390000000000001</v>
      </c>
      <c r="E29" s="501"/>
      <c r="F29" s="501"/>
      <c r="G29" s="501"/>
      <c r="H29" s="501"/>
      <c r="I29" s="501"/>
      <c r="J29" s="501">
        <v>3.89</v>
      </c>
      <c r="K29" s="501">
        <f>1.5*0.83</f>
        <v>1.2449999999999999</v>
      </c>
      <c r="L29" s="501"/>
      <c r="M29" s="501"/>
      <c r="N29" s="501"/>
      <c r="O29" s="501"/>
    </row>
    <row r="30" spans="1:15" ht="15" x14ac:dyDescent="0.25">
      <c r="A30" s="501"/>
      <c r="B30" s="501"/>
      <c r="C30" s="501">
        <v>1.77</v>
      </c>
      <c r="D30" s="501">
        <f>1.5*1.31</f>
        <v>1.9650000000000001</v>
      </c>
      <c r="E30" s="501"/>
      <c r="F30" s="501"/>
      <c r="G30" s="501"/>
      <c r="H30" s="501"/>
      <c r="I30" s="501"/>
      <c r="J30" s="501">
        <v>4.1500000000000004</v>
      </c>
      <c r="K30" s="501">
        <f>2.35*0.74</f>
        <v>1.7390000000000001</v>
      </c>
      <c r="L30" s="501"/>
      <c r="M30" s="501"/>
      <c r="N30" s="501"/>
      <c r="O30" s="501"/>
    </row>
    <row r="31" spans="1:15" ht="15" x14ac:dyDescent="0.25">
      <c r="A31" s="501"/>
      <c r="B31" s="501"/>
      <c r="C31" s="501">
        <v>3.89</v>
      </c>
      <c r="D31" s="501">
        <f>1.5*0.83</f>
        <v>1.2449999999999999</v>
      </c>
      <c r="E31" s="501"/>
      <c r="F31" s="501"/>
      <c r="G31" s="501"/>
      <c r="H31" s="501"/>
      <c r="I31" s="501"/>
      <c r="J31" s="501">
        <v>2.62</v>
      </c>
      <c r="K31" s="501">
        <f>1.5*1.83</f>
        <v>2.7450000000000001</v>
      </c>
      <c r="L31" s="501"/>
      <c r="M31" s="501"/>
      <c r="N31" s="501"/>
      <c r="O31" s="501"/>
    </row>
    <row r="32" spans="1:15" ht="15" x14ac:dyDescent="0.25">
      <c r="A32" s="501"/>
      <c r="B32" s="501"/>
      <c r="C32" s="501">
        <v>4.1500000000000004</v>
      </c>
      <c r="D32" s="501">
        <f>1.5*1.83</f>
        <v>2.7450000000000001</v>
      </c>
      <c r="E32" s="501"/>
      <c r="F32" s="501"/>
      <c r="G32" s="501"/>
      <c r="H32" s="501"/>
      <c r="I32" s="501"/>
      <c r="J32" s="501">
        <v>2</v>
      </c>
      <c r="K32" s="501">
        <f>1.5*0.83</f>
        <v>1.2449999999999999</v>
      </c>
      <c r="L32" s="501"/>
      <c r="M32" s="501"/>
      <c r="N32" s="501"/>
      <c r="O32" s="501"/>
    </row>
    <row r="33" spans="1:15" ht="15" x14ac:dyDescent="0.25">
      <c r="A33" s="501"/>
      <c r="B33" s="501"/>
      <c r="C33" s="501">
        <v>2.62</v>
      </c>
      <c r="D33" s="501">
        <f>2.35*1.18</f>
        <v>2.7730000000000001</v>
      </c>
      <c r="E33" s="501"/>
      <c r="F33" s="501"/>
      <c r="G33" s="501"/>
      <c r="H33" s="501"/>
      <c r="I33" s="501"/>
      <c r="J33" s="501">
        <f>5.74-2-0.08</f>
        <v>3.66</v>
      </c>
      <c r="K33" s="501">
        <f>2.35*0.74</f>
        <v>1.7390000000000001</v>
      </c>
      <c r="L33" s="501"/>
      <c r="M33" s="501"/>
      <c r="N33" s="501"/>
      <c r="O33" s="501"/>
    </row>
    <row r="34" spans="1:15" ht="15" x14ac:dyDescent="0.25">
      <c r="A34" s="501"/>
      <c r="B34" s="501"/>
      <c r="C34" s="501">
        <v>3.89</v>
      </c>
      <c r="D34" s="501">
        <f>1.5*1.57</f>
        <v>2.355</v>
      </c>
      <c r="E34" s="501"/>
      <c r="F34" s="501"/>
      <c r="G34" s="501"/>
      <c r="H34" s="501"/>
      <c r="I34" s="501"/>
      <c r="J34" s="501">
        <v>1.72</v>
      </c>
      <c r="K34" s="501">
        <f>1.5*1.83</f>
        <v>2.7450000000000001</v>
      </c>
      <c r="L34" s="501"/>
      <c r="M34" s="501"/>
      <c r="N34" s="501"/>
      <c r="O34" s="501"/>
    </row>
    <row r="35" spans="1:15" ht="15" x14ac:dyDescent="0.25">
      <c r="A35" s="501"/>
      <c r="B35" s="501"/>
      <c r="C35" s="501">
        <v>1.77</v>
      </c>
      <c r="D35" s="501">
        <f>1.5*1.31</f>
        <v>1.9650000000000001</v>
      </c>
      <c r="E35" s="501"/>
      <c r="F35" s="501"/>
      <c r="G35" s="501"/>
      <c r="H35" s="501"/>
      <c r="I35" s="501"/>
      <c r="J35" s="501">
        <v>2.41</v>
      </c>
      <c r="K35" s="501"/>
      <c r="L35" s="501"/>
      <c r="M35" s="501"/>
      <c r="N35" s="501"/>
      <c r="O35" s="501"/>
    </row>
    <row r="36" spans="1:15" ht="15" x14ac:dyDescent="0.25">
      <c r="A36" s="501"/>
      <c r="B36" s="501"/>
      <c r="C36" s="501">
        <v>1.72</v>
      </c>
      <c r="D36" s="501">
        <f>2.35*1.18</f>
        <v>2.7730000000000001</v>
      </c>
      <c r="E36" s="501"/>
      <c r="F36" s="501"/>
      <c r="G36" s="501"/>
      <c r="H36" s="501"/>
      <c r="I36" s="501"/>
      <c r="J36" s="501">
        <v>2.8</v>
      </c>
      <c r="K36" s="501"/>
      <c r="L36" s="501"/>
      <c r="M36" s="501"/>
      <c r="N36" s="501"/>
      <c r="O36" s="501"/>
    </row>
    <row r="37" spans="1:15" ht="15" x14ac:dyDescent="0.25">
      <c r="A37" s="501"/>
      <c r="B37" s="501"/>
      <c r="C37" s="501">
        <v>2.41</v>
      </c>
      <c r="D37" s="501">
        <f>1.08*2.1</f>
        <v>2.2680000000000002</v>
      </c>
      <c r="E37" s="501"/>
      <c r="F37" s="501"/>
      <c r="G37" s="501"/>
      <c r="H37" s="501"/>
      <c r="I37" s="501"/>
      <c r="J37" s="501">
        <v>3.9</v>
      </c>
      <c r="K37" s="501"/>
      <c r="L37" s="501"/>
      <c r="M37" s="501"/>
      <c r="N37" s="501"/>
      <c r="O37" s="501"/>
    </row>
    <row r="38" spans="1:15" ht="15" x14ac:dyDescent="0.25">
      <c r="A38" s="501"/>
      <c r="B38" s="501"/>
      <c r="C38" s="501">
        <v>2.8</v>
      </c>
      <c r="D38" s="501"/>
      <c r="E38" s="501"/>
      <c r="F38" s="501"/>
      <c r="G38" s="501"/>
      <c r="H38" s="501"/>
      <c r="I38" s="501"/>
      <c r="J38" s="501">
        <f>2.98+0.13</f>
        <v>3.11</v>
      </c>
      <c r="K38" s="501"/>
      <c r="L38" s="501"/>
      <c r="M38" s="501"/>
      <c r="N38" s="501"/>
      <c r="O38" s="501"/>
    </row>
    <row r="39" spans="1:15" ht="15" x14ac:dyDescent="0.25">
      <c r="A39" s="501"/>
      <c r="B39" s="501"/>
      <c r="C39" s="501">
        <v>3.9</v>
      </c>
      <c r="D39" s="501"/>
      <c r="E39" s="501"/>
      <c r="F39" s="501"/>
      <c r="G39" s="501"/>
      <c r="H39" s="501"/>
      <c r="I39" s="501"/>
      <c r="J39" s="501">
        <v>1.67</v>
      </c>
      <c r="K39" s="501"/>
      <c r="L39" s="501"/>
      <c r="M39" s="501"/>
      <c r="N39" s="501"/>
      <c r="O39" s="501"/>
    </row>
    <row r="40" spans="1:15" ht="15" x14ac:dyDescent="0.25">
      <c r="A40" s="501"/>
      <c r="B40" s="501"/>
      <c r="C40" s="501">
        <v>3.11</v>
      </c>
      <c r="D40" s="501"/>
      <c r="E40" s="501"/>
      <c r="F40" s="501"/>
      <c r="G40" s="501"/>
      <c r="H40" s="501"/>
      <c r="I40" s="501"/>
      <c r="J40" s="501">
        <v>1.78</v>
      </c>
      <c r="K40" s="501"/>
      <c r="L40" s="501"/>
      <c r="M40" s="501"/>
      <c r="N40" s="501"/>
      <c r="O40" s="501"/>
    </row>
    <row r="41" spans="1:15" ht="15" x14ac:dyDescent="0.25">
      <c r="A41" s="501"/>
      <c r="B41" s="501"/>
      <c r="C41" s="501">
        <v>3.66</v>
      </c>
      <c r="D41" s="501"/>
      <c r="E41" s="501"/>
      <c r="F41" s="501"/>
      <c r="G41" s="501"/>
      <c r="H41" s="501"/>
      <c r="I41" s="501"/>
      <c r="J41" s="501">
        <v>0.9</v>
      </c>
      <c r="K41" s="501"/>
      <c r="L41" s="501"/>
      <c r="M41" s="501"/>
      <c r="N41" s="501"/>
      <c r="O41" s="501"/>
    </row>
    <row r="42" spans="1:15" ht="15" x14ac:dyDescent="0.25">
      <c r="A42" s="501"/>
      <c r="B42" s="501"/>
      <c r="C42" s="501">
        <v>2</v>
      </c>
      <c r="D42" s="501"/>
      <c r="E42" s="501"/>
      <c r="F42" s="501"/>
      <c r="G42" s="501"/>
      <c r="H42" s="501"/>
      <c r="I42" s="501"/>
      <c r="J42" s="501">
        <v>3.83</v>
      </c>
      <c r="K42" s="501"/>
      <c r="L42" s="501"/>
      <c r="M42" s="501"/>
      <c r="N42" s="501"/>
      <c r="O42" s="501"/>
    </row>
    <row r="43" spans="1:15" ht="15" x14ac:dyDescent="0.25">
      <c r="A43" s="501"/>
      <c r="B43" s="501"/>
      <c r="C43" s="501">
        <v>1.67</v>
      </c>
      <c r="D43" s="501"/>
      <c r="E43" s="501"/>
      <c r="F43" s="501"/>
      <c r="G43" s="501"/>
      <c r="H43" s="501"/>
      <c r="I43" s="501"/>
      <c r="J43" s="501">
        <f>2.33+0.13</f>
        <v>2.46</v>
      </c>
      <c r="K43" s="501"/>
      <c r="L43" s="501"/>
      <c r="M43" s="501"/>
      <c r="N43" s="501"/>
      <c r="O43" s="501"/>
    </row>
    <row r="44" spans="1:15" ht="15" x14ac:dyDescent="0.25">
      <c r="A44" s="501"/>
      <c r="B44" s="501"/>
      <c r="C44" s="501">
        <v>1.78</v>
      </c>
      <c r="D44" s="501"/>
      <c r="E44" s="501"/>
      <c r="F44" s="501"/>
      <c r="G44" s="501"/>
      <c r="H44" s="501"/>
      <c r="I44" s="501"/>
      <c r="J44" s="501">
        <v>3.2</v>
      </c>
      <c r="K44" s="501"/>
      <c r="L44" s="501"/>
      <c r="M44" s="501"/>
      <c r="N44" s="501"/>
      <c r="O44" s="501"/>
    </row>
    <row r="45" spans="1:15" ht="15" x14ac:dyDescent="0.25">
      <c r="A45" s="501"/>
      <c r="B45" s="501"/>
      <c r="C45" s="501">
        <v>0.9</v>
      </c>
      <c r="D45" s="501"/>
      <c r="E45" s="501"/>
      <c r="F45" s="501"/>
      <c r="G45" s="501"/>
      <c r="H45" s="501"/>
      <c r="I45" s="501"/>
      <c r="J45" s="501">
        <v>5</v>
      </c>
      <c r="K45" s="501"/>
      <c r="L45" s="501"/>
      <c r="M45" s="501"/>
      <c r="N45" s="501"/>
      <c r="O45" s="501"/>
    </row>
    <row r="46" spans="1:15" ht="15" x14ac:dyDescent="0.25">
      <c r="A46" s="501"/>
      <c r="B46" s="501"/>
      <c r="C46" s="501">
        <v>3.83</v>
      </c>
      <c r="D46" s="501"/>
      <c r="E46" s="501"/>
      <c r="F46" s="501"/>
      <c r="G46" s="501"/>
      <c r="H46" s="501"/>
      <c r="I46" s="501"/>
      <c r="J46" s="501">
        <v>3.34</v>
      </c>
      <c r="K46" s="501"/>
      <c r="L46" s="501"/>
      <c r="M46" s="501"/>
      <c r="N46" s="501"/>
      <c r="O46" s="501"/>
    </row>
    <row r="47" spans="1:15" ht="15" x14ac:dyDescent="0.25">
      <c r="A47" s="501"/>
      <c r="B47" s="501"/>
      <c r="C47" s="501">
        <f>2.33+0.13</f>
        <v>2.46</v>
      </c>
      <c r="D47" s="501"/>
      <c r="E47" s="501"/>
      <c r="F47" s="501"/>
      <c r="G47" s="501"/>
      <c r="H47" s="501"/>
      <c r="I47" s="501"/>
      <c r="J47" s="501">
        <v>3.9</v>
      </c>
      <c r="K47" s="501"/>
      <c r="L47" s="501"/>
      <c r="M47" s="501"/>
      <c r="N47" s="501"/>
      <c r="O47" s="501"/>
    </row>
    <row r="48" spans="1:15" ht="15" x14ac:dyDescent="0.25">
      <c r="A48" s="501"/>
      <c r="B48" s="501"/>
      <c r="C48" s="501">
        <v>3.2</v>
      </c>
      <c r="D48" s="501"/>
      <c r="E48" s="501"/>
      <c r="F48" s="501"/>
      <c r="G48" s="501"/>
      <c r="H48" s="501"/>
      <c r="I48" s="501"/>
      <c r="J48" s="501">
        <v>2.19</v>
      </c>
      <c r="K48" s="501"/>
      <c r="L48" s="501"/>
      <c r="M48" s="501"/>
      <c r="N48" s="501"/>
      <c r="O48" s="501"/>
    </row>
    <row r="49" spans="1:15" ht="15" x14ac:dyDescent="0.25">
      <c r="A49" s="501"/>
      <c r="B49" s="501"/>
      <c r="C49" s="501">
        <v>5</v>
      </c>
      <c r="D49" s="501"/>
      <c r="E49" s="501"/>
      <c r="F49" s="501"/>
      <c r="G49" s="501"/>
      <c r="H49" s="501"/>
      <c r="I49" s="501"/>
      <c r="J49" s="501">
        <v>2.5499999999999998</v>
      </c>
      <c r="K49" s="501"/>
      <c r="L49" s="501"/>
      <c r="M49" s="501"/>
      <c r="N49" s="501"/>
      <c r="O49" s="501"/>
    </row>
    <row r="50" spans="1:15" ht="15" x14ac:dyDescent="0.25">
      <c r="A50" s="501"/>
      <c r="B50" s="501"/>
      <c r="C50" s="501">
        <v>3.34</v>
      </c>
      <c r="D50" s="501"/>
      <c r="E50" s="501"/>
      <c r="F50" s="501"/>
      <c r="G50" s="501"/>
      <c r="H50" s="501"/>
      <c r="I50" s="501"/>
      <c r="J50" s="501">
        <v>4.3099999999999996</v>
      </c>
      <c r="K50" s="501"/>
      <c r="L50" s="501"/>
      <c r="M50" s="501"/>
      <c r="N50" s="501"/>
      <c r="O50" s="501"/>
    </row>
    <row r="51" spans="1:15" ht="15" x14ac:dyDescent="0.25">
      <c r="A51" s="501"/>
      <c r="B51" s="501"/>
      <c r="C51" s="501">
        <f>5.28-0.08</f>
        <v>5.2</v>
      </c>
      <c r="D51" s="501"/>
      <c r="E51" s="501"/>
      <c r="F51" s="501"/>
      <c r="G51" s="501"/>
      <c r="H51" s="501"/>
      <c r="I51" s="501"/>
      <c r="J51" s="501">
        <v>3.9</v>
      </c>
      <c r="K51" s="501"/>
      <c r="L51" s="501"/>
      <c r="M51" s="501"/>
      <c r="N51" s="501"/>
      <c r="O51" s="501"/>
    </row>
    <row r="52" spans="1:15" ht="15" x14ac:dyDescent="0.25">
      <c r="A52" s="501"/>
      <c r="B52" s="501"/>
      <c r="C52" s="501">
        <f>2.21+0.13</f>
        <v>2.34</v>
      </c>
      <c r="D52" s="501"/>
      <c r="E52" s="501"/>
      <c r="F52" s="501"/>
      <c r="G52" s="501"/>
      <c r="H52" s="501"/>
      <c r="I52" s="501"/>
      <c r="J52" s="501">
        <v>3.26</v>
      </c>
      <c r="K52" s="501"/>
      <c r="L52" s="501"/>
      <c r="M52" s="501"/>
      <c r="N52" s="501"/>
      <c r="O52" s="501"/>
    </row>
    <row r="53" spans="1:15" ht="15" x14ac:dyDescent="0.25">
      <c r="A53" s="501"/>
      <c r="B53" s="501"/>
      <c r="C53" s="501">
        <v>2.5</v>
      </c>
      <c r="D53" s="501"/>
      <c r="E53" s="501"/>
      <c r="F53" s="501"/>
      <c r="G53" s="501"/>
      <c r="H53" s="501"/>
      <c r="I53" s="501"/>
      <c r="J53" s="501">
        <v>2.77</v>
      </c>
      <c r="K53" s="501"/>
      <c r="L53" s="501"/>
      <c r="M53" s="501"/>
      <c r="N53" s="501"/>
      <c r="O53" s="501"/>
    </row>
    <row r="54" spans="1:15" ht="15" x14ac:dyDescent="0.25">
      <c r="A54" s="501"/>
      <c r="B54" s="501"/>
      <c r="C54" s="501">
        <v>2.5099999999999998</v>
      </c>
      <c r="D54" s="501"/>
      <c r="E54" s="501"/>
      <c r="F54" s="501"/>
      <c r="G54" s="501"/>
      <c r="H54" s="501"/>
      <c r="I54" s="501"/>
      <c r="J54" s="501">
        <v>1.56</v>
      </c>
      <c r="K54" s="501"/>
      <c r="L54" s="501"/>
      <c r="M54" s="501"/>
      <c r="N54" s="501"/>
      <c r="O54" s="501"/>
    </row>
    <row r="55" spans="1:15" ht="15" x14ac:dyDescent="0.25">
      <c r="A55" s="501"/>
      <c r="B55" s="501"/>
      <c r="C55" s="501">
        <f>2.3+0.13</f>
        <v>2.4299999999999997</v>
      </c>
      <c r="D55" s="501"/>
      <c r="E55" s="501"/>
      <c r="F55" s="501"/>
      <c r="G55" s="501"/>
      <c r="H55" s="501"/>
      <c r="I55" s="501"/>
      <c r="J55" s="501">
        <v>0.79</v>
      </c>
      <c r="K55" s="501"/>
      <c r="L55" s="501"/>
      <c r="M55" s="501"/>
      <c r="N55" s="501"/>
      <c r="O55" s="501"/>
    </row>
    <row r="56" spans="1:15" ht="15" x14ac:dyDescent="0.25">
      <c r="A56" s="501"/>
      <c r="B56" s="501"/>
      <c r="C56" s="501">
        <v>3.39</v>
      </c>
      <c r="D56" s="501"/>
      <c r="E56" s="501"/>
      <c r="F56" s="501"/>
      <c r="G56" s="501"/>
      <c r="H56" s="501"/>
      <c r="I56" s="501"/>
      <c r="J56" s="501">
        <v>5.2</v>
      </c>
      <c r="K56" s="501"/>
      <c r="L56" s="501"/>
      <c r="M56" s="501"/>
      <c r="N56" s="501"/>
      <c r="O56" s="501"/>
    </row>
    <row r="57" spans="1:15" ht="15" x14ac:dyDescent="0.25">
      <c r="A57" s="501"/>
      <c r="B57" s="501"/>
      <c r="C57" s="501">
        <v>1.81</v>
      </c>
      <c r="D57" s="501"/>
      <c r="E57" s="501"/>
      <c r="F57" s="501"/>
      <c r="G57" s="501"/>
      <c r="H57" s="501"/>
      <c r="I57" s="501"/>
      <c r="J57" s="501">
        <f>2.3+0.13</f>
        <v>2.4299999999999997</v>
      </c>
      <c r="K57" s="501"/>
      <c r="L57" s="501"/>
      <c r="M57" s="501"/>
      <c r="N57" s="501"/>
      <c r="O57" s="501"/>
    </row>
    <row r="58" spans="1:15" ht="15" x14ac:dyDescent="0.25">
      <c r="A58" s="501"/>
      <c r="B58" s="501"/>
      <c r="C58" s="501">
        <v>2.77</v>
      </c>
      <c r="D58" s="501"/>
      <c r="E58" s="501"/>
      <c r="F58" s="501"/>
      <c r="G58" s="501"/>
      <c r="H58" s="501"/>
      <c r="I58" s="501"/>
      <c r="J58" s="501">
        <v>2.5099999999999998</v>
      </c>
      <c r="K58" s="501"/>
      <c r="L58" s="501"/>
      <c r="M58" s="501"/>
      <c r="N58" s="501"/>
      <c r="O58" s="501"/>
    </row>
    <row r="59" spans="1:15" ht="15" x14ac:dyDescent="0.25">
      <c r="A59" s="501"/>
      <c r="B59" s="501"/>
      <c r="C59" s="501">
        <f>0.79+0.08+1.56</f>
        <v>2.4300000000000002</v>
      </c>
      <c r="D59" s="501"/>
      <c r="E59" s="501"/>
      <c r="F59" s="501"/>
      <c r="G59" s="501"/>
      <c r="H59" s="501"/>
      <c r="I59" s="501"/>
      <c r="J59" s="501">
        <v>2.5</v>
      </c>
      <c r="K59" s="501"/>
      <c r="L59" s="501"/>
      <c r="M59" s="501"/>
      <c r="N59" s="501"/>
      <c r="O59" s="501"/>
    </row>
    <row r="60" spans="1:15" ht="15" x14ac:dyDescent="0.25">
      <c r="A60" s="501"/>
      <c r="B60" s="501"/>
      <c r="C60" s="501">
        <v>3.26</v>
      </c>
      <c r="D60" s="501"/>
      <c r="E60" s="501"/>
      <c r="F60" s="501"/>
      <c r="G60" s="501"/>
      <c r="H60" s="501"/>
      <c r="I60" s="501"/>
      <c r="J60" s="501">
        <f>2.21+0.13</f>
        <v>2.34</v>
      </c>
      <c r="K60" s="501"/>
      <c r="L60" s="501"/>
      <c r="M60" s="501"/>
      <c r="N60" s="501"/>
      <c r="O60" s="501"/>
    </row>
    <row r="61" spans="1:15" ht="15" x14ac:dyDescent="0.25">
      <c r="A61" s="501"/>
      <c r="B61" s="501"/>
      <c r="C61" s="501">
        <v>3.9</v>
      </c>
      <c r="D61" s="501"/>
      <c r="E61" s="501"/>
      <c r="F61" s="501"/>
      <c r="G61" s="501"/>
      <c r="H61" s="501"/>
      <c r="I61" s="501"/>
      <c r="J61" s="501">
        <f>3.21+1.99</f>
        <v>5.2</v>
      </c>
      <c r="K61" s="501"/>
      <c r="L61" s="501"/>
      <c r="M61" s="501"/>
      <c r="N61" s="501"/>
      <c r="O61" s="501"/>
    </row>
    <row r="62" spans="1:15" ht="15" x14ac:dyDescent="0.25">
      <c r="A62" s="501"/>
      <c r="B62" s="501"/>
      <c r="C62" s="501">
        <v>4.3099999999999996</v>
      </c>
      <c r="D62" s="501"/>
      <c r="E62" s="501"/>
      <c r="F62" s="501"/>
      <c r="G62" s="501"/>
      <c r="H62" s="501"/>
      <c r="I62" s="501"/>
      <c r="J62" s="501">
        <v>1.4</v>
      </c>
      <c r="K62" s="501"/>
      <c r="L62" s="501"/>
      <c r="M62" s="501"/>
      <c r="N62" s="501"/>
      <c r="O62" s="501"/>
    </row>
    <row r="63" spans="1:15" ht="15" x14ac:dyDescent="0.25">
      <c r="A63" s="501"/>
      <c r="B63" s="501"/>
      <c r="C63" s="501">
        <v>2.5499999999999998</v>
      </c>
      <c r="D63" s="501"/>
      <c r="E63" s="501"/>
      <c r="F63" s="501"/>
      <c r="G63" s="501"/>
      <c r="H63" s="501"/>
      <c r="I63" s="501"/>
      <c r="J63" s="501">
        <v>1.1000000000000001</v>
      </c>
      <c r="K63" s="501"/>
      <c r="L63" s="501"/>
      <c r="M63" s="501"/>
      <c r="N63" s="501"/>
      <c r="O63" s="501"/>
    </row>
    <row r="64" spans="1:15" ht="15" x14ac:dyDescent="0.25">
      <c r="A64" s="501"/>
      <c r="B64" s="501"/>
      <c r="C64" s="501">
        <v>3.9</v>
      </c>
      <c r="D64" s="501"/>
      <c r="E64" s="501"/>
      <c r="F64" s="501"/>
      <c r="G64" s="501"/>
      <c r="H64" s="501"/>
      <c r="I64" s="501"/>
      <c r="J64" s="501"/>
      <c r="K64" s="501"/>
      <c r="L64" s="501"/>
      <c r="M64" s="501"/>
      <c r="N64" s="501"/>
      <c r="O64" s="501"/>
    </row>
    <row r="65" spans="1:15" ht="15" x14ac:dyDescent="0.25">
      <c r="A65" s="501"/>
      <c r="B65" s="501"/>
      <c r="C65" s="501">
        <v>2.19</v>
      </c>
      <c r="D65" s="501"/>
      <c r="E65" s="501"/>
      <c r="F65" s="501"/>
      <c r="G65" s="501"/>
      <c r="H65" s="501"/>
      <c r="I65" s="501"/>
      <c r="J65" s="501"/>
      <c r="K65" s="501"/>
      <c r="L65" s="501"/>
      <c r="M65" s="501"/>
      <c r="N65" s="501"/>
      <c r="O65" s="501"/>
    </row>
    <row r="66" spans="1:15" ht="15.6" thickBot="1" x14ac:dyDescent="0.3">
      <c r="A66" s="501"/>
      <c r="B66" s="501"/>
      <c r="C66" s="501">
        <f>SUM(C2:C65)</f>
        <v>195.19000000000003</v>
      </c>
      <c r="D66" s="501">
        <f t="shared" ref="D66:M66" si="1">SUM(D2:D65)</f>
        <v>71.70450000000001</v>
      </c>
      <c r="E66" s="501">
        <f t="shared" si="1"/>
        <v>59.849999999999987</v>
      </c>
      <c r="F66" s="501">
        <f t="shared" si="1"/>
        <v>15.548999999999999</v>
      </c>
      <c r="G66" s="501">
        <f t="shared" si="1"/>
        <v>0</v>
      </c>
      <c r="H66" s="501">
        <f t="shared" si="1"/>
        <v>0</v>
      </c>
      <c r="I66" s="501">
        <f t="shared" si="1"/>
        <v>0</v>
      </c>
      <c r="J66" s="501">
        <f t="shared" si="1"/>
        <v>183.13</v>
      </c>
      <c r="K66" s="501">
        <f>SUM(K2:K65)</f>
        <v>64.357499999999987</v>
      </c>
      <c r="L66" s="501">
        <f t="shared" si="1"/>
        <v>75.020999999999987</v>
      </c>
      <c r="M66" s="501">
        <f t="shared" si="1"/>
        <v>18.731999999999999</v>
      </c>
      <c r="N66" s="501"/>
      <c r="O66" s="501"/>
    </row>
    <row r="67" spans="1:15" ht="15.6" thickBot="1" x14ac:dyDescent="0.3">
      <c r="A67" s="501"/>
      <c r="B67" s="501"/>
      <c r="C67" s="501">
        <f>C66*2.55</f>
        <v>497.73450000000003</v>
      </c>
      <c r="D67" s="502">
        <f>C67-D66</f>
        <v>426.03000000000003</v>
      </c>
      <c r="E67" s="501">
        <f>E66*2.55</f>
        <v>152.61749999999995</v>
      </c>
      <c r="F67" s="502">
        <f>E67-F66</f>
        <v>137.06849999999994</v>
      </c>
      <c r="G67" s="501"/>
      <c r="H67" s="501"/>
      <c r="I67" s="501"/>
      <c r="J67" s="501">
        <f>J66*2.55</f>
        <v>466.98149999999998</v>
      </c>
      <c r="K67" s="502">
        <f>J67-K66</f>
        <v>402.62400000000002</v>
      </c>
      <c r="L67" s="501">
        <f>L66*2.55</f>
        <v>191.30354999999994</v>
      </c>
      <c r="M67" s="502">
        <f>L67-M66</f>
        <v>172.57154999999995</v>
      </c>
      <c r="N67" s="501">
        <f>M67*2</f>
        <v>345.14309999999989</v>
      </c>
      <c r="O67" s="501"/>
    </row>
    <row r="68" spans="1:15" ht="15" x14ac:dyDescent="0.25">
      <c r="A68" s="501"/>
      <c r="B68" s="501"/>
      <c r="C68" s="501"/>
      <c r="D68" s="501"/>
      <c r="E68" s="501"/>
      <c r="F68" s="501"/>
      <c r="G68" s="501"/>
      <c r="H68" s="501"/>
      <c r="I68" s="501"/>
      <c r="J68" s="501"/>
      <c r="K68" s="501"/>
      <c r="L68" s="501"/>
      <c r="M68" s="501"/>
      <c r="N68" s="501"/>
      <c r="O68" s="501"/>
    </row>
    <row r="69" spans="1:15" ht="15" x14ac:dyDescent="0.25">
      <c r="A69" s="501" t="s">
        <v>1268</v>
      </c>
      <c r="B69" s="501"/>
      <c r="C69" s="501">
        <f>2.64+0.13</f>
        <v>2.77</v>
      </c>
      <c r="D69" s="501">
        <f>2.35*0.74</f>
        <v>1.7390000000000001</v>
      </c>
      <c r="E69" s="501">
        <f>2.11+0.08+3.55</f>
        <v>5.74</v>
      </c>
      <c r="F69" s="501">
        <f>2.1*1</f>
        <v>2.1</v>
      </c>
      <c r="G69" s="501"/>
      <c r="H69" s="501"/>
      <c r="I69" s="501"/>
      <c r="J69" s="501">
        <f>2.64+0.13</f>
        <v>2.77</v>
      </c>
      <c r="K69" s="501">
        <f>1.5*0.83</f>
        <v>1.2449999999999999</v>
      </c>
      <c r="L69" s="501">
        <v>5.74</v>
      </c>
      <c r="M69" s="501">
        <v>2.1</v>
      </c>
      <c r="N69" s="501"/>
      <c r="O69" s="501"/>
    </row>
    <row r="70" spans="1:15" ht="15" x14ac:dyDescent="0.25">
      <c r="A70" s="501"/>
      <c r="B70" s="501"/>
      <c r="C70" s="501">
        <v>3.3</v>
      </c>
      <c r="D70" s="501">
        <f>1.5*0.83</f>
        <v>1.2449999999999999</v>
      </c>
      <c r="E70" s="501">
        <v>5.74</v>
      </c>
      <c r="F70" s="501"/>
      <c r="G70" s="501"/>
      <c r="H70" s="501"/>
      <c r="I70" s="501"/>
      <c r="J70" s="501">
        <v>3.3</v>
      </c>
      <c r="K70" s="501">
        <f>2.35*0.74</f>
        <v>1.7390000000000001</v>
      </c>
      <c r="L70" s="501">
        <v>5.74</v>
      </c>
      <c r="M70" s="501"/>
      <c r="N70" s="501"/>
      <c r="O70" s="501"/>
    </row>
    <row r="71" spans="1:15" ht="15" x14ac:dyDescent="0.25">
      <c r="A71" s="501" t="s">
        <v>1252</v>
      </c>
      <c r="B71" s="501">
        <f>2.35*0.74</f>
        <v>1.7390000000000001</v>
      </c>
      <c r="C71" s="501">
        <v>4.8600000000000003</v>
      </c>
      <c r="D71" s="501">
        <f>1.5*1.83</f>
        <v>2.7450000000000001</v>
      </c>
      <c r="E71" s="501">
        <v>3.5</v>
      </c>
      <c r="F71" s="501"/>
      <c r="G71" s="501"/>
      <c r="H71" s="501"/>
      <c r="I71" s="501"/>
      <c r="J71" s="501">
        <v>4.8600000000000003</v>
      </c>
      <c r="K71" s="501">
        <f>1.5*1.83</f>
        <v>2.7450000000000001</v>
      </c>
      <c r="L71" s="501">
        <v>3.5</v>
      </c>
      <c r="M71" s="501"/>
      <c r="N71" s="501"/>
      <c r="O71" s="501"/>
    </row>
    <row r="72" spans="1:15" ht="15" x14ac:dyDescent="0.25">
      <c r="A72" s="501" t="s">
        <v>1256</v>
      </c>
      <c r="B72" s="501">
        <f>2.35*1.18</f>
        <v>2.7730000000000001</v>
      </c>
      <c r="C72" s="501">
        <v>1.4</v>
      </c>
      <c r="D72" s="501">
        <f>2.1*1</f>
        <v>2.1</v>
      </c>
      <c r="E72" s="501">
        <v>1.4</v>
      </c>
      <c r="F72" s="501"/>
      <c r="G72" s="501"/>
      <c r="H72" s="501"/>
      <c r="I72" s="501"/>
      <c r="J72" s="501">
        <v>1.4</v>
      </c>
      <c r="K72" s="501">
        <f>2.1*1</f>
        <v>2.1</v>
      </c>
      <c r="L72" s="501">
        <v>1.4</v>
      </c>
      <c r="M72" s="501"/>
      <c r="N72" s="501"/>
      <c r="O72" s="501"/>
    </row>
    <row r="73" spans="1:15" ht="15" x14ac:dyDescent="0.25">
      <c r="A73" s="501" t="s">
        <v>1259</v>
      </c>
      <c r="B73" s="501">
        <f>2.35*0.91</f>
        <v>2.1385000000000001</v>
      </c>
      <c r="C73" s="501">
        <v>4.22</v>
      </c>
      <c r="D73" s="501">
        <f>0.95*2.1</f>
        <v>1.9949999999999999</v>
      </c>
      <c r="E73" s="501"/>
      <c r="F73" s="501"/>
      <c r="G73" s="501"/>
      <c r="H73" s="501"/>
      <c r="I73" s="501"/>
      <c r="J73" s="501">
        <v>4.22</v>
      </c>
      <c r="K73" s="501">
        <f>0.95*2.1</f>
        <v>1.9949999999999999</v>
      </c>
      <c r="L73" s="501"/>
      <c r="M73" s="501"/>
      <c r="N73" s="501"/>
      <c r="O73" s="501"/>
    </row>
    <row r="74" spans="1:15" ht="15" x14ac:dyDescent="0.25">
      <c r="A74" s="501" t="s">
        <v>1269</v>
      </c>
      <c r="B74" s="501">
        <f>2.35*0.79</f>
        <v>1.8565000000000003</v>
      </c>
      <c r="C74" s="501">
        <v>1.72</v>
      </c>
      <c r="D74" s="501">
        <f>0.95*2.1</f>
        <v>1.9949999999999999</v>
      </c>
      <c r="E74" s="501"/>
      <c r="F74" s="501"/>
      <c r="G74" s="501"/>
      <c r="H74" s="501"/>
      <c r="I74" s="501"/>
      <c r="J74" s="501">
        <v>1.72</v>
      </c>
      <c r="K74" s="501">
        <f>0.95*2.1</f>
        <v>1.9949999999999999</v>
      </c>
      <c r="L74" s="501"/>
      <c r="M74" s="501"/>
      <c r="N74" s="501"/>
      <c r="O74" s="501"/>
    </row>
    <row r="75" spans="1:15" ht="15" x14ac:dyDescent="0.25">
      <c r="A75" s="501"/>
      <c r="B75" s="501"/>
      <c r="C75" s="501">
        <v>1.72</v>
      </c>
      <c r="D75" s="501">
        <f>1.5*1.57</f>
        <v>2.355</v>
      </c>
      <c r="E75" s="501"/>
      <c r="F75" s="501"/>
      <c r="G75" s="501"/>
      <c r="H75" s="501"/>
      <c r="I75" s="501"/>
      <c r="J75" s="501">
        <v>1.72</v>
      </c>
      <c r="K75" s="501">
        <f>1.5*1.57</f>
        <v>2.355</v>
      </c>
      <c r="L75" s="501"/>
      <c r="M75" s="501"/>
      <c r="N75" s="501"/>
      <c r="O75" s="501"/>
    </row>
    <row r="76" spans="1:15" ht="15" x14ac:dyDescent="0.25">
      <c r="A76" s="501" t="s">
        <v>1253</v>
      </c>
      <c r="B76" s="501">
        <f>1.5*0.83</f>
        <v>1.2449999999999999</v>
      </c>
      <c r="C76" s="501">
        <v>4.54</v>
      </c>
      <c r="D76" s="501">
        <f>2.35*0.79</f>
        <v>1.8565000000000003</v>
      </c>
      <c r="E76" s="501"/>
      <c r="F76" s="501"/>
      <c r="G76" s="501"/>
      <c r="H76" s="501"/>
      <c r="I76" s="501"/>
      <c r="J76" s="501">
        <v>4.54</v>
      </c>
      <c r="K76" s="501">
        <f>2.35*1.18</f>
        <v>2.7730000000000001</v>
      </c>
      <c r="L76" s="501"/>
      <c r="M76" s="501"/>
      <c r="N76" s="501"/>
      <c r="O76" s="501"/>
    </row>
    <row r="77" spans="1:15" ht="15" x14ac:dyDescent="0.25">
      <c r="A77" s="501" t="s">
        <v>1254</v>
      </c>
      <c r="B77" s="501">
        <f>1.5*1.57</f>
        <v>2.355</v>
      </c>
      <c r="C77" s="501">
        <v>2.75</v>
      </c>
      <c r="D77" s="501">
        <f>1.5*1.31</f>
        <v>1.9650000000000001</v>
      </c>
      <c r="E77" s="501"/>
      <c r="F77" s="501"/>
      <c r="G77" s="501"/>
      <c r="H77" s="501"/>
      <c r="I77" s="501"/>
      <c r="J77" s="501">
        <v>2.75</v>
      </c>
      <c r="K77" s="501">
        <f>1.5*1.57</f>
        <v>2.355</v>
      </c>
      <c r="L77" s="501"/>
      <c r="M77" s="501"/>
      <c r="N77" s="501"/>
      <c r="O77" s="501"/>
    </row>
    <row r="78" spans="1:15" ht="15" x14ac:dyDescent="0.25">
      <c r="A78" s="501" t="s">
        <v>1255</v>
      </c>
      <c r="B78" s="501">
        <f>1.5*1.31</f>
        <v>1.9650000000000001</v>
      </c>
      <c r="C78" s="501">
        <v>0.9</v>
      </c>
      <c r="D78" s="501">
        <f>2.35*1.18</f>
        <v>2.7730000000000001</v>
      </c>
      <c r="E78" s="501"/>
      <c r="F78" s="501"/>
      <c r="G78" s="501"/>
      <c r="H78" s="501"/>
      <c r="I78" s="501"/>
      <c r="J78" s="501">
        <v>0.9</v>
      </c>
      <c r="K78" s="501">
        <f>2.35*1.18</f>
        <v>2.7730000000000001</v>
      </c>
      <c r="L78" s="501"/>
      <c r="M78" s="501"/>
      <c r="N78" s="501"/>
      <c r="O78" s="501"/>
    </row>
    <row r="79" spans="1:15" ht="15" x14ac:dyDescent="0.25">
      <c r="A79" s="501" t="s">
        <v>1257</v>
      </c>
      <c r="B79" s="501">
        <f>1.5*1.18</f>
        <v>1.77</v>
      </c>
      <c r="C79" s="501">
        <v>4.76</v>
      </c>
      <c r="D79" s="501">
        <f>2.35*0.74</f>
        <v>1.7390000000000001</v>
      </c>
      <c r="E79" s="501"/>
      <c r="F79" s="501"/>
      <c r="G79" s="501"/>
      <c r="H79" s="501"/>
      <c r="I79" s="501"/>
      <c r="J79" s="501">
        <v>4.76</v>
      </c>
      <c r="K79" s="501">
        <f>1.5*0.83</f>
        <v>1.2449999999999999</v>
      </c>
      <c r="L79" s="501"/>
      <c r="M79" s="501"/>
      <c r="N79" s="501"/>
      <c r="O79" s="501"/>
    </row>
    <row r="80" spans="1:15" ht="15" x14ac:dyDescent="0.25">
      <c r="A80" s="501" t="s">
        <v>1258</v>
      </c>
      <c r="B80" s="501">
        <f>1.5*0.92</f>
        <v>1.3800000000000001</v>
      </c>
      <c r="C80" s="501">
        <v>2.75</v>
      </c>
      <c r="D80" s="501">
        <f>1.5*0.83</f>
        <v>1.2449999999999999</v>
      </c>
      <c r="E80" s="501"/>
      <c r="F80" s="501"/>
      <c r="G80" s="501"/>
      <c r="H80" s="501"/>
      <c r="I80" s="501"/>
      <c r="J80" s="501">
        <v>2.75</v>
      </c>
      <c r="K80" s="501">
        <f>2.35*0.74</f>
        <v>1.7390000000000001</v>
      </c>
      <c r="L80" s="501"/>
      <c r="M80" s="501"/>
      <c r="N80" s="501"/>
      <c r="O80" s="501"/>
    </row>
    <row r="81" spans="1:15" ht="15" x14ac:dyDescent="0.25">
      <c r="A81" s="501" t="s">
        <v>1260</v>
      </c>
      <c r="B81" s="501">
        <f>1.5*1.83</f>
        <v>2.7450000000000001</v>
      </c>
      <c r="C81" s="501">
        <v>0.9</v>
      </c>
      <c r="D81" s="501">
        <f>2.35*0.74</f>
        <v>1.7390000000000001</v>
      </c>
      <c r="E81" s="501"/>
      <c r="F81" s="501"/>
      <c r="G81" s="501"/>
      <c r="H81" s="501"/>
      <c r="I81" s="501"/>
      <c r="J81" s="501">
        <v>4.76</v>
      </c>
      <c r="K81" s="501">
        <f>1.5*1.57</f>
        <v>2.355</v>
      </c>
      <c r="L81" s="501"/>
      <c r="M81" s="501"/>
      <c r="N81" s="501"/>
      <c r="O81" s="501"/>
    </row>
    <row r="82" spans="1:15" ht="15" x14ac:dyDescent="0.25">
      <c r="A82" s="501"/>
      <c r="B82" s="501"/>
      <c r="C82" s="501">
        <f>1.62+0.13</f>
        <v>1.75</v>
      </c>
      <c r="D82" s="501">
        <f>1.5*1.57</f>
        <v>2.355</v>
      </c>
      <c r="E82" s="501"/>
      <c r="F82" s="501"/>
      <c r="G82" s="501"/>
      <c r="H82" s="501"/>
      <c r="I82" s="501"/>
      <c r="J82" s="501">
        <v>0.9</v>
      </c>
      <c r="K82" s="501">
        <f>1.5*1.57</f>
        <v>2.355</v>
      </c>
      <c r="L82" s="501"/>
      <c r="M82" s="501"/>
      <c r="N82" s="501"/>
      <c r="O82" s="501"/>
    </row>
    <row r="83" spans="1:15" ht="15" x14ac:dyDescent="0.25">
      <c r="A83" s="501" t="s">
        <v>1261</v>
      </c>
      <c r="B83" s="501">
        <f>2.1*1.44</f>
        <v>3.024</v>
      </c>
      <c r="C83" s="501">
        <v>2.56</v>
      </c>
      <c r="D83" s="501">
        <f>1.5*1.57</f>
        <v>2.355</v>
      </c>
      <c r="E83" s="501"/>
      <c r="F83" s="501"/>
      <c r="G83" s="501"/>
      <c r="H83" s="501"/>
      <c r="I83" s="501"/>
      <c r="J83" s="501">
        <v>1.75</v>
      </c>
      <c r="K83" s="501">
        <f>2.1*1</f>
        <v>2.1</v>
      </c>
      <c r="L83" s="501"/>
      <c r="M83" s="501"/>
      <c r="N83" s="501"/>
      <c r="O83" s="501"/>
    </row>
    <row r="84" spans="1:15" ht="15" x14ac:dyDescent="0.25">
      <c r="A84" s="501" t="s">
        <v>1262</v>
      </c>
      <c r="B84" s="501">
        <f>2.1*0.91</f>
        <v>1.9110000000000003</v>
      </c>
      <c r="C84" s="501">
        <v>3.95</v>
      </c>
      <c r="D84" s="501">
        <f>1.22*2.1</f>
        <v>2.5619999999999998</v>
      </c>
      <c r="E84" s="501"/>
      <c r="F84" s="501"/>
      <c r="G84" s="501"/>
      <c r="H84" s="501"/>
      <c r="I84" s="501"/>
      <c r="J84" s="501">
        <v>2.4500000000000002</v>
      </c>
      <c r="K84" s="501">
        <f>1.22*2.1</f>
        <v>2.5619999999999998</v>
      </c>
      <c r="L84" s="501"/>
      <c r="M84" s="501"/>
      <c r="N84" s="501"/>
      <c r="O84" s="501"/>
    </row>
    <row r="85" spans="1:15" ht="15" x14ac:dyDescent="0.25">
      <c r="A85" s="501" t="s">
        <v>1263</v>
      </c>
      <c r="B85" s="501">
        <f>2.1*1</f>
        <v>2.1</v>
      </c>
      <c r="C85" s="501">
        <v>1.71</v>
      </c>
      <c r="D85" s="501">
        <f>1.22*2.1</f>
        <v>2.5619999999999998</v>
      </c>
      <c r="E85" s="501"/>
      <c r="F85" s="501"/>
      <c r="G85" s="501"/>
      <c r="H85" s="501"/>
      <c r="I85" s="501"/>
      <c r="J85" s="501">
        <v>1.73</v>
      </c>
      <c r="K85" s="501">
        <f>1.22*2.1</f>
        <v>2.5619999999999998</v>
      </c>
      <c r="L85" s="501"/>
      <c r="M85" s="501"/>
      <c r="N85" s="501"/>
      <c r="O85" s="501"/>
    </row>
    <row r="86" spans="1:15" ht="15" x14ac:dyDescent="0.25">
      <c r="A86" s="501" t="s">
        <v>1264</v>
      </c>
      <c r="B86" s="501">
        <f>2.1*0.9</f>
        <v>1.8900000000000001</v>
      </c>
      <c r="C86" s="501">
        <f>3.95+1.71</f>
        <v>5.66</v>
      </c>
      <c r="D86" s="501">
        <f>2.35*1.18</f>
        <v>2.7730000000000001</v>
      </c>
      <c r="E86" s="501"/>
      <c r="F86" s="501"/>
      <c r="G86" s="501"/>
      <c r="H86" s="501"/>
      <c r="I86" s="501"/>
      <c r="J86" s="501">
        <f>2+0.08+3.66</f>
        <v>5.74</v>
      </c>
      <c r="K86" s="501">
        <f>2.35*1.18</f>
        <v>2.7730000000000001</v>
      </c>
      <c r="L86" s="501"/>
      <c r="M86" s="501"/>
      <c r="N86" s="501"/>
      <c r="O86" s="501"/>
    </row>
    <row r="87" spans="1:15" ht="15" x14ac:dyDescent="0.25">
      <c r="A87" s="501" t="s">
        <v>1265</v>
      </c>
      <c r="B87" s="501">
        <f>2.1*1.35</f>
        <v>2.8350000000000004</v>
      </c>
      <c r="C87" s="501">
        <v>1.75</v>
      </c>
      <c r="D87" s="501">
        <f>1.5*1.83</f>
        <v>2.7450000000000001</v>
      </c>
      <c r="E87" s="501"/>
      <c r="F87" s="501"/>
      <c r="G87" s="501"/>
      <c r="H87" s="501"/>
      <c r="I87" s="501"/>
      <c r="J87" s="501">
        <v>3.3</v>
      </c>
      <c r="K87" s="501">
        <f>1.5*1.83</f>
        <v>2.7450000000000001</v>
      </c>
      <c r="L87" s="501"/>
      <c r="M87" s="501"/>
      <c r="N87" s="501"/>
      <c r="O87" s="501"/>
    </row>
    <row r="88" spans="1:15" ht="15" x14ac:dyDescent="0.25">
      <c r="A88" s="501"/>
      <c r="B88" s="501"/>
      <c r="C88" s="501">
        <v>2.56</v>
      </c>
      <c r="D88" s="501">
        <f>2.1*0.9</f>
        <v>1.8900000000000001</v>
      </c>
      <c r="E88" s="501"/>
      <c r="F88" s="501"/>
      <c r="G88" s="501"/>
      <c r="H88" s="501"/>
      <c r="I88" s="501"/>
      <c r="J88" s="501">
        <f>2.58+0.13</f>
        <v>2.71</v>
      </c>
      <c r="K88" s="501">
        <f>1.5*1.57</f>
        <v>2.355</v>
      </c>
      <c r="L88" s="501"/>
      <c r="M88" s="501"/>
      <c r="N88" s="501"/>
      <c r="O88" s="501"/>
    </row>
    <row r="89" spans="1:15" ht="15" x14ac:dyDescent="0.25">
      <c r="A89" s="501"/>
      <c r="B89" s="501"/>
      <c r="C89" s="501">
        <v>1.71</v>
      </c>
      <c r="D89" s="501"/>
      <c r="E89" s="501"/>
      <c r="F89" s="501"/>
      <c r="G89" s="501"/>
      <c r="H89" s="501"/>
      <c r="I89" s="501"/>
      <c r="J89" s="501">
        <v>3.66</v>
      </c>
      <c r="K89" s="501"/>
      <c r="L89" s="501"/>
      <c r="M89" s="501"/>
      <c r="N89" s="501"/>
      <c r="O89" s="501"/>
    </row>
    <row r="90" spans="1:15" ht="15" x14ac:dyDescent="0.25">
      <c r="A90" s="501"/>
      <c r="B90" s="501"/>
      <c r="C90" s="501">
        <v>1.92</v>
      </c>
      <c r="D90" s="501"/>
      <c r="E90" s="501"/>
      <c r="F90" s="501"/>
      <c r="G90" s="501"/>
      <c r="H90" s="501"/>
      <c r="I90" s="501"/>
      <c r="J90" s="501">
        <v>2</v>
      </c>
      <c r="K90" s="501"/>
      <c r="L90" s="501"/>
      <c r="M90" s="501"/>
      <c r="N90" s="501"/>
      <c r="O90" s="501"/>
    </row>
    <row r="91" spans="1:15" ht="15" x14ac:dyDescent="0.25">
      <c r="A91" s="501"/>
      <c r="B91" s="501"/>
      <c r="C91" s="501">
        <v>2.54</v>
      </c>
      <c r="D91" s="501"/>
      <c r="E91" s="501"/>
      <c r="F91" s="501"/>
      <c r="G91" s="501"/>
      <c r="H91" s="501"/>
      <c r="I91" s="501"/>
      <c r="J91" s="501">
        <v>1.71</v>
      </c>
      <c r="K91" s="501"/>
      <c r="L91" s="501"/>
      <c r="M91" s="501"/>
      <c r="N91" s="501"/>
      <c r="O91" s="501"/>
    </row>
    <row r="92" spans="1:15" ht="15" x14ac:dyDescent="0.25">
      <c r="A92" s="501"/>
      <c r="B92" s="501"/>
      <c r="C92" s="501">
        <f>3.55</f>
        <v>3.55</v>
      </c>
      <c r="D92" s="501"/>
      <c r="E92" s="501"/>
      <c r="F92" s="501"/>
      <c r="G92" s="501"/>
      <c r="H92" s="501"/>
      <c r="I92" s="501"/>
      <c r="J92" s="501">
        <v>1.92</v>
      </c>
      <c r="K92" s="501"/>
      <c r="L92" s="501"/>
      <c r="M92" s="501"/>
      <c r="N92" s="501"/>
      <c r="O92" s="501"/>
    </row>
    <row r="93" spans="1:15" ht="15" x14ac:dyDescent="0.25">
      <c r="A93" s="501"/>
      <c r="B93" s="501"/>
      <c r="C93" s="501">
        <v>2.11</v>
      </c>
      <c r="D93" s="501"/>
      <c r="E93" s="501"/>
      <c r="F93" s="501"/>
      <c r="G93" s="501"/>
      <c r="H93" s="501"/>
      <c r="I93" s="501"/>
      <c r="J93" s="501">
        <v>2.54</v>
      </c>
      <c r="K93" s="501"/>
      <c r="L93" s="501"/>
      <c r="M93" s="501"/>
      <c r="N93" s="501"/>
      <c r="O93" s="501"/>
    </row>
    <row r="94" spans="1:15" ht="15" x14ac:dyDescent="0.25">
      <c r="A94" s="501"/>
      <c r="B94" s="501"/>
      <c r="C94" s="501">
        <f>2.58+0.13</f>
        <v>2.71</v>
      </c>
      <c r="D94" s="501"/>
      <c r="E94" s="501"/>
      <c r="F94" s="501"/>
      <c r="G94" s="501"/>
      <c r="H94" s="501"/>
      <c r="I94" s="501"/>
      <c r="J94" s="501">
        <v>3.54</v>
      </c>
      <c r="K94" s="501"/>
      <c r="L94" s="501"/>
      <c r="M94" s="501"/>
      <c r="N94" s="501"/>
      <c r="O94" s="501"/>
    </row>
    <row r="95" spans="1:15" ht="15" x14ac:dyDescent="0.25">
      <c r="A95" s="501"/>
      <c r="B95" s="501"/>
      <c r="C95" s="501">
        <v>3.54</v>
      </c>
      <c r="D95" s="501"/>
      <c r="E95" s="501"/>
      <c r="F95" s="501"/>
      <c r="G95" s="501"/>
      <c r="H95" s="501"/>
      <c r="I95" s="501"/>
      <c r="J95" s="501">
        <f>2.58+0.13</f>
        <v>2.71</v>
      </c>
      <c r="K95" s="501"/>
      <c r="L95" s="501"/>
      <c r="M95" s="501"/>
      <c r="N95" s="501"/>
      <c r="O95" s="501"/>
    </row>
    <row r="96" spans="1:15" ht="15" x14ac:dyDescent="0.25">
      <c r="A96" s="501"/>
      <c r="B96" s="501"/>
      <c r="C96" s="501">
        <v>3.03</v>
      </c>
      <c r="D96" s="501"/>
      <c r="E96" s="501"/>
      <c r="F96" s="501"/>
      <c r="G96" s="501"/>
      <c r="H96" s="501"/>
      <c r="I96" s="501"/>
      <c r="J96" s="501">
        <v>3.55</v>
      </c>
      <c r="K96" s="501"/>
      <c r="L96" s="501"/>
      <c r="M96" s="501"/>
      <c r="N96" s="501"/>
      <c r="O96" s="501"/>
    </row>
    <row r="97" spans="1:15" ht="15" x14ac:dyDescent="0.25">
      <c r="A97" s="501"/>
      <c r="B97" s="501"/>
      <c r="C97" s="501">
        <v>4.76</v>
      </c>
      <c r="D97" s="501"/>
      <c r="E97" s="501"/>
      <c r="F97" s="501"/>
      <c r="G97" s="501"/>
      <c r="H97" s="501"/>
      <c r="I97" s="501"/>
      <c r="J97" s="501">
        <v>2.11</v>
      </c>
      <c r="K97" s="501"/>
      <c r="L97" s="501"/>
      <c r="M97" s="501"/>
      <c r="N97" s="501"/>
      <c r="O97" s="501"/>
    </row>
    <row r="98" spans="1:15" ht="15" x14ac:dyDescent="0.25">
      <c r="A98" s="501"/>
      <c r="B98" s="501"/>
      <c r="C98" s="501">
        <v>0.9</v>
      </c>
      <c r="D98" s="501"/>
      <c r="E98" s="501"/>
      <c r="F98" s="501"/>
      <c r="G98" s="501"/>
      <c r="H98" s="501"/>
      <c r="I98" s="501"/>
      <c r="J98" s="501">
        <v>3.03</v>
      </c>
      <c r="K98" s="501"/>
      <c r="L98" s="501"/>
      <c r="M98" s="501"/>
      <c r="N98" s="501"/>
      <c r="O98" s="501"/>
    </row>
    <row r="99" spans="1:15" ht="15" x14ac:dyDescent="0.25">
      <c r="A99" s="501"/>
      <c r="B99" s="501"/>
      <c r="C99" s="501">
        <v>4.13</v>
      </c>
      <c r="D99" s="501"/>
      <c r="E99" s="501"/>
      <c r="F99" s="501"/>
      <c r="G99" s="501"/>
      <c r="H99" s="501"/>
      <c r="I99" s="501"/>
      <c r="J99" s="501">
        <v>0.9</v>
      </c>
      <c r="K99" s="501"/>
      <c r="L99" s="501"/>
      <c r="M99" s="501"/>
      <c r="N99" s="501"/>
      <c r="O99" s="501"/>
    </row>
    <row r="100" spans="1:15" ht="15" x14ac:dyDescent="0.25">
      <c r="A100" s="501"/>
      <c r="B100" s="501"/>
      <c r="C100" s="501">
        <v>1.73</v>
      </c>
      <c r="D100" s="501"/>
      <c r="E100" s="501"/>
      <c r="F100" s="501"/>
      <c r="G100" s="501"/>
      <c r="H100" s="501"/>
      <c r="I100" s="501"/>
      <c r="J100" s="501">
        <v>4.76</v>
      </c>
      <c r="K100" s="501"/>
      <c r="L100" s="501"/>
      <c r="M100" s="501"/>
      <c r="N100" s="501"/>
      <c r="O100" s="501"/>
    </row>
    <row r="101" spans="1:15" ht="15" x14ac:dyDescent="0.25">
      <c r="A101" s="501"/>
      <c r="B101" s="501"/>
      <c r="C101" s="501">
        <v>1.72</v>
      </c>
      <c r="D101" s="501"/>
      <c r="E101" s="501"/>
      <c r="F101" s="501"/>
      <c r="G101" s="501"/>
      <c r="H101" s="501"/>
      <c r="I101" s="501"/>
      <c r="J101" s="501">
        <v>3.03</v>
      </c>
      <c r="K101" s="501"/>
      <c r="L101" s="501"/>
      <c r="M101" s="501"/>
      <c r="N101" s="501"/>
      <c r="O101" s="501"/>
    </row>
    <row r="102" spans="1:15" ht="15" x14ac:dyDescent="0.25">
      <c r="A102" s="501"/>
      <c r="B102" s="501"/>
      <c r="C102" s="501">
        <v>4.54</v>
      </c>
      <c r="D102" s="501"/>
      <c r="E102" s="501"/>
      <c r="F102" s="501"/>
      <c r="G102" s="501"/>
      <c r="H102" s="501"/>
      <c r="I102" s="501"/>
      <c r="J102" s="501">
        <v>1.73</v>
      </c>
      <c r="K102" s="501"/>
      <c r="L102" s="501"/>
      <c r="M102" s="501"/>
      <c r="N102" s="501"/>
      <c r="O102" s="501"/>
    </row>
    <row r="103" spans="1:15" ht="15" x14ac:dyDescent="0.25">
      <c r="A103" s="501"/>
      <c r="B103" s="501"/>
      <c r="C103" s="501">
        <f>2.62+0.13</f>
        <v>2.75</v>
      </c>
      <c r="D103" s="501"/>
      <c r="E103" s="501"/>
      <c r="F103" s="501"/>
      <c r="G103" s="501"/>
      <c r="H103" s="501"/>
      <c r="I103" s="501"/>
      <c r="J103" s="501">
        <v>4.3099999999999996</v>
      </c>
      <c r="K103" s="501"/>
      <c r="L103" s="501"/>
      <c r="M103" s="501"/>
      <c r="N103" s="501"/>
      <c r="O103" s="501"/>
    </row>
    <row r="104" spans="1:15" ht="15" x14ac:dyDescent="0.25">
      <c r="A104" s="501"/>
      <c r="B104" s="501"/>
      <c r="C104" s="501">
        <v>3.34</v>
      </c>
      <c r="D104" s="501"/>
      <c r="E104" s="501"/>
      <c r="F104" s="501"/>
      <c r="G104" s="501"/>
      <c r="H104" s="501"/>
      <c r="I104" s="501"/>
      <c r="J104" s="501">
        <v>1.72</v>
      </c>
      <c r="K104" s="501"/>
      <c r="L104" s="501"/>
      <c r="M104" s="501"/>
      <c r="N104" s="501"/>
      <c r="O104" s="501"/>
    </row>
    <row r="105" spans="1:15" ht="15" x14ac:dyDescent="0.25">
      <c r="A105" s="501"/>
      <c r="B105" s="501"/>
      <c r="C105" s="501">
        <v>3.5</v>
      </c>
      <c r="D105" s="501"/>
      <c r="E105" s="501"/>
      <c r="F105" s="501"/>
      <c r="G105" s="501"/>
      <c r="H105" s="501"/>
      <c r="I105" s="501"/>
      <c r="J105" s="501">
        <v>4.54</v>
      </c>
      <c r="K105" s="501"/>
      <c r="L105" s="501"/>
      <c r="M105" s="501"/>
      <c r="N105" s="501"/>
      <c r="O105" s="501"/>
    </row>
    <row r="106" spans="1:15" ht="15" x14ac:dyDescent="0.25">
      <c r="A106" s="501"/>
      <c r="B106" s="501"/>
      <c r="C106" s="501">
        <v>4.68</v>
      </c>
      <c r="D106" s="501"/>
      <c r="E106" s="501"/>
      <c r="F106" s="501"/>
      <c r="G106" s="501"/>
      <c r="H106" s="501"/>
      <c r="I106" s="501"/>
      <c r="J106" s="501">
        <f>2.62+0.13</f>
        <v>2.75</v>
      </c>
      <c r="K106" s="501"/>
      <c r="L106" s="501"/>
      <c r="M106" s="501"/>
      <c r="N106" s="501"/>
      <c r="O106" s="501"/>
    </row>
    <row r="107" spans="1:15" ht="15" x14ac:dyDescent="0.25">
      <c r="A107" s="501"/>
      <c r="B107" s="501"/>
      <c r="C107" s="501">
        <v>4.76</v>
      </c>
      <c r="D107" s="501"/>
      <c r="E107" s="501"/>
      <c r="F107" s="501"/>
      <c r="G107" s="501"/>
      <c r="H107" s="501"/>
      <c r="I107" s="501"/>
      <c r="J107" s="501">
        <v>3.34</v>
      </c>
      <c r="K107" s="501"/>
      <c r="L107" s="501"/>
      <c r="M107" s="501"/>
      <c r="N107" s="501"/>
      <c r="O107" s="501"/>
    </row>
    <row r="108" spans="1:15" ht="15" x14ac:dyDescent="0.25">
      <c r="A108" s="501"/>
      <c r="B108" s="501"/>
      <c r="C108" s="501"/>
      <c r="D108" s="501"/>
      <c r="E108" s="501"/>
      <c r="F108" s="501"/>
      <c r="G108" s="501"/>
      <c r="H108" s="501"/>
      <c r="I108" s="501"/>
      <c r="J108" s="501">
        <v>3.5</v>
      </c>
      <c r="K108" s="501"/>
      <c r="L108" s="501"/>
      <c r="M108" s="501"/>
      <c r="N108" s="501"/>
      <c r="O108" s="501"/>
    </row>
    <row r="109" spans="1:15" ht="15" x14ac:dyDescent="0.25">
      <c r="A109" s="501"/>
      <c r="B109" s="501"/>
      <c r="C109" s="501">
        <f>SUM(C69:C107)</f>
        <v>114.45000000000003</v>
      </c>
      <c r="D109" s="501">
        <f>SUM(D69:D106)</f>
        <v>42.733499999999999</v>
      </c>
      <c r="E109" s="501">
        <f>SUM(E69:E106)</f>
        <v>16.38</v>
      </c>
      <c r="F109" s="501">
        <f>SUM(F69:F106)</f>
        <v>2.1</v>
      </c>
      <c r="G109" s="501"/>
      <c r="H109" s="501"/>
      <c r="I109" s="501"/>
      <c r="J109" s="501">
        <v>4.68</v>
      </c>
      <c r="K109" s="501"/>
      <c r="L109" s="501"/>
      <c r="M109" s="501"/>
      <c r="N109" s="501"/>
      <c r="O109" s="501"/>
    </row>
    <row r="110" spans="1:15" ht="15.6" thickBot="1" x14ac:dyDescent="0.3">
      <c r="A110" s="501"/>
      <c r="B110" s="501"/>
      <c r="C110" s="501"/>
      <c r="D110" s="501"/>
      <c r="E110" s="501"/>
      <c r="F110" s="501"/>
      <c r="G110" s="501"/>
      <c r="H110" s="501"/>
      <c r="I110" s="501"/>
      <c r="K110" s="501"/>
      <c r="L110" s="501"/>
      <c r="M110" s="501"/>
      <c r="N110" s="501"/>
      <c r="O110" s="501"/>
    </row>
    <row r="111" spans="1:15" ht="15.6" thickBot="1" x14ac:dyDescent="0.3">
      <c r="A111" s="501"/>
      <c r="B111" s="501"/>
      <c r="C111" s="501">
        <f>C109*2.55</f>
        <v>291.84750000000008</v>
      </c>
      <c r="D111" s="502">
        <f>C111-D109</f>
        <v>249.11400000000009</v>
      </c>
      <c r="E111" s="501">
        <f>E109*2.55</f>
        <v>41.768999999999991</v>
      </c>
      <c r="F111" s="502">
        <f>E111-F109</f>
        <v>39.66899999999999</v>
      </c>
      <c r="G111" s="501"/>
      <c r="H111" s="501"/>
      <c r="I111" s="501"/>
      <c r="J111" s="501">
        <f>SUM(J69:J109)</f>
        <v>121.06000000000003</v>
      </c>
      <c r="K111" s="501">
        <f>SUM(K69:K110)</f>
        <v>44.866</v>
      </c>
      <c r="L111" s="501">
        <f>SUM(L69:L110)</f>
        <v>16.38</v>
      </c>
      <c r="M111" s="501">
        <f>SUM(M69:M110)</f>
        <v>2.1</v>
      </c>
      <c r="N111" s="501"/>
      <c r="O111" s="501"/>
    </row>
    <row r="112" spans="1:15" ht="15.6" thickBot="1" x14ac:dyDescent="0.3">
      <c r="A112" s="501"/>
      <c r="B112" s="501"/>
      <c r="C112" s="501"/>
      <c r="D112" s="501"/>
      <c r="E112" s="501"/>
      <c r="F112" s="501"/>
      <c r="G112" s="501"/>
      <c r="H112" s="501"/>
      <c r="I112" s="501"/>
      <c r="J112" s="501">
        <f>J111*2.55</f>
        <v>308.70300000000003</v>
      </c>
      <c r="K112" s="502">
        <f>J112-K111</f>
        <v>263.83700000000005</v>
      </c>
      <c r="L112" s="501">
        <f>L111*2.55</f>
        <v>41.768999999999991</v>
      </c>
      <c r="M112" s="502">
        <f>L112-M111</f>
        <v>39.66899999999999</v>
      </c>
      <c r="N112" s="501"/>
      <c r="O112" s="501"/>
    </row>
    <row r="113" spans="1:15" ht="15" x14ac:dyDescent="0.25">
      <c r="A113" s="501"/>
      <c r="B113" s="501"/>
      <c r="C113" s="501"/>
      <c r="D113" s="501"/>
      <c r="E113" s="501"/>
      <c r="F113" s="501"/>
      <c r="G113" s="501"/>
      <c r="H113" s="501"/>
      <c r="I113" s="501"/>
      <c r="J113" s="501"/>
      <c r="K113" s="501"/>
      <c r="L113" s="501"/>
      <c r="M113" s="501"/>
      <c r="N113" s="501"/>
      <c r="O113" s="501"/>
    </row>
    <row r="115" spans="1:15" ht="15" thickBot="1" x14ac:dyDescent="0.3">
      <c r="D115">
        <f>D111+K112*2</f>
        <v>776.78800000000024</v>
      </c>
      <c r="F115">
        <f>F111+M112*2</f>
        <v>119.00699999999998</v>
      </c>
    </row>
    <row r="116" spans="1:15" ht="15" thickBot="1" x14ac:dyDescent="0.3">
      <c r="D116">
        <f>D115*2</f>
        <v>1553.5760000000005</v>
      </c>
      <c r="E116">
        <f>D67+K67*2</f>
        <v>1231.278</v>
      </c>
      <c r="F116">
        <f>F115*2</f>
        <v>238.01399999999995</v>
      </c>
      <c r="G116">
        <f>F67+M67*2</f>
        <v>482.21159999999986</v>
      </c>
      <c r="I116" s="503">
        <f>SUM(D116:G116)</f>
        <v>3505.0796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"/>
  <sheetViews>
    <sheetView workbookViewId="0">
      <pane ySplit="1" topLeftCell="A73" activePane="bottomLeft" state="frozen"/>
      <selection pane="bottomLeft" activeCell="M93" sqref="M93"/>
    </sheetView>
  </sheetViews>
  <sheetFormatPr defaultColWidth="9" defaultRowHeight="13.8" x14ac:dyDescent="0.25"/>
  <cols>
    <col min="1" max="1" width="9" style="288"/>
    <col min="2" max="2" width="13.21875" style="288" customWidth="1"/>
    <col min="3" max="4" width="9" style="288"/>
    <col min="5" max="5" width="11.88671875" style="288" bestFit="1" customWidth="1"/>
    <col min="6" max="6" width="7.6640625" style="288" customWidth="1"/>
    <col min="7" max="7" width="10" style="288" bestFit="1" customWidth="1"/>
    <col min="8" max="10" width="9" style="288"/>
    <col min="11" max="11" width="12.77734375" style="288" bestFit="1" customWidth="1"/>
    <col min="12" max="15" width="9" style="288"/>
    <col min="16" max="16" width="10" style="288" bestFit="1" customWidth="1"/>
    <col min="17" max="16384" width="9" style="288"/>
  </cols>
  <sheetData>
    <row r="1" spans="2:7" x14ac:dyDescent="0.25">
      <c r="F1" s="434" t="s">
        <v>974</v>
      </c>
      <c r="G1" s="434" t="s">
        <v>975</v>
      </c>
    </row>
    <row r="3" spans="2:7" x14ac:dyDescent="0.25">
      <c r="B3" s="784" t="s">
        <v>969</v>
      </c>
      <c r="C3" s="784"/>
      <c r="D3" s="784"/>
      <c r="E3" s="784"/>
      <c r="F3" s="784"/>
      <c r="G3" s="784"/>
    </row>
    <row r="4" spans="2:7" x14ac:dyDescent="0.25">
      <c r="B4" s="408" t="s">
        <v>970</v>
      </c>
      <c r="C4" s="408" t="s">
        <v>971</v>
      </c>
      <c r="D4" s="408" t="s">
        <v>972</v>
      </c>
      <c r="E4" s="408" t="s">
        <v>973</v>
      </c>
      <c r="F4" s="408" t="s">
        <v>974</v>
      </c>
      <c r="G4" s="408" t="s">
        <v>975</v>
      </c>
    </row>
    <row r="5" spans="2:7" x14ac:dyDescent="0.25">
      <c r="B5" s="408">
        <v>1</v>
      </c>
      <c r="C5" s="408">
        <v>6.88</v>
      </c>
      <c r="D5" s="408">
        <v>1.49</v>
      </c>
      <c r="E5" s="408">
        <v>2.5499999999999998</v>
      </c>
      <c r="F5" s="408">
        <v>16.05</v>
      </c>
      <c r="G5" s="408">
        <v>2.95</v>
      </c>
    </row>
    <row r="6" spans="2:7" x14ac:dyDescent="0.25">
      <c r="B6" s="408">
        <v>2</v>
      </c>
      <c r="C6" s="408">
        <v>5.24</v>
      </c>
      <c r="D6" s="408">
        <v>1.49</v>
      </c>
      <c r="E6" s="408">
        <v>2.5499999999999998</v>
      </c>
      <c r="F6" s="408">
        <v>11.87</v>
      </c>
      <c r="G6" s="408">
        <v>1.55</v>
      </c>
    </row>
    <row r="7" spans="2:7" x14ac:dyDescent="0.25">
      <c r="B7" s="408">
        <v>3</v>
      </c>
      <c r="C7" s="408">
        <v>7.5</v>
      </c>
      <c r="D7" s="408">
        <v>1.49</v>
      </c>
      <c r="E7" s="408">
        <v>2.5499999999999998</v>
      </c>
      <c r="F7" s="408">
        <v>17.64</v>
      </c>
      <c r="G7" s="408">
        <v>3.5</v>
      </c>
    </row>
    <row r="8" spans="2:7" x14ac:dyDescent="0.25">
      <c r="B8" s="408">
        <v>4</v>
      </c>
      <c r="C8" s="408">
        <v>7.64</v>
      </c>
      <c r="D8" s="408">
        <v>1.49</v>
      </c>
      <c r="E8" s="408">
        <v>2.5499999999999998</v>
      </c>
      <c r="F8" s="408">
        <v>17.989999999999998</v>
      </c>
      <c r="G8" s="408">
        <v>3.61</v>
      </c>
    </row>
    <row r="9" spans="2:7" x14ac:dyDescent="0.25">
      <c r="B9" s="408">
        <v>5</v>
      </c>
      <c r="C9" s="408">
        <v>6.9</v>
      </c>
      <c r="D9" s="408">
        <v>1.49</v>
      </c>
      <c r="E9" s="408">
        <v>2.5499999999999998</v>
      </c>
      <c r="F9" s="408">
        <v>16.11</v>
      </c>
      <c r="G9" s="408">
        <v>2.98</v>
      </c>
    </row>
    <row r="10" spans="2:7" x14ac:dyDescent="0.25">
      <c r="B10" s="408">
        <v>6</v>
      </c>
      <c r="C10" s="408">
        <v>5.26</v>
      </c>
      <c r="D10" s="408">
        <v>1.49</v>
      </c>
      <c r="E10" s="408">
        <v>2.5499999999999998</v>
      </c>
      <c r="F10" s="408">
        <v>11.92</v>
      </c>
      <c r="G10" s="408">
        <v>1.55</v>
      </c>
    </row>
    <row r="11" spans="2:7" x14ac:dyDescent="0.25">
      <c r="F11" s="288">
        <f>SUM(F5:F10)</f>
        <v>91.58</v>
      </c>
      <c r="G11" s="288">
        <f>SUM(G5:G10)</f>
        <v>16.14</v>
      </c>
    </row>
    <row r="12" spans="2:7" x14ac:dyDescent="0.25">
      <c r="B12" s="784" t="s">
        <v>976</v>
      </c>
      <c r="C12" s="784"/>
      <c r="D12" s="784"/>
      <c r="E12" s="784"/>
      <c r="F12" s="784"/>
      <c r="G12" s="784"/>
    </row>
    <row r="13" spans="2:7" x14ac:dyDescent="0.25">
      <c r="B13" s="408">
        <v>1</v>
      </c>
      <c r="C13" s="408">
        <v>7.44</v>
      </c>
      <c r="D13" s="408">
        <v>1.49</v>
      </c>
      <c r="E13" s="408">
        <v>2.5499999999999998</v>
      </c>
      <c r="F13" s="408">
        <v>17.48</v>
      </c>
      <c r="G13" s="408">
        <v>3.44</v>
      </c>
    </row>
    <row r="14" spans="2:7" x14ac:dyDescent="0.25">
      <c r="B14" s="408">
        <v>2</v>
      </c>
      <c r="C14" s="408">
        <v>4.84</v>
      </c>
      <c r="D14" s="408">
        <v>1.49</v>
      </c>
      <c r="E14" s="408">
        <v>2.5499999999999998</v>
      </c>
      <c r="F14" s="408">
        <v>10.85</v>
      </c>
      <c r="G14" s="408">
        <v>1.42</v>
      </c>
    </row>
    <row r="15" spans="2:7" x14ac:dyDescent="0.25">
      <c r="B15" s="408">
        <v>3</v>
      </c>
      <c r="C15" s="408">
        <v>7.12</v>
      </c>
      <c r="D15" s="408">
        <v>1.49</v>
      </c>
      <c r="E15" s="408">
        <v>2.5499999999999998</v>
      </c>
      <c r="F15" s="408">
        <v>16.670000000000002</v>
      </c>
      <c r="G15" s="408">
        <v>3.12</v>
      </c>
    </row>
    <row r="16" spans="2:7" x14ac:dyDescent="0.25">
      <c r="B16" s="408">
        <v>4</v>
      </c>
      <c r="C16" s="408">
        <v>6.94</v>
      </c>
      <c r="D16" s="408">
        <v>1.49</v>
      </c>
      <c r="E16" s="408">
        <v>2.5499999999999998</v>
      </c>
      <c r="F16" s="408">
        <v>16.21</v>
      </c>
      <c r="G16" s="408">
        <v>2.96</v>
      </c>
    </row>
    <row r="17" spans="2:10" x14ac:dyDescent="0.25">
      <c r="B17" s="408">
        <v>5</v>
      </c>
      <c r="C17" s="408">
        <v>6.98</v>
      </c>
      <c r="D17" s="408">
        <v>1.49</v>
      </c>
      <c r="E17" s="408">
        <v>2.5499999999999998</v>
      </c>
      <c r="F17" s="408">
        <v>16.309999999999999</v>
      </c>
      <c r="G17" s="408">
        <v>3.04</v>
      </c>
    </row>
    <row r="18" spans="2:10" x14ac:dyDescent="0.25">
      <c r="B18" s="408">
        <v>6</v>
      </c>
      <c r="C18" s="408">
        <v>6.98</v>
      </c>
      <c r="D18" s="408">
        <v>1.49</v>
      </c>
      <c r="E18" s="408">
        <v>2.5499999999999998</v>
      </c>
      <c r="F18" s="408">
        <v>16.309999999999999</v>
      </c>
      <c r="G18" s="408">
        <v>3.04</v>
      </c>
    </row>
    <row r="19" spans="2:10" x14ac:dyDescent="0.25">
      <c r="B19" s="408">
        <v>7</v>
      </c>
      <c r="C19" s="408">
        <v>7.24</v>
      </c>
      <c r="D19" s="408">
        <v>1.49</v>
      </c>
      <c r="E19" s="408">
        <v>2.5499999999999998</v>
      </c>
      <c r="F19" s="408">
        <v>16.97</v>
      </c>
      <c r="G19" s="408">
        <v>3.25</v>
      </c>
      <c r="J19" s="288">
        <v>124.5</v>
      </c>
    </row>
    <row r="20" spans="2:10" x14ac:dyDescent="0.25">
      <c r="B20" s="408">
        <v>8</v>
      </c>
      <c r="C20" s="408">
        <v>7.44</v>
      </c>
      <c r="D20" s="408">
        <v>1.49</v>
      </c>
      <c r="E20" s="408">
        <v>2.5499999999999998</v>
      </c>
      <c r="F20" s="408">
        <v>17.48</v>
      </c>
      <c r="G20" s="408">
        <v>3.44</v>
      </c>
      <c r="J20" s="288">
        <v>124.5</v>
      </c>
    </row>
    <row r="21" spans="2:10" x14ac:dyDescent="0.25">
      <c r="B21" s="408">
        <v>9</v>
      </c>
      <c r="C21" s="408">
        <v>6.98</v>
      </c>
      <c r="D21" s="408">
        <v>1.49</v>
      </c>
      <c r="E21" s="408">
        <v>2.5499999999999998</v>
      </c>
      <c r="F21" s="408">
        <v>16.309999999999999</v>
      </c>
      <c r="G21" s="408">
        <v>3.05</v>
      </c>
      <c r="J21" s="288">
        <v>313.17</v>
      </c>
    </row>
    <row r="22" spans="2:10" x14ac:dyDescent="0.25">
      <c r="B22" s="408">
        <v>10</v>
      </c>
      <c r="C22" s="408">
        <v>6.72</v>
      </c>
      <c r="D22" s="408">
        <v>1.49</v>
      </c>
      <c r="E22" s="408">
        <v>2.5499999999999998</v>
      </c>
      <c r="F22" s="408">
        <v>15.64</v>
      </c>
      <c r="G22" s="408">
        <v>2.81</v>
      </c>
    </row>
    <row r="23" spans="2:10" x14ac:dyDescent="0.25">
      <c r="B23" s="408">
        <v>11</v>
      </c>
      <c r="C23" s="408">
        <v>5.18</v>
      </c>
      <c r="D23" s="408">
        <v>1.49</v>
      </c>
      <c r="E23" s="408">
        <v>2.5499999999999998</v>
      </c>
      <c r="F23" s="408">
        <v>11.72</v>
      </c>
      <c r="G23" s="408">
        <v>1.42</v>
      </c>
    </row>
    <row r="24" spans="2:10" x14ac:dyDescent="0.25">
      <c r="B24" s="408">
        <v>12</v>
      </c>
      <c r="C24" s="408">
        <v>6.32</v>
      </c>
      <c r="D24" s="408">
        <v>1.49</v>
      </c>
      <c r="E24" s="408">
        <v>2.5499999999999998</v>
      </c>
      <c r="F24" s="408">
        <v>14.62</v>
      </c>
      <c r="G24" s="408">
        <v>2.46</v>
      </c>
    </row>
    <row r="25" spans="2:10" x14ac:dyDescent="0.25">
      <c r="B25" s="408">
        <v>13</v>
      </c>
      <c r="C25" s="408">
        <v>4.5599999999999996</v>
      </c>
      <c r="D25" s="408">
        <v>1.49</v>
      </c>
      <c r="E25" s="408">
        <v>2.5499999999999998</v>
      </c>
      <c r="F25" s="408">
        <v>10.14</v>
      </c>
      <c r="G25" s="408">
        <v>1.24</v>
      </c>
    </row>
    <row r="26" spans="2:10" x14ac:dyDescent="0.25">
      <c r="F26" s="288">
        <f>SUM(F13:F25)</f>
        <v>196.71000000000004</v>
      </c>
      <c r="G26" s="288">
        <f>SUM(G13:G25)</f>
        <v>34.690000000000005</v>
      </c>
    </row>
    <row r="28" spans="2:10" x14ac:dyDescent="0.25">
      <c r="B28" s="784" t="s">
        <v>977</v>
      </c>
      <c r="C28" s="784"/>
      <c r="D28" s="784"/>
      <c r="E28" s="784"/>
      <c r="F28" s="784"/>
      <c r="G28" s="408"/>
    </row>
    <row r="29" spans="2:10" x14ac:dyDescent="0.25">
      <c r="B29" s="408" t="s">
        <v>970</v>
      </c>
      <c r="C29" s="408" t="s">
        <v>971</v>
      </c>
      <c r="D29" s="408" t="s">
        <v>972</v>
      </c>
      <c r="E29" s="408" t="s">
        <v>973</v>
      </c>
      <c r="F29" s="408" t="s">
        <v>974</v>
      </c>
      <c r="G29" s="408" t="s">
        <v>975</v>
      </c>
    </row>
    <row r="30" spans="2:10" x14ac:dyDescent="0.25">
      <c r="B30" s="408">
        <v>1</v>
      </c>
      <c r="C30" s="408">
        <v>6.88</v>
      </c>
      <c r="D30" s="408">
        <v>1.49</v>
      </c>
      <c r="E30" s="408">
        <v>2.5499999999999998</v>
      </c>
      <c r="F30" s="408">
        <v>16.05</v>
      </c>
      <c r="G30" s="408">
        <v>2.95</v>
      </c>
    </row>
    <row r="31" spans="2:10" x14ac:dyDescent="0.25">
      <c r="B31" s="408">
        <v>2</v>
      </c>
      <c r="C31" s="408">
        <v>5.24</v>
      </c>
      <c r="D31" s="408">
        <v>1.49</v>
      </c>
      <c r="E31" s="408">
        <v>2.5499999999999998</v>
      </c>
      <c r="F31" s="408">
        <v>11.87</v>
      </c>
      <c r="G31" s="408">
        <v>1.55</v>
      </c>
    </row>
    <row r="32" spans="2:10" x14ac:dyDescent="0.25">
      <c r="B32" s="408">
        <v>3</v>
      </c>
      <c r="C32" s="408">
        <v>7.5</v>
      </c>
      <c r="D32" s="408">
        <v>1.49</v>
      </c>
      <c r="E32" s="408">
        <v>2.5499999999999998</v>
      </c>
      <c r="F32" s="408">
        <v>17.64</v>
      </c>
      <c r="G32" s="408">
        <v>3.5</v>
      </c>
    </row>
    <row r="33" spans="1:15" x14ac:dyDescent="0.25">
      <c r="B33" s="408">
        <v>4</v>
      </c>
      <c r="C33" s="408">
        <v>7.64</v>
      </c>
      <c r="D33" s="408">
        <v>1.49</v>
      </c>
      <c r="E33" s="408">
        <v>2.5499999999999998</v>
      </c>
      <c r="F33" s="408">
        <v>17.989999999999998</v>
      </c>
      <c r="G33" s="408">
        <v>3.61</v>
      </c>
    </row>
    <row r="34" spans="1:15" x14ac:dyDescent="0.25">
      <c r="B34" s="408">
        <v>5</v>
      </c>
      <c r="C34" s="408">
        <v>6.9</v>
      </c>
      <c r="D34" s="408">
        <v>1.49</v>
      </c>
      <c r="E34" s="408">
        <v>2.5499999999999998</v>
      </c>
      <c r="F34" s="408">
        <v>16.11</v>
      </c>
      <c r="G34" s="408">
        <v>2.98</v>
      </c>
    </row>
    <row r="35" spans="1:15" x14ac:dyDescent="0.25">
      <c r="B35" s="408">
        <v>6</v>
      </c>
      <c r="C35" s="408">
        <v>5.26</v>
      </c>
      <c r="D35" s="408">
        <v>1.49</v>
      </c>
      <c r="E35" s="408">
        <v>2.5499999999999998</v>
      </c>
      <c r="F35" s="408">
        <v>11.92</v>
      </c>
      <c r="G35" s="408">
        <v>1.55</v>
      </c>
    </row>
    <row r="36" spans="1:15" x14ac:dyDescent="0.25">
      <c r="F36" s="288">
        <f>SUM(F30:F35)</f>
        <v>91.58</v>
      </c>
      <c r="G36" s="288">
        <f>SUM(G30:G35)</f>
        <v>16.14</v>
      </c>
      <c r="I36" s="288">
        <f>F11+F26+F36</f>
        <v>379.87</v>
      </c>
    </row>
    <row r="38" spans="1:15" x14ac:dyDescent="0.25">
      <c r="F38" s="288">
        <f>F11+F26+F36</f>
        <v>379.87</v>
      </c>
      <c r="G38" s="288">
        <f>G11+G26+G36</f>
        <v>66.97</v>
      </c>
    </row>
    <row r="40" spans="1:15" x14ac:dyDescent="0.25">
      <c r="B40" s="290" t="s">
        <v>1042</v>
      </c>
    </row>
    <row r="41" spans="1:15" x14ac:dyDescent="0.25">
      <c r="A41" s="290" t="s">
        <v>1046</v>
      </c>
      <c r="H41" s="288" t="s">
        <v>654</v>
      </c>
      <c r="I41" s="288" t="s">
        <v>653</v>
      </c>
      <c r="K41" s="288" t="s">
        <v>652</v>
      </c>
    </row>
    <row r="42" spans="1:15" x14ac:dyDescent="0.25">
      <c r="A42" s="288">
        <v>101</v>
      </c>
      <c r="B42" s="434" t="s">
        <v>635</v>
      </c>
      <c r="C42" s="434">
        <v>15.48</v>
      </c>
      <c r="D42" s="434">
        <v>4.5</v>
      </c>
      <c r="E42" s="434">
        <v>2.5499999999999998</v>
      </c>
      <c r="F42" s="443">
        <v>34.973999999999997</v>
      </c>
      <c r="G42" s="443">
        <v>13.99</v>
      </c>
      <c r="H42" s="288">
        <f>G42+G43+G44+G45+G49+G50+G51+G54+G55+G56+G59+G60+G61+G64+G65+G66+G69+G70+G71+G72+G76+G77+G78+G79+G83+G84+G85+G89+G90+G91+G94+G95+G96+G103+G104+G105+G106+G111+G112+G113+G116+G117+G118+G121+G122+G123+G126+G127+G128+G131+G132+G133+G134+G138+G139+G140+G141+G145+G146+G147+G150+G151+G152+G155+G156+G157+G164+G165+G166+G167+G168+G172+G173+G174+G177+G178+G179+G182+G183+G184+G187+G188+G189+G192+G193+G194+G195+G199+G200+G201+G202+G206+G207+G208+G211+G212+G213+G216+G217+G218</f>
        <v>995.53999999999985</v>
      </c>
      <c r="I42" s="288">
        <f>F42+F43+F44+F45+F49+F50+F51+F54+F55+F56+F59+F60+F61+F64+F65+F66+F69+F70+F71+F72+F76+F77+F78+F79+F83+F84+F89+F90+F91+F94+F95+F96+F103+F85+F104+F105+F106+F107+F111+F112+F113+F116+F117+F118+F121+F122+F123+F126+F127+F128+F131+F132+F133+F134+F138+F139+F140+F141+F146+F145+F147+F150+F151+F152+F155+F156+F157+F164+F165+F166+F167+F168+F172+F173+F174+F177+F178+F179+F182+F183+F184+F187+F188+F189+F192+F193+F194+F195+F199+F200+F201+F202+F206+F207+F208+F211+F212+F213+F216+F217+F218</f>
        <v>2675.5995000000003</v>
      </c>
      <c r="K42" s="288">
        <v>13.9</v>
      </c>
      <c r="L42" s="288">
        <v>13.9</v>
      </c>
      <c r="N42" s="288">
        <v>12.1</v>
      </c>
      <c r="O42" s="288">
        <v>12.1</v>
      </c>
    </row>
    <row r="43" spans="1:15" x14ac:dyDescent="0.25">
      <c r="A43" s="288">
        <v>134</v>
      </c>
      <c r="B43" s="434" t="s">
        <v>635</v>
      </c>
      <c r="C43" s="434">
        <v>16.559999999999999</v>
      </c>
      <c r="D43" s="434">
        <v>4.66</v>
      </c>
      <c r="E43" s="434">
        <v>2.5499999999999998</v>
      </c>
      <c r="F43" s="443">
        <v>37.567999999999998</v>
      </c>
      <c r="G43" s="443">
        <v>16.760000000000002</v>
      </c>
      <c r="K43" s="288">
        <v>3.4</v>
      </c>
      <c r="L43" s="288">
        <v>5.9</v>
      </c>
      <c r="N43" s="288">
        <v>16</v>
      </c>
      <c r="O43" s="288">
        <v>3</v>
      </c>
    </row>
    <row r="44" spans="1:15" x14ac:dyDescent="0.25">
      <c r="A44" s="288">
        <v>133</v>
      </c>
      <c r="B44" s="434" t="s">
        <v>636</v>
      </c>
      <c r="C44" s="434">
        <v>5.4</v>
      </c>
      <c r="D44" s="434">
        <v>5.66</v>
      </c>
      <c r="E44" s="434">
        <v>2.5499999999999998</v>
      </c>
      <c r="F44" s="443">
        <v>8.11</v>
      </c>
      <c r="G44" s="443">
        <v>1.69</v>
      </c>
      <c r="K44" s="288">
        <v>4.5999999999999996</v>
      </c>
      <c r="L44" s="288">
        <v>3.4</v>
      </c>
      <c r="N44" s="288">
        <v>3</v>
      </c>
      <c r="O44" s="288">
        <v>16</v>
      </c>
    </row>
    <row r="45" spans="1:15" x14ac:dyDescent="0.25">
      <c r="A45" s="288">
        <v>135</v>
      </c>
      <c r="B45" s="434" t="s">
        <v>636</v>
      </c>
      <c r="C45" s="434">
        <v>6.32</v>
      </c>
      <c r="D45" s="434">
        <v>7.56</v>
      </c>
      <c r="E45" s="434">
        <v>2.5499999999999998</v>
      </c>
      <c r="F45" s="443">
        <v>8.5560000000000009</v>
      </c>
      <c r="G45" s="443">
        <v>2.25</v>
      </c>
      <c r="K45" s="288">
        <v>16.399999999999999</v>
      </c>
      <c r="L45" s="288">
        <v>1.4</v>
      </c>
      <c r="N45" s="288">
        <v>7.1</v>
      </c>
      <c r="O45" s="288">
        <v>1.5</v>
      </c>
    </row>
    <row r="46" spans="1:15" x14ac:dyDescent="0.25">
      <c r="A46" s="288">
        <v>1</v>
      </c>
      <c r="B46" s="434" t="s">
        <v>639</v>
      </c>
      <c r="C46" s="434">
        <v>7.44</v>
      </c>
      <c r="D46" s="434">
        <v>1.49</v>
      </c>
      <c r="E46" s="434">
        <v>2.5499999999999998</v>
      </c>
      <c r="F46" s="434">
        <v>17.48</v>
      </c>
      <c r="G46" s="434">
        <v>3.44</v>
      </c>
      <c r="K46" s="288">
        <v>3</v>
      </c>
      <c r="L46" s="288">
        <v>13.4</v>
      </c>
      <c r="N46" s="288">
        <v>13.1</v>
      </c>
      <c r="O46" s="288">
        <v>7.1</v>
      </c>
    </row>
    <row r="47" spans="1:15" x14ac:dyDescent="0.25">
      <c r="A47" s="288">
        <v>2</v>
      </c>
      <c r="B47" s="434" t="s">
        <v>640</v>
      </c>
      <c r="C47" s="434">
        <v>4.84</v>
      </c>
      <c r="D47" s="434">
        <v>1.49</v>
      </c>
      <c r="E47" s="434">
        <v>2.5499999999999998</v>
      </c>
      <c r="F47" s="434">
        <v>10.85</v>
      </c>
      <c r="G47" s="434">
        <v>1.42</v>
      </c>
      <c r="K47" s="288">
        <v>8.3000000000000007</v>
      </c>
      <c r="L47" s="288">
        <v>3</v>
      </c>
      <c r="N47" s="288">
        <v>6.3</v>
      </c>
      <c r="O47" s="288">
        <v>13.1</v>
      </c>
    </row>
    <row r="48" spans="1:15" x14ac:dyDescent="0.25">
      <c r="A48" s="290" t="s">
        <v>1047</v>
      </c>
      <c r="K48" s="288">
        <v>2.9</v>
      </c>
      <c r="L48" s="288">
        <v>8.3000000000000007</v>
      </c>
      <c r="N48" s="288">
        <v>3.5</v>
      </c>
      <c r="O48" s="288">
        <v>9.8000000000000007</v>
      </c>
    </row>
    <row r="49" spans="1:15" x14ac:dyDescent="0.25">
      <c r="A49" s="288">
        <v>102</v>
      </c>
      <c r="B49" s="434" t="s">
        <v>635</v>
      </c>
      <c r="C49" s="434">
        <v>12.72</v>
      </c>
      <c r="D49" s="434">
        <v>4.07</v>
      </c>
      <c r="E49" s="434">
        <v>2.5499999999999998</v>
      </c>
      <c r="F49" s="443">
        <v>28.366</v>
      </c>
      <c r="G49" s="443">
        <v>9.75</v>
      </c>
      <c r="K49" s="288">
        <v>14.1</v>
      </c>
      <c r="L49" s="288">
        <v>14.1</v>
      </c>
      <c r="N49" s="288">
        <v>4.4000000000000004</v>
      </c>
      <c r="O49" s="288">
        <v>3.5</v>
      </c>
    </row>
    <row r="50" spans="1:15" x14ac:dyDescent="0.25">
      <c r="A50" s="288">
        <v>103</v>
      </c>
      <c r="B50" s="434" t="s">
        <v>1043</v>
      </c>
      <c r="C50" s="434">
        <v>15.63</v>
      </c>
      <c r="D50" s="434">
        <v>4.7</v>
      </c>
      <c r="E50" s="434">
        <v>2.5499999999999998</v>
      </c>
      <c r="F50" s="443">
        <v>35.156499999999994</v>
      </c>
      <c r="G50" s="443">
        <v>14.04</v>
      </c>
      <c r="K50" s="288">
        <v>14.1</v>
      </c>
      <c r="L50" s="288">
        <v>14.1</v>
      </c>
      <c r="N50" s="288">
        <v>10.1</v>
      </c>
      <c r="O50" s="288">
        <v>4.9000000000000004</v>
      </c>
    </row>
    <row r="51" spans="1:15" x14ac:dyDescent="0.25">
      <c r="A51" s="288">
        <v>104</v>
      </c>
      <c r="B51" s="434" t="s">
        <v>636</v>
      </c>
      <c r="C51" s="434">
        <v>6.92</v>
      </c>
      <c r="D51" s="434">
        <v>5.52</v>
      </c>
      <c r="E51" s="434">
        <v>2.5499999999999998</v>
      </c>
      <c r="F51" s="443">
        <v>12.125999999999998</v>
      </c>
      <c r="G51" s="443">
        <v>3.4</v>
      </c>
      <c r="K51" s="288">
        <v>2.9</v>
      </c>
      <c r="L51" s="288">
        <v>2.9</v>
      </c>
      <c r="N51" s="288">
        <v>1.5</v>
      </c>
      <c r="O51" s="288">
        <v>15.7</v>
      </c>
    </row>
    <row r="52" spans="1:15" x14ac:dyDescent="0.25">
      <c r="A52" s="288">
        <v>3</v>
      </c>
      <c r="B52" s="434" t="s">
        <v>637</v>
      </c>
      <c r="C52" s="434">
        <v>7.12</v>
      </c>
      <c r="D52" s="434">
        <v>1.49</v>
      </c>
      <c r="E52" s="434">
        <v>2.5499999999999998</v>
      </c>
      <c r="F52" s="434">
        <v>16.670000000000002</v>
      </c>
      <c r="G52" s="434">
        <v>3.12</v>
      </c>
      <c r="K52" s="288">
        <v>3</v>
      </c>
      <c r="L52" s="288">
        <v>3</v>
      </c>
      <c r="N52" s="288">
        <v>3.6</v>
      </c>
      <c r="O52" s="288">
        <v>9.5</v>
      </c>
    </row>
    <row r="53" spans="1:15" x14ac:dyDescent="0.25">
      <c r="A53" s="290" t="s">
        <v>1048</v>
      </c>
      <c r="K53" s="288">
        <v>8.3000000000000007</v>
      </c>
      <c r="L53" s="288">
        <v>8.3000000000000007</v>
      </c>
      <c r="N53" s="288">
        <v>9.5</v>
      </c>
      <c r="O53" s="288">
        <v>18.100000000000001</v>
      </c>
    </row>
    <row r="54" spans="1:15" x14ac:dyDescent="0.25">
      <c r="A54" s="288">
        <v>105</v>
      </c>
      <c r="B54" s="434" t="s">
        <v>1043</v>
      </c>
      <c r="C54" s="434">
        <v>15.63</v>
      </c>
      <c r="D54" s="434">
        <v>4.7</v>
      </c>
      <c r="E54" s="434">
        <v>2.5499999999999998</v>
      </c>
      <c r="F54" s="443">
        <v>35.156499999999994</v>
      </c>
      <c r="G54" s="443">
        <v>14.04</v>
      </c>
      <c r="K54" s="288">
        <v>19.100000000000001</v>
      </c>
      <c r="L54" s="288">
        <v>16.2</v>
      </c>
      <c r="N54" s="288">
        <v>18.100000000000001</v>
      </c>
      <c r="O54" s="288">
        <v>3.6</v>
      </c>
    </row>
    <row r="55" spans="1:15" x14ac:dyDescent="0.25">
      <c r="A55" s="288">
        <v>106</v>
      </c>
      <c r="B55" s="434" t="s">
        <v>635</v>
      </c>
      <c r="C55" s="434">
        <v>12.72</v>
      </c>
      <c r="D55" s="434">
        <v>4.07</v>
      </c>
      <c r="E55" s="434">
        <v>2.5499999999999998</v>
      </c>
      <c r="F55" s="443">
        <v>28.366</v>
      </c>
      <c r="G55" s="443">
        <v>9.75</v>
      </c>
      <c r="K55" s="288">
        <v>12.5</v>
      </c>
      <c r="L55" s="288">
        <v>17.5</v>
      </c>
      <c r="N55" s="288">
        <v>4.0999999999999996</v>
      </c>
      <c r="O55" s="288">
        <v>4.0999999999999996</v>
      </c>
    </row>
    <row r="56" spans="1:15" x14ac:dyDescent="0.25">
      <c r="A56" s="288">
        <v>107</v>
      </c>
      <c r="B56" s="434" t="s">
        <v>636</v>
      </c>
      <c r="C56" s="434">
        <v>6.92</v>
      </c>
      <c r="D56" s="434">
        <v>5.52</v>
      </c>
      <c r="E56" s="434">
        <v>2.5499999999999998</v>
      </c>
      <c r="F56" s="443">
        <v>12.125999999999998</v>
      </c>
      <c r="G56" s="443">
        <v>3.4</v>
      </c>
      <c r="K56" s="288">
        <v>3</v>
      </c>
      <c r="L56" s="288">
        <v>12.5</v>
      </c>
      <c r="N56" s="288">
        <v>14.4</v>
      </c>
      <c r="O56" s="288">
        <v>14.4</v>
      </c>
    </row>
    <row r="57" spans="1:15" x14ac:dyDescent="0.25">
      <c r="A57" s="288">
        <v>4</v>
      </c>
      <c r="B57" s="434" t="s">
        <v>637</v>
      </c>
      <c r="C57" s="434">
        <v>6.94</v>
      </c>
      <c r="D57" s="434">
        <v>1.49</v>
      </c>
      <c r="E57" s="434">
        <v>2.5499999999999998</v>
      </c>
      <c r="F57" s="434">
        <v>16.21</v>
      </c>
      <c r="G57" s="434">
        <v>2.96</v>
      </c>
      <c r="K57" s="288">
        <v>3.8</v>
      </c>
      <c r="L57" s="288">
        <v>3</v>
      </c>
      <c r="N57" s="288">
        <v>1.6</v>
      </c>
      <c r="O57" s="288">
        <v>1.6</v>
      </c>
    </row>
    <row r="58" spans="1:15" x14ac:dyDescent="0.25">
      <c r="A58" s="290" t="s">
        <v>1045</v>
      </c>
      <c r="K58" s="288">
        <v>3</v>
      </c>
      <c r="L58" s="288">
        <v>3.8</v>
      </c>
      <c r="N58" s="288">
        <v>3</v>
      </c>
      <c r="O58" s="288">
        <v>3</v>
      </c>
    </row>
    <row r="59" spans="1:15" x14ac:dyDescent="0.25">
      <c r="A59" s="288">
        <v>108</v>
      </c>
      <c r="B59" s="434" t="s">
        <v>635</v>
      </c>
      <c r="C59" s="434">
        <v>11.1</v>
      </c>
      <c r="D59" s="434">
        <v>3.27</v>
      </c>
      <c r="E59" s="434">
        <v>2.5499999999999998</v>
      </c>
      <c r="F59" s="443">
        <v>25.034999999999997</v>
      </c>
      <c r="G59" s="443">
        <v>7.51</v>
      </c>
      <c r="K59" s="288">
        <v>8.9</v>
      </c>
      <c r="L59" s="288">
        <v>3</v>
      </c>
      <c r="N59" s="288">
        <v>12.2</v>
      </c>
      <c r="O59" s="288">
        <v>12.2</v>
      </c>
    </row>
    <row r="60" spans="1:15" x14ac:dyDescent="0.25">
      <c r="A60" s="288">
        <v>109</v>
      </c>
      <c r="B60" s="434" t="s">
        <v>1043</v>
      </c>
      <c r="C60" s="434">
        <v>14.9</v>
      </c>
      <c r="D60" s="434">
        <v>3.87</v>
      </c>
      <c r="E60" s="434">
        <v>2.5499999999999998</v>
      </c>
      <c r="F60" s="443">
        <v>34.125</v>
      </c>
      <c r="G60" s="443">
        <v>12.15</v>
      </c>
      <c r="K60" s="288">
        <v>16.100000000000001</v>
      </c>
      <c r="L60" s="288">
        <v>8.9</v>
      </c>
      <c r="N60" s="288">
        <v>11.4</v>
      </c>
      <c r="O60" s="288">
        <v>11.4</v>
      </c>
    </row>
    <row r="61" spans="1:15" x14ac:dyDescent="0.25">
      <c r="A61" s="288">
        <v>110</v>
      </c>
      <c r="B61" s="434" t="s">
        <v>636</v>
      </c>
      <c r="C61" s="434">
        <v>6.58</v>
      </c>
      <c r="D61" s="434">
        <v>7</v>
      </c>
      <c r="E61" s="434">
        <v>2.5499999999999998</v>
      </c>
      <c r="F61" s="443">
        <v>9.7789999999999999</v>
      </c>
      <c r="G61" s="443">
        <v>2.79</v>
      </c>
      <c r="K61" s="288">
        <v>11.3</v>
      </c>
      <c r="L61" s="288">
        <v>10.199999999999999</v>
      </c>
      <c r="N61" s="288">
        <v>12.3</v>
      </c>
      <c r="O61" s="288">
        <v>12.3</v>
      </c>
    </row>
    <row r="62" spans="1:15" x14ac:dyDescent="0.25">
      <c r="A62" s="288">
        <v>7</v>
      </c>
      <c r="B62" s="434" t="s">
        <v>637</v>
      </c>
      <c r="C62" s="434">
        <v>7.24</v>
      </c>
      <c r="D62" s="434">
        <v>1.49</v>
      </c>
      <c r="E62" s="434">
        <v>2.5499999999999998</v>
      </c>
      <c r="F62" s="434">
        <v>16.97</v>
      </c>
      <c r="G62" s="434">
        <v>3.25</v>
      </c>
      <c r="K62" s="288">
        <v>3.4</v>
      </c>
      <c r="L62" s="288">
        <v>16.100000000000001</v>
      </c>
      <c r="N62" s="288">
        <v>16.399999999999999</v>
      </c>
      <c r="O62" s="288">
        <v>16.399999999999999</v>
      </c>
    </row>
    <row r="63" spans="1:15" x14ac:dyDescent="0.25">
      <c r="A63" s="290" t="s">
        <v>1049</v>
      </c>
      <c r="K63" s="288">
        <v>4.8</v>
      </c>
      <c r="L63" s="288">
        <v>3.4</v>
      </c>
    </row>
    <row r="64" spans="1:15" x14ac:dyDescent="0.25">
      <c r="A64" s="288">
        <v>111</v>
      </c>
      <c r="B64" s="434" t="s">
        <v>1043</v>
      </c>
      <c r="C64" s="434">
        <v>14.9</v>
      </c>
      <c r="D64" s="434">
        <v>3.87</v>
      </c>
      <c r="E64" s="434">
        <v>2.5499999999999998</v>
      </c>
      <c r="F64" s="443">
        <v>34.125</v>
      </c>
      <c r="G64" s="443">
        <v>12.15</v>
      </c>
      <c r="K64" s="288">
        <v>20.100000000000001</v>
      </c>
      <c r="L64" s="288">
        <v>4.8</v>
      </c>
    </row>
    <row r="65" spans="1:12" x14ac:dyDescent="0.25">
      <c r="A65" s="288">
        <v>112</v>
      </c>
      <c r="B65" s="434" t="s">
        <v>635</v>
      </c>
      <c r="C65" s="434">
        <v>11.93</v>
      </c>
      <c r="D65" s="434">
        <v>3.48</v>
      </c>
      <c r="E65" s="434">
        <v>2.5499999999999998</v>
      </c>
      <c r="F65" s="443">
        <v>26.941499999999998</v>
      </c>
      <c r="G65" s="443">
        <v>8.59</v>
      </c>
      <c r="K65" s="288">
        <v>10.7</v>
      </c>
      <c r="L65" s="288">
        <v>11.3</v>
      </c>
    </row>
    <row r="66" spans="1:12" x14ac:dyDescent="0.25">
      <c r="A66" s="288">
        <v>113</v>
      </c>
      <c r="B66" s="434" t="s">
        <v>636</v>
      </c>
      <c r="C66" s="434">
        <v>7.8</v>
      </c>
      <c r="D66" s="434">
        <v>5.72</v>
      </c>
      <c r="E66" s="434">
        <v>2.5499999999999998</v>
      </c>
      <c r="F66" s="443">
        <v>14.169999999999998</v>
      </c>
      <c r="G66" s="443">
        <v>2.92</v>
      </c>
      <c r="K66" s="288">
        <v>16</v>
      </c>
      <c r="L66" s="288">
        <v>20.100000000000001</v>
      </c>
    </row>
    <row r="67" spans="1:12" x14ac:dyDescent="0.25">
      <c r="A67" s="288">
        <v>9</v>
      </c>
      <c r="B67" s="434" t="s">
        <v>637</v>
      </c>
      <c r="C67" s="434">
        <v>6.98</v>
      </c>
      <c r="D67" s="434">
        <v>1.49</v>
      </c>
      <c r="E67" s="434">
        <v>2.5499999999999998</v>
      </c>
      <c r="F67" s="434">
        <v>16.309999999999999</v>
      </c>
      <c r="G67" s="434">
        <v>3.05</v>
      </c>
      <c r="K67" s="288">
        <v>9.3000000000000007</v>
      </c>
      <c r="L67" s="288">
        <v>6.9</v>
      </c>
    </row>
    <row r="68" spans="1:12" x14ac:dyDescent="0.25">
      <c r="A68" s="290" t="s">
        <v>1050</v>
      </c>
      <c r="K68" s="288">
        <v>6.9</v>
      </c>
      <c r="L68" s="288">
        <v>2.5</v>
      </c>
    </row>
    <row r="69" spans="1:12" x14ac:dyDescent="0.25">
      <c r="A69" s="288">
        <v>114</v>
      </c>
      <c r="B69" s="434" t="s">
        <v>635</v>
      </c>
      <c r="C69" s="434">
        <v>13.04</v>
      </c>
      <c r="D69" s="434">
        <v>4.6500000000000004</v>
      </c>
      <c r="E69" s="434">
        <v>2.5499999999999998</v>
      </c>
      <c r="F69" s="443">
        <v>28.601999999999997</v>
      </c>
      <c r="G69" s="443">
        <v>9.33</v>
      </c>
      <c r="K69" s="288">
        <v>1.2</v>
      </c>
      <c r="L69" s="288">
        <v>1.2</v>
      </c>
    </row>
    <row r="70" spans="1:12" x14ac:dyDescent="0.25">
      <c r="A70" s="288">
        <v>115</v>
      </c>
      <c r="B70" s="434" t="s">
        <v>1043</v>
      </c>
      <c r="C70" s="434">
        <v>16.22</v>
      </c>
      <c r="D70" s="434">
        <v>5.59</v>
      </c>
      <c r="E70" s="434">
        <v>2.5499999999999998</v>
      </c>
      <c r="F70" s="443">
        <v>35.771000000000001</v>
      </c>
      <c r="G70" s="443">
        <v>16.420000000000002</v>
      </c>
      <c r="K70" s="288">
        <v>2.5</v>
      </c>
      <c r="L70" s="288">
        <v>9.3000000000000007</v>
      </c>
    </row>
    <row r="71" spans="1:12" x14ac:dyDescent="0.25">
      <c r="A71" s="288">
        <v>116</v>
      </c>
      <c r="B71" s="434" t="s">
        <v>636</v>
      </c>
      <c r="C71" s="434">
        <v>11.65</v>
      </c>
      <c r="D71" s="434">
        <v>9.84</v>
      </c>
      <c r="E71" s="434">
        <v>2.5499999999999998</v>
      </c>
      <c r="F71" s="443">
        <v>19.8675</v>
      </c>
      <c r="G71" s="443">
        <v>6.72</v>
      </c>
      <c r="K71" s="288">
        <v>7</v>
      </c>
      <c r="L71" s="288">
        <v>16</v>
      </c>
    </row>
    <row r="72" spans="1:12" x14ac:dyDescent="0.25">
      <c r="A72" s="288">
        <v>117</v>
      </c>
      <c r="B72" s="434" t="s">
        <v>1043</v>
      </c>
      <c r="C72" s="434">
        <v>12.9</v>
      </c>
      <c r="D72" s="434">
        <v>4.5</v>
      </c>
      <c r="E72" s="434">
        <v>2.5499999999999998</v>
      </c>
      <c r="F72" s="443">
        <v>28.394999999999996</v>
      </c>
      <c r="G72" s="443">
        <v>9.9499999999999993</v>
      </c>
      <c r="K72" s="288">
        <v>9.9</v>
      </c>
      <c r="L72" s="288">
        <v>10.7</v>
      </c>
    </row>
    <row r="73" spans="1:12" x14ac:dyDescent="0.25">
      <c r="A73" s="288">
        <v>10</v>
      </c>
      <c r="B73" s="434" t="s">
        <v>639</v>
      </c>
      <c r="C73" s="434">
        <v>6.72</v>
      </c>
      <c r="D73" s="434">
        <v>1.49</v>
      </c>
      <c r="E73" s="434">
        <v>2.5499999999999998</v>
      </c>
      <c r="F73" s="434">
        <v>15.64</v>
      </c>
      <c r="G73" s="434">
        <v>2.81</v>
      </c>
      <c r="K73" s="288">
        <v>16.8</v>
      </c>
      <c r="L73" s="288">
        <v>9.9</v>
      </c>
    </row>
    <row r="74" spans="1:12" x14ac:dyDescent="0.25">
      <c r="A74" s="288">
        <v>11</v>
      </c>
      <c r="B74" s="434" t="s">
        <v>637</v>
      </c>
      <c r="C74" s="434">
        <v>5.18</v>
      </c>
      <c r="D74" s="434">
        <v>1.49</v>
      </c>
      <c r="E74" s="434">
        <v>2.5499999999999998</v>
      </c>
      <c r="F74" s="434">
        <v>11.72</v>
      </c>
      <c r="G74" s="434">
        <v>1.42</v>
      </c>
      <c r="K74" s="288">
        <v>9</v>
      </c>
      <c r="L74" s="288">
        <v>7</v>
      </c>
    </row>
    <row r="75" spans="1:12" x14ac:dyDescent="0.25">
      <c r="A75" s="290" t="s">
        <v>1051</v>
      </c>
      <c r="K75" s="288">
        <v>2.7</v>
      </c>
      <c r="L75" s="288">
        <v>1.4</v>
      </c>
    </row>
    <row r="76" spans="1:12" x14ac:dyDescent="0.25">
      <c r="A76" s="288">
        <v>118</v>
      </c>
      <c r="B76" s="434" t="s">
        <v>635</v>
      </c>
      <c r="C76" s="434">
        <v>12.68</v>
      </c>
      <c r="D76" s="434">
        <v>4.5</v>
      </c>
      <c r="E76" s="434">
        <v>2.5499999999999998</v>
      </c>
      <c r="F76" s="443">
        <v>27.833999999999996</v>
      </c>
      <c r="G76" s="443">
        <v>9.52</v>
      </c>
      <c r="K76" s="288">
        <v>2.4</v>
      </c>
      <c r="L76" s="288">
        <v>2.7</v>
      </c>
    </row>
    <row r="77" spans="1:12" x14ac:dyDescent="0.25">
      <c r="A77" s="288">
        <v>119</v>
      </c>
      <c r="B77" s="434" t="s">
        <v>1043</v>
      </c>
      <c r="C77" s="434">
        <v>16.7</v>
      </c>
      <c r="D77" s="434">
        <v>4.66</v>
      </c>
      <c r="E77" s="434">
        <v>2.5499999999999998</v>
      </c>
      <c r="F77" s="443">
        <v>37.924999999999997</v>
      </c>
      <c r="G77" s="443">
        <v>16</v>
      </c>
      <c r="K77" s="288">
        <v>2.9</v>
      </c>
      <c r="L77" s="288">
        <v>16.8</v>
      </c>
    </row>
    <row r="78" spans="1:12" x14ac:dyDescent="0.25">
      <c r="A78" s="288">
        <v>120</v>
      </c>
      <c r="B78" s="434" t="s">
        <v>1043</v>
      </c>
      <c r="C78" s="434">
        <v>12.88</v>
      </c>
      <c r="D78" s="434">
        <v>1.9</v>
      </c>
      <c r="E78" s="434">
        <v>2.5499999999999998</v>
      </c>
      <c r="F78" s="443">
        <v>30.944000000000003</v>
      </c>
      <c r="G78" s="443">
        <v>10.69</v>
      </c>
      <c r="K78" s="288">
        <v>8.1999999999999993</v>
      </c>
      <c r="L78" s="288">
        <v>9</v>
      </c>
    </row>
    <row r="79" spans="1:12" x14ac:dyDescent="0.25">
      <c r="A79" s="288">
        <v>121</v>
      </c>
      <c r="B79" s="434" t="s">
        <v>636</v>
      </c>
      <c r="C79" s="434">
        <v>11.94</v>
      </c>
      <c r="D79" s="434">
        <v>10.6</v>
      </c>
      <c r="E79" s="434">
        <v>2.5499999999999998</v>
      </c>
      <c r="F79" s="443">
        <v>19.846999999999994</v>
      </c>
      <c r="G79" s="443">
        <v>6.34</v>
      </c>
      <c r="K79" s="288">
        <v>12.1</v>
      </c>
      <c r="L79" s="288">
        <v>8.1999999999999993</v>
      </c>
    </row>
    <row r="80" spans="1:12" x14ac:dyDescent="0.25">
      <c r="A80" s="288">
        <v>12</v>
      </c>
      <c r="B80" s="434" t="s">
        <v>639</v>
      </c>
      <c r="C80" s="434">
        <v>6.32</v>
      </c>
      <c r="D80" s="434">
        <v>1.49</v>
      </c>
      <c r="E80" s="434">
        <v>2.5499999999999998</v>
      </c>
      <c r="F80" s="434">
        <v>14.62</v>
      </c>
      <c r="G80" s="434">
        <v>2.46</v>
      </c>
      <c r="K80" s="288">
        <v>12.1</v>
      </c>
      <c r="L80" s="288">
        <v>2.9</v>
      </c>
    </row>
    <row r="81" spans="1:15" x14ac:dyDescent="0.25">
      <c r="A81" s="288">
        <v>13</v>
      </c>
      <c r="B81" s="434" t="s">
        <v>637</v>
      </c>
      <c r="C81" s="434">
        <v>4.5599999999999996</v>
      </c>
      <c r="D81" s="434">
        <v>1.49</v>
      </c>
      <c r="E81" s="434">
        <v>2.5499999999999998</v>
      </c>
      <c r="F81" s="434">
        <v>10.14</v>
      </c>
      <c r="G81" s="434">
        <v>1.24</v>
      </c>
      <c r="K81" s="288">
        <v>2.2999999999999998</v>
      </c>
      <c r="L81" s="288">
        <v>2.4</v>
      </c>
    </row>
    <row r="82" spans="1:15" x14ac:dyDescent="0.25">
      <c r="A82" s="290" t="s">
        <v>1052</v>
      </c>
      <c r="K82" s="288">
        <v>3.1</v>
      </c>
      <c r="L82" s="288">
        <v>12.4</v>
      </c>
    </row>
    <row r="83" spans="1:15" x14ac:dyDescent="0.25">
      <c r="A83" s="288">
        <v>122</v>
      </c>
      <c r="B83" s="434" t="s">
        <v>1043</v>
      </c>
      <c r="C83" s="434">
        <v>16.13</v>
      </c>
      <c r="D83" s="434">
        <v>5.67</v>
      </c>
      <c r="E83" s="434">
        <v>2.5499999999999998</v>
      </c>
      <c r="F83" s="443">
        <v>35.461499999999994</v>
      </c>
      <c r="G83" s="443">
        <v>20.21</v>
      </c>
      <c r="K83" s="288">
        <v>7.7</v>
      </c>
      <c r="L83" s="288">
        <v>12.1</v>
      </c>
    </row>
    <row r="84" spans="1:15" x14ac:dyDescent="0.25">
      <c r="A84" s="288">
        <v>123</v>
      </c>
      <c r="B84" s="434" t="s">
        <v>635</v>
      </c>
      <c r="C84" s="434">
        <v>13.46</v>
      </c>
      <c r="D84" s="434">
        <v>4.07</v>
      </c>
      <c r="E84" s="434">
        <v>2.5499999999999998</v>
      </c>
      <c r="F84" s="443">
        <v>30.253</v>
      </c>
      <c r="G84" s="443">
        <v>11.23</v>
      </c>
      <c r="L84" s="288">
        <v>2.2999999999999998</v>
      </c>
    </row>
    <row r="85" spans="1:15" x14ac:dyDescent="0.25">
      <c r="A85" s="288">
        <v>124</v>
      </c>
      <c r="B85" s="434" t="s">
        <v>636</v>
      </c>
      <c r="C85" s="434">
        <v>8.8000000000000007</v>
      </c>
      <c r="D85" s="434">
        <v>4.07</v>
      </c>
      <c r="E85" s="434">
        <v>2.5499999999999998</v>
      </c>
      <c r="F85" s="434">
        <v>18.37</v>
      </c>
      <c r="G85" s="434">
        <v>4.8</v>
      </c>
      <c r="L85" s="288">
        <v>3.1</v>
      </c>
    </row>
    <row r="86" spans="1:15" ht="14.4" thickBot="1" x14ac:dyDescent="0.3">
      <c r="A86" s="288">
        <v>8</v>
      </c>
      <c r="B86" s="434" t="s">
        <v>637</v>
      </c>
      <c r="C86" s="434">
        <v>7.44</v>
      </c>
      <c r="D86" s="434">
        <v>1.49</v>
      </c>
      <c r="E86" s="434">
        <v>2.5499999999999998</v>
      </c>
      <c r="F86" s="434">
        <v>17.48</v>
      </c>
      <c r="G86" s="434">
        <v>3.44</v>
      </c>
      <c r="L86" s="288">
        <v>7.7</v>
      </c>
    </row>
    <row r="87" spans="1:15" ht="14.4" thickBot="1" x14ac:dyDescent="0.3">
      <c r="K87" s="504">
        <f>SUM(K42:K86)</f>
        <v>343.70000000000005</v>
      </c>
      <c r="L87" s="505">
        <f>SUM(L42:L86)</f>
        <v>366.99999999999994</v>
      </c>
      <c r="M87" s="505">
        <f>SUM(M42:M86)</f>
        <v>0</v>
      </c>
      <c r="N87" s="505">
        <f>SUM(N42:N86)</f>
        <v>183.7</v>
      </c>
      <c r="O87" s="506">
        <f>SUM(O42:O86)</f>
        <v>193.3</v>
      </c>
    </row>
    <row r="88" spans="1:15" x14ac:dyDescent="0.25">
      <c r="A88" s="290" t="s">
        <v>1053</v>
      </c>
    </row>
    <row r="89" spans="1:15" x14ac:dyDescent="0.25">
      <c r="A89" s="288">
        <v>126</v>
      </c>
      <c r="B89" s="434" t="s">
        <v>636</v>
      </c>
      <c r="C89" s="434">
        <v>14.66</v>
      </c>
      <c r="D89" s="434">
        <v>8.15</v>
      </c>
      <c r="E89" s="434">
        <v>2.5499999999999998</v>
      </c>
      <c r="F89" s="443">
        <v>29.232999999999997</v>
      </c>
      <c r="G89" s="443">
        <v>11.49</v>
      </c>
      <c r="K89" s="288">
        <f>K87+L87*2</f>
        <v>1077.6999999999998</v>
      </c>
      <c r="N89" s="288">
        <f>N87*2+O87*4</f>
        <v>1140.5999999999999</v>
      </c>
    </row>
    <row r="90" spans="1:15" x14ac:dyDescent="0.25">
      <c r="A90" s="288">
        <v>127</v>
      </c>
      <c r="B90" s="434" t="s">
        <v>1043</v>
      </c>
      <c r="C90" s="434">
        <v>15.24</v>
      </c>
      <c r="D90" s="434">
        <v>5.64</v>
      </c>
      <c r="E90" s="434">
        <v>2.5499999999999998</v>
      </c>
      <c r="F90" s="443">
        <v>33.221999999999994</v>
      </c>
      <c r="G90" s="443">
        <v>14.4</v>
      </c>
    </row>
    <row r="91" spans="1:15" x14ac:dyDescent="0.25">
      <c r="A91" s="288">
        <v>128</v>
      </c>
      <c r="B91" s="434" t="s">
        <v>635</v>
      </c>
      <c r="C91" s="434">
        <v>12.18</v>
      </c>
      <c r="D91" s="434">
        <v>4.07</v>
      </c>
      <c r="E91" s="434">
        <v>2.5499999999999998</v>
      </c>
      <c r="F91" s="443">
        <v>26.988999999999997</v>
      </c>
      <c r="G91" s="443">
        <v>9.1</v>
      </c>
    </row>
    <row r="92" spans="1:15" x14ac:dyDescent="0.25">
      <c r="A92" s="288">
        <v>6</v>
      </c>
      <c r="B92" s="434" t="s">
        <v>637</v>
      </c>
      <c r="C92" s="434">
        <v>6.98</v>
      </c>
      <c r="D92" s="434">
        <v>1.49</v>
      </c>
      <c r="E92" s="434">
        <v>2.5499999999999998</v>
      </c>
      <c r="F92" s="434">
        <v>16.309999999999999</v>
      </c>
      <c r="G92" s="434">
        <v>3.04</v>
      </c>
    </row>
    <row r="93" spans="1:15" x14ac:dyDescent="0.25">
      <c r="A93" s="290" t="s">
        <v>1054</v>
      </c>
    </row>
    <row r="94" spans="1:15" x14ac:dyDescent="0.25">
      <c r="A94" s="288">
        <v>129</v>
      </c>
      <c r="B94" s="434" t="s">
        <v>635</v>
      </c>
      <c r="C94" s="434">
        <v>13.42</v>
      </c>
      <c r="D94" s="434">
        <v>4.5</v>
      </c>
      <c r="E94" s="434">
        <v>2.5499999999999998</v>
      </c>
      <c r="F94" s="443">
        <v>29.720999999999997</v>
      </c>
      <c r="G94" s="443">
        <v>11.24</v>
      </c>
    </row>
    <row r="95" spans="1:15" x14ac:dyDescent="0.25">
      <c r="A95" s="288">
        <v>130</v>
      </c>
      <c r="B95" s="434" t="s">
        <v>636</v>
      </c>
      <c r="C95" s="434">
        <v>7.55</v>
      </c>
      <c r="D95" s="434">
        <v>7.19</v>
      </c>
      <c r="E95" s="434">
        <v>2.5499999999999998</v>
      </c>
      <c r="F95" s="443">
        <v>12.062499999999996</v>
      </c>
      <c r="G95" s="443">
        <v>3.77</v>
      </c>
    </row>
    <row r="96" spans="1:15" x14ac:dyDescent="0.25">
      <c r="A96" s="288">
        <v>131</v>
      </c>
      <c r="B96" s="434" t="s">
        <v>1043</v>
      </c>
      <c r="C96" s="434">
        <v>15.47</v>
      </c>
      <c r="D96" s="434">
        <v>4.66</v>
      </c>
      <c r="E96" s="434">
        <v>2.5499999999999998</v>
      </c>
      <c r="F96" s="443">
        <v>34.788499999999999</v>
      </c>
      <c r="G96" s="443">
        <v>17.68</v>
      </c>
    </row>
    <row r="97" spans="1:7" x14ac:dyDescent="0.25">
      <c r="A97" s="288">
        <v>5</v>
      </c>
      <c r="B97" s="434" t="s">
        <v>637</v>
      </c>
      <c r="C97" s="434">
        <v>6.98</v>
      </c>
      <c r="D97" s="434">
        <v>1.49</v>
      </c>
      <c r="E97" s="434">
        <v>2.5499999999999998</v>
      </c>
      <c r="F97" s="434">
        <v>16.309999999999999</v>
      </c>
      <c r="G97" s="434">
        <v>3.04</v>
      </c>
    </row>
    <row r="99" spans="1:7" x14ac:dyDescent="0.25">
      <c r="A99" s="288">
        <v>125</v>
      </c>
      <c r="B99" s="434" t="s">
        <v>1044</v>
      </c>
      <c r="C99" s="434">
        <v>25.6</v>
      </c>
      <c r="D99" s="434">
        <v>16.96</v>
      </c>
      <c r="E99" s="434">
        <v>2.5499999999999998</v>
      </c>
      <c r="F99" s="434">
        <v>48.32</v>
      </c>
      <c r="G99" s="434">
        <v>15.85</v>
      </c>
    </row>
    <row r="100" spans="1:7" x14ac:dyDescent="0.25">
      <c r="A100" s="288">
        <v>132</v>
      </c>
      <c r="B100" s="434" t="s">
        <v>1044</v>
      </c>
      <c r="C100" s="434">
        <v>26.42</v>
      </c>
      <c r="D100" s="434">
        <v>14</v>
      </c>
      <c r="E100" s="434">
        <v>2.5499999999999998</v>
      </c>
      <c r="F100" s="434">
        <v>53.370999999999995</v>
      </c>
      <c r="G100" s="434">
        <v>15.34</v>
      </c>
    </row>
    <row r="102" spans="1:7" x14ac:dyDescent="0.25">
      <c r="A102" s="290" t="s">
        <v>1094</v>
      </c>
      <c r="B102" s="290" t="s">
        <v>1080</v>
      </c>
    </row>
    <row r="103" spans="1:7" x14ac:dyDescent="0.25">
      <c r="A103" s="288">
        <v>201</v>
      </c>
      <c r="B103" s="434" t="s">
        <v>635</v>
      </c>
      <c r="C103" s="434">
        <v>15.48</v>
      </c>
      <c r="D103" s="434">
        <v>4.5</v>
      </c>
      <c r="E103" s="434">
        <v>2.5499999999999998</v>
      </c>
      <c r="F103" s="443">
        <v>34.973999999999997</v>
      </c>
      <c r="G103" s="443">
        <v>13.99</v>
      </c>
    </row>
    <row r="104" spans="1:7" x14ac:dyDescent="0.25">
      <c r="A104" s="288">
        <v>234</v>
      </c>
      <c r="B104" s="434" t="s">
        <v>1043</v>
      </c>
      <c r="C104" s="434">
        <v>15.32</v>
      </c>
      <c r="D104" s="434">
        <v>5.03</v>
      </c>
      <c r="E104" s="434">
        <v>2.5499999999999998</v>
      </c>
      <c r="F104" s="443">
        <v>34.035999999999994</v>
      </c>
      <c r="G104" s="443">
        <v>13.77</v>
      </c>
    </row>
    <row r="105" spans="1:7" x14ac:dyDescent="0.25">
      <c r="A105" s="288">
        <v>232</v>
      </c>
      <c r="B105" s="434" t="s">
        <v>1043</v>
      </c>
      <c r="C105" s="434">
        <v>17.14</v>
      </c>
      <c r="D105" s="434">
        <v>4.66</v>
      </c>
      <c r="E105" s="434">
        <v>2.5499999999999998</v>
      </c>
      <c r="F105" s="443">
        <v>39.046999999999997</v>
      </c>
      <c r="G105" s="443">
        <v>16.16</v>
      </c>
    </row>
    <row r="106" spans="1:7" x14ac:dyDescent="0.25">
      <c r="A106" s="288">
        <v>235</v>
      </c>
      <c r="B106" s="434" t="s">
        <v>636</v>
      </c>
      <c r="C106" s="434">
        <v>3.98</v>
      </c>
      <c r="D106" s="434">
        <v>7.56</v>
      </c>
      <c r="E106" s="434">
        <v>2.5499999999999998</v>
      </c>
      <c r="F106" s="443">
        <v>2.5889999999999995</v>
      </c>
      <c r="G106" s="443">
        <v>0.98</v>
      </c>
    </row>
    <row r="107" spans="1:7" x14ac:dyDescent="0.25">
      <c r="A107" s="288">
        <v>236</v>
      </c>
      <c r="B107" s="434" t="s">
        <v>636</v>
      </c>
      <c r="C107" s="434">
        <v>11.08</v>
      </c>
      <c r="D107" s="434">
        <v>11.82</v>
      </c>
      <c r="E107" s="434">
        <v>2.5499999999999998</v>
      </c>
      <c r="F107" s="443">
        <v>16.433999999999997</v>
      </c>
      <c r="G107" s="443">
        <v>3.65</v>
      </c>
    </row>
    <row r="108" spans="1:7" x14ac:dyDescent="0.25">
      <c r="A108" s="434">
        <v>1</v>
      </c>
      <c r="B108" s="434" t="s">
        <v>639</v>
      </c>
      <c r="C108" s="434">
        <v>7.44</v>
      </c>
      <c r="D108" s="434">
        <v>1.49</v>
      </c>
      <c r="E108" s="434">
        <v>2.5499999999999998</v>
      </c>
      <c r="F108" s="434">
        <v>17.48</v>
      </c>
      <c r="G108" s="434">
        <v>3.44</v>
      </c>
    </row>
    <row r="109" spans="1:7" x14ac:dyDescent="0.25">
      <c r="A109" s="434">
        <v>2</v>
      </c>
      <c r="B109" s="434" t="s">
        <v>640</v>
      </c>
      <c r="C109" s="434">
        <v>4.84</v>
      </c>
      <c r="D109" s="434">
        <v>1.49</v>
      </c>
      <c r="E109" s="434">
        <v>2.5499999999999998</v>
      </c>
      <c r="F109" s="434">
        <v>10.85</v>
      </c>
      <c r="G109" s="434">
        <v>1.42</v>
      </c>
    </row>
    <row r="110" spans="1:7" x14ac:dyDescent="0.25">
      <c r="A110" s="290" t="s">
        <v>1091</v>
      </c>
    </row>
    <row r="111" spans="1:7" x14ac:dyDescent="0.25">
      <c r="A111" s="288">
        <v>202</v>
      </c>
      <c r="B111" s="434" t="s">
        <v>635</v>
      </c>
      <c r="C111" s="434">
        <v>12.72</v>
      </c>
      <c r="D111" s="434">
        <v>4.07</v>
      </c>
      <c r="E111" s="434">
        <v>2.5499999999999998</v>
      </c>
      <c r="F111" s="443">
        <v>28.366</v>
      </c>
      <c r="G111" s="443">
        <v>9.75</v>
      </c>
    </row>
    <row r="112" spans="1:7" x14ac:dyDescent="0.25">
      <c r="A112" s="288">
        <v>203</v>
      </c>
      <c r="B112" s="434" t="s">
        <v>1043</v>
      </c>
      <c r="C112" s="434">
        <v>15.63</v>
      </c>
      <c r="D112" s="434">
        <v>4.7</v>
      </c>
      <c r="E112" s="434">
        <v>2.5499999999999998</v>
      </c>
      <c r="F112" s="443">
        <v>35.156499999999994</v>
      </c>
      <c r="G112" s="443">
        <v>14.04</v>
      </c>
    </row>
    <row r="113" spans="1:7" x14ac:dyDescent="0.25">
      <c r="A113" s="288">
        <v>204</v>
      </c>
      <c r="B113" s="434" t="s">
        <v>636</v>
      </c>
      <c r="C113" s="434">
        <v>6.92</v>
      </c>
      <c r="D113" s="434">
        <v>5.52</v>
      </c>
      <c r="E113" s="434">
        <v>2.5499999999999998</v>
      </c>
      <c r="F113" s="443">
        <v>12.125999999999998</v>
      </c>
      <c r="G113" s="443">
        <v>3.4</v>
      </c>
    </row>
    <row r="114" spans="1:7" x14ac:dyDescent="0.25">
      <c r="A114" s="288">
        <v>3</v>
      </c>
      <c r="B114" s="434" t="s">
        <v>637</v>
      </c>
      <c r="C114" s="434">
        <v>7.12</v>
      </c>
      <c r="D114" s="434">
        <v>1.49</v>
      </c>
      <c r="E114" s="434">
        <v>2.5499999999999998</v>
      </c>
      <c r="F114" s="434">
        <v>16.670000000000002</v>
      </c>
      <c r="G114" s="434">
        <v>3.12</v>
      </c>
    </row>
    <row r="115" spans="1:7" x14ac:dyDescent="0.25">
      <c r="A115" s="290" t="s">
        <v>1092</v>
      </c>
    </row>
    <row r="116" spans="1:7" x14ac:dyDescent="0.25">
      <c r="A116" s="288">
        <v>205</v>
      </c>
      <c r="B116" s="434" t="s">
        <v>1043</v>
      </c>
      <c r="C116" s="434">
        <v>15.63</v>
      </c>
      <c r="D116" s="434">
        <v>4.7</v>
      </c>
      <c r="E116" s="434">
        <v>2.5499999999999998</v>
      </c>
      <c r="F116" s="443">
        <v>35.156499999999994</v>
      </c>
      <c r="G116" s="443">
        <v>14.04</v>
      </c>
    </row>
    <row r="117" spans="1:7" x14ac:dyDescent="0.25">
      <c r="A117" s="288">
        <v>206</v>
      </c>
      <c r="B117" s="434" t="s">
        <v>635</v>
      </c>
      <c r="C117" s="434">
        <v>12.72</v>
      </c>
      <c r="D117" s="434">
        <v>4.07</v>
      </c>
      <c r="E117" s="434">
        <v>2.5499999999999998</v>
      </c>
      <c r="F117" s="443">
        <v>28.366</v>
      </c>
      <c r="G117" s="443">
        <v>9.75</v>
      </c>
    </row>
    <row r="118" spans="1:7" x14ac:dyDescent="0.25">
      <c r="A118" s="288">
        <v>207</v>
      </c>
      <c r="B118" s="434" t="s">
        <v>636</v>
      </c>
      <c r="C118" s="434">
        <v>6.92</v>
      </c>
      <c r="D118" s="434">
        <v>5.52</v>
      </c>
      <c r="E118" s="434">
        <v>2.5499999999999998</v>
      </c>
      <c r="F118" s="443">
        <v>12.125999999999998</v>
      </c>
      <c r="G118" s="443">
        <v>3.4</v>
      </c>
    </row>
    <row r="119" spans="1:7" x14ac:dyDescent="0.25">
      <c r="A119" s="288">
        <v>4</v>
      </c>
      <c r="B119" s="434" t="s">
        <v>637</v>
      </c>
      <c r="C119" s="434">
        <v>6.94</v>
      </c>
      <c r="D119" s="434">
        <v>1.49</v>
      </c>
      <c r="E119" s="434">
        <v>2.5499999999999998</v>
      </c>
      <c r="F119" s="434">
        <v>16.21</v>
      </c>
      <c r="G119" s="434">
        <v>2.96</v>
      </c>
    </row>
    <row r="120" spans="1:7" x14ac:dyDescent="0.25">
      <c r="A120" s="290" t="s">
        <v>1081</v>
      </c>
      <c r="B120" s="411"/>
      <c r="C120" s="411"/>
      <c r="D120" s="411"/>
      <c r="E120" s="411"/>
      <c r="F120" s="411"/>
      <c r="G120" s="411"/>
    </row>
    <row r="121" spans="1:7" x14ac:dyDescent="0.25">
      <c r="A121" s="288">
        <v>208</v>
      </c>
      <c r="B121" s="434" t="s">
        <v>635</v>
      </c>
      <c r="C121" s="434">
        <v>11.1</v>
      </c>
      <c r="D121" s="434">
        <v>3.27</v>
      </c>
      <c r="E121" s="434">
        <v>2.5499999999999998</v>
      </c>
      <c r="F121" s="443">
        <v>25.034999999999997</v>
      </c>
      <c r="G121" s="443">
        <v>7.51</v>
      </c>
    </row>
    <row r="122" spans="1:7" x14ac:dyDescent="0.25">
      <c r="A122" s="288">
        <v>209</v>
      </c>
      <c r="B122" s="434" t="s">
        <v>1043</v>
      </c>
      <c r="C122" s="434">
        <v>14.9</v>
      </c>
      <c r="D122" s="434">
        <v>3.87</v>
      </c>
      <c r="E122" s="434">
        <v>2.5499999999999998</v>
      </c>
      <c r="F122" s="443">
        <v>34.125</v>
      </c>
      <c r="G122" s="443">
        <v>12.15</v>
      </c>
    </row>
    <row r="123" spans="1:7" x14ac:dyDescent="0.25">
      <c r="A123" s="288">
        <v>210</v>
      </c>
      <c r="B123" s="434" t="s">
        <v>636</v>
      </c>
      <c r="C123" s="434">
        <v>6.58</v>
      </c>
      <c r="D123" s="434">
        <v>7</v>
      </c>
      <c r="E123" s="434">
        <v>2.5499999999999998</v>
      </c>
      <c r="F123" s="443">
        <v>9.7789999999999999</v>
      </c>
      <c r="G123" s="443">
        <v>2.79</v>
      </c>
    </row>
    <row r="124" spans="1:7" x14ac:dyDescent="0.25">
      <c r="A124" s="288">
        <v>7</v>
      </c>
      <c r="B124" s="434" t="s">
        <v>637</v>
      </c>
      <c r="C124" s="434">
        <v>7.24</v>
      </c>
      <c r="D124" s="434">
        <v>1.49</v>
      </c>
      <c r="E124" s="434">
        <v>2.5499999999999998</v>
      </c>
      <c r="F124" s="434">
        <v>16.97</v>
      </c>
      <c r="G124" s="434">
        <v>3.25</v>
      </c>
    </row>
    <row r="125" spans="1:7" x14ac:dyDescent="0.25">
      <c r="A125" s="290" t="s">
        <v>1082</v>
      </c>
    </row>
    <row r="126" spans="1:7" x14ac:dyDescent="0.25">
      <c r="A126" s="288">
        <v>211</v>
      </c>
      <c r="B126" s="434" t="s">
        <v>1043</v>
      </c>
      <c r="C126" s="434">
        <v>14.9</v>
      </c>
      <c r="D126" s="434">
        <v>3.87</v>
      </c>
      <c r="E126" s="434">
        <v>2.5499999999999998</v>
      </c>
      <c r="F126" s="443">
        <v>34.125</v>
      </c>
      <c r="G126" s="443">
        <v>12.15</v>
      </c>
    </row>
    <row r="127" spans="1:7" x14ac:dyDescent="0.25">
      <c r="A127" s="288">
        <v>212</v>
      </c>
      <c r="B127" s="434" t="s">
        <v>635</v>
      </c>
      <c r="C127" s="434">
        <v>11.93</v>
      </c>
      <c r="D127" s="434">
        <v>3.48</v>
      </c>
      <c r="E127" s="434">
        <v>2.5499999999999998</v>
      </c>
      <c r="F127" s="443">
        <v>26.941499999999998</v>
      </c>
      <c r="G127" s="443">
        <v>8.59</v>
      </c>
    </row>
    <row r="128" spans="1:7" x14ac:dyDescent="0.25">
      <c r="A128" s="288">
        <v>213</v>
      </c>
      <c r="B128" s="434" t="s">
        <v>636</v>
      </c>
      <c r="C128" s="434">
        <v>7.8</v>
      </c>
      <c r="D128" s="434">
        <v>5.72</v>
      </c>
      <c r="E128" s="434">
        <v>2.5499999999999998</v>
      </c>
      <c r="F128" s="443">
        <v>14.169999999999998</v>
      </c>
      <c r="G128" s="443">
        <v>2.92</v>
      </c>
    </row>
    <row r="129" spans="1:7" x14ac:dyDescent="0.25">
      <c r="A129" s="288">
        <v>9</v>
      </c>
      <c r="B129" s="434" t="s">
        <v>637</v>
      </c>
      <c r="C129" s="434">
        <v>6.98</v>
      </c>
      <c r="D129" s="434">
        <v>1.49</v>
      </c>
      <c r="E129" s="434">
        <v>2.5499999999999998</v>
      </c>
      <c r="F129" s="434">
        <v>16.309999999999999</v>
      </c>
      <c r="G129" s="434">
        <v>3.05</v>
      </c>
    </row>
    <row r="130" spans="1:7" x14ac:dyDescent="0.25">
      <c r="A130" s="290" t="s">
        <v>1083</v>
      </c>
    </row>
    <row r="131" spans="1:7" x14ac:dyDescent="0.25">
      <c r="A131" s="288">
        <v>214</v>
      </c>
      <c r="B131" s="434" t="s">
        <v>635</v>
      </c>
      <c r="C131" s="434">
        <v>13.04</v>
      </c>
      <c r="D131" s="434">
        <v>4.6500000000000004</v>
      </c>
      <c r="E131" s="434">
        <v>2.5499999999999998</v>
      </c>
      <c r="F131" s="443">
        <v>28.601999999999997</v>
      </c>
      <c r="G131" s="443">
        <v>9.33</v>
      </c>
    </row>
    <row r="132" spans="1:7" x14ac:dyDescent="0.25">
      <c r="A132" s="288">
        <v>215</v>
      </c>
      <c r="B132" s="434" t="s">
        <v>1043</v>
      </c>
      <c r="C132" s="434">
        <v>16.22</v>
      </c>
      <c r="D132" s="434">
        <v>5.59</v>
      </c>
      <c r="E132" s="434">
        <v>2.5499999999999998</v>
      </c>
      <c r="F132" s="443">
        <v>35.771000000000001</v>
      </c>
      <c r="G132" s="443">
        <v>16.420000000000002</v>
      </c>
    </row>
    <row r="133" spans="1:7" x14ac:dyDescent="0.25">
      <c r="A133" s="288">
        <v>216</v>
      </c>
      <c r="B133" s="434" t="s">
        <v>636</v>
      </c>
      <c r="C133" s="434">
        <v>11.65</v>
      </c>
      <c r="D133" s="434">
        <v>9.84</v>
      </c>
      <c r="E133" s="434">
        <v>2.5499999999999998</v>
      </c>
      <c r="F133" s="443">
        <v>19.8675</v>
      </c>
      <c r="G133" s="443">
        <v>6.72</v>
      </c>
    </row>
    <row r="134" spans="1:7" x14ac:dyDescent="0.25">
      <c r="A134" s="288">
        <v>217</v>
      </c>
      <c r="B134" s="434" t="s">
        <v>1043</v>
      </c>
      <c r="C134" s="434">
        <v>12.9</v>
      </c>
      <c r="D134" s="434">
        <v>4.5</v>
      </c>
      <c r="E134" s="434">
        <v>2.5499999999999998</v>
      </c>
      <c r="F134" s="443">
        <v>28.394999999999996</v>
      </c>
      <c r="G134" s="443">
        <v>9.9499999999999993</v>
      </c>
    </row>
    <row r="135" spans="1:7" x14ac:dyDescent="0.25">
      <c r="A135" s="288">
        <v>10</v>
      </c>
      <c r="B135" s="434" t="s">
        <v>639</v>
      </c>
      <c r="C135" s="434">
        <v>6.72</v>
      </c>
      <c r="D135" s="434">
        <v>1.49</v>
      </c>
      <c r="E135" s="434">
        <v>2.5499999999999998</v>
      </c>
      <c r="F135" s="434">
        <v>15.64</v>
      </c>
      <c r="G135" s="434">
        <v>2.81</v>
      </c>
    </row>
    <row r="136" spans="1:7" x14ac:dyDescent="0.25">
      <c r="A136" s="288">
        <v>11</v>
      </c>
      <c r="B136" s="434" t="s">
        <v>640</v>
      </c>
      <c r="C136" s="434">
        <v>5.18</v>
      </c>
      <c r="D136" s="434">
        <v>1.49</v>
      </c>
      <c r="E136" s="434">
        <v>2.5499999999999998</v>
      </c>
      <c r="F136" s="434">
        <v>11.72</v>
      </c>
      <c r="G136" s="434">
        <v>1.42</v>
      </c>
    </row>
    <row r="137" spans="1:7" x14ac:dyDescent="0.25">
      <c r="A137" s="290" t="s">
        <v>1084</v>
      </c>
    </row>
    <row r="138" spans="1:7" x14ac:dyDescent="0.25">
      <c r="A138" s="288">
        <v>218</v>
      </c>
      <c r="B138" s="434" t="s">
        <v>635</v>
      </c>
      <c r="C138" s="434">
        <v>12.68</v>
      </c>
      <c r="D138" s="434">
        <v>4.5</v>
      </c>
      <c r="E138" s="434">
        <v>2.5499999999999998</v>
      </c>
      <c r="F138" s="443">
        <v>27.833999999999996</v>
      </c>
      <c r="G138" s="443">
        <v>9.52</v>
      </c>
    </row>
    <row r="139" spans="1:7" x14ac:dyDescent="0.25">
      <c r="A139" s="288">
        <v>219</v>
      </c>
      <c r="B139" s="434" t="s">
        <v>1043</v>
      </c>
      <c r="C139" s="434">
        <v>16.7</v>
      </c>
      <c r="D139" s="434">
        <v>4.66</v>
      </c>
      <c r="E139" s="434">
        <v>2.5499999999999998</v>
      </c>
      <c r="F139" s="443">
        <v>37.924999999999997</v>
      </c>
      <c r="G139" s="443">
        <v>16</v>
      </c>
    </row>
    <row r="140" spans="1:7" x14ac:dyDescent="0.25">
      <c r="A140" s="288">
        <v>220</v>
      </c>
      <c r="B140" s="434" t="s">
        <v>1043</v>
      </c>
      <c r="C140" s="434">
        <v>12.88</v>
      </c>
      <c r="D140" s="434">
        <v>1.9</v>
      </c>
      <c r="E140" s="434">
        <v>2.5499999999999998</v>
      </c>
      <c r="F140" s="443">
        <v>30.944000000000003</v>
      </c>
      <c r="G140" s="443">
        <v>10.69</v>
      </c>
    </row>
    <row r="141" spans="1:7" x14ac:dyDescent="0.25">
      <c r="A141" s="288">
        <v>221</v>
      </c>
      <c r="B141" s="434" t="s">
        <v>636</v>
      </c>
      <c r="C141" s="434">
        <v>11.94</v>
      </c>
      <c r="D141" s="434">
        <v>10.6</v>
      </c>
      <c r="E141" s="434">
        <v>2.5499999999999998</v>
      </c>
      <c r="F141" s="443">
        <v>19.846999999999994</v>
      </c>
      <c r="G141" s="443">
        <v>6.34</v>
      </c>
    </row>
    <row r="142" spans="1:7" x14ac:dyDescent="0.25">
      <c r="A142" s="288">
        <v>12</v>
      </c>
      <c r="B142" s="434" t="s">
        <v>639</v>
      </c>
      <c r="C142" s="434">
        <v>6.32</v>
      </c>
      <c r="D142" s="434">
        <v>1.49</v>
      </c>
      <c r="E142" s="434">
        <v>2.5499999999999998</v>
      </c>
      <c r="F142" s="434">
        <v>14.62</v>
      </c>
      <c r="G142" s="434">
        <v>2.46</v>
      </c>
    </row>
    <row r="143" spans="1:7" x14ac:dyDescent="0.25">
      <c r="A143" s="288">
        <v>13</v>
      </c>
      <c r="B143" s="434" t="s">
        <v>637</v>
      </c>
      <c r="C143" s="434">
        <v>4.5599999999999996</v>
      </c>
      <c r="D143" s="434">
        <v>1.49</v>
      </c>
      <c r="E143" s="434">
        <v>2.5499999999999998</v>
      </c>
      <c r="F143" s="434">
        <v>10.14</v>
      </c>
      <c r="G143" s="434">
        <v>1.24</v>
      </c>
    </row>
    <row r="144" spans="1:7" x14ac:dyDescent="0.25">
      <c r="A144" s="290" t="s">
        <v>1085</v>
      </c>
    </row>
    <row r="145" spans="1:7" x14ac:dyDescent="0.25">
      <c r="A145" s="288">
        <v>222</v>
      </c>
      <c r="B145" s="434" t="s">
        <v>1043</v>
      </c>
      <c r="C145" s="434">
        <v>16.13</v>
      </c>
      <c r="D145" s="434">
        <v>5.67</v>
      </c>
      <c r="E145" s="434">
        <v>2.5499999999999998</v>
      </c>
      <c r="F145" s="443">
        <v>35.461499999999994</v>
      </c>
      <c r="G145" s="443">
        <v>20.21</v>
      </c>
    </row>
    <row r="146" spans="1:7" x14ac:dyDescent="0.25">
      <c r="A146" s="288">
        <v>223</v>
      </c>
      <c r="B146" s="434" t="s">
        <v>635</v>
      </c>
      <c r="C146" s="434">
        <v>13.46</v>
      </c>
      <c r="D146" s="434">
        <v>4.07</v>
      </c>
      <c r="E146" s="434">
        <v>2.5499999999999998</v>
      </c>
      <c r="F146" s="443">
        <v>30.253</v>
      </c>
      <c r="G146" s="443">
        <v>11.23</v>
      </c>
    </row>
    <row r="147" spans="1:7" x14ac:dyDescent="0.25">
      <c r="A147" s="288">
        <v>224</v>
      </c>
      <c r="B147" s="434" t="s">
        <v>636</v>
      </c>
      <c r="C147" s="434">
        <v>8.8000000000000007</v>
      </c>
      <c r="D147" s="434">
        <v>4.07</v>
      </c>
      <c r="E147" s="434">
        <v>2.5499999999999998</v>
      </c>
      <c r="F147" s="443">
        <v>18.37</v>
      </c>
      <c r="G147" s="443">
        <v>4.8</v>
      </c>
    </row>
    <row r="148" spans="1:7" x14ac:dyDescent="0.25">
      <c r="A148" s="288">
        <v>8</v>
      </c>
      <c r="B148" s="434" t="s">
        <v>637</v>
      </c>
      <c r="C148" s="434">
        <v>7.44</v>
      </c>
      <c r="D148" s="434">
        <v>1.49</v>
      </c>
      <c r="E148" s="434">
        <v>2.5499999999999998</v>
      </c>
      <c r="F148" s="434">
        <v>17.48</v>
      </c>
      <c r="G148" s="434">
        <v>3.44</v>
      </c>
    </row>
    <row r="149" spans="1:7" x14ac:dyDescent="0.25">
      <c r="A149" s="290" t="s">
        <v>1089</v>
      </c>
    </row>
    <row r="150" spans="1:7" x14ac:dyDescent="0.25">
      <c r="A150" s="288">
        <v>226</v>
      </c>
      <c r="B150" s="434" t="s">
        <v>636</v>
      </c>
      <c r="C150" s="434">
        <v>14.66</v>
      </c>
      <c r="D150" s="434">
        <v>8.15</v>
      </c>
      <c r="E150" s="434">
        <v>2.5499999999999998</v>
      </c>
      <c r="F150" s="443">
        <v>29.232999999999997</v>
      </c>
      <c r="G150" s="443">
        <v>11.49</v>
      </c>
    </row>
    <row r="151" spans="1:7" x14ac:dyDescent="0.25">
      <c r="A151" s="288">
        <v>227</v>
      </c>
      <c r="B151" s="434" t="s">
        <v>1043</v>
      </c>
      <c r="C151" s="434">
        <v>15.24</v>
      </c>
      <c r="D151" s="434">
        <v>5.64</v>
      </c>
      <c r="E151" s="434">
        <v>2.5499999999999998</v>
      </c>
      <c r="F151" s="443">
        <v>33.221999999999994</v>
      </c>
      <c r="G151" s="443">
        <v>14.4</v>
      </c>
    </row>
    <row r="152" spans="1:7" x14ac:dyDescent="0.25">
      <c r="A152" s="288">
        <v>228</v>
      </c>
      <c r="B152" s="434" t="s">
        <v>635</v>
      </c>
      <c r="C152" s="434">
        <v>12.18</v>
      </c>
      <c r="D152" s="434">
        <v>4.07</v>
      </c>
      <c r="E152" s="434">
        <v>2.5499999999999998</v>
      </c>
      <c r="F152" s="443">
        <v>26.988999999999997</v>
      </c>
      <c r="G152" s="443">
        <v>9.1</v>
      </c>
    </row>
    <row r="153" spans="1:7" x14ac:dyDescent="0.25">
      <c r="A153" s="288">
        <v>6</v>
      </c>
      <c r="B153" s="434" t="s">
        <v>637</v>
      </c>
      <c r="C153" s="434">
        <v>6.98</v>
      </c>
      <c r="D153" s="434">
        <v>1.49</v>
      </c>
      <c r="E153" s="434">
        <v>2.5499999999999998</v>
      </c>
      <c r="F153" s="434">
        <v>16.309999999999999</v>
      </c>
      <c r="G153" s="434">
        <v>3.04</v>
      </c>
    </row>
    <row r="154" spans="1:7" x14ac:dyDescent="0.25">
      <c r="A154" s="290" t="s">
        <v>1090</v>
      </c>
    </row>
    <row r="155" spans="1:7" x14ac:dyDescent="0.25">
      <c r="A155" s="288">
        <v>229</v>
      </c>
      <c r="B155" s="434" t="s">
        <v>635</v>
      </c>
      <c r="C155" s="434">
        <v>13.42</v>
      </c>
      <c r="D155" s="434">
        <v>4.5</v>
      </c>
      <c r="E155" s="434">
        <v>2.5499999999999998</v>
      </c>
      <c r="F155" s="443">
        <v>29.720999999999997</v>
      </c>
      <c r="G155" s="443">
        <v>11.24</v>
      </c>
    </row>
    <row r="156" spans="1:7" x14ac:dyDescent="0.25">
      <c r="A156" s="288">
        <v>230</v>
      </c>
      <c r="B156" s="434" t="s">
        <v>636</v>
      </c>
      <c r="C156" s="434">
        <v>7.55</v>
      </c>
      <c r="D156" s="434">
        <v>7.19</v>
      </c>
      <c r="E156" s="434">
        <v>2.5499999999999998</v>
      </c>
      <c r="F156" s="443">
        <v>12.062499999999996</v>
      </c>
      <c r="G156" s="443">
        <v>3.77</v>
      </c>
    </row>
    <row r="157" spans="1:7" x14ac:dyDescent="0.25">
      <c r="A157" s="288">
        <v>231</v>
      </c>
      <c r="B157" s="434" t="s">
        <v>1043</v>
      </c>
      <c r="C157" s="434">
        <v>17.03</v>
      </c>
      <c r="D157" s="434">
        <v>4.66</v>
      </c>
      <c r="E157" s="434">
        <v>2.5499999999999998</v>
      </c>
      <c r="F157" s="443">
        <v>38.766499999999994</v>
      </c>
      <c r="G157" s="443">
        <v>17.309999999999999</v>
      </c>
    </row>
    <row r="158" spans="1:7" x14ac:dyDescent="0.25">
      <c r="A158" s="288">
        <v>5</v>
      </c>
      <c r="B158" s="434" t="s">
        <v>637</v>
      </c>
      <c r="C158" s="434">
        <v>6.98</v>
      </c>
      <c r="D158" s="434">
        <v>1.49</v>
      </c>
      <c r="E158" s="434">
        <v>2.5499999999999998</v>
      </c>
      <c r="F158" s="434">
        <v>16.309999999999999</v>
      </c>
      <c r="G158" s="434">
        <v>3.04</v>
      </c>
    </row>
    <row r="160" spans="1:7" x14ac:dyDescent="0.25">
      <c r="A160" s="288">
        <v>225</v>
      </c>
      <c r="B160" s="434" t="s">
        <v>1044</v>
      </c>
      <c r="C160" s="434">
        <v>25.6</v>
      </c>
      <c r="D160" s="434">
        <v>16.96</v>
      </c>
      <c r="E160" s="434">
        <v>2.5499999999999998</v>
      </c>
      <c r="F160" s="434">
        <v>48.32</v>
      </c>
      <c r="G160" s="434">
        <v>15.85</v>
      </c>
    </row>
    <row r="161" spans="1:7" x14ac:dyDescent="0.25">
      <c r="A161" s="288">
        <v>233</v>
      </c>
      <c r="B161" s="434" t="s">
        <v>1044</v>
      </c>
      <c r="C161" s="434">
        <v>22.22</v>
      </c>
      <c r="D161" s="434">
        <v>11.22</v>
      </c>
      <c r="E161" s="434">
        <v>2.5499999999999998</v>
      </c>
      <c r="F161" s="434">
        <v>45.440999999999995</v>
      </c>
      <c r="G161" s="434">
        <v>13.18</v>
      </c>
    </row>
    <row r="163" spans="1:7" x14ac:dyDescent="0.25">
      <c r="A163" s="290" t="s">
        <v>1096</v>
      </c>
      <c r="B163" s="290" t="s">
        <v>1095</v>
      </c>
    </row>
    <row r="164" spans="1:7" x14ac:dyDescent="0.25">
      <c r="A164" s="288">
        <v>301</v>
      </c>
      <c r="B164" s="434" t="s">
        <v>635</v>
      </c>
      <c r="C164" s="434">
        <v>15.48</v>
      </c>
      <c r="D164" s="434">
        <v>4.5</v>
      </c>
      <c r="E164" s="434">
        <v>2.5499999999999998</v>
      </c>
      <c r="F164" s="443">
        <v>34.973999999999997</v>
      </c>
      <c r="G164" s="443">
        <v>13.99</v>
      </c>
    </row>
    <row r="165" spans="1:7" x14ac:dyDescent="0.25">
      <c r="A165" s="288">
        <v>334</v>
      </c>
      <c r="B165" s="434" t="s">
        <v>1043</v>
      </c>
      <c r="C165" s="434">
        <v>15.32</v>
      </c>
      <c r="D165" s="434">
        <v>5.03</v>
      </c>
      <c r="E165" s="434">
        <v>2.5499999999999998</v>
      </c>
      <c r="F165" s="443">
        <v>34.035999999999994</v>
      </c>
      <c r="G165" s="443">
        <v>13.77</v>
      </c>
    </row>
    <row r="166" spans="1:7" x14ac:dyDescent="0.25">
      <c r="A166" s="288">
        <v>332</v>
      </c>
      <c r="B166" s="434" t="s">
        <v>1043</v>
      </c>
      <c r="C166" s="434">
        <v>17.14</v>
      </c>
      <c r="D166" s="434">
        <v>4.66</v>
      </c>
      <c r="E166" s="434">
        <v>2.5499999999999998</v>
      </c>
      <c r="F166" s="443">
        <v>39.046999999999997</v>
      </c>
      <c r="G166" s="443">
        <v>16.16</v>
      </c>
    </row>
    <row r="167" spans="1:7" x14ac:dyDescent="0.25">
      <c r="A167" s="288">
        <v>335</v>
      </c>
      <c r="B167" s="434" t="s">
        <v>636</v>
      </c>
      <c r="C167" s="434">
        <v>3.98</v>
      </c>
      <c r="D167" s="434">
        <v>7.56</v>
      </c>
      <c r="E167" s="434">
        <v>2.5499999999999998</v>
      </c>
      <c r="F167" s="443">
        <v>2.5889999999999995</v>
      </c>
      <c r="G167" s="443">
        <v>0.98</v>
      </c>
    </row>
    <row r="168" spans="1:7" x14ac:dyDescent="0.25">
      <c r="A168" s="288">
        <v>336</v>
      </c>
      <c r="B168" s="434" t="s">
        <v>636</v>
      </c>
      <c r="C168" s="434">
        <v>11.08</v>
      </c>
      <c r="D168" s="434">
        <v>11.82</v>
      </c>
      <c r="E168" s="434">
        <v>2.5499999999999998</v>
      </c>
      <c r="F168" s="443">
        <v>16.433999999999997</v>
      </c>
      <c r="G168" s="443">
        <v>3.65</v>
      </c>
    </row>
    <row r="169" spans="1:7" x14ac:dyDescent="0.25">
      <c r="A169" s="434">
        <v>1</v>
      </c>
      <c r="B169" s="434" t="s">
        <v>639</v>
      </c>
      <c r="C169" s="434">
        <v>7.44</v>
      </c>
      <c r="D169" s="434">
        <v>1.49</v>
      </c>
      <c r="E169" s="434">
        <v>2.5499999999999998</v>
      </c>
      <c r="F169" s="434">
        <v>17.48</v>
      </c>
      <c r="G169" s="434">
        <v>3.44</v>
      </c>
    </row>
    <row r="170" spans="1:7" x14ac:dyDescent="0.25">
      <c r="A170" s="434">
        <v>2</v>
      </c>
      <c r="B170" s="434" t="s">
        <v>640</v>
      </c>
      <c r="C170" s="434">
        <v>4.84</v>
      </c>
      <c r="D170" s="434">
        <v>1.49</v>
      </c>
      <c r="E170" s="434">
        <v>2.5499999999999998</v>
      </c>
      <c r="F170" s="434">
        <v>10.85</v>
      </c>
      <c r="G170" s="434">
        <v>1.42</v>
      </c>
    </row>
    <row r="171" spans="1:7" x14ac:dyDescent="0.25">
      <c r="A171" s="290" t="s">
        <v>1097</v>
      </c>
    </row>
    <row r="172" spans="1:7" x14ac:dyDescent="0.25">
      <c r="A172" s="288">
        <v>202</v>
      </c>
      <c r="B172" s="434" t="s">
        <v>635</v>
      </c>
      <c r="C172" s="434">
        <v>12.72</v>
      </c>
      <c r="D172" s="434">
        <v>4.07</v>
      </c>
      <c r="E172" s="434">
        <v>2.5499999999999998</v>
      </c>
      <c r="F172" s="443">
        <v>28.366</v>
      </c>
      <c r="G172" s="443">
        <v>9.75</v>
      </c>
    </row>
    <row r="173" spans="1:7" x14ac:dyDescent="0.25">
      <c r="A173" s="288">
        <v>203</v>
      </c>
      <c r="B173" s="434" t="s">
        <v>1043</v>
      </c>
      <c r="C173" s="434">
        <v>15.63</v>
      </c>
      <c r="D173" s="434">
        <v>4.7</v>
      </c>
      <c r="E173" s="434">
        <v>2.5499999999999998</v>
      </c>
      <c r="F173" s="443">
        <v>35.156499999999994</v>
      </c>
      <c r="G173" s="443">
        <v>14.04</v>
      </c>
    </row>
    <row r="174" spans="1:7" x14ac:dyDescent="0.25">
      <c r="A174" s="288">
        <v>204</v>
      </c>
      <c r="B174" s="434" t="s">
        <v>636</v>
      </c>
      <c r="C174" s="434">
        <v>6.92</v>
      </c>
      <c r="D174" s="434">
        <v>5.52</v>
      </c>
      <c r="E174" s="434">
        <v>2.5499999999999998</v>
      </c>
      <c r="F174" s="443">
        <v>12.125999999999998</v>
      </c>
      <c r="G174" s="443">
        <v>3.4</v>
      </c>
    </row>
    <row r="175" spans="1:7" x14ac:dyDescent="0.25">
      <c r="A175" s="288">
        <v>3</v>
      </c>
      <c r="B175" s="434" t="s">
        <v>637</v>
      </c>
      <c r="C175" s="434">
        <v>7.12</v>
      </c>
      <c r="D175" s="434">
        <v>1.49</v>
      </c>
      <c r="E175" s="434">
        <v>2.5499999999999998</v>
      </c>
      <c r="F175" s="434">
        <v>16.670000000000002</v>
      </c>
      <c r="G175" s="434">
        <v>3.12</v>
      </c>
    </row>
    <row r="176" spans="1:7" x14ac:dyDescent="0.25">
      <c r="A176" s="290" t="s">
        <v>1098</v>
      </c>
    </row>
    <row r="177" spans="1:7" x14ac:dyDescent="0.25">
      <c r="A177" s="288">
        <v>205</v>
      </c>
      <c r="B177" s="434" t="s">
        <v>1043</v>
      </c>
      <c r="C177" s="434">
        <v>15.63</v>
      </c>
      <c r="D177" s="434">
        <v>4.7</v>
      </c>
      <c r="E177" s="434">
        <v>2.5499999999999998</v>
      </c>
      <c r="F177" s="443">
        <v>35.156499999999994</v>
      </c>
      <c r="G177" s="443">
        <v>14.04</v>
      </c>
    </row>
    <row r="178" spans="1:7" x14ac:dyDescent="0.25">
      <c r="A178" s="288">
        <v>206</v>
      </c>
      <c r="B178" s="434" t="s">
        <v>635</v>
      </c>
      <c r="C178" s="434">
        <v>12.72</v>
      </c>
      <c r="D178" s="434">
        <v>4.07</v>
      </c>
      <c r="E178" s="434">
        <v>2.5499999999999998</v>
      </c>
      <c r="F178" s="443">
        <v>28.366</v>
      </c>
      <c r="G178" s="443">
        <v>9.75</v>
      </c>
    </row>
    <row r="179" spans="1:7" x14ac:dyDescent="0.25">
      <c r="A179" s="288">
        <v>207</v>
      </c>
      <c r="B179" s="434" t="s">
        <v>636</v>
      </c>
      <c r="C179" s="434">
        <v>6.92</v>
      </c>
      <c r="D179" s="434">
        <v>5.52</v>
      </c>
      <c r="E179" s="434">
        <v>2.5499999999999998</v>
      </c>
      <c r="F179" s="443">
        <v>12.125999999999998</v>
      </c>
      <c r="G179" s="443">
        <v>3.4</v>
      </c>
    </row>
    <row r="180" spans="1:7" x14ac:dyDescent="0.25">
      <c r="A180" s="288">
        <v>4</v>
      </c>
      <c r="B180" s="434" t="s">
        <v>637</v>
      </c>
      <c r="C180" s="434">
        <v>6.94</v>
      </c>
      <c r="D180" s="434">
        <v>1.49</v>
      </c>
      <c r="E180" s="434">
        <v>2.5499999999999998</v>
      </c>
      <c r="F180" s="434">
        <v>16.21</v>
      </c>
      <c r="G180" s="434">
        <v>2.96</v>
      </c>
    </row>
    <row r="181" spans="1:7" x14ac:dyDescent="0.25">
      <c r="A181" s="290" t="s">
        <v>1093</v>
      </c>
      <c r="B181" s="411"/>
      <c r="C181" s="411"/>
      <c r="D181" s="411"/>
      <c r="E181" s="411"/>
      <c r="F181" s="411"/>
      <c r="G181" s="411"/>
    </row>
    <row r="182" spans="1:7" x14ac:dyDescent="0.25">
      <c r="A182" s="288">
        <v>208</v>
      </c>
      <c r="B182" s="434" t="s">
        <v>635</v>
      </c>
      <c r="C182" s="434">
        <v>11.1</v>
      </c>
      <c r="D182" s="434">
        <v>3.27</v>
      </c>
      <c r="E182" s="434">
        <v>2.5499999999999998</v>
      </c>
      <c r="F182" s="443">
        <v>25.034999999999997</v>
      </c>
      <c r="G182" s="443">
        <v>7.51</v>
      </c>
    </row>
    <row r="183" spans="1:7" x14ac:dyDescent="0.25">
      <c r="A183" s="288">
        <v>209</v>
      </c>
      <c r="B183" s="434" t="s">
        <v>1043</v>
      </c>
      <c r="C183" s="434">
        <v>14.9</v>
      </c>
      <c r="D183" s="434">
        <v>3.87</v>
      </c>
      <c r="E183" s="434">
        <v>2.5499999999999998</v>
      </c>
      <c r="F183" s="443">
        <v>34.125</v>
      </c>
      <c r="G183" s="443">
        <v>12.15</v>
      </c>
    </row>
    <row r="184" spans="1:7" x14ac:dyDescent="0.25">
      <c r="A184" s="288">
        <v>210</v>
      </c>
      <c r="B184" s="434" t="s">
        <v>636</v>
      </c>
      <c r="C184" s="434">
        <v>6.58</v>
      </c>
      <c r="D184" s="434">
        <v>7</v>
      </c>
      <c r="E184" s="434">
        <v>2.5499999999999998</v>
      </c>
      <c r="F184" s="443">
        <v>9.7789999999999999</v>
      </c>
      <c r="G184" s="443">
        <v>2.79</v>
      </c>
    </row>
    <row r="185" spans="1:7" x14ac:dyDescent="0.25">
      <c r="A185" s="288">
        <v>7</v>
      </c>
      <c r="B185" s="434" t="s">
        <v>637</v>
      </c>
      <c r="C185" s="434">
        <v>7.24</v>
      </c>
      <c r="D185" s="434">
        <v>1.49</v>
      </c>
      <c r="E185" s="434">
        <v>2.5499999999999998</v>
      </c>
      <c r="F185" s="434">
        <v>16.97</v>
      </c>
      <c r="G185" s="434">
        <v>3.25</v>
      </c>
    </row>
    <row r="186" spans="1:7" x14ac:dyDescent="0.25">
      <c r="A186" s="290" t="s">
        <v>1099</v>
      </c>
    </row>
    <row r="187" spans="1:7" x14ac:dyDescent="0.25">
      <c r="A187" s="288">
        <v>211</v>
      </c>
      <c r="B187" s="434" t="s">
        <v>1043</v>
      </c>
      <c r="C187" s="434">
        <v>14.9</v>
      </c>
      <c r="D187" s="434">
        <v>3.87</v>
      </c>
      <c r="E187" s="434">
        <v>2.5499999999999998</v>
      </c>
      <c r="F187" s="443">
        <v>34.125</v>
      </c>
      <c r="G187" s="443">
        <v>12.15</v>
      </c>
    </row>
    <row r="188" spans="1:7" x14ac:dyDescent="0.25">
      <c r="A188" s="288">
        <v>212</v>
      </c>
      <c r="B188" s="434" t="s">
        <v>635</v>
      </c>
      <c r="C188" s="434">
        <v>11.93</v>
      </c>
      <c r="D188" s="434">
        <v>3.48</v>
      </c>
      <c r="E188" s="434">
        <v>2.5499999999999998</v>
      </c>
      <c r="F188" s="443">
        <v>26.941499999999998</v>
      </c>
      <c r="G188" s="443">
        <v>8.59</v>
      </c>
    </row>
    <row r="189" spans="1:7" x14ac:dyDescent="0.25">
      <c r="A189" s="288">
        <v>213</v>
      </c>
      <c r="B189" s="434" t="s">
        <v>636</v>
      </c>
      <c r="C189" s="434">
        <v>7.8</v>
      </c>
      <c r="D189" s="434">
        <v>5.72</v>
      </c>
      <c r="E189" s="434">
        <v>2.5499999999999998</v>
      </c>
      <c r="F189" s="443">
        <v>14.169999999999998</v>
      </c>
      <c r="G189" s="443">
        <v>2.92</v>
      </c>
    </row>
    <row r="190" spans="1:7" x14ac:dyDescent="0.25">
      <c r="A190" s="288">
        <v>9</v>
      </c>
      <c r="B190" s="434" t="s">
        <v>637</v>
      </c>
      <c r="C190" s="434">
        <v>6.98</v>
      </c>
      <c r="D190" s="434">
        <v>1.49</v>
      </c>
      <c r="E190" s="434">
        <v>2.5499999999999998</v>
      </c>
      <c r="F190" s="434">
        <v>16.309999999999999</v>
      </c>
      <c r="G190" s="434">
        <v>3.05</v>
      </c>
    </row>
    <row r="191" spans="1:7" x14ac:dyDescent="0.25">
      <c r="A191" s="290" t="s">
        <v>1100</v>
      </c>
    </row>
    <row r="192" spans="1:7" x14ac:dyDescent="0.25">
      <c r="A192" s="288">
        <v>214</v>
      </c>
      <c r="B192" s="434" t="s">
        <v>635</v>
      </c>
      <c r="C192" s="434">
        <v>13.04</v>
      </c>
      <c r="D192" s="434">
        <v>4.6500000000000004</v>
      </c>
      <c r="E192" s="434">
        <v>2.5499999999999998</v>
      </c>
      <c r="F192" s="443">
        <v>28.601999999999997</v>
      </c>
      <c r="G192" s="443">
        <v>9.33</v>
      </c>
    </row>
    <row r="193" spans="1:7" x14ac:dyDescent="0.25">
      <c r="A193" s="288">
        <v>215</v>
      </c>
      <c r="B193" s="434" t="s">
        <v>1043</v>
      </c>
      <c r="C193" s="434">
        <v>16.22</v>
      </c>
      <c r="D193" s="434">
        <v>5.59</v>
      </c>
      <c r="E193" s="434">
        <v>2.5499999999999998</v>
      </c>
      <c r="F193" s="443">
        <v>35.771000000000001</v>
      </c>
      <c r="G193" s="443">
        <v>16.420000000000002</v>
      </c>
    </row>
    <row r="194" spans="1:7" x14ac:dyDescent="0.25">
      <c r="A194" s="288">
        <v>216</v>
      </c>
      <c r="B194" s="434" t="s">
        <v>636</v>
      </c>
      <c r="C194" s="434">
        <v>11.65</v>
      </c>
      <c r="D194" s="434">
        <v>9.84</v>
      </c>
      <c r="E194" s="434">
        <v>2.5499999999999998</v>
      </c>
      <c r="F194" s="443">
        <v>19.8675</v>
      </c>
      <c r="G194" s="443">
        <v>6.72</v>
      </c>
    </row>
    <row r="195" spans="1:7" x14ac:dyDescent="0.25">
      <c r="A195" s="288">
        <v>217</v>
      </c>
      <c r="B195" s="434" t="s">
        <v>1043</v>
      </c>
      <c r="C195" s="434">
        <v>12.9</v>
      </c>
      <c r="D195" s="434">
        <v>4.5</v>
      </c>
      <c r="E195" s="434">
        <v>2.5499999999999998</v>
      </c>
      <c r="F195" s="443">
        <v>28.394999999999996</v>
      </c>
      <c r="G195" s="443">
        <v>9.9499999999999993</v>
      </c>
    </row>
    <row r="196" spans="1:7" x14ac:dyDescent="0.25">
      <c r="A196" s="288">
        <v>10</v>
      </c>
      <c r="B196" s="434" t="s">
        <v>639</v>
      </c>
      <c r="C196" s="434">
        <v>6.72</v>
      </c>
      <c r="D196" s="434">
        <v>1.49</v>
      </c>
      <c r="E196" s="434">
        <v>2.5499999999999998</v>
      </c>
      <c r="F196" s="434">
        <v>15.64</v>
      </c>
      <c r="G196" s="434">
        <v>2.81</v>
      </c>
    </row>
    <row r="197" spans="1:7" x14ac:dyDescent="0.25">
      <c r="A197" s="288">
        <v>11</v>
      </c>
      <c r="B197" s="434" t="s">
        <v>640</v>
      </c>
      <c r="C197" s="434">
        <v>5.18</v>
      </c>
      <c r="D197" s="434">
        <v>1.49</v>
      </c>
      <c r="E197" s="434">
        <v>2.5499999999999998</v>
      </c>
      <c r="F197" s="434">
        <v>11.72</v>
      </c>
      <c r="G197" s="434">
        <v>1.42</v>
      </c>
    </row>
    <row r="198" spans="1:7" x14ac:dyDescent="0.25">
      <c r="A198" s="290" t="s">
        <v>1101</v>
      </c>
    </row>
    <row r="199" spans="1:7" x14ac:dyDescent="0.25">
      <c r="A199" s="288">
        <v>218</v>
      </c>
      <c r="B199" s="434" t="s">
        <v>635</v>
      </c>
      <c r="C199" s="434">
        <v>12.68</v>
      </c>
      <c r="D199" s="434">
        <v>4.5</v>
      </c>
      <c r="E199" s="434">
        <v>2.5499999999999998</v>
      </c>
      <c r="F199" s="443">
        <v>27.833999999999996</v>
      </c>
      <c r="G199" s="443">
        <v>9.52</v>
      </c>
    </row>
    <row r="200" spans="1:7" x14ac:dyDescent="0.25">
      <c r="A200" s="288">
        <v>219</v>
      </c>
      <c r="B200" s="434" t="s">
        <v>1043</v>
      </c>
      <c r="C200" s="434">
        <v>16.7</v>
      </c>
      <c r="D200" s="434">
        <v>4.66</v>
      </c>
      <c r="E200" s="434">
        <v>2.5499999999999998</v>
      </c>
      <c r="F200" s="443">
        <v>37.924999999999997</v>
      </c>
      <c r="G200" s="443">
        <v>16</v>
      </c>
    </row>
    <row r="201" spans="1:7" x14ac:dyDescent="0.25">
      <c r="A201" s="288">
        <v>220</v>
      </c>
      <c r="B201" s="434" t="s">
        <v>1043</v>
      </c>
      <c r="C201" s="434">
        <v>12.88</v>
      </c>
      <c r="D201" s="434">
        <v>1.9</v>
      </c>
      <c r="E201" s="434">
        <v>2.5499999999999998</v>
      </c>
      <c r="F201" s="443">
        <v>30.944000000000003</v>
      </c>
      <c r="G201" s="443">
        <v>10.69</v>
      </c>
    </row>
    <row r="202" spans="1:7" x14ac:dyDescent="0.25">
      <c r="A202" s="288">
        <v>221</v>
      </c>
      <c r="B202" s="434" t="s">
        <v>636</v>
      </c>
      <c r="C202" s="434">
        <v>11.94</v>
      </c>
      <c r="D202" s="434">
        <v>10.6</v>
      </c>
      <c r="E202" s="434">
        <v>2.5499999999999998</v>
      </c>
      <c r="F202" s="443">
        <v>19.846999999999994</v>
      </c>
      <c r="G202" s="443">
        <v>6.34</v>
      </c>
    </row>
    <row r="203" spans="1:7" x14ac:dyDescent="0.25">
      <c r="A203" s="288">
        <v>12</v>
      </c>
      <c r="B203" s="434" t="s">
        <v>639</v>
      </c>
      <c r="C203" s="434">
        <v>6.32</v>
      </c>
      <c r="D203" s="434">
        <v>1.49</v>
      </c>
      <c r="E203" s="434">
        <v>2.5499999999999998</v>
      </c>
      <c r="F203" s="434">
        <v>14.62</v>
      </c>
      <c r="G203" s="434">
        <v>2.46</v>
      </c>
    </row>
    <row r="204" spans="1:7" x14ac:dyDescent="0.25">
      <c r="A204" s="288">
        <v>13</v>
      </c>
      <c r="B204" s="434" t="s">
        <v>637</v>
      </c>
      <c r="C204" s="434">
        <v>4.5599999999999996</v>
      </c>
      <c r="D204" s="434">
        <v>1.49</v>
      </c>
      <c r="E204" s="434">
        <v>2.5499999999999998</v>
      </c>
      <c r="F204" s="434">
        <v>10.14</v>
      </c>
      <c r="G204" s="434">
        <v>1.24</v>
      </c>
    </row>
    <row r="205" spans="1:7" x14ac:dyDescent="0.25">
      <c r="A205" s="290" t="s">
        <v>1102</v>
      </c>
    </row>
    <row r="206" spans="1:7" x14ac:dyDescent="0.25">
      <c r="A206" s="288">
        <v>222</v>
      </c>
      <c r="B206" s="434" t="s">
        <v>1043</v>
      </c>
      <c r="C206" s="434">
        <v>16.13</v>
      </c>
      <c r="D206" s="434">
        <v>5.67</v>
      </c>
      <c r="E206" s="434">
        <v>2.5499999999999998</v>
      </c>
      <c r="F206" s="443">
        <v>35.461499999999994</v>
      </c>
      <c r="G206" s="443">
        <v>20.21</v>
      </c>
    </row>
    <row r="207" spans="1:7" x14ac:dyDescent="0.25">
      <c r="A207" s="288">
        <v>223</v>
      </c>
      <c r="B207" s="434" t="s">
        <v>635</v>
      </c>
      <c r="C207" s="434">
        <v>13.46</v>
      </c>
      <c r="D207" s="434">
        <v>4.07</v>
      </c>
      <c r="E207" s="434">
        <v>2.5499999999999998</v>
      </c>
      <c r="F207" s="443">
        <v>30.253</v>
      </c>
      <c r="G207" s="443">
        <v>11.23</v>
      </c>
    </row>
    <row r="208" spans="1:7" x14ac:dyDescent="0.25">
      <c r="A208" s="288">
        <v>224</v>
      </c>
      <c r="B208" s="434" t="s">
        <v>636</v>
      </c>
      <c r="C208" s="434">
        <v>8.8000000000000007</v>
      </c>
      <c r="D208" s="434">
        <v>4.07</v>
      </c>
      <c r="E208" s="434">
        <v>2.5499999999999998</v>
      </c>
      <c r="F208" s="443">
        <v>18.37</v>
      </c>
      <c r="G208" s="443">
        <v>4.8</v>
      </c>
    </row>
    <row r="209" spans="1:7" x14ac:dyDescent="0.25">
      <c r="A209" s="288">
        <v>8</v>
      </c>
      <c r="B209" s="434" t="s">
        <v>637</v>
      </c>
      <c r="C209" s="434">
        <v>7.44</v>
      </c>
      <c r="D209" s="434">
        <v>1.49</v>
      </c>
      <c r="E209" s="434">
        <v>2.5499999999999998</v>
      </c>
      <c r="F209" s="434">
        <v>17.48</v>
      </c>
      <c r="G209" s="434">
        <v>3.44</v>
      </c>
    </row>
    <row r="210" spans="1:7" x14ac:dyDescent="0.25">
      <c r="A210" s="290" t="s">
        <v>1103</v>
      </c>
    </row>
    <row r="211" spans="1:7" x14ac:dyDescent="0.25">
      <c r="A211" s="288">
        <v>226</v>
      </c>
      <c r="B211" s="434" t="s">
        <v>636</v>
      </c>
      <c r="C211" s="434">
        <v>14.66</v>
      </c>
      <c r="D211" s="434">
        <v>8.15</v>
      </c>
      <c r="E211" s="434">
        <v>2.5499999999999998</v>
      </c>
      <c r="F211" s="443">
        <v>29.232999999999997</v>
      </c>
      <c r="G211" s="443">
        <v>11.49</v>
      </c>
    </row>
    <row r="212" spans="1:7" x14ac:dyDescent="0.25">
      <c r="A212" s="288">
        <v>227</v>
      </c>
      <c r="B212" s="434" t="s">
        <v>1043</v>
      </c>
      <c r="C212" s="434">
        <v>15.24</v>
      </c>
      <c r="D212" s="434">
        <v>5.64</v>
      </c>
      <c r="E212" s="434">
        <v>2.5499999999999998</v>
      </c>
      <c r="F212" s="443">
        <v>33.221999999999994</v>
      </c>
      <c r="G212" s="443">
        <v>14.4</v>
      </c>
    </row>
    <row r="213" spans="1:7" x14ac:dyDescent="0.25">
      <c r="A213" s="288">
        <v>228</v>
      </c>
      <c r="B213" s="434" t="s">
        <v>635</v>
      </c>
      <c r="C213" s="434">
        <v>12.18</v>
      </c>
      <c r="D213" s="434">
        <v>4.07</v>
      </c>
      <c r="E213" s="434">
        <v>2.5499999999999998</v>
      </c>
      <c r="F213" s="443">
        <v>26.988999999999997</v>
      </c>
      <c r="G213" s="443">
        <v>9.1</v>
      </c>
    </row>
    <row r="214" spans="1:7" x14ac:dyDescent="0.25">
      <c r="A214" s="288">
        <v>6</v>
      </c>
      <c r="B214" s="434" t="s">
        <v>637</v>
      </c>
      <c r="C214" s="434">
        <v>6.98</v>
      </c>
      <c r="D214" s="434">
        <v>1.49</v>
      </c>
      <c r="E214" s="434">
        <v>2.5499999999999998</v>
      </c>
      <c r="F214" s="434">
        <v>16.309999999999999</v>
      </c>
      <c r="G214" s="434">
        <v>3.04</v>
      </c>
    </row>
    <row r="215" spans="1:7" x14ac:dyDescent="0.25">
      <c r="A215" s="290" t="s">
        <v>1104</v>
      </c>
    </row>
    <row r="216" spans="1:7" x14ac:dyDescent="0.25">
      <c r="A216" s="288">
        <v>229</v>
      </c>
      <c r="B216" s="434" t="s">
        <v>635</v>
      </c>
      <c r="C216" s="434">
        <v>13.42</v>
      </c>
      <c r="D216" s="434">
        <v>4.5</v>
      </c>
      <c r="E216" s="434">
        <v>2.5499999999999998</v>
      </c>
      <c r="F216" s="443">
        <v>29.720999999999997</v>
      </c>
      <c r="G216" s="443">
        <v>11.24</v>
      </c>
    </row>
    <row r="217" spans="1:7" x14ac:dyDescent="0.25">
      <c r="A217" s="288">
        <v>230</v>
      </c>
      <c r="B217" s="434" t="s">
        <v>636</v>
      </c>
      <c r="C217" s="434">
        <v>7.55</v>
      </c>
      <c r="D217" s="434">
        <v>7.19</v>
      </c>
      <c r="E217" s="434">
        <v>2.5499999999999998</v>
      </c>
      <c r="F217" s="443">
        <v>12.062499999999996</v>
      </c>
      <c r="G217" s="443">
        <v>3.77</v>
      </c>
    </row>
    <row r="218" spans="1:7" x14ac:dyDescent="0.25">
      <c r="A218" s="288">
        <v>231</v>
      </c>
      <c r="B218" s="434" t="s">
        <v>1043</v>
      </c>
      <c r="C218" s="434">
        <v>17.03</v>
      </c>
      <c r="D218" s="434">
        <v>4.66</v>
      </c>
      <c r="E218" s="434">
        <v>2.5499999999999998</v>
      </c>
      <c r="F218" s="443">
        <v>38.766499999999994</v>
      </c>
      <c r="G218" s="443">
        <v>17.309999999999999</v>
      </c>
    </row>
    <row r="219" spans="1:7" x14ac:dyDescent="0.25">
      <c r="A219" s="288">
        <v>5</v>
      </c>
      <c r="B219" s="434" t="s">
        <v>637</v>
      </c>
      <c r="C219" s="434">
        <v>6.98</v>
      </c>
      <c r="D219" s="434">
        <v>1.49</v>
      </c>
      <c r="E219" s="434">
        <v>2.5499999999999998</v>
      </c>
      <c r="F219" s="434">
        <v>16.309999999999999</v>
      </c>
      <c r="G219" s="434">
        <v>3.04</v>
      </c>
    </row>
    <row r="221" spans="1:7" x14ac:dyDescent="0.25">
      <c r="A221" s="288">
        <v>225</v>
      </c>
      <c r="B221" s="434" t="s">
        <v>1044</v>
      </c>
      <c r="C221" s="434">
        <v>25.6</v>
      </c>
      <c r="D221" s="434">
        <v>16.96</v>
      </c>
      <c r="E221" s="434">
        <v>2.5499999999999998</v>
      </c>
      <c r="F221" s="434">
        <v>48.32</v>
      </c>
      <c r="G221" s="434">
        <v>15.85</v>
      </c>
    </row>
    <row r="222" spans="1:7" x14ac:dyDescent="0.25">
      <c r="A222" s="288">
        <v>233</v>
      </c>
      <c r="B222" s="434" t="s">
        <v>1044</v>
      </c>
      <c r="C222" s="434">
        <v>22.22</v>
      </c>
      <c r="D222" s="434">
        <v>11.22</v>
      </c>
      <c r="E222" s="434">
        <v>2.5499999999999998</v>
      </c>
      <c r="F222" s="434">
        <v>45.440999999999995</v>
      </c>
      <c r="G222" s="434">
        <v>13.18</v>
      </c>
    </row>
    <row r="225" spans="1:11" x14ac:dyDescent="0.25">
      <c r="B225" s="290" t="s">
        <v>1036</v>
      </c>
    </row>
    <row r="226" spans="1:11" x14ac:dyDescent="0.25">
      <c r="B226" s="288" t="s">
        <v>1037</v>
      </c>
      <c r="C226" s="288" t="s">
        <v>1038</v>
      </c>
      <c r="D226" s="288" t="s">
        <v>972</v>
      </c>
      <c r="E226" s="288" t="s">
        <v>1039</v>
      </c>
      <c r="F226" s="288" t="s">
        <v>1040</v>
      </c>
      <c r="G226" s="288" t="s">
        <v>1041</v>
      </c>
      <c r="I226" s="288" t="s">
        <v>654</v>
      </c>
      <c r="K226" s="288" t="s">
        <v>653</v>
      </c>
    </row>
    <row r="227" spans="1:11" x14ac:dyDescent="0.25">
      <c r="A227" s="288">
        <v>101</v>
      </c>
      <c r="B227" s="288" t="s">
        <v>635</v>
      </c>
      <c r="C227" s="288">
        <v>15.14</v>
      </c>
      <c r="D227" s="288">
        <v>4.58</v>
      </c>
      <c r="E227" s="288">
        <v>2.5499999999999998</v>
      </c>
      <c r="F227" s="444">
        <v>34.027000000000001</v>
      </c>
      <c r="G227" s="444">
        <v>12.94</v>
      </c>
      <c r="H227" s="288">
        <f>G227+G228+G229+G234+G235+G236+G237+G238+G246+G247+G248+G251+G252+G253+G258+G259+G260+G261+G265+G266+G267+G268+G269+G277+G278+G279+G282+G283+G284+G288+G289+G290+G291+G295+G296+G297+G298+G299+G307+G308+G309+G312+G313+G314</f>
        <v>509.31</v>
      </c>
      <c r="I227" s="438">
        <f>H227*2+H42</f>
        <v>2014.1599999999999</v>
      </c>
      <c r="J227" s="288">
        <f>F227+F228+F229+F230+F234+F235+F236+F237+F238+F246+F247+F248+F251+F252+F253+F258+F259+F260+F261+F265+F266+F267+F268+F269+F277+F278+F279+F282+F283+F284+F288+F289+F290+F291+F295+F296+F297+F298+F299+F307+F308+F309+F312+F313+F314</f>
        <v>1332.0905000000002</v>
      </c>
      <c r="K227" s="288">
        <f>J227*2+I42</f>
        <v>5339.7805000000008</v>
      </c>
    </row>
    <row r="228" spans="1:11" x14ac:dyDescent="0.25">
      <c r="A228" s="288">
        <v>102</v>
      </c>
      <c r="B228" s="288" t="s">
        <v>1043</v>
      </c>
      <c r="C228" s="288">
        <v>16.32</v>
      </c>
      <c r="D228" s="288">
        <v>2.76</v>
      </c>
      <c r="E228" s="288">
        <v>2.5499999999999998</v>
      </c>
      <c r="F228" s="444">
        <v>38.856000000000002</v>
      </c>
      <c r="G228" s="444">
        <v>16.04</v>
      </c>
      <c r="I228" s="288">
        <f>I227+G231+G232+G239+G240+G249+G254+G262+G263+G270+G271+G280+G285+G292+G293+G300+G301+G303+G304+G310+G315</f>
        <v>2071.17</v>
      </c>
    </row>
    <row r="229" spans="1:11" x14ac:dyDescent="0.25">
      <c r="A229" s="288">
        <v>109</v>
      </c>
      <c r="B229" s="288" t="s">
        <v>636</v>
      </c>
      <c r="C229" s="288">
        <v>11.02</v>
      </c>
      <c r="D229" s="288">
        <v>10.51</v>
      </c>
      <c r="E229" s="288">
        <v>2.5499999999999998</v>
      </c>
      <c r="F229" s="444">
        <v>17.590999999999994</v>
      </c>
      <c r="G229" s="444">
        <v>5.75</v>
      </c>
    </row>
    <row r="230" spans="1:11" x14ac:dyDescent="0.25">
      <c r="A230" s="288">
        <v>110</v>
      </c>
      <c r="B230" s="288" t="s">
        <v>1043</v>
      </c>
      <c r="C230" s="288">
        <v>14.91</v>
      </c>
      <c r="D230" s="288">
        <v>4.3600000000000003</v>
      </c>
      <c r="E230" s="288">
        <v>2.5499999999999998</v>
      </c>
      <c r="F230" s="444">
        <v>33.660499999999999</v>
      </c>
      <c r="G230" s="444">
        <v>13.89</v>
      </c>
    </row>
    <row r="231" spans="1:11" x14ac:dyDescent="0.25">
      <c r="A231" s="288">
        <v>1</v>
      </c>
      <c r="B231" s="434" t="s">
        <v>639</v>
      </c>
      <c r="C231" s="434">
        <v>6.88</v>
      </c>
      <c r="D231" s="434">
        <v>1.49</v>
      </c>
      <c r="E231" s="434">
        <v>2.5499999999999998</v>
      </c>
      <c r="F231" s="434">
        <v>16.05</v>
      </c>
      <c r="G231" s="434">
        <v>2.95</v>
      </c>
    </row>
    <row r="232" spans="1:11" x14ac:dyDescent="0.25">
      <c r="A232" s="288">
        <v>2</v>
      </c>
      <c r="B232" s="434" t="s">
        <v>640</v>
      </c>
      <c r="C232" s="434">
        <v>5.24</v>
      </c>
      <c r="D232" s="434">
        <v>1.49</v>
      </c>
      <c r="E232" s="434">
        <v>2.5499999999999998</v>
      </c>
      <c r="F232" s="434">
        <v>11.87</v>
      </c>
      <c r="G232" s="434">
        <v>1.55</v>
      </c>
    </row>
    <row r="234" spans="1:11" x14ac:dyDescent="0.25">
      <c r="A234" s="288">
        <v>103</v>
      </c>
      <c r="B234" s="288" t="s">
        <v>1043</v>
      </c>
      <c r="C234" s="288">
        <v>16.920000000000002</v>
      </c>
      <c r="D234" s="288">
        <v>4.28</v>
      </c>
      <c r="E234" s="288">
        <v>2.5499999999999998</v>
      </c>
      <c r="F234" s="444">
        <v>38.866</v>
      </c>
      <c r="G234" s="444">
        <v>17.489999999999998</v>
      </c>
    </row>
    <row r="235" spans="1:11" x14ac:dyDescent="0.25">
      <c r="A235" s="288">
        <v>104</v>
      </c>
      <c r="B235" s="288" t="s">
        <v>1043</v>
      </c>
      <c r="C235" s="288">
        <v>14.06</v>
      </c>
      <c r="D235" s="288">
        <v>5.59</v>
      </c>
      <c r="E235" s="288">
        <v>2.5499999999999998</v>
      </c>
      <c r="F235" s="444">
        <v>30.263000000000002</v>
      </c>
      <c r="G235" s="444">
        <v>12.32</v>
      </c>
    </row>
    <row r="236" spans="1:11" x14ac:dyDescent="0.25">
      <c r="A236" s="288">
        <v>105</v>
      </c>
      <c r="B236" s="288" t="s">
        <v>635</v>
      </c>
      <c r="C236" s="288">
        <v>13.77</v>
      </c>
      <c r="D236" s="288">
        <v>3.47</v>
      </c>
      <c r="E236" s="288">
        <v>2.5499999999999998</v>
      </c>
      <c r="F236" s="444">
        <v>31.643499999999996</v>
      </c>
      <c r="G236" s="444">
        <v>12.58</v>
      </c>
    </row>
    <row r="237" spans="1:11" x14ac:dyDescent="0.25">
      <c r="A237" s="288">
        <v>106</v>
      </c>
      <c r="B237" s="288" t="s">
        <v>636</v>
      </c>
      <c r="C237" s="288">
        <v>17.43</v>
      </c>
      <c r="D237" s="288">
        <v>12.81</v>
      </c>
      <c r="E237" s="288">
        <v>2.5499999999999998</v>
      </c>
      <c r="F237" s="444">
        <v>31.636499999999991</v>
      </c>
      <c r="G237" s="444">
        <v>12.18</v>
      </c>
    </row>
    <row r="238" spans="1:11" x14ac:dyDescent="0.25">
      <c r="A238" s="288">
        <v>117</v>
      </c>
      <c r="B238" s="288" t="s">
        <v>1043</v>
      </c>
      <c r="C238" s="288">
        <v>15.58</v>
      </c>
      <c r="D238" s="288">
        <v>4.28</v>
      </c>
      <c r="E238" s="288">
        <v>2.5499999999999998</v>
      </c>
      <c r="F238" s="444">
        <v>35.448999999999998</v>
      </c>
      <c r="G238" s="444">
        <v>14.43</v>
      </c>
    </row>
    <row r="239" spans="1:11" x14ac:dyDescent="0.25">
      <c r="A239" s="288">
        <v>5</v>
      </c>
      <c r="B239" s="434" t="s">
        <v>639</v>
      </c>
      <c r="C239" s="434">
        <v>6.9</v>
      </c>
      <c r="D239" s="434">
        <v>1.49</v>
      </c>
      <c r="E239" s="434">
        <v>2.5499999999999998</v>
      </c>
      <c r="F239" s="434">
        <v>16.11</v>
      </c>
      <c r="G239" s="434">
        <v>2.98</v>
      </c>
    </row>
    <row r="240" spans="1:11" x14ac:dyDescent="0.25">
      <c r="A240" s="288">
        <v>6</v>
      </c>
      <c r="B240" s="434" t="s">
        <v>640</v>
      </c>
      <c r="C240" s="434">
        <v>5.26</v>
      </c>
      <c r="D240" s="434">
        <v>1.49</v>
      </c>
      <c r="E240" s="434">
        <v>2.5499999999999998</v>
      </c>
      <c r="F240" s="434">
        <v>11.92</v>
      </c>
      <c r="G240" s="434">
        <v>1.55</v>
      </c>
    </row>
    <row r="242" spans="1:7" x14ac:dyDescent="0.25">
      <c r="A242" s="288">
        <v>107</v>
      </c>
      <c r="B242" s="288" t="s">
        <v>1044</v>
      </c>
      <c r="C242" s="288">
        <v>9.74</v>
      </c>
      <c r="D242" s="288">
        <v>6.76</v>
      </c>
      <c r="E242" s="288">
        <v>2.5499999999999998</v>
      </c>
      <c r="F242" s="288">
        <v>18.076999999999998</v>
      </c>
      <c r="G242" s="288">
        <v>4.71</v>
      </c>
    </row>
    <row r="243" spans="1:7" x14ac:dyDescent="0.25">
      <c r="A243" s="288">
        <v>108</v>
      </c>
      <c r="B243" s="288" t="s">
        <v>1044</v>
      </c>
      <c r="C243" s="288">
        <v>8.42</v>
      </c>
      <c r="D243" s="288">
        <v>8.76</v>
      </c>
      <c r="E243" s="288">
        <v>2.5499999999999998</v>
      </c>
      <c r="F243" s="288">
        <v>12.711</v>
      </c>
      <c r="G243" s="288">
        <v>3.57</v>
      </c>
    </row>
    <row r="246" spans="1:7" x14ac:dyDescent="0.25">
      <c r="A246" s="288">
        <v>111</v>
      </c>
      <c r="B246" s="288" t="s">
        <v>635</v>
      </c>
      <c r="C246" s="288">
        <v>10.98</v>
      </c>
      <c r="D246" s="288">
        <v>3.71</v>
      </c>
      <c r="E246" s="288">
        <v>2.5499999999999998</v>
      </c>
      <c r="F246" s="444">
        <v>24.288999999999998</v>
      </c>
      <c r="G246" s="444">
        <v>6.54</v>
      </c>
    </row>
    <row r="247" spans="1:7" x14ac:dyDescent="0.25">
      <c r="A247" s="288">
        <v>112</v>
      </c>
      <c r="B247" s="288" t="s">
        <v>1043</v>
      </c>
      <c r="C247" s="288">
        <v>13.18</v>
      </c>
      <c r="D247" s="288">
        <v>6.4</v>
      </c>
      <c r="E247" s="288">
        <v>2.5499999999999998</v>
      </c>
      <c r="F247" s="444">
        <v>27.208999999999996</v>
      </c>
      <c r="G247" s="444">
        <v>10.32</v>
      </c>
    </row>
    <row r="248" spans="1:7" x14ac:dyDescent="0.25">
      <c r="A248" s="288">
        <v>113</v>
      </c>
      <c r="B248" s="288" t="s">
        <v>636</v>
      </c>
      <c r="C248" s="288">
        <v>8.5399999999999991</v>
      </c>
      <c r="D248" s="288">
        <v>5.31</v>
      </c>
      <c r="E248" s="288">
        <v>2.5499999999999998</v>
      </c>
      <c r="F248" s="444">
        <v>16.466999999999999</v>
      </c>
      <c r="G248" s="444">
        <v>4.38</v>
      </c>
    </row>
    <row r="249" spans="1:7" x14ac:dyDescent="0.25">
      <c r="A249" s="288">
        <v>3</v>
      </c>
      <c r="B249" s="434" t="s">
        <v>637</v>
      </c>
      <c r="C249" s="434">
        <v>7.5</v>
      </c>
      <c r="D249" s="434">
        <v>1.49</v>
      </c>
      <c r="E249" s="434">
        <v>2.5499999999999998</v>
      </c>
      <c r="F249" s="434">
        <v>17.64</v>
      </c>
      <c r="G249" s="434">
        <v>3.5</v>
      </c>
    </row>
    <row r="251" spans="1:7" x14ac:dyDescent="0.25">
      <c r="A251" s="288">
        <v>114</v>
      </c>
      <c r="B251" s="288" t="s">
        <v>635</v>
      </c>
      <c r="C251" s="288">
        <v>12.68</v>
      </c>
      <c r="D251" s="288">
        <v>2.8</v>
      </c>
      <c r="E251" s="288">
        <v>2.5499999999999998</v>
      </c>
      <c r="F251" s="444">
        <v>29.533999999999995</v>
      </c>
      <c r="G251" s="444">
        <v>9.84</v>
      </c>
    </row>
    <row r="252" spans="1:7" x14ac:dyDescent="0.25">
      <c r="A252" s="288">
        <v>115</v>
      </c>
      <c r="B252" s="288" t="s">
        <v>636</v>
      </c>
      <c r="C252" s="288">
        <v>7.84</v>
      </c>
      <c r="D252" s="288">
        <v>7.22</v>
      </c>
      <c r="E252" s="288">
        <v>2.5499999999999998</v>
      </c>
      <c r="F252" s="444">
        <v>12.771999999999998</v>
      </c>
      <c r="G252" s="444">
        <v>3.82</v>
      </c>
    </row>
    <row r="253" spans="1:7" x14ac:dyDescent="0.25">
      <c r="A253" s="288">
        <v>116</v>
      </c>
      <c r="B253" s="288" t="s">
        <v>1043</v>
      </c>
      <c r="C253" s="288">
        <v>15.46</v>
      </c>
      <c r="D253" s="288">
        <v>4.2699999999999996</v>
      </c>
      <c r="E253" s="288">
        <v>2.5499999999999998</v>
      </c>
      <c r="F253" s="444">
        <v>35.153000000000006</v>
      </c>
      <c r="G253" s="444">
        <v>20.32</v>
      </c>
    </row>
    <row r="254" spans="1:7" x14ac:dyDescent="0.25">
      <c r="A254" s="288">
        <v>4</v>
      </c>
      <c r="B254" s="434" t="s">
        <v>637</v>
      </c>
      <c r="C254" s="434">
        <v>7.64</v>
      </c>
      <c r="D254" s="434">
        <v>1.49</v>
      </c>
      <c r="E254" s="434">
        <v>2.5499999999999998</v>
      </c>
      <c r="F254" s="434">
        <v>17.989999999999998</v>
      </c>
      <c r="G254" s="434">
        <v>3.61</v>
      </c>
    </row>
    <row r="257" spans="1:7" x14ac:dyDescent="0.25">
      <c r="B257" s="290" t="s">
        <v>1105</v>
      </c>
    </row>
    <row r="258" spans="1:7" x14ac:dyDescent="0.25">
      <c r="A258" s="288">
        <v>201</v>
      </c>
      <c r="B258" s="288" t="s">
        <v>635</v>
      </c>
      <c r="C258" s="288">
        <v>15.14</v>
      </c>
      <c r="D258" s="288">
        <v>4.58</v>
      </c>
      <c r="E258" s="288">
        <v>2.5499999999999998</v>
      </c>
      <c r="F258" s="444">
        <v>34.027000000000001</v>
      </c>
      <c r="G258" s="444">
        <v>12.94</v>
      </c>
    </row>
    <row r="259" spans="1:7" x14ac:dyDescent="0.25">
      <c r="A259" s="288">
        <v>202</v>
      </c>
      <c r="B259" s="288" t="s">
        <v>1043</v>
      </c>
      <c r="C259" s="288">
        <v>16.32</v>
      </c>
      <c r="D259" s="288">
        <v>2.76</v>
      </c>
      <c r="E259" s="288">
        <v>2.5499999999999998</v>
      </c>
      <c r="F259" s="444">
        <v>38.856000000000002</v>
      </c>
      <c r="G259" s="444">
        <v>16.04</v>
      </c>
    </row>
    <row r="260" spans="1:7" x14ac:dyDescent="0.25">
      <c r="A260" s="288">
        <v>209</v>
      </c>
      <c r="B260" s="288" t="s">
        <v>636</v>
      </c>
      <c r="C260" s="288">
        <v>11.02</v>
      </c>
      <c r="D260" s="288">
        <v>10.51</v>
      </c>
      <c r="E260" s="288">
        <v>2.5499999999999998</v>
      </c>
      <c r="F260" s="444">
        <v>17.590999999999994</v>
      </c>
      <c r="G260" s="444">
        <v>5.75</v>
      </c>
    </row>
    <row r="261" spans="1:7" x14ac:dyDescent="0.25">
      <c r="A261" s="288">
        <v>210</v>
      </c>
      <c r="B261" s="288" t="s">
        <v>1043</v>
      </c>
      <c r="C261" s="288">
        <v>14.91</v>
      </c>
      <c r="D261" s="288">
        <v>4.3600000000000003</v>
      </c>
      <c r="E261" s="288">
        <v>2.5499999999999998</v>
      </c>
      <c r="F261" s="444">
        <v>33.660499999999999</v>
      </c>
      <c r="G261" s="444">
        <v>13.89</v>
      </c>
    </row>
    <row r="262" spans="1:7" x14ac:dyDescent="0.25">
      <c r="A262" s="288">
        <v>1</v>
      </c>
      <c r="B262" s="434" t="s">
        <v>639</v>
      </c>
      <c r="C262" s="434">
        <v>6.88</v>
      </c>
      <c r="D262" s="434">
        <v>1.49</v>
      </c>
      <c r="E262" s="434">
        <v>2.5499999999999998</v>
      </c>
      <c r="F262" s="434">
        <v>16.05</v>
      </c>
      <c r="G262" s="434">
        <v>2.95</v>
      </c>
    </row>
    <row r="263" spans="1:7" x14ac:dyDescent="0.25">
      <c r="A263" s="288">
        <v>2</v>
      </c>
      <c r="B263" s="434" t="s">
        <v>640</v>
      </c>
      <c r="C263" s="434">
        <v>5.24</v>
      </c>
      <c r="D263" s="434">
        <v>1.49</v>
      </c>
      <c r="E263" s="434">
        <v>2.5499999999999998</v>
      </c>
      <c r="F263" s="434">
        <v>11.87</v>
      </c>
      <c r="G263" s="434">
        <v>1.55</v>
      </c>
    </row>
    <row r="264" spans="1:7" x14ac:dyDescent="0.25">
      <c r="B264" s="411"/>
      <c r="C264" s="411"/>
      <c r="D264" s="411"/>
      <c r="E264" s="411"/>
      <c r="F264" s="411"/>
      <c r="G264" s="411"/>
    </row>
    <row r="265" spans="1:7" x14ac:dyDescent="0.25">
      <c r="A265" s="288">
        <v>203</v>
      </c>
      <c r="B265" s="288" t="s">
        <v>1043</v>
      </c>
      <c r="C265" s="288">
        <v>16.36</v>
      </c>
      <c r="D265" s="288">
        <v>4.28</v>
      </c>
      <c r="E265" s="288">
        <v>2.5499999999999998</v>
      </c>
      <c r="F265" s="444">
        <v>37.437999999999995</v>
      </c>
      <c r="G265" s="444">
        <v>16.38</v>
      </c>
    </row>
    <row r="266" spans="1:7" x14ac:dyDescent="0.25">
      <c r="A266" s="288">
        <v>204</v>
      </c>
      <c r="B266" s="288" t="s">
        <v>1043</v>
      </c>
      <c r="C266" s="288">
        <v>14.06</v>
      </c>
      <c r="D266" s="288">
        <v>3.48</v>
      </c>
      <c r="E266" s="288">
        <v>2.5499999999999998</v>
      </c>
      <c r="F266" s="444">
        <v>32.373000000000005</v>
      </c>
      <c r="G266" s="444">
        <v>12.32</v>
      </c>
    </row>
    <row r="267" spans="1:7" x14ac:dyDescent="0.25">
      <c r="A267" s="288">
        <v>205</v>
      </c>
      <c r="B267" s="288" t="s">
        <v>635</v>
      </c>
      <c r="C267" s="288">
        <v>13.78</v>
      </c>
      <c r="D267" s="288">
        <v>3.44</v>
      </c>
      <c r="E267" s="288">
        <v>2.5499999999999998</v>
      </c>
      <c r="F267" s="444">
        <v>31.698999999999995</v>
      </c>
      <c r="G267" s="444">
        <v>11.87</v>
      </c>
    </row>
    <row r="268" spans="1:7" x14ac:dyDescent="0.25">
      <c r="A268" s="288">
        <v>206</v>
      </c>
      <c r="B268" s="288" t="s">
        <v>636</v>
      </c>
      <c r="C268" s="288">
        <v>17.440000000000001</v>
      </c>
      <c r="D268" s="288">
        <v>12.61</v>
      </c>
      <c r="E268" s="288">
        <v>2.5499999999999998</v>
      </c>
      <c r="F268" s="444">
        <v>31.862000000000002</v>
      </c>
      <c r="G268" s="444">
        <v>12.41</v>
      </c>
    </row>
    <row r="269" spans="1:7" x14ac:dyDescent="0.25">
      <c r="A269" s="288">
        <v>217</v>
      </c>
      <c r="B269" s="288" t="s">
        <v>1043</v>
      </c>
      <c r="C269" s="288">
        <v>15.58</v>
      </c>
      <c r="D269" s="288">
        <v>4.28</v>
      </c>
      <c r="E269" s="288">
        <v>2.5499999999999998</v>
      </c>
      <c r="F269" s="444">
        <v>35.448999999999998</v>
      </c>
      <c r="G269" s="444">
        <v>14.43</v>
      </c>
    </row>
    <row r="270" spans="1:7" x14ac:dyDescent="0.25">
      <c r="A270" s="288">
        <v>5</v>
      </c>
      <c r="B270" s="434" t="s">
        <v>639</v>
      </c>
      <c r="C270" s="434">
        <v>6.9</v>
      </c>
      <c r="D270" s="434">
        <v>1.49</v>
      </c>
      <c r="E270" s="434">
        <v>2.5499999999999998</v>
      </c>
      <c r="F270" s="434">
        <v>16.11</v>
      </c>
      <c r="G270" s="434">
        <v>2.98</v>
      </c>
    </row>
    <row r="271" spans="1:7" x14ac:dyDescent="0.25">
      <c r="A271" s="288">
        <v>6</v>
      </c>
      <c r="B271" s="434" t="s">
        <v>640</v>
      </c>
      <c r="C271" s="434">
        <v>5.26</v>
      </c>
      <c r="D271" s="434">
        <v>1.49</v>
      </c>
      <c r="E271" s="434">
        <v>2.5499999999999998</v>
      </c>
      <c r="F271" s="434">
        <v>11.92</v>
      </c>
      <c r="G271" s="434">
        <v>1.55</v>
      </c>
    </row>
    <row r="273" spans="1:7" x14ac:dyDescent="0.25">
      <c r="A273" s="288">
        <v>207</v>
      </c>
      <c r="B273" s="288" t="s">
        <v>1044</v>
      </c>
      <c r="C273" s="288">
        <v>9.9600000000000009</v>
      </c>
      <c r="D273" s="288">
        <v>6.76</v>
      </c>
      <c r="E273" s="288">
        <v>2.5499999999999998</v>
      </c>
      <c r="F273" s="288">
        <v>18.637999999999998</v>
      </c>
      <c r="G273" s="288">
        <v>5.0199999999999996</v>
      </c>
    </row>
    <row r="274" spans="1:7" x14ac:dyDescent="0.25">
      <c r="A274" s="288">
        <v>208</v>
      </c>
      <c r="B274" s="288" t="s">
        <v>1044</v>
      </c>
      <c r="C274" s="288">
        <v>8.42</v>
      </c>
      <c r="D274" s="288">
        <v>8.76</v>
      </c>
      <c r="E274" s="288">
        <v>2.5499999999999998</v>
      </c>
      <c r="F274" s="288">
        <v>12.711</v>
      </c>
      <c r="G274" s="288">
        <v>3.57</v>
      </c>
    </row>
    <row r="277" spans="1:7" x14ac:dyDescent="0.25">
      <c r="A277" s="288">
        <v>211</v>
      </c>
      <c r="B277" s="288" t="s">
        <v>635</v>
      </c>
      <c r="C277" s="288">
        <v>12.76</v>
      </c>
      <c r="D277" s="288">
        <v>3.48</v>
      </c>
      <c r="E277" s="288">
        <v>2.5499999999999998</v>
      </c>
      <c r="F277" s="444">
        <v>29.057999999999996</v>
      </c>
      <c r="G277" s="444">
        <v>9.8800000000000008</v>
      </c>
    </row>
    <row r="278" spans="1:7" x14ac:dyDescent="0.25">
      <c r="A278" s="288">
        <v>212</v>
      </c>
      <c r="B278" s="288" t="s">
        <v>1043</v>
      </c>
      <c r="C278" s="288">
        <v>14.31</v>
      </c>
      <c r="D278" s="288">
        <v>4.2699999999999996</v>
      </c>
      <c r="E278" s="288">
        <v>2.5499999999999998</v>
      </c>
      <c r="F278" s="444">
        <v>32.220500000000001</v>
      </c>
      <c r="G278" s="444">
        <v>10.41</v>
      </c>
    </row>
    <row r="279" spans="1:7" x14ac:dyDescent="0.25">
      <c r="A279" s="288">
        <v>213</v>
      </c>
      <c r="B279" s="288" t="s">
        <v>636</v>
      </c>
      <c r="C279" s="288">
        <v>8.8800000000000008</v>
      </c>
      <c r="D279" s="288">
        <v>7</v>
      </c>
      <c r="E279" s="288">
        <v>2.5499999999999998</v>
      </c>
      <c r="F279" s="444">
        <v>15.644000000000002</v>
      </c>
      <c r="G279" s="444">
        <v>4.88</v>
      </c>
    </row>
    <row r="280" spans="1:7" x14ac:dyDescent="0.25">
      <c r="A280" s="288">
        <v>3</v>
      </c>
      <c r="B280" s="434" t="s">
        <v>637</v>
      </c>
      <c r="C280" s="434">
        <v>7.5</v>
      </c>
      <c r="D280" s="434">
        <v>1.49</v>
      </c>
      <c r="E280" s="434">
        <v>2.5499999999999998</v>
      </c>
      <c r="F280" s="434">
        <v>17.64</v>
      </c>
      <c r="G280" s="434">
        <v>3.5</v>
      </c>
    </row>
    <row r="282" spans="1:7" x14ac:dyDescent="0.25">
      <c r="A282" s="288">
        <v>214</v>
      </c>
      <c r="B282" s="288" t="s">
        <v>635</v>
      </c>
      <c r="C282" s="288">
        <v>12.68</v>
      </c>
      <c r="D282" s="288">
        <v>2.8</v>
      </c>
      <c r="E282" s="288">
        <v>2.5499999999999998</v>
      </c>
      <c r="F282" s="444">
        <v>29.533999999999995</v>
      </c>
      <c r="G282" s="444">
        <v>9.84</v>
      </c>
    </row>
    <row r="283" spans="1:7" x14ac:dyDescent="0.25">
      <c r="A283" s="288">
        <v>215</v>
      </c>
      <c r="B283" s="288" t="s">
        <v>636</v>
      </c>
      <c r="C283" s="288">
        <v>7.84</v>
      </c>
      <c r="D283" s="288">
        <v>7.22</v>
      </c>
      <c r="E283" s="288">
        <v>2.5499999999999998</v>
      </c>
      <c r="F283" s="444">
        <v>12.771999999999998</v>
      </c>
      <c r="G283" s="444">
        <v>3.82</v>
      </c>
    </row>
    <row r="284" spans="1:7" x14ac:dyDescent="0.25">
      <c r="A284" s="288">
        <v>216</v>
      </c>
      <c r="B284" s="288" t="s">
        <v>1043</v>
      </c>
      <c r="C284" s="288">
        <v>15.46</v>
      </c>
      <c r="D284" s="288">
        <v>4.2699999999999996</v>
      </c>
      <c r="E284" s="288">
        <v>2.5499999999999998</v>
      </c>
      <c r="F284" s="444">
        <v>35.153000000000006</v>
      </c>
      <c r="G284" s="444">
        <v>20.32</v>
      </c>
    </row>
    <row r="285" spans="1:7" x14ac:dyDescent="0.25">
      <c r="A285" s="288">
        <v>4</v>
      </c>
      <c r="B285" s="434" t="s">
        <v>637</v>
      </c>
      <c r="C285" s="434">
        <v>7.64</v>
      </c>
      <c r="D285" s="434">
        <v>1.49</v>
      </c>
      <c r="E285" s="434">
        <v>2.5499999999999998</v>
      </c>
      <c r="F285" s="434">
        <v>17.989999999999998</v>
      </c>
      <c r="G285" s="434">
        <v>3.61</v>
      </c>
    </row>
    <row r="287" spans="1:7" x14ac:dyDescent="0.25">
      <c r="B287" s="290" t="s">
        <v>1106</v>
      </c>
    </row>
    <row r="288" spans="1:7" x14ac:dyDescent="0.25">
      <c r="A288" s="288">
        <v>201</v>
      </c>
      <c r="B288" s="288" t="s">
        <v>635</v>
      </c>
      <c r="C288" s="288">
        <v>15.14</v>
      </c>
      <c r="D288" s="288">
        <v>4.58</v>
      </c>
      <c r="E288" s="288">
        <v>2.5499999999999998</v>
      </c>
      <c r="F288" s="444">
        <v>34.027000000000001</v>
      </c>
      <c r="G288" s="444">
        <v>12.94</v>
      </c>
    </row>
    <row r="289" spans="1:7" x14ac:dyDescent="0.25">
      <c r="A289" s="288">
        <v>202</v>
      </c>
      <c r="B289" s="288" t="s">
        <v>1043</v>
      </c>
      <c r="C289" s="288">
        <v>16.32</v>
      </c>
      <c r="D289" s="288">
        <v>2.76</v>
      </c>
      <c r="E289" s="288">
        <v>2.5499999999999998</v>
      </c>
      <c r="F289" s="444">
        <v>38.856000000000002</v>
      </c>
      <c r="G289" s="444">
        <v>16.04</v>
      </c>
    </row>
    <row r="290" spans="1:7" x14ac:dyDescent="0.25">
      <c r="A290" s="288">
        <v>209</v>
      </c>
      <c r="B290" s="288" t="s">
        <v>636</v>
      </c>
      <c r="C290" s="288">
        <v>11.02</v>
      </c>
      <c r="D290" s="288">
        <v>10.51</v>
      </c>
      <c r="E290" s="288">
        <v>2.5499999999999998</v>
      </c>
      <c r="F290" s="444">
        <v>17.590999999999994</v>
      </c>
      <c r="G290" s="444">
        <v>5.75</v>
      </c>
    </row>
    <row r="291" spans="1:7" x14ac:dyDescent="0.25">
      <c r="A291" s="288">
        <v>210</v>
      </c>
      <c r="B291" s="288" t="s">
        <v>1043</v>
      </c>
      <c r="C291" s="288">
        <v>14.91</v>
      </c>
      <c r="D291" s="288">
        <v>4.3600000000000003</v>
      </c>
      <c r="E291" s="288">
        <v>2.5499999999999998</v>
      </c>
      <c r="F291" s="444">
        <v>33.660499999999999</v>
      </c>
      <c r="G291" s="444">
        <v>13.89</v>
      </c>
    </row>
    <row r="292" spans="1:7" x14ac:dyDescent="0.25">
      <c r="A292" s="288">
        <v>1</v>
      </c>
      <c r="B292" s="434" t="s">
        <v>639</v>
      </c>
      <c r="C292" s="434">
        <v>6.88</v>
      </c>
      <c r="D292" s="434">
        <v>1.49</v>
      </c>
      <c r="E292" s="434">
        <v>2.5499999999999998</v>
      </c>
      <c r="F292" s="434">
        <v>16.05</v>
      </c>
      <c r="G292" s="434">
        <v>2.95</v>
      </c>
    </row>
    <row r="293" spans="1:7" x14ac:dyDescent="0.25">
      <c r="A293" s="288">
        <v>2</v>
      </c>
      <c r="B293" s="434" t="s">
        <v>640</v>
      </c>
      <c r="C293" s="434">
        <v>5.24</v>
      </c>
      <c r="D293" s="434">
        <v>1.49</v>
      </c>
      <c r="E293" s="434">
        <v>2.5499999999999998</v>
      </c>
      <c r="F293" s="434">
        <v>11.87</v>
      </c>
      <c r="G293" s="434">
        <v>1.55</v>
      </c>
    </row>
    <row r="294" spans="1:7" x14ac:dyDescent="0.25">
      <c r="B294" s="411"/>
      <c r="C294" s="411"/>
      <c r="D294" s="411"/>
      <c r="E294" s="411"/>
      <c r="F294" s="411"/>
      <c r="G294" s="411"/>
    </row>
    <row r="295" spans="1:7" x14ac:dyDescent="0.25">
      <c r="A295" s="288">
        <v>203</v>
      </c>
      <c r="B295" s="288" t="s">
        <v>1043</v>
      </c>
      <c r="C295" s="288">
        <v>16.36</v>
      </c>
      <c r="D295" s="288">
        <v>4.28</v>
      </c>
      <c r="E295" s="288">
        <v>2.5499999999999998</v>
      </c>
      <c r="F295" s="444">
        <v>37.437999999999995</v>
      </c>
      <c r="G295" s="444">
        <v>16.38</v>
      </c>
    </row>
    <row r="296" spans="1:7" x14ac:dyDescent="0.25">
      <c r="A296" s="288">
        <v>204</v>
      </c>
      <c r="B296" s="288" t="s">
        <v>1043</v>
      </c>
      <c r="C296" s="288">
        <v>14.06</v>
      </c>
      <c r="D296" s="288">
        <v>3.48</v>
      </c>
      <c r="E296" s="288">
        <v>2.5499999999999998</v>
      </c>
      <c r="F296" s="444">
        <v>32.373000000000005</v>
      </c>
      <c r="G296" s="444">
        <v>12.32</v>
      </c>
    </row>
    <row r="297" spans="1:7" x14ac:dyDescent="0.25">
      <c r="A297" s="288">
        <v>205</v>
      </c>
      <c r="B297" s="288" t="s">
        <v>635</v>
      </c>
      <c r="C297" s="288">
        <v>13.78</v>
      </c>
      <c r="D297" s="288">
        <v>3.44</v>
      </c>
      <c r="E297" s="288">
        <v>2.5499999999999998</v>
      </c>
      <c r="F297" s="444">
        <v>31.698999999999995</v>
      </c>
      <c r="G297" s="444">
        <v>11.87</v>
      </c>
    </row>
    <row r="298" spans="1:7" x14ac:dyDescent="0.25">
      <c r="A298" s="288">
        <v>206</v>
      </c>
      <c r="B298" s="288" t="s">
        <v>636</v>
      </c>
      <c r="C298" s="288">
        <v>17.440000000000001</v>
      </c>
      <c r="D298" s="288">
        <v>12.61</v>
      </c>
      <c r="E298" s="288">
        <v>2.5499999999999998</v>
      </c>
      <c r="F298" s="444">
        <v>31.862000000000002</v>
      </c>
      <c r="G298" s="444">
        <v>12.41</v>
      </c>
    </row>
    <row r="299" spans="1:7" x14ac:dyDescent="0.25">
      <c r="A299" s="288">
        <v>217</v>
      </c>
      <c r="B299" s="288" t="s">
        <v>1043</v>
      </c>
      <c r="C299" s="288">
        <v>15.58</v>
      </c>
      <c r="D299" s="288">
        <v>4.28</v>
      </c>
      <c r="E299" s="288">
        <v>2.5499999999999998</v>
      </c>
      <c r="F299" s="444">
        <v>35.448999999999998</v>
      </c>
      <c r="G299" s="444">
        <v>14.43</v>
      </c>
    </row>
    <row r="300" spans="1:7" x14ac:dyDescent="0.25">
      <c r="A300" s="288">
        <v>5</v>
      </c>
      <c r="B300" s="434" t="s">
        <v>639</v>
      </c>
      <c r="C300" s="434">
        <v>6.9</v>
      </c>
      <c r="D300" s="434">
        <v>1.49</v>
      </c>
      <c r="E300" s="434">
        <v>2.5499999999999998</v>
      </c>
      <c r="F300" s="434">
        <v>16.11</v>
      </c>
      <c r="G300" s="434">
        <v>2.98</v>
      </c>
    </row>
    <row r="301" spans="1:7" x14ac:dyDescent="0.25">
      <c r="A301" s="288">
        <v>6</v>
      </c>
      <c r="B301" s="434" t="s">
        <v>640</v>
      </c>
      <c r="C301" s="434">
        <v>5.26</v>
      </c>
      <c r="D301" s="434">
        <v>1.49</v>
      </c>
      <c r="E301" s="434">
        <v>2.5499999999999998</v>
      </c>
      <c r="F301" s="434">
        <v>11.92</v>
      </c>
      <c r="G301" s="434">
        <v>1.55</v>
      </c>
    </row>
    <row r="303" spans="1:7" x14ac:dyDescent="0.25">
      <c r="A303" s="288">
        <v>207</v>
      </c>
      <c r="B303" s="288" t="s">
        <v>1044</v>
      </c>
      <c r="C303" s="288">
        <v>9.9600000000000009</v>
      </c>
      <c r="D303" s="288">
        <v>6.76</v>
      </c>
      <c r="E303" s="288">
        <v>2.5499999999999998</v>
      </c>
      <c r="F303" s="288">
        <v>18.637999999999998</v>
      </c>
      <c r="G303" s="288">
        <v>5.0199999999999996</v>
      </c>
    </row>
    <row r="304" spans="1:7" x14ac:dyDescent="0.25">
      <c r="A304" s="288">
        <v>208</v>
      </c>
      <c r="B304" s="288" t="s">
        <v>1044</v>
      </c>
      <c r="C304" s="288">
        <v>8.42</v>
      </c>
      <c r="D304" s="288">
        <v>8.76</v>
      </c>
      <c r="E304" s="288">
        <v>2.5499999999999998</v>
      </c>
      <c r="F304" s="288">
        <v>12.711</v>
      </c>
      <c r="G304" s="288">
        <v>3.57</v>
      </c>
    </row>
    <row r="307" spans="1:7" x14ac:dyDescent="0.25">
      <c r="A307" s="288">
        <v>211</v>
      </c>
      <c r="B307" s="288" t="s">
        <v>635</v>
      </c>
      <c r="C307" s="288">
        <v>12.76</v>
      </c>
      <c r="D307" s="288">
        <v>3.48</v>
      </c>
      <c r="E307" s="288">
        <v>2.5499999999999998</v>
      </c>
      <c r="F307" s="444">
        <v>29.057999999999996</v>
      </c>
      <c r="G307" s="444">
        <v>9.8800000000000008</v>
      </c>
    </row>
    <row r="308" spans="1:7" x14ac:dyDescent="0.25">
      <c r="A308" s="288">
        <v>212</v>
      </c>
      <c r="B308" s="288" t="s">
        <v>1043</v>
      </c>
      <c r="C308" s="288">
        <v>14.31</v>
      </c>
      <c r="D308" s="288">
        <v>4.2699999999999996</v>
      </c>
      <c r="E308" s="288">
        <v>2.5499999999999998</v>
      </c>
      <c r="F308" s="444">
        <v>32.220500000000001</v>
      </c>
      <c r="G308" s="444">
        <v>10.41</v>
      </c>
    </row>
    <row r="309" spans="1:7" x14ac:dyDescent="0.25">
      <c r="A309" s="288">
        <v>213</v>
      </c>
      <c r="B309" s="288" t="s">
        <v>636</v>
      </c>
      <c r="C309" s="288">
        <v>8.8800000000000008</v>
      </c>
      <c r="D309" s="288">
        <v>7</v>
      </c>
      <c r="E309" s="288">
        <v>2.5499999999999998</v>
      </c>
      <c r="F309" s="444">
        <v>15.644000000000002</v>
      </c>
      <c r="G309" s="444">
        <v>4.88</v>
      </c>
    </row>
    <row r="310" spans="1:7" x14ac:dyDescent="0.25">
      <c r="A310" s="288">
        <v>3</v>
      </c>
      <c r="B310" s="434" t="s">
        <v>637</v>
      </c>
      <c r="C310" s="434">
        <v>7.5</v>
      </c>
      <c r="D310" s="434">
        <v>1.49</v>
      </c>
      <c r="E310" s="434">
        <v>2.5499999999999998</v>
      </c>
      <c r="F310" s="434">
        <v>17.64</v>
      </c>
      <c r="G310" s="434">
        <v>3.5</v>
      </c>
    </row>
    <row r="312" spans="1:7" x14ac:dyDescent="0.25">
      <c r="A312" s="288">
        <v>214</v>
      </c>
      <c r="B312" s="288" t="s">
        <v>635</v>
      </c>
      <c r="C312" s="288">
        <v>12.68</v>
      </c>
      <c r="D312" s="288">
        <v>2.8</v>
      </c>
      <c r="E312" s="288">
        <v>2.5499999999999998</v>
      </c>
      <c r="F312" s="444">
        <v>29.533999999999995</v>
      </c>
      <c r="G312" s="444">
        <v>9.84</v>
      </c>
    </row>
    <row r="313" spans="1:7" x14ac:dyDescent="0.25">
      <c r="A313" s="288">
        <v>215</v>
      </c>
      <c r="B313" s="288" t="s">
        <v>636</v>
      </c>
      <c r="C313" s="288">
        <v>7.84</v>
      </c>
      <c r="D313" s="288">
        <v>7.22</v>
      </c>
      <c r="E313" s="288">
        <v>2.5499999999999998</v>
      </c>
      <c r="F313" s="444">
        <v>12.771999999999998</v>
      </c>
      <c r="G313" s="444">
        <v>3.82</v>
      </c>
    </row>
    <row r="314" spans="1:7" x14ac:dyDescent="0.25">
      <c r="A314" s="288">
        <v>216</v>
      </c>
      <c r="B314" s="288" t="s">
        <v>1043</v>
      </c>
      <c r="C314" s="288">
        <v>15.46</v>
      </c>
      <c r="D314" s="288">
        <v>4.2699999999999996</v>
      </c>
      <c r="E314" s="288">
        <v>2.5499999999999998</v>
      </c>
      <c r="F314" s="444">
        <v>35.153000000000006</v>
      </c>
      <c r="G314" s="444">
        <v>20.32</v>
      </c>
    </row>
    <row r="315" spans="1:7" x14ac:dyDescent="0.25">
      <c r="A315" s="288">
        <v>4</v>
      </c>
      <c r="B315" s="434" t="s">
        <v>637</v>
      </c>
      <c r="C315" s="434">
        <v>7.64</v>
      </c>
      <c r="D315" s="434">
        <v>1.49</v>
      </c>
      <c r="E315" s="434">
        <v>2.5499999999999998</v>
      </c>
      <c r="F315" s="434">
        <v>17.989999999999998</v>
      </c>
      <c r="G315" s="434">
        <v>3.61</v>
      </c>
    </row>
  </sheetData>
  <mergeCells count="3">
    <mergeCell ref="B3:G3"/>
    <mergeCell ref="B12:G12"/>
    <mergeCell ref="B28:F2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IR576"/>
  <sheetViews>
    <sheetView zoomScale="85" zoomScaleNormal="85" zoomScaleSheetLayoutView="100" workbookViewId="0">
      <pane ySplit="12" topLeftCell="A34" activePane="bottomLeft" state="frozen"/>
      <selection pane="bottomLeft" activeCell="B50" sqref="B50:I51"/>
    </sheetView>
  </sheetViews>
  <sheetFormatPr defaultColWidth="9" defaultRowHeight="15.6" outlineLevelRow="1" x14ac:dyDescent="0.25"/>
  <cols>
    <col min="1" max="1" width="5.21875" style="81" customWidth="1"/>
    <col min="2" max="2" width="44.44140625" style="25" customWidth="1"/>
    <col min="3" max="3" width="11.6640625" style="19" customWidth="1"/>
    <col min="4" max="4" width="12.33203125" style="19" customWidth="1"/>
    <col min="5" max="5" width="13.109375" style="19" customWidth="1"/>
    <col min="6" max="6" width="13" style="148" customWidth="1"/>
    <col min="7" max="7" width="15.33203125" style="19" customWidth="1"/>
    <col min="8" max="8" width="16.44140625" style="19" customWidth="1"/>
    <col min="9" max="9" width="16.33203125" style="19" customWidth="1"/>
    <col min="10" max="10" width="14.44140625" style="25" bestFit="1" customWidth="1"/>
    <col min="11" max="11" width="17.109375" style="25" customWidth="1"/>
    <col min="12" max="12" width="16.33203125" style="25" customWidth="1"/>
    <col min="13" max="13" width="10.6640625" style="25" customWidth="1"/>
    <col min="14" max="14" width="7" style="25" customWidth="1"/>
    <col min="15" max="15" width="26.21875" style="25" customWidth="1"/>
    <col min="16" max="16" width="17.33203125" style="25" customWidth="1"/>
    <col min="17" max="16384" width="9" style="25"/>
  </cols>
  <sheetData>
    <row r="1" spans="1:12" s="251" customFormat="1" ht="14.4" hidden="1" x14ac:dyDescent="0.25">
      <c r="A1" s="249"/>
      <c r="B1" s="249"/>
      <c r="C1" s="249"/>
      <c r="D1" s="249"/>
      <c r="E1" s="249"/>
      <c r="F1" s="249"/>
      <c r="G1" s="250"/>
      <c r="H1" s="250"/>
      <c r="I1" s="250"/>
    </row>
    <row r="2" spans="1:12" s="251" customFormat="1" ht="27.75" hidden="1" customHeight="1" x14ac:dyDescent="0.25">
      <c r="A2" s="249"/>
      <c r="B2" s="252" t="s">
        <v>626</v>
      </c>
      <c r="C2" s="249"/>
      <c r="D2" s="249"/>
      <c r="E2" s="249"/>
      <c r="F2" s="249"/>
      <c r="G2" s="253" t="s">
        <v>627</v>
      </c>
      <c r="H2" s="250"/>
      <c r="I2" s="250"/>
    </row>
    <row r="3" spans="1:12" s="251" customFormat="1" ht="14.4" hidden="1" x14ac:dyDescent="0.25">
      <c r="A3" s="249"/>
      <c r="B3" s="249"/>
      <c r="C3" s="249"/>
      <c r="D3" s="249"/>
      <c r="E3" s="249"/>
      <c r="F3" s="249"/>
      <c r="G3" s="250"/>
      <c r="H3" s="250" t="s">
        <v>628</v>
      </c>
      <c r="I3" s="250"/>
    </row>
    <row r="4" spans="1:12" s="251" customFormat="1" ht="14.4" hidden="1" x14ac:dyDescent="0.25">
      <c r="A4" s="249"/>
      <c r="B4" s="249"/>
      <c r="C4" s="249"/>
      <c r="D4" s="249"/>
      <c r="E4" s="249"/>
      <c r="F4" s="249"/>
      <c r="G4" s="250"/>
      <c r="H4" s="250"/>
      <c r="I4" s="250"/>
    </row>
    <row r="5" spans="1:12" s="251" customFormat="1" ht="14.4" hidden="1" x14ac:dyDescent="0.25">
      <c r="A5" s="249"/>
      <c r="B5" s="254"/>
      <c r="C5" s="249"/>
      <c r="D5" s="249"/>
      <c r="E5" s="255"/>
      <c r="F5" s="249" t="s">
        <v>629</v>
      </c>
      <c r="G5" s="250"/>
      <c r="H5" s="250"/>
      <c r="I5" s="250"/>
    </row>
    <row r="6" spans="1:12" s="251" customFormat="1" ht="14.4" hidden="1" x14ac:dyDescent="0.25">
      <c r="A6" s="249"/>
      <c r="B6" s="249"/>
      <c r="C6" s="249"/>
      <c r="D6" s="249"/>
      <c r="E6" s="249"/>
      <c r="F6" s="249"/>
      <c r="G6" s="250"/>
      <c r="H6" s="250" t="s">
        <v>630</v>
      </c>
      <c r="I6" s="250"/>
    </row>
    <row r="7" spans="1:12" s="251" customFormat="1" ht="14.4" hidden="1" x14ac:dyDescent="0.25">
      <c r="A7" s="249"/>
      <c r="B7" s="772" t="s">
        <v>631</v>
      </c>
      <c r="C7" s="773"/>
      <c r="D7" s="773"/>
      <c r="E7" s="773"/>
      <c r="F7" s="773"/>
      <c r="G7" s="773"/>
      <c r="H7" s="773"/>
      <c r="I7" s="250"/>
    </row>
    <row r="8" spans="1:12" s="251" customFormat="1" ht="45.6" hidden="1" customHeight="1" x14ac:dyDescent="0.25">
      <c r="A8" s="249"/>
      <c r="B8" s="774" t="s">
        <v>632</v>
      </c>
      <c r="C8" s="775"/>
      <c r="D8" s="775"/>
      <c r="E8" s="775"/>
      <c r="F8" s="775"/>
      <c r="G8" s="775"/>
      <c r="H8" s="775"/>
      <c r="I8" s="250"/>
    </row>
    <row r="9" spans="1:12" s="5" customFormat="1" ht="18.75" hidden="1" customHeight="1" x14ac:dyDescent="0.25">
      <c r="A9" s="82"/>
      <c r="B9" s="4"/>
      <c r="C9" s="4"/>
      <c r="D9" s="4"/>
      <c r="E9" s="4"/>
      <c r="F9" s="134"/>
      <c r="G9" s="776" t="s">
        <v>342</v>
      </c>
      <c r="H9" s="776"/>
      <c r="I9" s="94">
        <f>I10/C10</f>
        <v>21449.993436210792</v>
      </c>
    </row>
    <row r="10" spans="1:12" s="7" customFormat="1" ht="28.5" hidden="1" customHeight="1" x14ac:dyDescent="0.25">
      <c r="A10" s="777" t="s">
        <v>227</v>
      </c>
      <c r="B10" s="777"/>
      <c r="C10" s="122">
        <f>1672.54</f>
        <v>1672.54</v>
      </c>
      <c r="D10" s="59" t="s">
        <v>343</v>
      </c>
      <c r="E10" s="123">
        <f>15+18+3</f>
        <v>36</v>
      </c>
      <c r="F10" s="778" t="s">
        <v>17</v>
      </c>
      <c r="G10" s="778"/>
      <c r="H10" s="778"/>
      <c r="I10" s="8">
        <f>I574*1</f>
        <v>35875972.021799996</v>
      </c>
      <c r="K10" s="7">
        <f>21500*C10</f>
        <v>35959610</v>
      </c>
      <c r="L10" s="7">
        <f>I10-K10</f>
        <v>-83637.978200003505</v>
      </c>
    </row>
    <row r="11" spans="1:12" ht="25.5" customHeight="1" x14ac:dyDescent="0.25">
      <c r="A11" s="779" t="s">
        <v>0</v>
      </c>
      <c r="B11" s="783" t="s">
        <v>1</v>
      </c>
      <c r="C11" s="783" t="s">
        <v>2</v>
      </c>
      <c r="D11" s="783" t="s">
        <v>3</v>
      </c>
      <c r="E11" s="783" t="s">
        <v>4</v>
      </c>
      <c r="F11" s="783"/>
      <c r="G11" s="783" t="s">
        <v>5</v>
      </c>
      <c r="H11" s="783"/>
      <c r="I11" s="783" t="s">
        <v>6</v>
      </c>
    </row>
    <row r="12" spans="1:12" x14ac:dyDescent="0.25">
      <c r="A12" s="779"/>
      <c r="B12" s="783"/>
      <c r="C12" s="783"/>
      <c r="D12" s="783"/>
      <c r="E12" s="120" t="s">
        <v>7</v>
      </c>
      <c r="F12" s="135" t="s">
        <v>475</v>
      </c>
      <c r="G12" s="120" t="s">
        <v>7</v>
      </c>
      <c r="H12" s="120" t="s">
        <v>339</v>
      </c>
      <c r="I12" s="783"/>
    </row>
    <row r="13" spans="1:12" s="5" customFormat="1" ht="21.75" customHeight="1" x14ac:dyDescent="0.25">
      <c r="A13" s="114"/>
      <c r="B13" s="115" t="s">
        <v>197</v>
      </c>
      <c r="C13" s="115"/>
      <c r="D13" s="115"/>
      <c r="E13" s="115"/>
      <c r="F13" s="136"/>
      <c r="G13" s="115"/>
      <c r="H13" s="115"/>
      <c r="I13" s="116"/>
    </row>
    <row r="14" spans="1:12" s="6" customFormat="1" ht="15.75" customHeight="1" outlineLevel="1" x14ac:dyDescent="0.25">
      <c r="A14" s="121" t="s">
        <v>23</v>
      </c>
      <c r="B14" s="1" t="s">
        <v>18</v>
      </c>
      <c r="C14" s="3"/>
      <c r="D14" s="18"/>
      <c r="E14" s="26"/>
      <c r="F14" s="137"/>
      <c r="G14" s="26"/>
      <c r="H14" s="26"/>
      <c r="I14" s="26"/>
    </row>
    <row r="15" spans="1:12" ht="31.2" outlineLevel="1" x14ac:dyDescent="0.25">
      <c r="A15" s="107"/>
      <c r="B15" s="20" t="s">
        <v>19</v>
      </c>
      <c r="C15" s="202" t="s">
        <v>8</v>
      </c>
      <c r="D15" s="203">
        <v>1378</v>
      </c>
      <c r="E15" s="186">
        <v>85</v>
      </c>
      <c r="F15" s="137"/>
      <c r="G15" s="2">
        <f>ROUND(E15*D15,2)</f>
        <v>117130</v>
      </c>
      <c r="H15" s="26"/>
      <c r="I15" s="137">
        <f>G15+H15</f>
        <v>117130</v>
      </c>
    </row>
    <row r="16" spans="1:12" ht="62.4" outlineLevel="1" x14ac:dyDescent="0.25">
      <c r="A16" s="121"/>
      <c r="B16" s="32" t="s">
        <v>474</v>
      </c>
      <c r="C16" s="202" t="s">
        <v>9</v>
      </c>
      <c r="D16" s="10">
        <f>D15*1.6</f>
        <v>2204.8000000000002</v>
      </c>
      <c r="E16" s="186">
        <v>75</v>
      </c>
      <c r="F16" s="137"/>
      <c r="G16" s="2">
        <f>ROUND(E16*D16,2)</f>
        <v>165360</v>
      </c>
      <c r="H16" s="26"/>
      <c r="I16" s="137">
        <f>G16+H16</f>
        <v>165360</v>
      </c>
    </row>
    <row r="17" spans="1:15" ht="31.2" outlineLevel="1" x14ac:dyDescent="0.25">
      <c r="A17" s="121"/>
      <c r="B17" s="20" t="s">
        <v>64</v>
      </c>
      <c r="C17" s="31" t="s">
        <v>8</v>
      </c>
      <c r="D17" s="10">
        <f>D15*0.0525</f>
        <v>72.344999999999999</v>
      </c>
      <c r="E17" s="186">
        <v>150</v>
      </c>
      <c r="F17" s="137"/>
      <c r="G17" s="2">
        <f>ROUND(E17*D17,2)</f>
        <v>10851.75</v>
      </c>
      <c r="H17" s="26"/>
      <c r="I17" s="137">
        <f>G17+H17</f>
        <v>10851.75</v>
      </c>
    </row>
    <row r="18" spans="1:15" outlineLevel="1" x14ac:dyDescent="0.25">
      <c r="A18" s="84"/>
      <c r="B18" s="27" t="s">
        <v>20</v>
      </c>
      <c r="C18" s="31" t="s">
        <v>8</v>
      </c>
      <c r="D18" s="10">
        <f>D15*0.0175</f>
        <v>24.115000000000002</v>
      </c>
      <c r="E18" s="10">
        <v>380</v>
      </c>
      <c r="F18" s="60"/>
      <c r="G18" s="2">
        <f>ROUND(E18*D18,2)</f>
        <v>9163.7000000000007</v>
      </c>
      <c r="H18" s="18"/>
      <c r="I18" s="137">
        <f>G18+H18</f>
        <v>9163.7000000000007</v>
      </c>
    </row>
    <row r="19" spans="1:15" outlineLevel="1" x14ac:dyDescent="0.25">
      <c r="A19" s="84"/>
      <c r="B19" s="27" t="s">
        <v>21</v>
      </c>
      <c r="C19" s="31" t="s">
        <v>8</v>
      </c>
      <c r="D19" s="10">
        <f>260+521</f>
        <v>781</v>
      </c>
      <c r="E19" s="10">
        <v>150</v>
      </c>
      <c r="F19" s="60"/>
      <c r="G19" s="2">
        <f>ROUND(E19*D19,2)</f>
        <v>117150</v>
      </c>
      <c r="H19" s="18"/>
      <c r="I19" s="137">
        <f>G19+H19</f>
        <v>117150</v>
      </c>
      <c r="K19" s="190"/>
    </row>
    <row r="20" spans="1:15" s="36" customFormat="1" ht="21.75" customHeight="1" x14ac:dyDescent="0.25">
      <c r="A20" s="212"/>
      <c r="B20" s="213" t="s">
        <v>574</v>
      </c>
      <c r="C20" s="214"/>
      <c r="D20" s="215"/>
      <c r="E20" s="216"/>
      <c r="F20" s="217"/>
      <c r="G20" s="216">
        <f>SUM(G14:G19)</f>
        <v>419655.45</v>
      </c>
      <c r="H20" s="216">
        <v>0</v>
      </c>
      <c r="I20" s="215">
        <f>SUM(I14:I19)</f>
        <v>419655.45</v>
      </c>
    </row>
    <row r="21" spans="1:15" s="36" customFormat="1" ht="16.95" customHeight="1" x14ac:dyDescent="0.25">
      <c r="A21" s="84"/>
      <c r="B21" s="58" t="s">
        <v>624</v>
      </c>
      <c r="C21" s="9"/>
      <c r="D21" s="31"/>
      <c r="E21" s="10"/>
      <c r="F21" s="57"/>
      <c r="G21" s="10"/>
      <c r="H21" s="10"/>
      <c r="I21" s="31">
        <f>ROUND(I20/1.18*0.18,2)</f>
        <v>64015.24</v>
      </c>
    </row>
    <row r="22" spans="1:15" s="154" customFormat="1" ht="21.75" customHeight="1" x14ac:dyDescent="0.25">
      <c r="A22" s="104"/>
      <c r="B22" s="786" t="s">
        <v>354</v>
      </c>
      <c r="C22" s="786"/>
      <c r="D22" s="786"/>
      <c r="E22" s="786"/>
      <c r="F22" s="211"/>
      <c r="G22" s="105"/>
      <c r="H22" s="138"/>
      <c r="I22" s="106"/>
    </row>
    <row r="23" spans="1:15" s="154" customFormat="1" ht="25.5" customHeight="1" outlineLevel="1" x14ac:dyDescent="0.25">
      <c r="A23" s="155" t="s">
        <v>10</v>
      </c>
      <c r="B23" s="29" t="s">
        <v>355</v>
      </c>
      <c r="C23" s="31" t="s">
        <v>29</v>
      </c>
      <c r="D23" s="31">
        <f>D24*9</f>
        <v>1602</v>
      </c>
      <c r="E23" s="201">
        <v>380</v>
      </c>
      <c r="F23" s="156"/>
      <c r="G23" s="2">
        <f>ROUND(E23*D23,2)</f>
        <v>608760</v>
      </c>
      <c r="H23" s="157"/>
      <c r="I23" s="137">
        <f>G23+H23</f>
        <v>608760</v>
      </c>
    </row>
    <row r="24" spans="1:15" s="154" customFormat="1" ht="25.5" customHeight="1" outlineLevel="1" x14ac:dyDescent="0.25">
      <c r="A24" s="270"/>
      <c r="B24" s="33" t="s">
        <v>356</v>
      </c>
      <c r="C24" s="31" t="s">
        <v>12</v>
      </c>
      <c r="D24" s="256">
        <v>178</v>
      </c>
      <c r="E24" s="156"/>
      <c r="F24" s="2">
        <v>8250</v>
      </c>
      <c r="G24" s="156"/>
      <c r="H24" s="157">
        <f>ROUND(D24*F24,2)</f>
        <v>1468500</v>
      </c>
      <c r="I24" s="137">
        <f>G24+H24</f>
        <v>1468500</v>
      </c>
      <c r="O24" s="6" t="s">
        <v>634</v>
      </c>
    </row>
    <row r="25" spans="1:15" s="154" customFormat="1" ht="33.75" customHeight="1" x14ac:dyDescent="0.25">
      <c r="A25" s="218"/>
      <c r="B25" s="213" t="s">
        <v>575</v>
      </c>
      <c r="C25" s="214"/>
      <c r="D25" s="215"/>
      <c r="E25" s="219"/>
      <c r="F25" s="219"/>
      <c r="G25" s="219">
        <f>SUM(G23:G24)</f>
        <v>608760</v>
      </c>
      <c r="H25" s="220">
        <f>SUM(H23:H24)</f>
        <v>1468500</v>
      </c>
      <c r="I25" s="221">
        <f>G25+H25</f>
        <v>2077260</v>
      </c>
      <c r="J25" s="196"/>
    </row>
    <row r="26" spans="1:15" ht="18.600000000000001" customHeight="1" x14ac:dyDescent="0.25">
      <c r="A26" s="121"/>
      <c r="B26" s="58" t="s">
        <v>624</v>
      </c>
      <c r="C26" s="9"/>
      <c r="D26" s="31"/>
      <c r="E26" s="10"/>
      <c r="F26" s="57"/>
      <c r="G26" s="10"/>
      <c r="H26" s="10"/>
      <c r="I26" s="31">
        <f>ROUND(I25/1.18*0.18,2)</f>
        <v>316870.17</v>
      </c>
    </row>
    <row r="27" spans="1:15" s="5" customFormat="1" ht="24" customHeight="1" x14ac:dyDescent="0.25">
      <c r="A27" s="104"/>
      <c r="B27" s="786" t="s">
        <v>491</v>
      </c>
      <c r="C27" s="786"/>
      <c r="D27" s="786"/>
      <c r="E27" s="786"/>
      <c r="F27" s="138"/>
      <c r="G27" s="105"/>
      <c r="H27" s="105"/>
      <c r="I27" s="106"/>
    </row>
    <row r="28" spans="1:15" s="159" customFormat="1" ht="24" customHeight="1" outlineLevel="1" x14ac:dyDescent="0.25">
      <c r="A28" s="260" t="s">
        <v>492</v>
      </c>
      <c r="B28" s="29" t="s">
        <v>357</v>
      </c>
      <c r="C28" s="31" t="s">
        <v>12</v>
      </c>
      <c r="D28" s="256">
        <f>D24</f>
        <v>178</v>
      </c>
      <c r="E28" s="201">
        <v>500</v>
      </c>
      <c r="F28" s="156"/>
      <c r="G28" s="2">
        <f>ROUND(E28*D28,2)</f>
        <v>89000</v>
      </c>
      <c r="H28" s="157"/>
      <c r="I28" s="11">
        <f>G28+H28</f>
        <v>89000</v>
      </c>
    </row>
    <row r="29" spans="1:15" s="5" customFormat="1" ht="30.75" customHeight="1" outlineLevel="1" x14ac:dyDescent="0.25">
      <c r="A29" s="107" t="s">
        <v>210</v>
      </c>
      <c r="B29" s="29" t="s">
        <v>280</v>
      </c>
      <c r="C29" s="31" t="s">
        <v>8</v>
      </c>
      <c r="D29" s="256">
        <f>D31</f>
        <v>11.44</v>
      </c>
      <c r="E29" s="10">
        <v>500</v>
      </c>
      <c r="F29" s="60"/>
      <c r="G29" s="2">
        <f>ROUND(E29*D29,2)</f>
        <v>5720</v>
      </c>
      <c r="H29" s="18"/>
      <c r="I29" s="11">
        <f t="shared" ref="I29:I35" si="0">G29+H29</f>
        <v>5720</v>
      </c>
      <c r="K29" s="161"/>
      <c r="L29" s="161"/>
      <c r="M29" s="161"/>
    </row>
    <row r="30" spans="1:15" s="5" customFormat="1" ht="17.25" customHeight="1" outlineLevel="1" x14ac:dyDescent="0.25">
      <c r="A30" s="84"/>
      <c r="B30" s="33" t="s">
        <v>281</v>
      </c>
      <c r="C30" s="31" t="s">
        <v>8</v>
      </c>
      <c r="D30" s="2">
        <f>D29*1.1</f>
        <v>12.584</v>
      </c>
      <c r="E30" s="18"/>
      <c r="F30" s="60">
        <v>320</v>
      </c>
      <c r="G30" s="18"/>
      <c r="H30" s="18">
        <f>ROUND(D30*F30,2)</f>
        <v>4026.88</v>
      </c>
      <c r="I30" s="11">
        <f t="shared" si="0"/>
        <v>4026.88</v>
      </c>
      <c r="K30" s="161"/>
      <c r="L30" s="161"/>
      <c r="M30" s="161"/>
    </row>
    <row r="31" spans="1:15" s="6" customFormat="1" ht="21.75" customHeight="1" outlineLevel="1" x14ac:dyDescent="0.25">
      <c r="A31" s="107" t="s">
        <v>211</v>
      </c>
      <c r="B31" s="29" t="s">
        <v>215</v>
      </c>
      <c r="C31" s="31" t="s">
        <v>8</v>
      </c>
      <c r="D31" s="256">
        <v>11.44</v>
      </c>
      <c r="E31" s="10">
        <v>1700</v>
      </c>
      <c r="F31" s="60"/>
      <c r="G31" s="2">
        <f>ROUND(E31*D31,2)</f>
        <v>19448</v>
      </c>
      <c r="H31" s="18"/>
      <c r="I31" s="11">
        <f t="shared" si="0"/>
        <v>19448</v>
      </c>
      <c r="K31" s="161"/>
      <c r="L31" s="161"/>
      <c r="M31" s="161"/>
    </row>
    <row r="32" spans="1:15" outlineLevel="1" x14ac:dyDescent="0.25">
      <c r="A32" s="84"/>
      <c r="B32" s="33" t="s">
        <v>486</v>
      </c>
      <c r="C32" s="31" t="s">
        <v>8</v>
      </c>
      <c r="D32" s="2">
        <f>D31*1.015</f>
        <v>11.611599999999999</v>
      </c>
      <c r="E32" s="18"/>
      <c r="F32" s="60">
        <f>4850*1.1</f>
        <v>5335</v>
      </c>
      <c r="G32" s="18"/>
      <c r="H32" s="18">
        <f>ROUND(D32*F32,2)</f>
        <v>61947.89</v>
      </c>
      <c r="I32" s="11">
        <f t="shared" si="0"/>
        <v>61947.89</v>
      </c>
      <c r="K32" s="161"/>
      <c r="L32" s="161"/>
      <c r="M32" s="161"/>
    </row>
    <row r="33" spans="1:252" s="6" customFormat="1" ht="18" customHeight="1" outlineLevel="1" x14ac:dyDescent="0.25">
      <c r="A33" s="107" t="s">
        <v>212</v>
      </c>
      <c r="B33" s="62" t="s">
        <v>187</v>
      </c>
      <c r="C33" s="31" t="s">
        <v>8</v>
      </c>
      <c r="D33" s="256">
        <v>32.58</v>
      </c>
      <c r="E33" s="31">
        <v>2700</v>
      </c>
      <c r="F33" s="60"/>
      <c r="G33" s="2">
        <f>ROUND(E33*D33,2)</f>
        <v>87966</v>
      </c>
      <c r="H33" s="18"/>
      <c r="I33" s="60">
        <f t="shared" si="0"/>
        <v>87966</v>
      </c>
      <c r="K33" s="161"/>
      <c r="L33" s="161"/>
      <c r="M33" s="161"/>
      <c r="O33" s="6" t="s">
        <v>633</v>
      </c>
    </row>
    <row r="34" spans="1:252" s="38" customFormat="1" outlineLevel="1" x14ac:dyDescent="0.25">
      <c r="A34" s="83"/>
      <c r="B34" s="11" t="s">
        <v>67</v>
      </c>
      <c r="C34" s="2" t="s">
        <v>8</v>
      </c>
      <c r="D34" s="2">
        <f>D33*1.015</f>
        <v>33.068699999999993</v>
      </c>
      <c r="E34" s="2"/>
      <c r="F34" s="11">
        <f>5030*1.1</f>
        <v>5533</v>
      </c>
      <c r="G34" s="2"/>
      <c r="H34" s="2">
        <f>ROUND(D34*F34,2)</f>
        <v>182969.12</v>
      </c>
      <c r="I34" s="11">
        <f t="shared" si="0"/>
        <v>182969.12</v>
      </c>
      <c r="J34" s="15"/>
      <c r="K34" s="161"/>
      <c r="L34" s="161"/>
      <c r="M34" s="161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</row>
    <row r="35" spans="1:252" s="38" customFormat="1" ht="22.2" customHeight="1" outlineLevel="1" x14ac:dyDescent="0.25">
      <c r="A35" s="258"/>
      <c r="B35" s="33" t="s">
        <v>358</v>
      </c>
      <c r="C35" s="2" t="s">
        <v>9</v>
      </c>
      <c r="D35" s="257">
        <f>(38*(5*4.15+0.96+8*0.22+3.71)+48*(5*4.15+0.96+8*0.22+2*3.71)+80*(5*4.15+0.96+8*0.22)+6*(6*4.14+16*1.1+2*3.71))/1000</f>
        <v>4.6923200000000005</v>
      </c>
      <c r="E35" s="2"/>
      <c r="F35" s="11">
        <f>42000</f>
        <v>42000</v>
      </c>
      <c r="G35" s="2"/>
      <c r="H35" s="2">
        <f>ROUND(D35*F35,2)</f>
        <v>197077.44</v>
      </c>
      <c r="I35" s="11">
        <f t="shared" si="0"/>
        <v>197077.44</v>
      </c>
      <c r="J35" s="15"/>
      <c r="K35" s="161"/>
      <c r="L35" s="161"/>
      <c r="M35" s="161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</row>
    <row r="36" spans="1:252" s="38" customFormat="1" outlineLevel="1" x14ac:dyDescent="0.25">
      <c r="A36" s="83"/>
      <c r="B36" s="11" t="s">
        <v>11</v>
      </c>
      <c r="C36" s="2" t="s">
        <v>8</v>
      </c>
      <c r="D36" s="2">
        <f>0.0061*D33</f>
        <v>0.198738</v>
      </c>
      <c r="E36" s="2"/>
      <c r="F36" s="11">
        <v>6900</v>
      </c>
      <c r="G36" s="2"/>
      <c r="H36" s="2">
        <f>ROUND(D36*F36,2)</f>
        <v>1371.29</v>
      </c>
      <c r="I36" s="11">
        <f t="shared" ref="I36:I43" si="1">G36+H36</f>
        <v>1371.29</v>
      </c>
      <c r="J36" s="15"/>
      <c r="K36" s="161"/>
      <c r="L36" s="161"/>
      <c r="M36" s="161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</row>
    <row r="37" spans="1:252" s="5" customFormat="1" ht="31.2" customHeight="1" outlineLevel="1" x14ac:dyDescent="0.25">
      <c r="A37" s="107" t="s">
        <v>213</v>
      </c>
      <c r="B37" s="9" t="s">
        <v>22</v>
      </c>
      <c r="C37" s="31" t="s">
        <v>14</v>
      </c>
      <c r="D37" s="259">
        <f>0.6*4*0.5*(38+48+80)+(1.5+0.6)*2*0.5*6</f>
        <v>211.79999999999998</v>
      </c>
      <c r="E37" s="31">
        <v>150</v>
      </c>
      <c r="F37" s="11"/>
      <c r="G37" s="2">
        <f>ROUND(E37*D37,2)</f>
        <v>31770</v>
      </c>
      <c r="H37" s="18"/>
      <c r="I37" s="11">
        <f t="shared" si="1"/>
        <v>31770</v>
      </c>
      <c r="J37" s="248"/>
      <c r="L37" s="161"/>
      <c r="M37" s="161"/>
    </row>
    <row r="38" spans="1:252" outlineLevel="1" x14ac:dyDescent="0.25">
      <c r="A38" s="84"/>
      <c r="B38" s="60" t="s">
        <v>65</v>
      </c>
      <c r="C38" s="2" t="s">
        <v>15</v>
      </c>
      <c r="D38" s="2">
        <f>2.5*D37</f>
        <v>529.5</v>
      </c>
      <c r="E38" s="2"/>
      <c r="F38" s="11">
        <f>4774.48/4/24*1.1</f>
        <v>54.707583333333332</v>
      </c>
      <c r="G38" s="18"/>
      <c r="H38" s="2">
        <f>ROUND(D38*F38,2)</f>
        <v>28967.67</v>
      </c>
      <c r="I38" s="60">
        <f t="shared" si="1"/>
        <v>28967.67</v>
      </c>
      <c r="K38" s="161"/>
      <c r="L38" s="161"/>
      <c r="M38" s="161"/>
    </row>
    <row r="39" spans="1:252" ht="16.2" customHeight="1" outlineLevel="1" x14ac:dyDescent="0.25">
      <c r="A39" s="84"/>
      <c r="B39" s="60" t="s">
        <v>68</v>
      </c>
      <c r="C39" s="2" t="s">
        <v>30</v>
      </c>
      <c r="D39" s="2">
        <f>0.35*D37</f>
        <v>74.13</v>
      </c>
      <c r="E39" s="2"/>
      <c r="F39" s="11">
        <f>18525.64/16/15*1.1</f>
        <v>84.909183333333345</v>
      </c>
      <c r="G39" s="18"/>
      <c r="H39" s="2">
        <f>ROUND(D39*F39,2)</f>
        <v>6294.32</v>
      </c>
      <c r="I39" s="60">
        <f t="shared" si="1"/>
        <v>6294.32</v>
      </c>
      <c r="K39" s="161"/>
      <c r="L39" s="161"/>
      <c r="M39" s="161"/>
    </row>
    <row r="40" spans="1:252" ht="26.25" customHeight="1" outlineLevel="1" x14ac:dyDescent="0.25">
      <c r="A40" s="107" t="s">
        <v>493</v>
      </c>
      <c r="B40" s="29" t="s">
        <v>214</v>
      </c>
      <c r="C40" s="61" t="s">
        <v>12</v>
      </c>
      <c r="D40" s="31">
        <f>D41+D42</f>
        <v>4</v>
      </c>
      <c r="E40" s="31">
        <v>450</v>
      </c>
      <c r="F40" s="60"/>
      <c r="G40" s="2">
        <f>ROUND(E40*D40,2)</f>
        <v>1800</v>
      </c>
      <c r="H40" s="18"/>
      <c r="I40" s="60">
        <f t="shared" si="1"/>
        <v>1800</v>
      </c>
      <c r="K40" s="161"/>
      <c r="L40" s="161"/>
      <c r="M40" s="161"/>
    </row>
    <row r="41" spans="1:252" outlineLevel="1" x14ac:dyDescent="0.25">
      <c r="A41" s="84"/>
      <c r="B41" s="33" t="s">
        <v>359</v>
      </c>
      <c r="C41" s="2" t="s">
        <v>12</v>
      </c>
      <c r="D41" s="2">
        <v>2</v>
      </c>
      <c r="E41" s="18"/>
      <c r="F41" s="11">
        <v>2878</v>
      </c>
      <c r="G41" s="18"/>
      <c r="H41" s="2">
        <f>ROUND(D41*F41,2)</f>
        <v>5756</v>
      </c>
      <c r="I41" s="60">
        <f t="shared" si="1"/>
        <v>5756</v>
      </c>
      <c r="K41" s="161"/>
      <c r="L41" s="161"/>
      <c r="M41" s="161"/>
    </row>
    <row r="42" spans="1:252" outlineLevel="1" x14ac:dyDescent="0.25">
      <c r="A42" s="84"/>
      <c r="B42" s="33" t="s">
        <v>360</v>
      </c>
      <c r="C42" s="2" t="s">
        <v>12</v>
      </c>
      <c r="D42" s="2">
        <v>2</v>
      </c>
      <c r="E42" s="18"/>
      <c r="F42" s="165">
        <v>1366</v>
      </c>
      <c r="G42" s="18"/>
      <c r="H42" s="2">
        <f>ROUND(D42*F42,2)</f>
        <v>2732</v>
      </c>
      <c r="I42" s="60">
        <f t="shared" si="1"/>
        <v>2732</v>
      </c>
      <c r="K42" s="161"/>
      <c r="L42" s="161"/>
      <c r="M42" s="161"/>
    </row>
    <row r="43" spans="1:252" outlineLevel="1" x14ac:dyDescent="0.25">
      <c r="A43" s="84"/>
      <c r="B43" s="11" t="s">
        <v>72</v>
      </c>
      <c r="C43" s="2" t="s">
        <v>8</v>
      </c>
      <c r="D43" s="2">
        <f>D40*0.05</f>
        <v>0.2</v>
      </c>
      <c r="E43" s="18"/>
      <c r="F43" s="11">
        <f>4100*1.1</f>
        <v>4510</v>
      </c>
      <c r="G43" s="18"/>
      <c r="H43" s="2">
        <f>ROUND(D43*F43,2)</f>
        <v>902</v>
      </c>
      <c r="I43" s="60">
        <f t="shared" si="1"/>
        <v>902</v>
      </c>
      <c r="K43" s="161"/>
      <c r="L43" s="161"/>
      <c r="M43" s="161"/>
    </row>
    <row r="44" spans="1:252" s="36" customFormat="1" ht="26.4" customHeight="1" x14ac:dyDescent="0.25">
      <c r="A44" s="212"/>
      <c r="B44" s="213" t="s">
        <v>576</v>
      </c>
      <c r="C44" s="222"/>
      <c r="D44" s="215"/>
      <c r="E44" s="216"/>
      <c r="F44" s="217"/>
      <c r="G44" s="216">
        <f>SUM(G28:G43)</f>
        <v>235704</v>
      </c>
      <c r="H44" s="216">
        <f>SUM(H28:H43)</f>
        <v>492044.61</v>
      </c>
      <c r="I44" s="215">
        <f>SUM(I28:I43)</f>
        <v>727748.6100000001</v>
      </c>
      <c r="K44" s="162"/>
      <c r="L44" s="162"/>
      <c r="M44" s="162"/>
    </row>
    <row r="45" spans="1:252" s="36" customFormat="1" x14ac:dyDescent="0.25">
      <c r="A45" s="85"/>
      <c r="B45" s="58" t="s">
        <v>624</v>
      </c>
      <c r="C45" s="9"/>
      <c r="D45" s="31"/>
      <c r="E45" s="10"/>
      <c r="F45" s="57"/>
      <c r="G45" s="10"/>
      <c r="H45" s="10"/>
      <c r="I45" s="31">
        <f>ROUND(I44/1.18*0.18,2)</f>
        <v>111012.5</v>
      </c>
      <c r="K45" s="162"/>
      <c r="L45" s="162"/>
      <c r="M45" s="162"/>
    </row>
    <row r="46" spans="1:252" ht="18.75" customHeight="1" x14ac:dyDescent="0.25">
      <c r="A46" s="104"/>
      <c r="B46" s="786" t="s">
        <v>494</v>
      </c>
      <c r="C46" s="786"/>
      <c r="D46" s="786"/>
      <c r="E46" s="786"/>
      <c r="F46" s="786"/>
      <c r="G46" s="105"/>
      <c r="H46" s="105"/>
      <c r="I46" s="106"/>
      <c r="K46" s="129"/>
      <c r="L46" s="133"/>
      <c r="M46" s="133"/>
    </row>
    <row r="47" spans="1:252" ht="28.2" customHeight="1" outlineLevel="1" x14ac:dyDescent="0.25">
      <c r="A47" s="107" t="s">
        <v>204</v>
      </c>
      <c r="B47" s="62" t="s">
        <v>387</v>
      </c>
      <c r="C47" s="31" t="s">
        <v>8</v>
      </c>
      <c r="D47" s="31">
        <v>1.7</v>
      </c>
      <c r="E47" s="31">
        <v>1700</v>
      </c>
      <c r="F47" s="11"/>
      <c r="G47" s="2">
        <f>ROUND(E47*D47,2)</f>
        <v>2890</v>
      </c>
      <c r="H47" s="2"/>
      <c r="I47" s="11">
        <f t="shared" ref="I47:I67" si="2">G47+H47</f>
        <v>2890</v>
      </c>
      <c r="K47" s="161"/>
      <c r="L47" s="161"/>
      <c r="M47" s="161"/>
    </row>
    <row r="48" spans="1:252" ht="31.2" outlineLevel="1" x14ac:dyDescent="0.25">
      <c r="A48" s="84"/>
      <c r="B48" s="60" t="s">
        <v>25</v>
      </c>
      <c r="C48" s="2" t="s">
        <v>12</v>
      </c>
      <c r="D48" s="2">
        <f>D47*400</f>
        <v>680</v>
      </c>
      <c r="E48" s="2"/>
      <c r="F48" s="11">
        <f>11.5*1.1</f>
        <v>12.65</v>
      </c>
      <c r="G48" s="2"/>
      <c r="H48" s="2">
        <f>ROUND(D48*F48,2)</f>
        <v>8602</v>
      </c>
      <c r="I48" s="11">
        <f t="shared" si="2"/>
        <v>8602</v>
      </c>
      <c r="K48" s="161"/>
      <c r="L48" s="161"/>
      <c r="M48" s="161"/>
    </row>
    <row r="49" spans="1:14" outlineLevel="1" x14ac:dyDescent="0.25">
      <c r="A49" s="84"/>
      <c r="B49" s="11" t="s">
        <v>72</v>
      </c>
      <c r="C49" s="2" t="s">
        <v>8</v>
      </c>
      <c r="D49" s="2">
        <f>ROUND(0.23*D47,2)</f>
        <v>0.39</v>
      </c>
      <c r="E49" s="2"/>
      <c r="F49" s="11">
        <f>4100*1.1</f>
        <v>4510</v>
      </c>
      <c r="G49" s="2"/>
      <c r="H49" s="2">
        <f>ROUND(D49*F49,2)</f>
        <v>1758.9</v>
      </c>
      <c r="I49" s="11">
        <f t="shared" si="2"/>
        <v>1758.9</v>
      </c>
      <c r="K49" s="161"/>
      <c r="L49" s="161"/>
      <c r="M49" s="161"/>
    </row>
    <row r="50" spans="1:14" outlineLevel="1" x14ac:dyDescent="0.25">
      <c r="A50" s="107" t="s">
        <v>205</v>
      </c>
      <c r="B50" s="63" t="s">
        <v>16</v>
      </c>
      <c r="C50" s="31" t="s">
        <v>12</v>
      </c>
      <c r="D50" s="160">
        <f>D51</f>
        <v>1</v>
      </c>
      <c r="E50" s="31">
        <v>250</v>
      </c>
      <c r="F50" s="11"/>
      <c r="G50" s="2">
        <f>ROUND(E50*D50,2)</f>
        <v>250</v>
      </c>
      <c r="H50" s="2"/>
      <c r="I50" s="11">
        <f>G50+H50</f>
        <v>250</v>
      </c>
      <c r="K50" s="163"/>
      <c r="L50" s="163"/>
      <c r="M50" s="163"/>
      <c r="N50" s="5"/>
    </row>
    <row r="51" spans="1:14" outlineLevel="1" x14ac:dyDescent="0.25">
      <c r="A51" s="84"/>
      <c r="B51" s="74" t="s">
        <v>361</v>
      </c>
      <c r="C51" s="2" t="s">
        <v>12</v>
      </c>
      <c r="D51" s="64">
        <v>1</v>
      </c>
      <c r="E51" s="2"/>
      <c r="F51" s="11">
        <v>456.35</v>
      </c>
      <c r="G51" s="2"/>
      <c r="H51" s="2">
        <f>ROUND(D51*F51,2)</f>
        <v>456.35</v>
      </c>
      <c r="I51" s="11">
        <f>G51+H51</f>
        <v>456.35</v>
      </c>
      <c r="K51" s="163"/>
      <c r="L51" s="163"/>
      <c r="M51" s="163"/>
      <c r="N51" s="5"/>
    </row>
    <row r="52" spans="1:14" outlineLevel="1" x14ac:dyDescent="0.25">
      <c r="A52" s="107" t="s">
        <v>207</v>
      </c>
      <c r="B52" s="62" t="s">
        <v>363</v>
      </c>
      <c r="C52" s="31" t="s">
        <v>9</v>
      </c>
      <c r="D52" s="160">
        <f>154.61/1000</f>
        <v>0.15461000000000003</v>
      </c>
      <c r="E52" s="31">
        <v>15000</v>
      </c>
      <c r="F52" s="11"/>
      <c r="G52" s="2">
        <f>ROUND(E52*D52,2)</f>
        <v>2319.15</v>
      </c>
      <c r="H52" s="2"/>
      <c r="I52" s="11">
        <f>G52+H52</f>
        <v>2319.15</v>
      </c>
      <c r="K52" s="163"/>
      <c r="L52" s="163"/>
      <c r="M52" s="163"/>
      <c r="N52" s="5"/>
    </row>
    <row r="53" spans="1:14" outlineLevel="1" x14ac:dyDescent="0.25">
      <c r="A53" s="84"/>
      <c r="B53" s="74" t="s">
        <v>364</v>
      </c>
      <c r="C53" s="2" t="s">
        <v>9</v>
      </c>
      <c r="D53" s="64">
        <f>D52</f>
        <v>0.15461000000000003</v>
      </c>
      <c r="E53" s="2"/>
      <c r="F53" s="11">
        <v>45000</v>
      </c>
      <c r="G53" s="2"/>
      <c r="H53" s="2">
        <f>ROUND(D53*F53,2)</f>
        <v>6957.45</v>
      </c>
      <c r="I53" s="11">
        <f>G53+H53</f>
        <v>6957.45</v>
      </c>
      <c r="K53" s="163"/>
      <c r="L53" s="163"/>
      <c r="M53" s="163"/>
      <c r="N53" s="5"/>
    </row>
    <row r="54" spans="1:14" outlineLevel="1" x14ac:dyDescent="0.25">
      <c r="A54" s="84"/>
      <c r="B54" s="74" t="s">
        <v>485</v>
      </c>
      <c r="C54" s="2" t="s">
        <v>8</v>
      </c>
      <c r="D54" s="64">
        <v>0.2</v>
      </c>
      <c r="E54" s="2"/>
      <c r="F54" s="11">
        <f>4850*1.1</f>
        <v>5335</v>
      </c>
      <c r="G54" s="2"/>
      <c r="H54" s="2">
        <f>ROUND(D54*F54,2)</f>
        <v>1067</v>
      </c>
      <c r="I54" s="11">
        <f>G54+H54</f>
        <v>1067</v>
      </c>
      <c r="K54" s="163"/>
      <c r="L54" s="163"/>
      <c r="M54" s="163"/>
      <c r="N54" s="5"/>
    </row>
    <row r="55" spans="1:14" ht="35.4" customHeight="1" outlineLevel="1" x14ac:dyDescent="0.25">
      <c r="A55" s="107" t="s">
        <v>66</v>
      </c>
      <c r="B55" s="62" t="s">
        <v>362</v>
      </c>
      <c r="C55" s="31" t="s">
        <v>14</v>
      </c>
      <c r="D55" s="256">
        <v>11.83</v>
      </c>
      <c r="E55" s="31">
        <v>540</v>
      </c>
      <c r="F55" s="11"/>
      <c r="G55" s="2">
        <f>ROUND(E55*D55,2)</f>
        <v>6388.2</v>
      </c>
      <c r="H55" s="2"/>
      <c r="I55" s="11">
        <f t="shared" si="2"/>
        <v>6388.2</v>
      </c>
      <c r="K55" s="161"/>
      <c r="L55" s="161"/>
      <c r="M55" s="161"/>
      <c r="N55" s="5"/>
    </row>
    <row r="56" spans="1:14" ht="31.2" outlineLevel="1" x14ac:dyDescent="0.25">
      <c r="A56" s="84"/>
      <c r="B56" s="60" t="s">
        <v>25</v>
      </c>
      <c r="C56" s="2" t="s">
        <v>12</v>
      </c>
      <c r="D56" s="2">
        <f>ROUND(D55*50.4,0)</f>
        <v>596</v>
      </c>
      <c r="E56" s="2"/>
      <c r="F56" s="11">
        <f>11.5*1.1</f>
        <v>12.65</v>
      </c>
      <c r="G56" s="2"/>
      <c r="H56" s="2">
        <f>ROUND(D56*F56,2)</f>
        <v>7539.4</v>
      </c>
      <c r="I56" s="11">
        <f t="shared" si="2"/>
        <v>7539.4</v>
      </c>
      <c r="K56" s="161"/>
      <c r="L56" s="161"/>
      <c r="M56" s="161"/>
      <c r="N56" s="5"/>
    </row>
    <row r="57" spans="1:14" outlineLevel="1" x14ac:dyDescent="0.25">
      <c r="A57" s="84"/>
      <c r="B57" s="11" t="s">
        <v>72</v>
      </c>
      <c r="C57" s="2" t="s">
        <v>8</v>
      </c>
      <c r="D57" s="2">
        <f>ROUND(0.023*D55,2)</f>
        <v>0.27</v>
      </c>
      <c r="E57" s="2"/>
      <c r="F57" s="11">
        <f>4100*1.1</f>
        <v>4510</v>
      </c>
      <c r="G57" s="2"/>
      <c r="H57" s="2">
        <f>ROUND(D57*F57,2)</f>
        <v>1217.7</v>
      </c>
      <c r="I57" s="11">
        <f t="shared" si="2"/>
        <v>1217.7</v>
      </c>
      <c r="K57" s="161"/>
      <c r="L57" s="161"/>
      <c r="M57" s="161"/>
      <c r="N57" s="5"/>
    </row>
    <row r="58" spans="1:14" ht="31.2" outlineLevel="1" x14ac:dyDescent="0.25">
      <c r="A58" s="107" t="s">
        <v>349</v>
      </c>
      <c r="B58" s="29" t="s">
        <v>380</v>
      </c>
      <c r="C58" s="31" t="s">
        <v>8</v>
      </c>
      <c r="D58" s="256">
        <f>2.013+1.45*3.1*2*0.16</f>
        <v>3.4514</v>
      </c>
      <c r="E58" s="31">
        <v>2500</v>
      </c>
      <c r="F58" s="11"/>
      <c r="G58" s="2">
        <f>ROUND(E58*D58,2)</f>
        <v>8628.5</v>
      </c>
      <c r="H58" s="2"/>
      <c r="I58" s="11">
        <f t="shared" si="2"/>
        <v>8628.5</v>
      </c>
      <c r="K58" s="161"/>
      <c r="L58" s="161"/>
      <c r="M58" s="161"/>
      <c r="N58" s="5"/>
    </row>
    <row r="59" spans="1:14" outlineLevel="1" x14ac:dyDescent="0.25">
      <c r="A59" s="84"/>
      <c r="B59" s="74" t="s">
        <v>485</v>
      </c>
      <c r="C59" s="2" t="s">
        <v>8</v>
      </c>
      <c r="D59" s="64">
        <f>D58*1.015</f>
        <v>3.5031709999999996</v>
      </c>
      <c r="E59" s="2"/>
      <c r="F59" s="11">
        <f>4850*1.1</f>
        <v>5335</v>
      </c>
      <c r="G59" s="2"/>
      <c r="H59" s="2">
        <f t="shared" ref="H59:H67" si="3">ROUND(D59*F59,2)</f>
        <v>18689.419999999998</v>
      </c>
      <c r="I59" s="11">
        <f>G59+H59</f>
        <v>18689.419999999998</v>
      </c>
      <c r="K59" s="161"/>
      <c r="L59" s="161"/>
      <c r="M59" s="161"/>
      <c r="N59" s="5"/>
    </row>
    <row r="60" spans="1:14" s="37" customFormat="1" outlineLevel="1" x14ac:dyDescent="0.25">
      <c r="A60" s="271" t="s">
        <v>495</v>
      </c>
      <c r="B60" s="29" t="s">
        <v>186</v>
      </c>
      <c r="C60" s="31" t="s">
        <v>8</v>
      </c>
      <c r="D60" s="31">
        <f>0.5*3</f>
        <v>1.5</v>
      </c>
      <c r="E60" s="31">
        <v>2500</v>
      </c>
      <c r="F60" s="11"/>
      <c r="G60" s="2">
        <f>ROUND(E60*D60,2)</f>
        <v>3750</v>
      </c>
      <c r="H60" s="2"/>
      <c r="I60" s="11">
        <f t="shared" si="2"/>
        <v>3750</v>
      </c>
      <c r="K60" s="161"/>
      <c r="L60" s="161"/>
      <c r="M60" s="161"/>
      <c r="N60" s="5"/>
    </row>
    <row r="61" spans="1:14" s="37" customFormat="1" outlineLevel="1" x14ac:dyDescent="0.25">
      <c r="A61" s="86"/>
      <c r="B61" s="33" t="s">
        <v>484</v>
      </c>
      <c r="C61" s="2" t="s">
        <v>8</v>
      </c>
      <c r="D61" s="2">
        <f>D60*1.02</f>
        <v>1.53</v>
      </c>
      <c r="E61" s="2"/>
      <c r="F61" s="11">
        <f>4850*1.1</f>
        <v>5335</v>
      </c>
      <c r="G61" s="2"/>
      <c r="H61" s="2">
        <f t="shared" si="3"/>
        <v>8162.55</v>
      </c>
      <c r="I61" s="11">
        <f t="shared" si="2"/>
        <v>8162.55</v>
      </c>
      <c r="K61" s="161"/>
      <c r="L61" s="161"/>
      <c r="M61" s="161"/>
      <c r="N61" s="5"/>
    </row>
    <row r="62" spans="1:14" s="37" customFormat="1" outlineLevel="1" x14ac:dyDescent="0.25">
      <c r="A62" s="86"/>
      <c r="B62" s="33" t="s">
        <v>185</v>
      </c>
      <c r="C62" s="2" t="s">
        <v>9</v>
      </c>
      <c r="D62" s="2">
        <f>D60*17/1000</f>
        <v>2.5499999999999998E-2</v>
      </c>
      <c r="E62" s="2"/>
      <c r="F62" s="11">
        <v>42000</v>
      </c>
      <c r="G62" s="2"/>
      <c r="H62" s="2">
        <f t="shared" si="3"/>
        <v>1071</v>
      </c>
      <c r="I62" s="11">
        <f t="shared" si="2"/>
        <v>1071</v>
      </c>
      <c r="K62" s="161"/>
      <c r="L62" s="161"/>
      <c r="M62" s="161"/>
      <c r="N62" s="5"/>
    </row>
    <row r="63" spans="1:14" s="6" customFormat="1" outlineLevel="1" x14ac:dyDescent="0.25">
      <c r="A63" s="269" t="s">
        <v>496</v>
      </c>
      <c r="B63" s="205" t="s">
        <v>27</v>
      </c>
      <c r="C63" s="31" t="s">
        <v>14</v>
      </c>
      <c r="D63" s="272">
        <f>(54.6+13.32)*2*1.8+1.32*8*1.8</f>
        <v>263.52</v>
      </c>
      <c r="E63" s="31">
        <v>100</v>
      </c>
      <c r="F63" s="11"/>
      <c r="G63" s="2">
        <f>ROUND(E63*D63,2)</f>
        <v>26352</v>
      </c>
      <c r="H63" s="2"/>
      <c r="I63" s="11">
        <f t="shared" si="2"/>
        <v>26352</v>
      </c>
      <c r="K63" s="161"/>
      <c r="L63" s="161"/>
      <c r="M63" s="161"/>
      <c r="N63" s="5"/>
    </row>
    <row r="64" spans="1:14" ht="31.2" outlineLevel="1" x14ac:dyDescent="0.25">
      <c r="A64" s="86"/>
      <c r="B64" s="11" t="s">
        <v>28</v>
      </c>
      <c r="C64" s="2" t="s">
        <v>8</v>
      </c>
      <c r="D64" s="2">
        <f>ROUND(D63*0.1*1.03,2)</f>
        <v>27.14</v>
      </c>
      <c r="E64" s="2"/>
      <c r="F64" s="11">
        <v>4200</v>
      </c>
      <c r="G64" s="2"/>
      <c r="H64" s="2">
        <f t="shared" si="3"/>
        <v>113988</v>
      </c>
      <c r="I64" s="11">
        <f t="shared" si="2"/>
        <v>113988</v>
      </c>
      <c r="K64" s="161"/>
      <c r="L64" s="161"/>
      <c r="M64" s="161"/>
      <c r="N64" s="5"/>
    </row>
    <row r="65" spans="1:252" s="36" customFormat="1" ht="36" customHeight="1" outlineLevel="1" x14ac:dyDescent="0.25">
      <c r="A65" s="261" t="s">
        <v>621</v>
      </c>
      <c r="B65" s="29" t="s">
        <v>209</v>
      </c>
      <c r="C65" s="31" t="s">
        <v>14</v>
      </c>
      <c r="D65" s="272">
        <f>(15.8+14.72)*2*2*1.3+1.32*8*2*1.3+37.44</f>
        <v>223.60000000000002</v>
      </c>
      <c r="E65" s="31">
        <v>150</v>
      </c>
      <c r="F65" s="11"/>
      <c r="G65" s="2">
        <f>ROUND(E65*D65,2)</f>
        <v>33540</v>
      </c>
      <c r="H65" s="2"/>
      <c r="I65" s="11">
        <f t="shared" si="2"/>
        <v>33540</v>
      </c>
      <c r="K65" s="161"/>
      <c r="L65" s="161"/>
      <c r="M65" s="161"/>
      <c r="N65" s="5"/>
    </row>
    <row r="66" spans="1:252" outlineLevel="1" x14ac:dyDescent="0.25">
      <c r="A66" s="84"/>
      <c r="B66" s="60" t="s">
        <v>65</v>
      </c>
      <c r="C66" s="2" t="s">
        <v>15</v>
      </c>
      <c r="D66" s="2">
        <f>2.5*D65</f>
        <v>559</v>
      </c>
      <c r="E66" s="2"/>
      <c r="F66" s="11">
        <f>4774.48/4/24*1.1</f>
        <v>54.707583333333332</v>
      </c>
      <c r="G66" s="2"/>
      <c r="H66" s="2">
        <f t="shared" si="3"/>
        <v>30581.54</v>
      </c>
      <c r="I66" s="11">
        <f t="shared" si="2"/>
        <v>30581.54</v>
      </c>
      <c r="K66" s="161"/>
      <c r="L66" s="161"/>
      <c r="M66" s="161"/>
      <c r="N66" s="5"/>
    </row>
    <row r="67" spans="1:252" outlineLevel="1" x14ac:dyDescent="0.25">
      <c r="A67" s="84"/>
      <c r="B67" s="60" t="s">
        <v>68</v>
      </c>
      <c r="C67" s="2" t="s">
        <v>30</v>
      </c>
      <c r="D67" s="2">
        <f>0.35*D65</f>
        <v>78.260000000000005</v>
      </c>
      <c r="E67" s="2"/>
      <c r="F67" s="11">
        <f>18525.64/16/15*1.1</f>
        <v>84.909183333333345</v>
      </c>
      <c r="G67" s="2"/>
      <c r="H67" s="2">
        <f t="shared" si="3"/>
        <v>6644.99</v>
      </c>
      <c r="I67" s="11">
        <f t="shared" si="2"/>
        <v>6644.99</v>
      </c>
      <c r="K67" s="161"/>
      <c r="L67" s="161"/>
      <c r="M67" s="161"/>
      <c r="N67" s="5"/>
    </row>
    <row r="68" spans="1:252" s="36" customFormat="1" ht="31.2" x14ac:dyDescent="0.25">
      <c r="A68" s="212"/>
      <c r="B68" s="213" t="s">
        <v>577</v>
      </c>
      <c r="C68" s="222"/>
      <c r="D68" s="215"/>
      <c r="E68" s="216"/>
      <c r="F68" s="217"/>
      <c r="G68" s="216">
        <f>SUM(G47:G67)</f>
        <v>84117.85</v>
      </c>
      <c r="H68" s="216">
        <f>SUM(H47:H67)</f>
        <v>206736.30000000002</v>
      </c>
      <c r="I68" s="215">
        <f>SUM(I47:I67)</f>
        <v>290854.14999999997</v>
      </c>
    </row>
    <row r="69" spans="1:252" s="39" customFormat="1" ht="18.600000000000001" customHeight="1" x14ac:dyDescent="0.25">
      <c r="A69" s="121"/>
      <c r="B69" s="58" t="s">
        <v>624</v>
      </c>
      <c r="C69" s="9"/>
      <c r="D69" s="31"/>
      <c r="E69" s="10"/>
      <c r="F69" s="57"/>
      <c r="G69" s="10"/>
      <c r="H69" s="10"/>
      <c r="I69" s="31">
        <f>ROUND(I68/1.18*0.18,2)</f>
        <v>44367.58</v>
      </c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</row>
    <row r="70" spans="1:252" ht="18.75" customHeight="1" x14ac:dyDescent="0.25">
      <c r="A70" s="104"/>
      <c r="B70" s="188" t="s">
        <v>497</v>
      </c>
      <c r="C70" s="105"/>
      <c r="D70" s="105"/>
      <c r="E70" s="105"/>
      <c r="F70" s="138"/>
      <c r="G70" s="105"/>
      <c r="H70" s="105"/>
      <c r="I70" s="106"/>
    </row>
    <row r="71" spans="1:252" ht="15.6" customHeight="1" outlineLevel="1" x14ac:dyDescent="0.25">
      <c r="A71" s="84"/>
      <c r="B71" s="47" t="s">
        <v>587</v>
      </c>
      <c r="C71" s="41" t="s">
        <v>8</v>
      </c>
      <c r="D71" s="276">
        <v>983.29</v>
      </c>
      <c r="E71" s="198"/>
      <c r="F71" s="198">
        <v>12350</v>
      </c>
      <c r="G71" s="279"/>
      <c r="H71" s="2">
        <f>ROUND(D71*F71,2)</f>
        <v>12143631.5</v>
      </c>
      <c r="I71" s="11">
        <f>G71+H71</f>
        <v>12143631.5</v>
      </c>
      <c r="K71" s="280">
        <v>1012.92</v>
      </c>
    </row>
    <row r="72" spans="1:252" outlineLevel="1" x14ac:dyDescent="0.25">
      <c r="A72" s="86"/>
      <c r="B72" s="47" t="s">
        <v>350</v>
      </c>
      <c r="C72" s="41" t="s">
        <v>9</v>
      </c>
      <c r="D72" s="277">
        <f>D71*2.5</f>
        <v>2458.2249999999999</v>
      </c>
      <c r="E72" s="198">
        <v>400</v>
      </c>
      <c r="F72" s="43"/>
      <c r="G72" s="2">
        <f>D72*E72</f>
        <v>983290</v>
      </c>
      <c r="H72" s="11"/>
      <c r="I72" s="11">
        <f>G72+H72</f>
        <v>983290</v>
      </c>
      <c r="J72" s="278"/>
      <c r="K72" s="281">
        <f>K71*2.4</f>
        <v>2431.0079999999998</v>
      </c>
    </row>
    <row r="73" spans="1:252" s="36" customFormat="1" outlineLevel="1" x14ac:dyDescent="0.25">
      <c r="A73" s="87" t="s">
        <v>219</v>
      </c>
      <c r="B73" s="48" t="s">
        <v>586</v>
      </c>
      <c r="C73" s="46" t="s">
        <v>12</v>
      </c>
      <c r="D73" s="275">
        <v>1246</v>
      </c>
      <c r="E73" s="198">
        <v>400</v>
      </c>
      <c r="F73" s="43"/>
      <c r="G73" s="2">
        <f>ROUND(E73*D73,2)</f>
        <v>498400</v>
      </c>
      <c r="H73" s="11"/>
      <c r="I73" s="11">
        <f>G73+H73</f>
        <v>498400</v>
      </c>
      <c r="K73" s="36">
        <v>1214</v>
      </c>
    </row>
    <row r="74" spans="1:252" outlineLevel="1" x14ac:dyDescent="0.25">
      <c r="A74" s="284"/>
      <c r="B74" s="45" t="s">
        <v>480</v>
      </c>
      <c r="C74" s="41" t="s">
        <v>9</v>
      </c>
      <c r="D74" s="283">
        <v>0.96399999999999997</v>
      </c>
      <c r="E74" s="43"/>
      <c r="F74" s="43">
        <f>52000</f>
        <v>52000</v>
      </c>
      <c r="G74" s="18"/>
      <c r="H74" s="2">
        <f>ROUND(D74*F74,2)</f>
        <v>50128</v>
      </c>
      <c r="I74" s="11">
        <f>G74+H74</f>
        <v>50128</v>
      </c>
      <c r="J74" s="25">
        <v>0.45800000000000002</v>
      </c>
      <c r="K74" s="5"/>
      <c r="L74" s="132"/>
    </row>
    <row r="75" spans="1:252" s="17" customFormat="1" outlineLevel="1" x14ac:dyDescent="0.25">
      <c r="A75" s="86"/>
      <c r="B75" s="45" t="s">
        <v>198</v>
      </c>
      <c r="C75" s="41" t="s">
        <v>9</v>
      </c>
      <c r="D75" s="42">
        <f>0.11/334.51*D73</f>
        <v>0.40973364024991782</v>
      </c>
      <c r="E75" s="43"/>
      <c r="F75" s="43">
        <f>65*1.1*1000</f>
        <v>71500</v>
      </c>
      <c r="G75" s="2"/>
      <c r="H75" s="2">
        <f>ROUND(D75*F75,2)</f>
        <v>29295.96</v>
      </c>
      <c r="I75" s="11">
        <f t="shared" ref="I75:I86" si="4">G75+H75</f>
        <v>29295.96</v>
      </c>
    </row>
    <row r="76" spans="1:252" s="34" customFormat="1" outlineLevel="1" x14ac:dyDescent="0.25">
      <c r="A76" s="84"/>
      <c r="B76" s="47" t="s">
        <v>481</v>
      </c>
      <c r="C76" s="41" t="s">
        <v>8</v>
      </c>
      <c r="D76" s="42">
        <f>2.71/100*D73</f>
        <v>33.766599999999997</v>
      </c>
      <c r="E76" s="43"/>
      <c r="F76" s="11">
        <f>4500*1.1</f>
        <v>4950</v>
      </c>
      <c r="G76" s="18"/>
      <c r="H76" s="2">
        <f>ROUND(D76*F76,2)</f>
        <v>167144.67000000001</v>
      </c>
      <c r="I76" s="11">
        <f t="shared" si="4"/>
        <v>167144.67000000001</v>
      </c>
    </row>
    <row r="77" spans="1:252" s="34" customFormat="1" outlineLevel="1" x14ac:dyDescent="0.25">
      <c r="A77" s="84"/>
      <c r="B77" s="47" t="s">
        <v>482</v>
      </c>
      <c r="C77" s="41" t="s">
        <v>8</v>
      </c>
      <c r="D77" s="42">
        <f>7.7/100*D73</f>
        <v>95.941999999999993</v>
      </c>
      <c r="E77" s="43"/>
      <c r="F77" s="11">
        <f>4850*1.1</f>
        <v>5335</v>
      </c>
      <c r="G77" s="18"/>
      <c r="H77" s="2">
        <f>ROUND(D77*F77,2)</f>
        <v>511850.57</v>
      </c>
      <c r="I77" s="11">
        <f t="shared" si="4"/>
        <v>511850.57</v>
      </c>
    </row>
    <row r="78" spans="1:252" s="34" customFormat="1" outlineLevel="1" x14ac:dyDescent="0.25">
      <c r="A78" s="84"/>
      <c r="B78" s="45" t="s">
        <v>199</v>
      </c>
      <c r="C78" s="41" t="s">
        <v>8</v>
      </c>
      <c r="D78" s="42">
        <f>23*0.025/100*D73</f>
        <v>7.1645000000000012</v>
      </c>
      <c r="E78" s="43"/>
      <c r="F78" s="11">
        <v>6900</v>
      </c>
      <c r="G78" s="18"/>
      <c r="H78" s="2">
        <f>ROUND(D78*F78,2)</f>
        <v>49435.05</v>
      </c>
      <c r="I78" s="11">
        <f t="shared" si="4"/>
        <v>49435.05</v>
      </c>
    </row>
    <row r="79" spans="1:252" s="6" customFormat="1" outlineLevel="1" x14ac:dyDescent="0.25">
      <c r="A79" s="88" t="s">
        <v>498</v>
      </c>
      <c r="B79" s="49" t="s">
        <v>206</v>
      </c>
      <c r="C79" s="203" t="s">
        <v>8</v>
      </c>
      <c r="D79" s="46">
        <f>0.62*(2+6)+0.87*(1+3)+0.16*3+3*0.25</f>
        <v>9.67</v>
      </c>
      <c r="E79" s="35">
        <v>2900</v>
      </c>
      <c r="F79" s="139"/>
      <c r="G79" s="2">
        <f>ROUND(E79*D79,2)</f>
        <v>28043</v>
      </c>
      <c r="H79" s="26"/>
      <c r="I79" s="11">
        <f t="shared" si="4"/>
        <v>28043</v>
      </c>
    </row>
    <row r="80" spans="1:252" s="6" customFormat="1" outlineLevel="1" x14ac:dyDescent="0.25">
      <c r="A80" s="261"/>
      <c r="B80" s="47" t="s">
        <v>366</v>
      </c>
      <c r="C80" s="41" t="s">
        <v>15</v>
      </c>
      <c r="D80" s="42">
        <v>875.34</v>
      </c>
      <c r="E80" s="2"/>
      <c r="F80" s="43">
        <v>52</v>
      </c>
      <c r="G80" s="10"/>
      <c r="H80" s="2">
        <f>ROUND(D80*F80,2)</f>
        <v>45517.68</v>
      </c>
      <c r="I80" s="11">
        <f t="shared" si="4"/>
        <v>45517.68</v>
      </c>
    </row>
    <row r="81" spans="1:11" s="6" customFormat="1" outlineLevel="1" x14ac:dyDescent="0.25">
      <c r="A81" s="261"/>
      <c r="B81" s="47" t="s">
        <v>365</v>
      </c>
      <c r="C81" s="41" t="s">
        <v>15</v>
      </c>
      <c r="D81" s="42">
        <v>61.14</v>
      </c>
      <c r="E81" s="2"/>
      <c r="F81" s="43">
        <v>42</v>
      </c>
      <c r="G81" s="10"/>
      <c r="H81" s="2">
        <f>ROUND(D81*F81,2)</f>
        <v>2567.88</v>
      </c>
      <c r="I81" s="11">
        <f t="shared" si="4"/>
        <v>2567.88</v>
      </c>
    </row>
    <row r="82" spans="1:11" s="6" customFormat="1" outlineLevel="1" x14ac:dyDescent="0.25">
      <c r="A82" s="258"/>
      <c r="B82" s="47" t="s">
        <v>483</v>
      </c>
      <c r="C82" s="41" t="s">
        <v>8</v>
      </c>
      <c r="D82" s="42">
        <f>D79*1.015</f>
        <v>9.8150499999999994</v>
      </c>
      <c r="E82" s="2"/>
      <c r="F82" s="11">
        <f>4850*1.1</f>
        <v>5335</v>
      </c>
      <c r="G82" s="31"/>
      <c r="H82" s="2">
        <f>ROUND(D82*F82,2)</f>
        <v>52363.29</v>
      </c>
      <c r="I82" s="11">
        <f t="shared" si="4"/>
        <v>52363.29</v>
      </c>
    </row>
    <row r="83" spans="1:11" s="6" customFormat="1" outlineLevel="1" x14ac:dyDescent="0.25">
      <c r="A83" s="206"/>
      <c r="B83" s="44" t="s">
        <v>200</v>
      </c>
      <c r="C83" s="46" t="s">
        <v>208</v>
      </c>
      <c r="D83" s="50">
        <f>D86</f>
        <v>1243.3</v>
      </c>
      <c r="E83" s="31">
        <v>150</v>
      </c>
      <c r="F83" s="43"/>
      <c r="G83" s="2">
        <f>ROUND(E83*D83,2)</f>
        <v>186495</v>
      </c>
      <c r="H83" s="11"/>
      <c r="I83" s="11">
        <f t="shared" si="4"/>
        <v>186495</v>
      </c>
    </row>
    <row r="84" spans="1:11" s="6" customFormat="1" outlineLevel="1" x14ac:dyDescent="0.25">
      <c r="A84" s="83"/>
      <c r="B84" s="45" t="s">
        <v>13</v>
      </c>
      <c r="C84" s="46" t="s">
        <v>8</v>
      </c>
      <c r="D84" s="42">
        <v>0.87</v>
      </c>
      <c r="E84" s="2"/>
      <c r="F84" s="11">
        <f>5050.05*1.1</f>
        <v>5555.0550000000003</v>
      </c>
      <c r="G84" s="2"/>
      <c r="H84" s="2">
        <f>ROUND(D84*F84,2)</f>
        <v>4832.8999999999996</v>
      </c>
      <c r="I84" s="11">
        <f t="shared" si="4"/>
        <v>4832.8999999999996</v>
      </c>
    </row>
    <row r="85" spans="1:11" s="6" customFormat="1" outlineLevel="1" x14ac:dyDescent="0.25">
      <c r="A85" s="83"/>
      <c r="B85" s="45" t="s">
        <v>201</v>
      </c>
      <c r="C85" s="46" t="s">
        <v>8</v>
      </c>
      <c r="D85" s="42">
        <v>0.56999999999999995</v>
      </c>
      <c r="E85" s="2"/>
      <c r="F85" s="43">
        <f>3850*1.1</f>
        <v>4235</v>
      </c>
      <c r="G85" s="2"/>
      <c r="H85" s="2">
        <f>ROUND(D85*F85,2)</f>
        <v>2413.9499999999998</v>
      </c>
      <c r="I85" s="11">
        <f t="shared" si="4"/>
        <v>2413.9499999999998</v>
      </c>
    </row>
    <row r="86" spans="1:11" s="6" customFormat="1" outlineLevel="1" x14ac:dyDescent="0.25">
      <c r="A86" s="266"/>
      <c r="B86" s="45" t="s">
        <v>202</v>
      </c>
      <c r="C86" s="46" t="s">
        <v>203</v>
      </c>
      <c r="D86" s="42">
        <f>25*(3*3+1.82+2)*2+602.3</f>
        <v>1243.3</v>
      </c>
      <c r="E86" s="2"/>
      <c r="F86" s="43">
        <f>35*1.1</f>
        <v>38.5</v>
      </c>
      <c r="G86" s="2"/>
      <c r="H86" s="2">
        <f>ROUND(D86*F86,2)</f>
        <v>47867.05</v>
      </c>
      <c r="I86" s="11">
        <f t="shared" si="4"/>
        <v>47867.05</v>
      </c>
    </row>
    <row r="87" spans="1:11" s="6" customFormat="1" outlineLevel="1" x14ac:dyDescent="0.25">
      <c r="A87" s="261" t="s">
        <v>499</v>
      </c>
      <c r="B87" s="44" t="s">
        <v>381</v>
      </c>
      <c r="C87" s="46" t="s">
        <v>9</v>
      </c>
      <c r="D87" s="50">
        <f>D88+D89+D90</f>
        <v>0.43278</v>
      </c>
      <c r="E87" s="31">
        <v>15000</v>
      </c>
      <c r="F87" s="43"/>
      <c r="G87" s="2">
        <f>ROUND(E87*D87,2)</f>
        <v>6491.7</v>
      </c>
      <c r="H87" s="11">
        <f>D87*F87</f>
        <v>0</v>
      </c>
      <c r="I87" s="11">
        <f t="shared" ref="I87:I92" si="5">G87+H87</f>
        <v>6491.7</v>
      </c>
      <c r="K87" s="5"/>
    </row>
    <row r="88" spans="1:11" s="6" customFormat="1" outlineLevel="1" x14ac:dyDescent="0.25">
      <c r="A88" s="261"/>
      <c r="B88" s="45" t="s">
        <v>382</v>
      </c>
      <c r="C88" s="41" t="s">
        <v>9</v>
      </c>
      <c r="D88" s="41">
        <f>2*30*3/1000</f>
        <v>0.18</v>
      </c>
      <c r="E88" s="2"/>
      <c r="F88" s="43">
        <v>38000</v>
      </c>
      <c r="G88" s="2"/>
      <c r="H88" s="2">
        <f t="shared" ref="H88:H97" si="6">ROUND(D88*F88,2)</f>
        <v>6840</v>
      </c>
      <c r="I88" s="11">
        <f t="shared" si="5"/>
        <v>6840</v>
      </c>
      <c r="K88" s="5"/>
    </row>
    <row r="89" spans="1:11" s="6" customFormat="1" outlineLevel="1" x14ac:dyDescent="0.25">
      <c r="A89" s="261"/>
      <c r="B89" s="47" t="s">
        <v>383</v>
      </c>
      <c r="C89" s="41" t="s">
        <v>9</v>
      </c>
      <c r="D89" s="42">
        <f>2*40.05*3/1000</f>
        <v>0.24029999999999999</v>
      </c>
      <c r="E89" s="2"/>
      <c r="F89" s="43">
        <v>38000</v>
      </c>
      <c r="G89" s="2"/>
      <c r="H89" s="2">
        <f t="shared" si="6"/>
        <v>9131.4</v>
      </c>
      <c r="I89" s="11">
        <f t="shared" si="5"/>
        <v>9131.4</v>
      </c>
      <c r="K89" s="5"/>
    </row>
    <row r="90" spans="1:11" s="6" customFormat="1" outlineLevel="1" x14ac:dyDescent="0.25">
      <c r="A90" s="261"/>
      <c r="B90" s="45" t="s">
        <v>377</v>
      </c>
      <c r="C90" s="41" t="s">
        <v>9</v>
      </c>
      <c r="D90" s="42">
        <f>8*0.52*3/1000</f>
        <v>1.248E-2</v>
      </c>
      <c r="E90" s="2"/>
      <c r="F90" s="43">
        <v>38000</v>
      </c>
      <c r="G90" s="2"/>
      <c r="H90" s="2">
        <f t="shared" si="6"/>
        <v>474.24</v>
      </c>
      <c r="I90" s="11">
        <f t="shared" si="5"/>
        <v>474.24</v>
      </c>
      <c r="K90" s="5"/>
    </row>
    <row r="91" spans="1:11" s="6" customFormat="1" outlineLevel="1" x14ac:dyDescent="0.25">
      <c r="A91" s="261" t="s">
        <v>500</v>
      </c>
      <c r="B91" s="44" t="s">
        <v>384</v>
      </c>
      <c r="C91" s="46" t="s">
        <v>12</v>
      </c>
      <c r="D91" s="50">
        <f>D92</f>
        <v>24</v>
      </c>
      <c r="E91" s="31">
        <v>150</v>
      </c>
      <c r="F91" s="43"/>
      <c r="G91" s="2">
        <f>ROUND(E91*D91,2)</f>
        <v>3600</v>
      </c>
      <c r="H91" s="11"/>
      <c r="I91" s="11">
        <f t="shared" si="5"/>
        <v>3600</v>
      </c>
      <c r="K91" s="5"/>
    </row>
    <row r="92" spans="1:11" s="6" customFormat="1" outlineLevel="1" x14ac:dyDescent="0.25">
      <c r="A92" s="87"/>
      <c r="B92" s="45" t="s">
        <v>385</v>
      </c>
      <c r="C92" s="153" t="s">
        <v>12</v>
      </c>
      <c r="D92" s="41">
        <f>8*3</f>
        <v>24</v>
      </c>
      <c r="E92" s="2"/>
      <c r="F92" s="43">
        <v>863</v>
      </c>
      <c r="G92" s="2"/>
      <c r="H92" s="2">
        <f t="shared" si="6"/>
        <v>20712</v>
      </c>
      <c r="I92" s="11">
        <f t="shared" si="5"/>
        <v>20712</v>
      </c>
      <c r="K92" s="5"/>
    </row>
    <row r="93" spans="1:11" s="6" customFormat="1" outlineLevel="1" x14ac:dyDescent="0.25">
      <c r="A93" s="261" t="s">
        <v>501</v>
      </c>
      <c r="B93" s="44" t="s">
        <v>386</v>
      </c>
      <c r="C93" s="46" t="s">
        <v>12</v>
      </c>
      <c r="D93" s="50">
        <v>3</v>
      </c>
      <c r="E93" s="31">
        <v>5000</v>
      </c>
      <c r="F93" s="43">
        <v>15000</v>
      </c>
      <c r="G93" s="2">
        <f>ROUND(E93*D93,2)</f>
        <v>15000</v>
      </c>
      <c r="H93" s="2">
        <f t="shared" si="6"/>
        <v>45000</v>
      </c>
      <c r="I93" s="11">
        <f>G93+H93</f>
        <v>60000</v>
      </c>
      <c r="K93" s="5"/>
    </row>
    <row r="94" spans="1:11" s="6" customFormat="1" outlineLevel="1" x14ac:dyDescent="0.25">
      <c r="A94" s="261" t="s">
        <v>502</v>
      </c>
      <c r="B94" s="44" t="s">
        <v>372</v>
      </c>
      <c r="C94" s="46" t="s">
        <v>9</v>
      </c>
      <c r="D94" s="50">
        <f>D95+D96</f>
        <v>1.8417000000000001</v>
      </c>
      <c r="E94" s="31">
        <v>15000</v>
      </c>
      <c r="F94" s="43"/>
      <c r="G94" s="2">
        <f>ROUND(E94*D94,2)</f>
        <v>27625.5</v>
      </c>
      <c r="H94" s="11"/>
      <c r="I94" s="11">
        <f>G94+H94</f>
        <v>27625.5</v>
      </c>
      <c r="K94" s="5"/>
    </row>
    <row r="95" spans="1:11" s="6" customFormat="1" outlineLevel="1" x14ac:dyDescent="0.25">
      <c r="A95" s="261"/>
      <c r="B95" s="45" t="s">
        <v>373</v>
      </c>
      <c r="C95" s="41" t="s">
        <v>9</v>
      </c>
      <c r="D95" s="42">
        <f>30*45.4/1000</f>
        <v>1.3620000000000001</v>
      </c>
      <c r="E95" s="2"/>
      <c r="F95" s="11">
        <v>52000</v>
      </c>
      <c r="G95" s="2"/>
      <c r="H95" s="2">
        <f t="shared" si="6"/>
        <v>70824</v>
      </c>
      <c r="I95" s="11">
        <f>G95+H95</f>
        <v>70824</v>
      </c>
      <c r="K95" s="5"/>
    </row>
    <row r="96" spans="1:11" s="6" customFormat="1" outlineLevel="1" x14ac:dyDescent="0.25">
      <c r="A96" s="261"/>
      <c r="B96" s="45" t="s">
        <v>374</v>
      </c>
      <c r="C96" s="41" t="s">
        <v>9</v>
      </c>
      <c r="D96" s="42">
        <f>9*53.3/1000</f>
        <v>0.47970000000000002</v>
      </c>
      <c r="E96" s="2"/>
      <c r="F96" s="11">
        <v>52000</v>
      </c>
      <c r="G96" s="2"/>
      <c r="H96" s="2">
        <f t="shared" si="6"/>
        <v>24944.400000000001</v>
      </c>
      <c r="I96" s="11">
        <f>G96+H96</f>
        <v>24944.400000000001</v>
      </c>
      <c r="K96" s="5"/>
    </row>
    <row r="97" spans="1:11" s="6" customFormat="1" ht="24" customHeight="1" outlineLevel="1" x14ac:dyDescent="0.25">
      <c r="A97" s="261" t="s">
        <v>503</v>
      </c>
      <c r="B97" s="48" t="s">
        <v>375</v>
      </c>
      <c r="C97" s="46" t="s">
        <v>9</v>
      </c>
      <c r="D97" s="50">
        <f>(12*30.42+3*40.1+3*13.9)/1000</f>
        <v>0.52704000000000006</v>
      </c>
      <c r="E97" s="31">
        <v>15000</v>
      </c>
      <c r="F97" s="43">
        <v>52000</v>
      </c>
      <c r="G97" s="2">
        <f>ROUND(E97*D97,2)</f>
        <v>7905.6</v>
      </c>
      <c r="H97" s="11">
        <f t="shared" si="6"/>
        <v>27406.080000000002</v>
      </c>
      <c r="I97" s="11">
        <f>G97+H97</f>
        <v>35311.68</v>
      </c>
      <c r="K97" s="5"/>
    </row>
    <row r="98" spans="1:11" s="6" customFormat="1" ht="31.2" outlineLevel="1" x14ac:dyDescent="0.25">
      <c r="A98" s="261" t="s">
        <v>220</v>
      </c>
      <c r="B98" s="62" t="s">
        <v>216</v>
      </c>
      <c r="C98" s="30" t="s">
        <v>14</v>
      </c>
      <c r="D98" s="31">
        <f>(0.64+0.94)*2*1*5+(0.51+0.66)*2*1*5+(0.64+1.43)*2*1*7+(0.32*2+0.56)*1*10</f>
        <v>68.48</v>
      </c>
      <c r="E98" s="31">
        <v>540</v>
      </c>
      <c r="F98" s="11"/>
      <c r="G98" s="2">
        <f>ROUND(E98*D98,2)</f>
        <v>36979.199999999997</v>
      </c>
      <c r="H98" s="2"/>
      <c r="I98" s="11">
        <f t="shared" ref="I98:I104" si="7">G98+H98</f>
        <v>36979.199999999997</v>
      </c>
    </row>
    <row r="99" spans="1:11" s="6" customFormat="1" ht="31.2" outlineLevel="1" x14ac:dyDescent="0.25">
      <c r="A99" s="76"/>
      <c r="B99" s="60" t="s">
        <v>25</v>
      </c>
      <c r="C99" s="2" t="s">
        <v>12</v>
      </c>
      <c r="D99" s="2">
        <f>ROUND(D98*50.4,0)</f>
        <v>3451</v>
      </c>
      <c r="E99" s="2"/>
      <c r="F99" s="11">
        <f>11.5*1.1</f>
        <v>12.65</v>
      </c>
      <c r="G99" s="2"/>
      <c r="H99" s="2">
        <f>ROUND(D99*F99,2)</f>
        <v>43655.15</v>
      </c>
      <c r="I99" s="11">
        <f t="shared" si="7"/>
        <v>43655.15</v>
      </c>
    </row>
    <row r="100" spans="1:11" s="6" customFormat="1" outlineLevel="1" x14ac:dyDescent="0.25">
      <c r="A100" s="76"/>
      <c r="B100" s="11" t="s">
        <v>72</v>
      </c>
      <c r="C100" s="2" t="s">
        <v>8</v>
      </c>
      <c r="D100" s="2">
        <f>ROUND(0.23*D98,2)</f>
        <v>15.75</v>
      </c>
      <c r="E100" s="2"/>
      <c r="F100" s="11">
        <f>4100*1.1</f>
        <v>4510</v>
      </c>
      <c r="G100" s="2"/>
      <c r="H100" s="2">
        <f>ROUND(D100*F100,2)</f>
        <v>71032.5</v>
      </c>
      <c r="I100" s="11">
        <f t="shared" si="7"/>
        <v>71032.5</v>
      </c>
    </row>
    <row r="101" spans="1:11" s="6" customFormat="1" outlineLevel="1" x14ac:dyDescent="0.25">
      <c r="A101" s="265"/>
      <c r="B101" s="11" t="s">
        <v>370</v>
      </c>
      <c r="C101" s="2" t="s">
        <v>8</v>
      </c>
      <c r="D101" s="2">
        <f>0.1*((0.94+0.2)*2*1*5+(0.68+0.15)*2*1*5+(1.5+0.2)*2*1*7)</f>
        <v>4.3500000000000005</v>
      </c>
      <c r="E101" s="2"/>
      <c r="F101" s="11">
        <v>4125</v>
      </c>
      <c r="G101" s="2"/>
      <c r="H101" s="2">
        <f>ROUND(D101*F101,2)</f>
        <v>17943.75</v>
      </c>
      <c r="I101" s="11">
        <f t="shared" si="7"/>
        <v>17943.75</v>
      </c>
    </row>
    <row r="102" spans="1:11" s="6" customFormat="1" outlineLevel="1" x14ac:dyDescent="0.25">
      <c r="A102" s="261" t="s">
        <v>221</v>
      </c>
      <c r="B102" s="62" t="s">
        <v>409</v>
      </c>
      <c r="C102" s="174" t="s">
        <v>14</v>
      </c>
      <c r="D102" s="31">
        <f>2.5*4.075-2.1*0.8</f>
        <v>8.5075000000000003</v>
      </c>
      <c r="E102" s="31">
        <v>540</v>
      </c>
      <c r="F102" s="11"/>
      <c r="G102" s="2">
        <f>ROUND(E102*D102,2)</f>
        <v>4594.05</v>
      </c>
      <c r="H102" s="2"/>
      <c r="I102" s="11">
        <f t="shared" si="7"/>
        <v>4594.05</v>
      </c>
    </row>
    <row r="103" spans="1:11" s="6" customFormat="1" ht="31.2" outlineLevel="1" x14ac:dyDescent="0.25">
      <c r="A103" s="76"/>
      <c r="B103" s="60" t="s">
        <v>25</v>
      </c>
      <c r="C103" s="2" t="s">
        <v>12</v>
      </c>
      <c r="D103" s="2">
        <f>ROUND(D102*50.4,0)</f>
        <v>429</v>
      </c>
      <c r="E103" s="2"/>
      <c r="F103" s="11">
        <f>11.5*1.1</f>
        <v>12.65</v>
      </c>
      <c r="G103" s="2"/>
      <c r="H103" s="2">
        <f>ROUND(D103*F103,2)</f>
        <v>5426.85</v>
      </c>
      <c r="I103" s="11">
        <f t="shared" si="7"/>
        <v>5426.85</v>
      </c>
    </row>
    <row r="104" spans="1:11" s="6" customFormat="1" outlineLevel="1" x14ac:dyDescent="0.25">
      <c r="A104" s="76"/>
      <c r="B104" s="11" t="s">
        <v>72</v>
      </c>
      <c r="C104" s="2" t="s">
        <v>8</v>
      </c>
      <c r="D104" s="2">
        <f>ROUND(0.23*D102,2)</f>
        <v>1.96</v>
      </c>
      <c r="E104" s="2"/>
      <c r="F104" s="11">
        <f>4100*1.1</f>
        <v>4510</v>
      </c>
      <c r="G104" s="2"/>
      <c r="H104" s="2">
        <f>ROUND(D104*F104,2)</f>
        <v>8839.6</v>
      </c>
      <c r="I104" s="11">
        <f t="shared" si="7"/>
        <v>8839.6</v>
      </c>
    </row>
    <row r="105" spans="1:11" s="6" customFormat="1" outlineLevel="1" x14ac:dyDescent="0.25">
      <c r="A105" s="76"/>
      <c r="B105" s="11" t="s">
        <v>369</v>
      </c>
      <c r="C105" s="2" t="s">
        <v>12</v>
      </c>
      <c r="D105" s="2">
        <v>1</v>
      </c>
      <c r="E105" s="2"/>
      <c r="F105" s="11">
        <v>456.35</v>
      </c>
      <c r="G105" s="2"/>
      <c r="H105" s="2">
        <f>ROUND(D105*F105,2)</f>
        <v>456.35</v>
      </c>
      <c r="I105" s="11">
        <f t="shared" ref="I105:I114" si="8">G105+H105</f>
        <v>456.35</v>
      </c>
    </row>
    <row r="106" spans="1:11" s="6" customFormat="1" outlineLevel="1" x14ac:dyDescent="0.25">
      <c r="A106" s="261" t="s">
        <v>222</v>
      </c>
      <c r="B106" s="62" t="s">
        <v>367</v>
      </c>
      <c r="C106" s="30" t="s">
        <v>8</v>
      </c>
      <c r="D106" s="31">
        <v>3.96</v>
      </c>
      <c r="E106" s="31">
        <v>1700</v>
      </c>
      <c r="F106" s="11"/>
      <c r="G106" s="2">
        <f>ROUND(E106*D106,2)</f>
        <v>6732</v>
      </c>
      <c r="H106" s="2"/>
      <c r="I106" s="11">
        <f t="shared" si="8"/>
        <v>6732</v>
      </c>
    </row>
    <row r="107" spans="1:11" s="6" customFormat="1" ht="31.2" outlineLevel="1" x14ac:dyDescent="0.25">
      <c r="A107" s="76"/>
      <c r="B107" s="60" t="s">
        <v>25</v>
      </c>
      <c r="C107" s="2" t="s">
        <v>12</v>
      </c>
      <c r="D107" s="2">
        <f>D106*400</f>
        <v>1584</v>
      </c>
      <c r="E107" s="2"/>
      <c r="F107" s="11">
        <f>11.5*1.1</f>
        <v>12.65</v>
      </c>
      <c r="G107" s="2"/>
      <c r="H107" s="2">
        <f>ROUND(D107*F107,2)</f>
        <v>20037.599999999999</v>
      </c>
      <c r="I107" s="11">
        <f t="shared" si="8"/>
        <v>20037.599999999999</v>
      </c>
    </row>
    <row r="108" spans="1:11" s="6" customFormat="1" outlineLevel="1" x14ac:dyDescent="0.25">
      <c r="A108" s="76"/>
      <c r="B108" s="11" t="s">
        <v>72</v>
      </c>
      <c r="C108" s="2" t="s">
        <v>8</v>
      </c>
      <c r="D108" s="2">
        <f>ROUND(0.23*D106,2)</f>
        <v>0.91</v>
      </c>
      <c r="E108" s="2"/>
      <c r="F108" s="11">
        <f>4100*1.1</f>
        <v>4510</v>
      </c>
      <c r="G108" s="2"/>
      <c r="H108" s="2">
        <f>ROUND(D108*F108,2)</f>
        <v>4104.1000000000004</v>
      </c>
      <c r="I108" s="11">
        <f t="shared" si="8"/>
        <v>4104.1000000000004</v>
      </c>
    </row>
    <row r="109" spans="1:11" s="6" customFormat="1" outlineLevel="1" x14ac:dyDescent="0.25">
      <c r="A109" s="265"/>
      <c r="B109" s="11" t="s">
        <v>368</v>
      </c>
      <c r="C109" s="2" t="s">
        <v>15</v>
      </c>
      <c r="D109" s="2">
        <f>3*15.5+3*3.2</f>
        <v>56.1</v>
      </c>
      <c r="E109" s="2"/>
      <c r="F109" s="11">
        <v>52</v>
      </c>
      <c r="G109" s="2"/>
      <c r="H109" s="2">
        <f>ROUND(D109*F109,2)</f>
        <v>2917.2</v>
      </c>
      <c r="I109" s="11">
        <f t="shared" si="8"/>
        <v>2917.2</v>
      </c>
    </row>
    <row r="110" spans="1:11" s="6" customFormat="1" outlineLevel="1" x14ac:dyDescent="0.25">
      <c r="A110" s="265"/>
      <c r="B110" s="11" t="s">
        <v>371</v>
      </c>
      <c r="C110" s="2" t="s">
        <v>15</v>
      </c>
      <c r="D110" s="2">
        <f>3*55.2</f>
        <v>165.60000000000002</v>
      </c>
      <c r="E110" s="2"/>
      <c r="F110" s="11">
        <v>52</v>
      </c>
      <c r="G110" s="2"/>
      <c r="H110" s="2">
        <f>ROUND(D110*F110,2)</f>
        <v>8611.2000000000007</v>
      </c>
      <c r="I110" s="11">
        <f t="shared" si="8"/>
        <v>8611.2000000000007</v>
      </c>
    </row>
    <row r="111" spans="1:11" s="6" customFormat="1" outlineLevel="1" x14ac:dyDescent="0.25">
      <c r="A111" s="189" t="s">
        <v>504</v>
      </c>
      <c r="B111" s="49" t="s">
        <v>376</v>
      </c>
      <c r="C111" s="46" t="s">
        <v>9</v>
      </c>
      <c r="D111" s="50">
        <f>D112+D113+D114</f>
        <v>0.51203999999999994</v>
      </c>
      <c r="E111" s="31">
        <v>15000</v>
      </c>
      <c r="F111" s="56"/>
      <c r="G111" s="2">
        <f>ROUND(E111*D111,2)</f>
        <v>7680.6</v>
      </c>
      <c r="H111" s="11"/>
      <c r="I111" s="11">
        <f t="shared" si="8"/>
        <v>7680.6</v>
      </c>
    </row>
    <row r="112" spans="1:11" s="6" customFormat="1" outlineLevel="1" x14ac:dyDescent="0.25">
      <c r="A112" s="265"/>
      <c r="B112" s="45" t="s">
        <v>377</v>
      </c>
      <c r="C112" s="41" t="s">
        <v>9</v>
      </c>
      <c r="D112" s="42">
        <f>24*10.01/1000</f>
        <v>0.24024000000000001</v>
      </c>
      <c r="E112" s="31"/>
      <c r="F112" s="11">
        <v>38000</v>
      </c>
      <c r="G112" s="10"/>
      <c r="H112" s="2">
        <f>ROUND(D112*F112,2)</f>
        <v>9129.1200000000008</v>
      </c>
      <c r="I112" s="11">
        <f t="shared" si="8"/>
        <v>9129.1200000000008</v>
      </c>
    </row>
    <row r="113" spans="1:11" s="6" customFormat="1" outlineLevel="1" x14ac:dyDescent="0.25">
      <c r="A113" s="265"/>
      <c r="B113" s="45" t="s">
        <v>378</v>
      </c>
      <c r="C113" s="41" t="s">
        <v>9</v>
      </c>
      <c r="D113" s="42">
        <f>36*4.8/1000</f>
        <v>0.17279999999999998</v>
      </c>
      <c r="E113" s="31"/>
      <c r="F113" s="11">
        <v>38000</v>
      </c>
      <c r="G113" s="10"/>
      <c r="H113" s="2">
        <f>ROUND(D113*F113,2)</f>
        <v>6566.4</v>
      </c>
      <c r="I113" s="11">
        <f t="shared" si="8"/>
        <v>6566.4</v>
      </c>
    </row>
    <row r="114" spans="1:11" s="6" customFormat="1" outlineLevel="1" x14ac:dyDescent="0.25">
      <c r="A114" s="265"/>
      <c r="B114" s="45" t="s">
        <v>379</v>
      </c>
      <c r="C114" s="41" t="s">
        <v>9</v>
      </c>
      <c r="D114" s="42">
        <f>18*5.5/1000</f>
        <v>9.9000000000000005E-2</v>
      </c>
      <c r="E114" s="31"/>
      <c r="F114" s="11">
        <v>35000</v>
      </c>
      <c r="G114" s="10"/>
      <c r="H114" s="2">
        <f>ROUND(D114*F114,2)</f>
        <v>3465</v>
      </c>
      <c r="I114" s="11">
        <f t="shared" si="8"/>
        <v>3465</v>
      </c>
    </row>
    <row r="115" spans="1:11" ht="24" customHeight="1" x14ac:dyDescent="0.25">
      <c r="A115" s="223"/>
      <c r="B115" s="224" t="s">
        <v>217</v>
      </c>
      <c r="C115" s="225"/>
      <c r="D115" s="226"/>
      <c r="E115" s="227"/>
      <c r="F115" s="228"/>
      <c r="G115" s="227">
        <f>SUM(G71:G114)</f>
        <v>1812836.6500000001</v>
      </c>
      <c r="H115" s="229">
        <f>SUM(H71:H114)</f>
        <v>13514565.439999999</v>
      </c>
      <c r="I115" s="230">
        <f>ROUND(SUM(I71:I114),2)</f>
        <v>15327402.09</v>
      </c>
      <c r="K115" s="133"/>
    </row>
    <row r="116" spans="1:11" s="5" customFormat="1" ht="15.6" customHeight="1" x14ac:dyDescent="0.25">
      <c r="A116" s="89"/>
      <c r="B116" s="58" t="s">
        <v>624</v>
      </c>
      <c r="C116" s="9"/>
      <c r="D116" s="31"/>
      <c r="E116" s="10"/>
      <c r="F116" s="57"/>
      <c r="G116" s="10"/>
      <c r="H116" s="10"/>
      <c r="I116" s="31">
        <f>ROUND(I115/1.18*0.18,2)</f>
        <v>2338078.2799999998</v>
      </c>
    </row>
    <row r="117" spans="1:11" ht="21" customHeight="1" x14ac:dyDescent="0.25">
      <c r="A117" s="108"/>
      <c r="B117" s="188" t="s">
        <v>505</v>
      </c>
      <c r="C117" s="105"/>
      <c r="D117" s="105"/>
      <c r="E117" s="105"/>
      <c r="F117" s="138"/>
      <c r="G117" s="105"/>
      <c r="H117" s="105"/>
      <c r="I117" s="106"/>
    </row>
    <row r="118" spans="1:11" outlineLevel="1" x14ac:dyDescent="0.25">
      <c r="A118" s="107" t="s">
        <v>223</v>
      </c>
      <c r="B118" s="29" t="s">
        <v>473</v>
      </c>
      <c r="C118" s="2" t="s">
        <v>14</v>
      </c>
      <c r="D118" s="264">
        <f>(15.84*11.88)*2+(11.88*22.41+2.82*1.14*2)</f>
        <v>649.01880000000006</v>
      </c>
      <c r="E118" s="54">
        <v>600</v>
      </c>
      <c r="F118" s="140"/>
      <c r="G118" s="2">
        <f>ROUND(E118*D118,2)</f>
        <v>389411.28</v>
      </c>
      <c r="H118" s="51"/>
      <c r="I118" s="51">
        <f>H118+G118</f>
        <v>389411.28</v>
      </c>
    </row>
    <row r="119" spans="1:11" outlineLevel="1" x14ac:dyDescent="0.25">
      <c r="A119" s="84"/>
      <c r="B119" s="22" t="s">
        <v>336</v>
      </c>
      <c r="C119" s="23" t="s">
        <v>14</v>
      </c>
      <c r="D119" s="66">
        <f>ROUND(D118*1.1,2)</f>
        <v>713.92</v>
      </c>
      <c r="E119" s="51"/>
      <c r="F119" s="140">
        <f>ROUND(10.1*1.1,2)</f>
        <v>11.11</v>
      </c>
      <c r="G119" s="51"/>
      <c r="H119" s="2">
        <f t="shared" ref="H119:H126" si="9">ROUND(D119*F119,2)</f>
        <v>7931.65</v>
      </c>
      <c r="I119" s="51">
        <f t="shared" ref="I119:I135" si="10">H119+G119</f>
        <v>7931.65</v>
      </c>
    </row>
    <row r="120" spans="1:11" outlineLevel="1" x14ac:dyDescent="0.25">
      <c r="A120" s="84"/>
      <c r="B120" s="28" t="s">
        <v>32</v>
      </c>
      <c r="C120" s="23" t="s">
        <v>8</v>
      </c>
      <c r="D120" s="66">
        <f>ROUND(D118*0.7*0.12,2)</f>
        <v>54.52</v>
      </c>
      <c r="E120" s="51"/>
      <c r="F120" s="140">
        <f>ROUND(1956*1.1,2)</f>
        <v>2151.6</v>
      </c>
      <c r="G120" s="51"/>
      <c r="H120" s="2">
        <f t="shared" si="9"/>
        <v>117305.23</v>
      </c>
      <c r="I120" s="51">
        <f t="shared" si="10"/>
        <v>117305.23</v>
      </c>
    </row>
    <row r="121" spans="1:11" outlineLevel="1" x14ac:dyDescent="0.25">
      <c r="A121" s="84"/>
      <c r="B121" s="33" t="s">
        <v>477</v>
      </c>
      <c r="C121" s="2" t="s">
        <v>8</v>
      </c>
      <c r="D121" s="2">
        <f>+ROUND(D118*0.04*1.015,2)</f>
        <v>26.35</v>
      </c>
      <c r="E121" s="2"/>
      <c r="F121" s="11">
        <f>ROUND(4100*1.1,2)</f>
        <v>4510</v>
      </c>
      <c r="G121" s="2"/>
      <c r="H121" s="2">
        <f t="shared" si="9"/>
        <v>118838.5</v>
      </c>
      <c r="I121" s="2">
        <f>G121+H121</f>
        <v>118838.5</v>
      </c>
    </row>
    <row r="122" spans="1:11" outlineLevel="1" x14ac:dyDescent="0.25">
      <c r="A122" s="84"/>
      <c r="B122" s="28" t="s">
        <v>476</v>
      </c>
      <c r="C122" s="21" t="s">
        <v>8</v>
      </c>
      <c r="D122" s="66">
        <f>ROUND(D118*0.15,2)</f>
        <v>97.35</v>
      </c>
      <c r="E122" s="51"/>
      <c r="F122" s="140">
        <f>ROUND(3750*1.1,2)</f>
        <v>4125</v>
      </c>
      <c r="G122" s="51"/>
      <c r="H122" s="2">
        <f t="shared" si="9"/>
        <v>401568.75</v>
      </c>
      <c r="I122" s="51">
        <f t="shared" si="10"/>
        <v>401568.75</v>
      </c>
    </row>
    <row r="123" spans="1:11" outlineLevel="1" x14ac:dyDescent="0.25">
      <c r="A123" s="84"/>
      <c r="B123" s="28" t="s">
        <v>478</v>
      </c>
      <c r="C123" s="21" t="s">
        <v>14</v>
      </c>
      <c r="D123" s="66">
        <f>ROUND(D118*2*1.03,2)</f>
        <v>1336.98</v>
      </c>
      <c r="E123" s="51"/>
      <c r="F123" s="140">
        <f>ROUND(261.9*1.1,2)</f>
        <v>288.08999999999997</v>
      </c>
      <c r="G123" s="51"/>
      <c r="H123" s="2">
        <f t="shared" si="9"/>
        <v>385170.57</v>
      </c>
      <c r="I123" s="51">
        <f t="shared" si="10"/>
        <v>385170.57</v>
      </c>
    </row>
    <row r="124" spans="1:11" outlineLevel="1" x14ac:dyDescent="0.25">
      <c r="A124" s="84"/>
      <c r="B124" s="28" t="s">
        <v>479</v>
      </c>
      <c r="C124" s="21" t="s">
        <v>15</v>
      </c>
      <c r="D124" s="66">
        <f>ROUND(D118*1.4,2)</f>
        <v>908.63</v>
      </c>
      <c r="E124" s="51"/>
      <c r="F124" s="11">
        <f>ROUND(18525.64/16/15*1.1,2)</f>
        <v>84.91</v>
      </c>
      <c r="G124" s="51"/>
      <c r="H124" s="2">
        <f t="shared" si="9"/>
        <v>77151.77</v>
      </c>
      <c r="I124" s="51">
        <f t="shared" si="10"/>
        <v>77151.77</v>
      </c>
    </row>
    <row r="125" spans="1:11" outlineLevel="1" x14ac:dyDescent="0.25">
      <c r="A125" s="84"/>
      <c r="B125" s="28" t="s">
        <v>400</v>
      </c>
      <c r="C125" s="21" t="s">
        <v>14</v>
      </c>
      <c r="D125" s="66">
        <f>ROUND(D118*1.015,2)</f>
        <v>658.75</v>
      </c>
      <c r="E125" s="51"/>
      <c r="F125" s="140">
        <f>ROUND(88.2*1.1,2)</f>
        <v>97.02</v>
      </c>
      <c r="G125" s="51"/>
      <c r="H125" s="2">
        <f t="shared" si="9"/>
        <v>63911.93</v>
      </c>
      <c r="I125" s="51">
        <f t="shared" si="10"/>
        <v>63911.93</v>
      </c>
    </row>
    <row r="126" spans="1:11" outlineLevel="1" x14ac:dyDescent="0.25">
      <c r="A126" s="84"/>
      <c r="B126" s="28" t="s">
        <v>401</v>
      </c>
      <c r="C126" s="2" t="s">
        <v>14</v>
      </c>
      <c r="D126" s="66">
        <f>ROUND(D118*1.01,2)</f>
        <v>655.51</v>
      </c>
      <c r="E126" s="51"/>
      <c r="F126" s="140">
        <f>ROUND(99*1.1,2)</f>
        <v>108.9</v>
      </c>
      <c r="G126" s="51"/>
      <c r="H126" s="2">
        <f t="shared" si="9"/>
        <v>71385.039999999994</v>
      </c>
      <c r="I126" s="51">
        <f t="shared" si="10"/>
        <v>71385.039999999994</v>
      </c>
    </row>
    <row r="127" spans="1:11" ht="31.2" outlineLevel="1" x14ac:dyDescent="0.25">
      <c r="A127" s="84" t="s">
        <v>224</v>
      </c>
      <c r="B127" s="29" t="s">
        <v>396</v>
      </c>
      <c r="C127" s="2" t="s">
        <v>33</v>
      </c>
      <c r="D127" s="65">
        <f>D128+D129</f>
        <v>371.52000000000004</v>
      </c>
      <c r="E127" s="54">
        <v>100</v>
      </c>
      <c r="F127" s="140"/>
      <c r="G127" s="2">
        <f>ROUND(E127*D127,2)</f>
        <v>37152</v>
      </c>
      <c r="H127" s="51"/>
      <c r="I127" s="51">
        <f t="shared" si="10"/>
        <v>37152</v>
      </c>
    </row>
    <row r="128" spans="1:11" outlineLevel="1" x14ac:dyDescent="0.25">
      <c r="A128" s="107"/>
      <c r="B128" s="28" t="s">
        <v>394</v>
      </c>
      <c r="C128" s="21" t="s">
        <v>33</v>
      </c>
      <c r="D128" s="66">
        <f>(12+15.96)*4+(12+22.56)*2+1.2*4</f>
        <v>185.76000000000002</v>
      </c>
      <c r="E128" s="51"/>
      <c r="F128" s="140">
        <v>461</v>
      </c>
      <c r="G128" s="51"/>
      <c r="H128" s="2">
        <f>ROUND(D128*F128,2)</f>
        <v>85635.36</v>
      </c>
      <c r="I128" s="51">
        <f t="shared" si="10"/>
        <v>85635.36</v>
      </c>
    </row>
    <row r="129" spans="1:9" outlineLevel="1" x14ac:dyDescent="0.25">
      <c r="A129" s="107"/>
      <c r="B129" s="28" t="s">
        <v>395</v>
      </c>
      <c r="C129" s="21" t="s">
        <v>33</v>
      </c>
      <c r="D129" s="66">
        <f>(12+15.96)*4+(12+22.56)*2+1.2*4</f>
        <v>185.76000000000002</v>
      </c>
      <c r="E129" s="51"/>
      <c r="F129" s="140">
        <v>461</v>
      </c>
      <c r="G129" s="51"/>
      <c r="H129" s="2">
        <f>ROUND(D129*F129,2)</f>
        <v>85635.36</v>
      </c>
      <c r="I129" s="51">
        <f t="shared" si="10"/>
        <v>85635.36</v>
      </c>
    </row>
    <row r="130" spans="1:9" outlineLevel="1" x14ac:dyDescent="0.25">
      <c r="A130" s="107"/>
      <c r="B130" s="22" t="s">
        <v>34</v>
      </c>
      <c r="C130" s="2" t="s">
        <v>12</v>
      </c>
      <c r="D130" s="66">
        <f>D128*5+D129*2</f>
        <v>1300.3200000000002</v>
      </c>
      <c r="E130" s="51"/>
      <c r="F130" s="140">
        <v>28</v>
      </c>
      <c r="G130" s="51"/>
      <c r="H130" s="2">
        <f>ROUND(D130*F130,2)</f>
        <v>36408.959999999999</v>
      </c>
      <c r="I130" s="51">
        <f t="shared" si="10"/>
        <v>36408.959999999999</v>
      </c>
    </row>
    <row r="131" spans="1:9" outlineLevel="1" x14ac:dyDescent="0.25">
      <c r="A131" s="107" t="s">
        <v>506</v>
      </c>
      <c r="B131" s="29" t="s">
        <v>397</v>
      </c>
      <c r="C131" s="31" t="s">
        <v>33</v>
      </c>
      <c r="D131" s="65">
        <f>(12+15.96)*4+(12+22.56)*2+1.2*4</f>
        <v>185.76000000000002</v>
      </c>
      <c r="E131" s="54">
        <v>100</v>
      </c>
      <c r="F131" s="140"/>
      <c r="G131" s="2">
        <f>ROUND(E131*D131,2)</f>
        <v>18576</v>
      </c>
      <c r="H131" s="51"/>
      <c r="I131" s="51">
        <f>H131+G131</f>
        <v>18576</v>
      </c>
    </row>
    <row r="132" spans="1:9" outlineLevel="1" x14ac:dyDescent="0.25">
      <c r="A132" s="84"/>
      <c r="B132" s="28" t="s">
        <v>398</v>
      </c>
      <c r="C132" s="21" t="s">
        <v>33</v>
      </c>
      <c r="D132" s="66">
        <f>D131</f>
        <v>185.76000000000002</v>
      </c>
      <c r="E132" s="51"/>
      <c r="F132" s="140">
        <v>461</v>
      </c>
      <c r="G132" s="51"/>
      <c r="H132" s="2">
        <f>ROUND(D132*F132,2)</f>
        <v>85635.36</v>
      </c>
      <c r="I132" s="51">
        <f>H132+G132</f>
        <v>85635.36</v>
      </c>
    </row>
    <row r="133" spans="1:9" ht="31.2" outlineLevel="1" x14ac:dyDescent="0.25">
      <c r="A133" s="107" t="s">
        <v>507</v>
      </c>
      <c r="B133" s="29" t="s">
        <v>399</v>
      </c>
      <c r="C133" s="31" t="s">
        <v>14</v>
      </c>
      <c r="D133" s="65">
        <f>(1.67+0.64)*2*7+(1.18+0.64)*2*5+(0.9+0.51)*2*5+(1.3+1.4)*2*3</f>
        <v>80.840000000000018</v>
      </c>
      <c r="E133" s="54">
        <v>150</v>
      </c>
      <c r="F133" s="140"/>
      <c r="G133" s="2">
        <f>ROUND(E133*D133,2)</f>
        <v>12126</v>
      </c>
      <c r="H133" s="51"/>
      <c r="I133" s="51">
        <f t="shared" si="10"/>
        <v>12126</v>
      </c>
    </row>
    <row r="134" spans="1:9" outlineLevel="1" x14ac:dyDescent="0.25">
      <c r="A134" s="84"/>
      <c r="B134" s="22" t="s">
        <v>35</v>
      </c>
      <c r="C134" s="21" t="s">
        <v>14</v>
      </c>
      <c r="D134" s="66">
        <f>D133</f>
        <v>80.840000000000018</v>
      </c>
      <c r="E134" s="51"/>
      <c r="F134" s="140">
        <v>461</v>
      </c>
      <c r="G134" s="51"/>
      <c r="H134" s="2">
        <f>ROUND(D134*F134,2)</f>
        <v>37267.24</v>
      </c>
      <c r="I134" s="51">
        <f t="shared" si="10"/>
        <v>37267.24</v>
      </c>
    </row>
    <row r="135" spans="1:9" outlineLevel="1" x14ac:dyDescent="0.25">
      <c r="A135" s="84"/>
      <c r="B135" s="22" t="s">
        <v>36</v>
      </c>
      <c r="C135" s="2" t="s">
        <v>12</v>
      </c>
      <c r="D135" s="66">
        <f>ROUND(D134*5,2)</f>
        <v>404.2</v>
      </c>
      <c r="E135" s="51"/>
      <c r="F135" s="140">
        <v>28</v>
      </c>
      <c r="G135" s="51"/>
      <c r="H135" s="2">
        <f>ROUND(D135*F135,2)</f>
        <v>11317.6</v>
      </c>
      <c r="I135" s="51">
        <f t="shared" si="10"/>
        <v>11317.6</v>
      </c>
    </row>
    <row r="136" spans="1:9" ht="31.2" outlineLevel="1" x14ac:dyDescent="0.25">
      <c r="A136" s="107" t="s">
        <v>508</v>
      </c>
      <c r="B136" s="9" t="s">
        <v>188</v>
      </c>
      <c r="C136" s="31" t="s">
        <v>14</v>
      </c>
      <c r="D136" s="65">
        <f>ROUND(D118*0.1,2)</f>
        <v>64.900000000000006</v>
      </c>
      <c r="E136" s="54">
        <v>500</v>
      </c>
      <c r="F136" s="140"/>
      <c r="G136" s="2">
        <f>ROUND(E136*D136,2)</f>
        <v>32450</v>
      </c>
      <c r="H136" s="51"/>
      <c r="I136" s="51">
        <f>H136+G136</f>
        <v>32450</v>
      </c>
    </row>
    <row r="137" spans="1:9" outlineLevel="1" x14ac:dyDescent="0.25">
      <c r="A137" s="84"/>
      <c r="B137" s="28" t="s">
        <v>400</v>
      </c>
      <c r="C137" s="21" t="s">
        <v>14</v>
      </c>
      <c r="D137" s="66">
        <f>ROUND(D136*1.015,2)</f>
        <v>65.87</v>
      </c>
      <c r="E137" s="51"/>
      <c r="F137" s="140">
        <f>ROUND(88.2*1.1,2)</f>
        <v>97.02</v>
      </c>
      <c r="G137" s="51"/>
      <c r="H137" s="2">
        <f>ROUND(D137*F137,2)</f>
        <v>6390.71</v>
      </c>
      <c r="I137" s="51">
        <f>H137+G137</f>
        <v>6390.71</v>
      </c>
    </row>
    <row r="138" spans="1:9" outlineLevel="1" x14ac:dyDescent="0.25">
      <c r="A138" s="84"/>
      <c r="B138" s="28" t="s">
        <v>401</v>
      </c>
      <c r="C138" s="2" t="s">
        <v>14</v>
      </c>
      <c r="D138" s="66">
        <f>ROUND(D136*1.01,2)</f>
        <v>65.55</v>
      </c>
      <c r="E138" s="51"/>
      <c r="F138" s="140">
        <f>ROUND(99*1.1,2)</f>
        <v>108.9</v>
      </c>
      <c r="G138" s="51"/>
      <c r="H138" s="2">
        <f>ROUND(D138*F138,2)</f>
        <v>7138.4</v>
      </c>
      <c r="I138" s="51">
        <f>H138+G138</f>
        <v>7138.4</v>
      </c>
    </row>
    <row r="139" spans="1:9" outlineLevel="1" x14ac:dyDescent="0.25">
      <c r="A139" s="87" t="s">
        <v>617</v>
      </c>
      <c r="B139" s="29" t="s">
        <v>614</v>
      </c>
      <c r="C139" s="31" t="s">
        <v>29</v>
      </c>
      <c r="D139" s="10">
        <f>D140*3</f>
        <v>141</v>
      </c>
      <c r="E139" s="10">
        <v>150</v>
      </c>
      <c r="F139" s="60"/>
      <c r="G139" s="2">
        <f>ROUND(E139*D139,2)</f>
        <v>21150</v>
      </c>
      <c r="H139" s="18"/>
      <c r="I139" s="18">
        <f>G139+H139</f>
        <v>21150</v>
      </c>
    </row>
    <row r="140" spans="1:9" ht="31.2" outlineLevel="1" x14ac:dyDescent="0.25">
      <c r="A140" s="107"/>
      <c r="B140" s="28" t="s">
        <v>615</v>
      </c>
      <c r="C140" s="21" t="s">
        <v>12</v>
      </c>
      <c r="D140" s="282">
        <v>47</v>
      </c>
      <c r="E140" s="18"/>
      <c r="F140" s="60">
        <f>1500*1.1</f>
        <v>1650.0000000000002</v>
      </c>
      <c r="G140" s="18"/>
      <c r="H140" s="18">
        <f>F140*D140</f>
        <v>77550.000000000015</v>
      </c>
      <c r="I140" s="18">
        <f>G140+H140</f>
        <v>77550.000000000015</v>
      </c>
    </row>
    <row r="141" spans="1:9" outlineLevel="1" x14ac:dyDescent="0.25">
      <c r="A141" s="84"/>
      <c r="B141" s="22" t="s">
        <v>91</v>
      </c>
      <c r="C141" s="21" t="s">
        <v>15</v>
      </c>
      <c r="D141" s="18">
        <f>56*5.159+56*0.303</f>
        <v>305.87200000000001</v>
      </c>
      <c r="E141" s="18"/>
      <c r="F141" s="60">
        <f>37500/1000</f>
        <v>37.5</v>
      </c>
      <c r="G141" s="18"/>
      <c r="H141" s="18">
        <f>F141*D141</f>
        <v>11470.2</v>
      </c>
      <c r="I141" s="18">
        <f>G141+H141</f>
        <v>11470.2</v>
      </c>
    </row>
    <row r="142" spans="1:9" outlineLevel="1" x14ac:dyDescent="0.25">
      <c r="A142" s="84"/>
      <c r="B142" s="28" t="s">
        <v>616</v>
      </c>
      <c r="C142" s="21" t="s">
        <v>12</v>
      </c>
      <c r="D142" s="18">
        <v>224</v>
      </c>
      <c r="E142" s="18"/>
      <c r="F142" s="60">
        <v>150</v>
      </c>
      <c r="G142" s="18"/>
      <c r="H142" s="18">
        <f>F142*D142</f>
        <v>33600</v>
      </c>
      <c r="I142" s="18">
        <f>G142+H142</f>
        <v>33600</v>
      </c>
    </row>
    <row r="143" spans="1:9" ht="16.2" customHeight="1" outlineLevel="1" x14ac:dyDescent="0.25">
      <c r="A143" s="84"/>
      <c r="B143" s="28" t="s">
        <v>118</v>
      </c>
      <c r="C143" s="21" t="s">
        <v>12</v>
      </c>
      <c r="D143" s="18">
        <v>16</v>
      </c>
      <c r="E143" s="18"/>
      <c r="F143" s="60">
        <v>2435.6</v>
      </c>
      <c r="G143" s="18"/>
      <c r="H143" s="18">
        <f>F143*D143</f>
        <v>38969.599999999999</v>
      </c>
      <c r="I143" s="18">
        <f>G143+H143</f>
        <v>38969.599999999999</v>
      </c>
    </row>
    <row r="144" spans="1:9" s="6" customFormat="1" outlineLevel="1" x14ac:dyDescent="0.25">
      <c r="A144" s="107" t="s">
        <v>618</v>
      </c>
      <c r="B144" s="53" t="s">
        <v>351</v>
      </c>
      <c r="C144" s="31" t="s">
        <v>14</v>
      </c>
      <c r="D144" s="65">
        <f>2.6*2.2*3</f>
        <v>17.160000000000004</v>
      </c>
      <c r="E144" s="54"/>
      <c r="F144" s="141"/>
      <c r="G144" s="54"/>
      <c r="H144" s="54"/>
      <c r="I144" s="54"/>
    </row>
    <row r="145" spans="1:252" ht="31.2" outlineLevel="1" x14ac:dyDescent="0.25">
      <c r="A145" s="261" t="s">
        <v>619</v>
      </c>
      <c r="B145" s="29" t="s">
        <v>613</v>
      </c>
      <c r="C145" s="31" t="s">
        <v>8</v>
      </c>
      <c r="D145" s="65">
        <f>ROUND(D144*0.6,2)</f>
        <v>10.3</v>
      </c>
      <c r="E145" s="54">
        <v>1700</v>
      </c>
      <c r="F145" s="140"/>
      <c r="G145" s="51">
        <f>E145*D145</f>
        <v>17510</v>
      </c>
      <c r="H145" s="51"/>
      <c r="I145" s="51">
        <f>H145+G145</f>
        <v>17510</v>
      </c>
    </row>
    <row r="146" spans="1:252" outlineLevel="1" x14ac:dyDescent="0.25">
      <c r="A146" s="84"/>
      <c r="B146" s="11" t="s">
        <v>72</v>
      </c>
      <c r="C146" s="2" t="s">
        <v>8</v>
      </c>
      <c r="D146" s="2">
        <f>ROUND(D145*1.015,2)</f>
        <v>10.45</v>
      </c>
      <c r="E146" s="2"/>
      <c r="F146" s="11">
        <f>ROUND(4100*1.1,2)</f>
        <v>4510</v>
      </c>
      <c r="G146" s="2"/>
      <c r="H146" s="2">
        <f>ROUND(D146*F146,2)</f>
        <v>47129.5</v>
      </c>
      <c r="I146" s="2">
        <f>G146+H146</f>
        <v>47129.5</v>
      </c>
    </row>
    <row r="147" spans="1:252" ht="31.2" outlineLevel="1" x14ac:dyDescent="0.25">
      <c r="A147" s="261" t="s">
        <v>620</v>
      </c>
      <c r="B147" s="29" t="s">
        <v>402</v>
      </c>
      <c r="C147" s="31" t="s">
        <v>14</v>
      </c>
      <c r="D147" s="65">
        <f>ROUND(D144*1.1,2)</f>
        <v>18.88</v>
      </c>
      <c r="E147" s="54">
        <v>500</v>
      </c>
      <c r="F147" s="140"/>
      <c r="G147" s="2">
        <f>ROUND(E147*D147,2)</f>
        <v>9440</v>
      </c>
      <c r="H147" s="51"/>
      <c r="I147" s="51">
        <f>H147+G147</f>
        <v>9440</v>
      </c>
    </row>
    <row r="148" spans="1:252" outlineLevel="1" x14ac:dyDescent="0.25">
      <c r="A148" s="84"/>
      <c r="B148" s="28" t="s">
        <v>400</v>
      </c>
      <c r="C148" s="21" t="s">
        <v>14</v>
      </c>
      <c r="D148" s="66">
        <f>ROUND(D147*1.015,2)</f>
        <v>19.16</v>
      </c>
      <c r="E148" s="51"/>
      <c r="F148" s="140">
        <f>ROUND(88.2*1.1,2)</f>
        <v>97.02</v>
      </c>
      <c r="G148" s="51"/>
      <c r="H148" s="2">
        <f>ROUND(D148*F148,2)</f>
        <v>1858.9</v>
      </c>
      <c r="I148" s="51">
        <f>H148+G148</f>
        <v>1858.9</v>
      </c>
    </row>
    <row r="149" spans="1:252" outlineLevel="1" x14ac:dyDescent="0.25">
      <c r="A149" s="84"/>
      <c r="B149" s="28" t="s">
        <v>401</v>
      </c>
      <c r="C149" s="2" t="s">
        <v>14</v>
      </c>
      <c r="D149" s="66">
        <f>ROUND(D147*1.01,2)</f>
        <v>19.07</v>
      </c>
      <c r="E149" s="51"/>
      <c r="F149" s="140">
        <f>ROUND(99*1.1,2)</f>
        <v>108.9</v>
      </c>
      <c r="G149" s="51"/>
      <c r="H149" s="2">
        <f>ROUND(D149*F149,2)</f>
        <v>2076.7199999999998</v>
      </c>
      <c r="I149" s="51">
        <f>H149+G149</f>
        <v>2076.7199999999998</v>
      </c>
    </row>
    <row r="150" spans="1:252" collapsed="1" x14ac:dyDescent="0.25">
      <c r="A150" s="223"/>
      <c r="B150" s="232" t="s">
        <v>55</v>
      </c>
      <c r="C150" s="225"/>
      <c r="D150" s="239"/>
      <c r="E150" s="230"/>
      <c r="F150" s="240"/>
      <c r="G150" s="230">
        <f>SUM(G118:G149)</f>
        <v>537815.28</v>
      </c>
      <c r="H150" s="230">
        <f>SUM(H118:H149)</f>
        <v>1811347.35</v>
      </c>
      <c r="I150" s="230">
        <f>ROUND(SUM(I118:I149),2)</f>
        <v>2349162.63</v>
      </c>
      <c r="K150" s="133"/>
    </row>
    <row r="151" spans="1:252" ht="13.95" customHeight="1" x14ac:dyDescent="0.25">
      <c r="A151" s="90"/>
      <c r="B151" s="58" t="s">
        <v>624</v>
      </c>
      <c r="C151" s="9"/>
      <c r="D151" s="31"/>
      <c r="E151" s="10"/>
      <c r="F151" s="57"/>
      <c r="G151" s="10"/>
      <c r="H151" s="10"/>
      <c r="I151" s="31">
        <f>ROUND(I150/1.18*0.18,2)</f>
        <v>358346.84</v>
      </c>
    </row>
    <row r="152" spans="1:252" ht="18.75" customHeight="1" x14ac:dyDescent="0.25">
      <c r="A152" s="104"/>
      <c r="B152" s="188" t="s">
        <v>509</v>
      </c>
      <c r="C152" s="105"/>
      <c r="D152" s="105"/>
      <c r="E152" s="105"/>
      <c r="F152" s="138"/>
      <c r="G152" s="105"/>
      <c r="H152" s="105"/>
      <c r="I152" s="106"/>
    </row>
    <row r="153" spans="1:252" s="38" customFormat="1" ht="46.8" outlineLevel="1" x14ac:dyDescent="0.25">
      <c r="A153" s="271" t="s">
        <v>510</v>
      </c>
      <c r="B153" s="52" t="s">
        <v>218</v>
      </c>
      <c r="C153" s="202" t="s">
        <v>14</v>
      </c>
      <c r="D153" s="267">
        <v>270.81</v>
      </c>
      <c r="E153" s="35">
        <v>1000</v>
      </c>
      <c r="F153" s="207">
        <v>3050</v>
      </c>
      <c r="G153" s="2">
        <f>ROUND(E153*D153,2)</f>
        <v>270810</v>
      </c>
      <c r="H153" s="2">
        <f>ROUND(D153*F153,2)</f>
        <v>825970.5</v>
      </c>
      <c r="I153" s="3">
        <f>H153+G153</f>
        <v>1096780.5</v>
      </c>
      <c r="J153" s="15"/>
      <c r="K153" s="196">
        <f>6*0.9*1.6+15*1.5*1.6+39*1.5*1.9+24*1.5*0.8+15*1.5*0.8+10*2.2*0.8+16*2.2*0.8+2.1*0.8*5+2.1*0.8*8</f>
        <v>270.19</v>
      </c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</row>
    <row r="154" spans="1:252" s="38" customFormat="1" outlineLevel="1" x14ac:dyDescent="0.25">
      <c r="A154" s="91"/>
      <c r="B154" s="205"/>
      <c r="C154" s="2"/>
      <c r="D154" s="2"/>
      <c r="E154" s="2"/>
      <c r="F154" s="11"/>
      <c r="G154" s="2"/>
      <c r="H154" s="2"/>
      <c r="I154" s="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</row>
    <row r="155" spans="1:252" x14ac:dyDescent="0.25">
      <c r="A155" s="223"/>
      <c r="B155" s="224" t="s">
        <v>59</v>
      </c>
      <c r="C155" s="225"/>
      <c r="D155" s="226"/>
      <c r="E155" s="227"/>
      <c r="F155" s="228"/>
      <c r="G155" s="227">
        <f>SUM(G153:G154)</f>
        <v>270810</v>
      </c>
      <c r="H155" s="227">
        <f>SUM(H153:H154)</f>
        <v>825970.5</v>
      </c>
      <c r="I155" s="227">
        <f>SUM(I153:I154)</f>
        <v>1096780.5</v>
      </c>
    </row>
    <row r="156" spans="1:252" ht="16.2" customHeight="1" x14ac:dyDescent="0.25">
      <c r="A156" s="90"/>
      <c r="B156" s="58" t="s">
        <v>624</v>
      </c>
      <c r="C156" s="9"/>
      <c r="D156" s="31"/>
      <c r="E156" s="10"/>
      <c r="F156" s="57"/>
      <c r="G156" s="10"/>
      <c r="H156" s="10"/>
      <c r="I156" s="31">
        <f>ROUND(I155/1.18*0.18,2)</f>
        <v>167305.5</v>
      </c>
    </row>
    <row r="157" spans="1:252" ht="18.75" customHeight="1" x14ac:dyDescent="0.25">
      <c r="A157" s="109"/>
      <c r="B157" s="187" t="s">
        <v>511</v>
      </c>
      <c r="C157" s="105"/>
      <c r="D157" s="105"/>
      <c r="E157" s="105"/>
      <c r="F157" s="138"/>
      <c r="G157" s="105"/>
      <c r="H157" s="105"/>
      <c r="I157" s="106"/>
    </row>
    <row r="158" spans="1:252" outlineLevel="1" x14ac:dyDescent="0.25">
      <c r="A158" s="84" t="s">
        <v>313</v>
      </c>
      <c r="B158" s="9" t="s">
        <v>37</v>
      </c>
      <c r="C158" s="2" t="s">
        <v>12</v>
      </c>
      <c r="D158" s="160">
        <f>D159+D160+D161+D162</f>
        <v>54</v>
      </c>
      <c r="E158" s="10">
        <v>1000</v>
      </c>
      <c r="F158" s="60"/>
      <c r="G158" s="2">
        <f>ROUND(E158*D158,2)</f>
        <v>54000</v>
      </c>
      <c r="H158" s="18"/>
      <c r="I158" s="18">
        <f>G158+H158</f>
        <v>54000</v>
      </c>
    </row>
    <row r="159" spans="1:252" ht="31.2" outlineLevel="1" x14ac:dyDescent="0.25">
      <c r="A159" s="107"/>
      <c r="B159" s="28" t="s">
        <v>225</v>
      </c>
      <c r="C159" s="21" t="s">
        <v>12</v>
      </c>
      <c r="D159" s="67">
        <f>12+13+6+5</f>
        <v>36</v>
      </c>
      <c r="E159" s="2"/>
      <c r="F159" s="60">
        <v>1700</v>
      </c>
      <c r="G159" s="18"/>
      <c r="H159" s="2">
        <f>ROUND(D159*F159,2)</f>
        <v>61200</v>
      </c>
      <c r="I159" s="18">
        <f t="shared" ref="I159:I165" si="11">G159+H159</f>
        <v>61200</v>
      </c>
    </row>
    <row r="160" spans="1:252" outlineLevel="1" x14ac:dyDescent="0.25">
      <c r="A160" s="107"/>
      <c r="B160" s="28" t="s">
        <v>388</v>
      </c>
      <c r="C160" s="21" t="s">
        <v>12</v>
      </c>
      <c r="D160" s="67">
        <v>3</v>
      </c>
      <c r="E160" s="2"/>
      <c r="F160" s="60">
        <f>17400*1.18</f>
        <v>20532</v>
      </c>
      <c r="G160" s="18"/>
      <c r="H160" s="2">
        <f>ROUND(D160*F160,2)</f>
        <v>61596</v>
      </c>
      <c r="I160" s="18">
        <f t="shared" si="11"/>
        <v>61596</v>
      </c>
    </row>
    <row r="161" spans="1:12" outlineLevel="1" x14ac:dyDescent="0.25">
      <c r="A161" s="107"/>
      <c r="B161" s="28" t="s">
        <v>389</v>
      </c>
      <c r="C161" s="21" t="s">
        <v>12</v>
      </c>
      <c r="D161" s="67">
        <v>3</v>
      </c>
      <c r="E161" s="2"/>
      <c r="F161" s="60">
        <f>4800*1.18</f>
        <v>5664</v>
      </c>
      <c r="G161" s="18"/>
      <c r="H161" s="2">
        <f>ROUND(D161*F161,2)</f>
        <v>16992</v>
      </c>
      <c r="I161" s="18">
        <f t="shared" si="11"/>
        <v>16992</v>
      </c>
    </row>
    <row r="162" spans="1:12" ht="24.75" customHeight="1" outlineLevel="1" x14ac:dyDescent="0.25">
      <c r="A162" s="107"/>
      <c r="B162" s="28" t="s">
        <v>226</v>
      </c>
      <c r="C162" s="21" t="s">
        <v>12</v>
      </c>
      <c r="D162" s="67">
        <f>2+6+1+3</f>
        <v>12</v>
      </c>
      <c r="E162" s="2"/>
      <c r="F162" s="60">
        <f>5920*1.18</f>
        <v>6985.5999999999995</v>
      </c>
      <c r="G162" s="18"/>
      <c r="H162" s="2">
        <f>ROUND(D162*F162,2)</f>
        <v>83827.199999999997</v>
      </c>
      <c r="I162" s="18">
        <f>G162+H162</f>
        <v>83827.199999999997</v>
      </c>
    </row>
    <row r="163" spans="1:12" outlineLevel="1" x14ac:dyDescent="0.25">
      <c r="A163" s="84" t="s">
        <v>314</v>
      </c>
      <c r="B163" s="9" t="s">
        <v>38</v>
      </c>
      <c r="C163" s="2" t="s">
        <v>12</v>
      </c>
      <c r="D163" s="194">
        <f>D164+D165+D166+D167</f>
        <v>6</v>
      </c>
      <c r="E163" s="10">
        <v>2000</v>
      </c>
      <c r="F163" s="60"/>
      <c r="G163" s="2">
        <f>ROUND(E163*D163,2)</f>
        <v>12000</v>
      </c>
      <c r="H163" s="18"/>
      <c r="I163" s="18">
        <f t="shared" si="11"/>
        <v>12000</v>
      </c>
    </row>
    <row r="164" spans="1:12" ht="31.2" outlineLevel="1" x14ac:dyDescent="0.25">
      <c r="A164" s="107"/>
      <c r="B164" s="28" t="s">
        <v>392</v>
      </c>
      <c r="C164" s="21" t="s">
        <v>12</v>
      </c>
      <c r="D164" s="67">
        <v>1</v>
      </c>
      <c r="E164" s="2"/>
      <c r="F164" s="60">
        <f>10200*1.18</f>
        <v>12036</v>
      </c>
      <c r="G164" s="18"/>
      <c r="H164" s="2">
        <f>ROUND(D164*F164,2)</f>
        <v>12036</v>
      </c>
      <c r="I164" s="18">
        <f t="shared" si="11"/>
        <v>12036</v>
      </c>
    </row>
    <row r="165" spans="1:12" ht="31.2" outlineLevel="1" x14ac:dyDescent="0.25">
      <c r="A165" s="107"/>
      <c r="B165" s="28" t="s">
        <v>391</v>
      </c>
      <c r="C165" s="21" t="s">
        <v>12</v>
      </c>
      <c r="D165" s="67">
        <v>2</v>
      </c>
      <c r="E165" s="2"/>
      <c r="F165" s="60">
        <f>10915*1.18</f>
        <v>12879.699999999999</v>
      </c>
      <c r="G165" s="18"/>
      <c r="H165" s="2">
        <f>ROUND(D165*F165,2)</f>
        <v>25759.4</v>
      </c>
      <c r="I165" s="18">
        <f t="shared" si="11"/>
        <v>25759.4</v>
      </c>
    </row>
    <row r="166" spans="1:12" ht="31.2" outlineLevel="1" x14ac:dyDescent="0.25">
      <c r="A166" s="107"/>
      <c r="B166" s="28" t="s">
        <v>390</v>
      </c>
      <c r="C166" s="21" t="s">
        <v>12</v>
      </c>
      <c r="D166" s="67">
        <v>2</v>
      </c>
      <c r="E166" s="2"/>
      <c r="F166" s="60">
        <f>10915*1.18</f>
        <v>12879.699999999999</v>
      </c>
      <c r="G166" s="18"/>
      <c r="H166" s="2">
        <f>ROUND(D166*F166,2)</f>
        <v>25759.4</v>
      </c>
      <c r="I166" s="18">
        <f>G166+H166</f>
        <v>25759.4</v>
      </c>
    </row>
    <row r="167" spans="1:12" ht="31.2" outlineLevel="1" x14ac:dyDescent="0.25">
      <c r="A167" s="107"/>
      <c r="B167" s="28" t="s">
        <v>589</v>
      </c>
      <c r="C167" s="21" t="s">
        <v>12</v>
      </c>
      <c r="D167" s="67">
        <v>1</v>
      </c>
      <c r="E167" s="2"/>
      <c r="F167" s="60">
        <v>12036</v>
      </c>
      <c r="G167" s="18"/>
      <c r="H167" s="2">
        <f>ROUND(D167*F167,2)</f>
        <v>12036</v>
      </c>
      <c r="I167" s="18">
        <f>G167+H167</f>
        <v>12036</v>
      </c>
    </row>
    <row r="168" spans="1:12" outlineLevel="1" x14ac:dyDescent="0.25">
      <c r="A168" s="84" t="s">
        <v>347</v>
      </c>
      <c r="B168" s="9" t="s">
        <v>39</v>
      </c>
      <c r="C168" s="2"/>
      <c r="D168" s="68"/>
      <c r="E168" s="18"/>
      <c r="F168" s="60"/>
      <c r="G168" s="18"/>
      <c r="H168" s="18"/>
      <c r="I168" s="18"/>
    </row>
    <row r="169" spans="1:12" outlineLevel="1" x14ac:dyDescent="0.25">
      <c r="A169" s="84"/>
      <c r="B169" s="22" t="s">
        <v>393</v>
      </c>
      <c r="C169" s="2" t="s">
        <v>12</v>
      </c>
      <c r="D169" s="195">
        <v>3</v>
      </c>
      <c r="E169" s="31">
        <v>2000</v>
      </c>
      <c r="F169" s="57">
        <f>5100*1.18</f>
        <v>6018</v>
      </c>
      <c r="G169" s="2">
        <f>ROUND(E169*D169,2)</f>
        <v>6000</v>
      </c>
      <c r="H169" s="2">
        <f>ROUND(D169*F169,2)</f>
        <v>18054</v>
      </c>
      <c r="I169" s="18">
        <f>G169+H169</f>
        <v>24054</v>
      </c>
    </row>
    <row r="170" spans="1:12" collapsed="1" x14ac:dyDescent="0.25">
      <c r="A170" s="223"/>
      <c r="B170" s="232" t="s">
        <v>58</v>
      </c>
      <c r="C170" s="225"/>
      <c r="D170" s="226"/>
      <c r="E170" s="227"/>
      <c r="F170" s="228"/>
      <c r="G170" s="227">
        <f>SUM(G158:G169)</f>
        <v>72000</v>
      </c>
      <c r="H170" s="227">
        <f>SUM(H158:H169)</f>
        <v>317260</v>
      </c>
      <c r="I170" s="227">
        <f>SUM(I158:I169)</f>
        <v>389260.00000000006</v>
      </c>
    </row>
    <row r="171" spans="1:12" ht="16.95" customHeight="1" x14ac:dyDescent="0.25">
      <c r="A171" s="90"/>
      <c r="B171" s="58" t="s">
        <v>624</v>
      </c>
      <c r="C171" s="9"/>
      <c r="D171" s="31"/>
      <c r="E171" s="10"/>
      <c r="F171" s="57"/>
      <c r="G171" s="10"/>
      <c r="H171" s="10"/>
      <c r="I171" s="31">
        <f>ROUND(I170/1.18*0.18,2)</f>
        <v>59378.64</v>
      </c>
    </row>
    <row r="172" spans="1:12" ht="18.75" customHeight="1" x14ac:dyDescent="0.25">
      <c r="A172" s="108"/>
      <c r="B172" s="187" t="s">
        <v>512</v>
      </c>
      <c r="C172" s="105"/>
      <c r="D172" s="105"/>
      <c r="E172" s="105"/>
      <c r="F172" s="138"/>
      <c r="G172" s="105"/>
      <c r="H172" s="105"/>
      <c r="I172" s="106"/>
    </row>
    <row r="173" spans="1:12" s="6" customFormat="1" ht="31.5" customHeight="1" outlineLevel="1" x14ac:dyDescent="0.25">
      <c r="A173" s="107" t="s">
        <v>315</v>
      </c>
      <c r="B173" s="29" t="s">
        <v>352</v>
      </c>
      <c r="C173" s="31" t="s">
        <v>14</v>
      </c>
      <c r="D173" s="268">
        <f>(12+0.12+15.96+15.96+22.56)*2*11.28+1.2*11.28*3+1.2*8.78*1+(0.64+1.18)*2*5* 1+(0.9+0.51)*2*1*5+(1.67+0.64)*2*1*7-(D153+2.1*1.3*3)</f>
        <v>1339.2799999999997</v>
      </c>
      <c r="E173" s="31">
        <v>600</v>
      </c>
      <c r="F173" s="60"/>
      <c r="G173" s="2">
        <f>ROUND(E173*D173,2)</f>
        <v>803568</v>
      </c>
      <c r="H173" s="18"/>
      <c r="I173" s="18">
        <f>G173+H173</f>
        <v>803568</v>
      </c>
      <c r="K173" s="25"/>
      <c r="L173" s="25"/>
    </row>
    <row r="174" spans="1:12" outlineLevel="1" x14ac:dyDescent="0.25">
      <c r="A174" s="84"/>
      <c r="B174" s="96" t="s">
        <v>228</v>
      </c>
      <c r="C174" s="55" t="s">
        <v>15</v>
      </c>
      <c r="D174" s="42">
        <f>ROUND(D173*0.1,2)</f>
        <v>133.93</v>
      </c>
      <c r="E174" s="18"/>
      <c r="F174" s="142">
        <f>ROUND(1868.06/10,2)</f>
        <v>186.81</v>
      </c>
      <c r="G174" s="18"/>
      <c r="H174" s="2">
        <f t="shared" ref="H174:H185" si="12">ROUND(D174*F174,2)</f>
        <v>25019.46</v>
      </c>
      <c r="I174" s="18">
        <f t="shared" ref="I174:I185" si="13">G174+H174</f>
        <v>25019.46</v>
      </c>
    </row>
    <row r="175" spans="1:12" outlineLevel="1" x14ac:dyDescent="0.25">
      <c r="A175" s="84"/>
      <c r="B175" s="96" t="s">
        <v>229</v>
      </c>
      <c r="C175" s="55" t="s">
        <v>8</v>
      </c>
      <c r="D175" s="42">
        <f>ROUND(D173*0.15,2)</f>
        <v>200.89</v>
      </c>
      <c r="E175" s="18"/>
      <c r="F175" s="142">
        <v>4500</v>
      </c>
      <c r="G175" s="18"/>
      <c r="H175" s="2">
        <f t="shared" si="12"/>
        <v>904005</v>
      </c>
      <c r="I175" s="18">
        <f t="shared" si="13"/>
        <v>904005</v>
      </c>
    </row>
    <row r="176" spans="1:12" outlineLevel="1" x14ac:dyDescent="0.25">
      <c r="A176" s="84"/>
      <c r="B176" s="96" t="s">
        <v>230</v>
      </c>
      <c r="C176" s="55" t="s">
        <v>12</v>
      </c>
      <c r="D176" s="42">
        <f>ROUND(D173*12,2)</f>
        <v>16071.36</v>
      </c>
      <c r="E176" s="18"/>
      <c r="F176" s="142">
        <v>12</v>
      </c>
      <c r="G176" s="18"/>
      <c r="H176" s="2">
        <f t="shared" si="12"/>
        <v>192856.32000000001</v>
      </c>
      <c r="I176" s="18">
        <f t="shared" si="13"/>
        <v>192856.32000000001</v>
      </c>
    </row>
    <row r="177" spans="1:252" ht="27.6" outlineLevel="1" x14ac:dyDescent="0.25">
      <c r="A177" s="84"/>
      <c r="B177" s="96" t="s">
        <v>231</v>
      </c>
      <c r="C177" s="55" t="s">
        <v>15</v>
      </c>
      <c r="D177" s="42">
        <f>ROUND(D173*6,2)</f>
        <v>8035.68</v>
      </c>
      <c r="E177" s="18"/>
      <c r="F177" s="142">
        <f>ROUND(399.89/25,2)</f>
        <v>16</v>
      </c>
      <c r="G177" s="18"/>
      <c r="H177" s="2">
        <f t="shared" si="12"/>
        <v>128570.88</v>
      </c>
      <c r="I177" s="18">
        <f t="shared" si="13"/>
        <v>128570.88</v>
      </c>
    </row>
    <row r="178" spans="1:252" ht="41.4" outlineLevel="1" x14ac:dyDescent="0.25">
      <c r="A178" s="84"/>
      <c r="B178" s="96" t="s">
        <v>232</v>
      </c>
      <c r="C178" s="55" t="s">
        <v>15</v>
      </c>
      <c r="D178" s="42">
        <f>ROUND(D173*0.2,2)</f>
        <v>267.86</v>
      </c>
      <c r="E178" s="18"/>
      <c r="F178" s="142">
        <f>ROUND(1816/20,2)</f>
        <v>90.8</v>
      </c>
      <c r="G178" s="18"/>
      <c r="H178" s="2">
        <f t="shared" si="12"/>
        <v>24321.69</v>
      </c>
      <c r="I178" s="18">
        <f t="shared" si="13"/>
        <v>24321.69</v>
      </c>
    </row>
    <row r="179" spans="1:252" outlineLevel="1" x14ac:dyDescent="0.25">
      <c r="A179" s="84"/>
      <c r="B179" s="96" t="s">
        <v>233</v>
      </c>
      <c r="C179" s="55" t="s">
        <v>14</v>
      </c>
      <c r="D179" s="42">
        <f>ROUND(D173*1.1,2)</f>
        <v>1473.21</v>
      </c>
      <c r="E179" s="18"/>
      <c r="F179" s="142">
        <f>ROUND(1400/50,2)</f>
        <v>28</v>
      </c>
      <c r="G179" s="18"/>
      <c r="H179" s="2">
        <f t="shared" si="12"/>
        <v>41249.879999999997</v>
      </c>
      <c r="I179" s="18">
        <f t="shared" si="13"/>
        <v>41249.879999999997</v>
      </c>
    </row>
    <row r="180" spans="1:252" ht="27.6" outlineLevel="1" x14ac:dyDescent="0.25">
      <c r="A180" s="84"/>
      <c r="B180" s="96" t="s">
        <v>234</v>
      </c>
      <c r="C180" s="55" t="s">
        <v>15</v>
      </c>
      <c r="D180" s="42">
        <f>ROUND(D173*5,2)</f>
        <v>6696.4</v>
      </c>
      <c r="E180" s="18"/>
      <c r="F180" s="142">
        <f>ROUND(443/25,2)</f>
        <v>17.72</v>
      </c>
      <c r="G180" s="18"/>
      <c r="H180" s="2">
        <f t="shared" si="12"/>
        <v>118660.21</v>
      </c>
      <c r="I180" s="18">
        <f t="shared" si="13"/>
        <v>118660.21</v>
      </c>
    </row>
    <row r="181" spans="1:252" outlineLevel="1" x14ac:dyDescent="0.25">
      <c r="A181" s="84"/>
      <c r="B181" s="96" t="s">
        <v>235</v>
      </c>
      <c r="C181" s="55" t="s">
        <v>29</v>
      </c>
      <c r="D181" s="42">
        <f>ROUND(D173*0.35,2)</f>
        <v>468.75</v>
      </c>
      <c r="E181" s="18"/>
      <c r="F181" s="142">
        <f>60</f>
        <v>60</v>
      </c>
      <c r="G181" s="18"/>
      <c r="H181" s="2">
        <f t="shared" si="12"/>
        <v>28125</v>
      </c>
      <c r="I181" s="18">
        <f t="shared" si="13"/>
        <v>28125</v>
      </c>
    </row>
    <row r="182" spans="1:252" outlineLevel="1" x14ac:dyDescent="0.25">
      <c r="A182" s="84"/>
      <c r="B182" s="96" t="s">
        <v>236</v>
      </c>
      <c r="C182" s="55" t="s">
        <v>29</v>
      </c>
      <c r="D182" s="42">
        <f>ROUND(D173*0.05,2)</f>
        <v>66.959999999999994</v>
      </c>
      <c r="E182" s="18"/>
      <c r="F182" s="142">
        <v>160</v>
      </c>
      <c r="G182" s="18"/>
      <c r="H182" s="2">
        <f t="shared" si="12"/>
        <v>10713.6</v>
      </c>
      <c r="I182" s="18">
        <f t="shared" si="13"/>
        <v>10713.6</v>
      </c>
    </row>
    <row r="183" spans="1:252" s="40" customFormat="1" ht="27.6" outlineLevel="1" x14ac:dyDescent="0.25">
      <c r="A183" s="121"/>
      <c r="B183" s="97" t="s">
        <v>237</v>
      </c>
      <c r="C183" s="55" t="s">
        <v>15</v>
      </c>
      <c r="D183" s="42">
        <f>ROUND(D173*3,2)</f>
        <v>4017.84</v>
      </c>
      <c r="E183" s="2"/>
      <c r="F183" s="142">
        <f>ROUND(532.98/25,2)</f>
        <v>21.32</v>
      </c>
      <c r="G183" s="18"/>
      <c r="H183" s="2">
        <f t="shared" si="12"/>
        <v>85660.35</v>
      </c>
      <c r="I183" s="18">
        <f t="shared" si="13"/>
        <v>85660.35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</row>
    <row r="184" spans="1:252" s="39" customFormat="1" outlineLevel="1" x14ac:dyDescent="0.25">
      <c r="A184" s="121"/>
      <c r="B184" s="96" t="s">
        <v>228</v>
      </c>
      <c r="C184" s="55" t="s">
        <v>15</v>
      </c>
      <c r="D184" s="42">
        <f>ROUND(D173*0.1,2)</f>
        <v>133.93</v>
      </c>
      <c r="E184" s="18"/>
      <c r="F184" s="142">
        <f>ROUND(1868.06/10,2)</f>
        <v>186.81</v>
      </c>
      <c r="G184" s="18"/>
      <c r="H184" s="2">
        <f t="shared" si="12"/>
        <v>25019.46</v>
      </c>
      <c r="I184" s="18">
        <f t="shared" si="13"/>
        <v>25019.46</v>
      </c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  <c r="FY184" s="25"/>
      <c r="FZ184" s="25"/>
      <c r="GA184" s="25"/>
      <c r="GB184" s="25"/>
      <c r="GC184" s="25"/>
      <c r="GD184" s="25"/>
      <c r="GE184" s="25"/>
      <c r="GF184" s="25"/>
      <c r="GG184" s="25"/>
      <c r="GH184" s="25"/>
      <c r="GI184" s="25"/>
      <c r="GJ184" s="25"/>
      <c r="GK184" s="25"/>
      <c r="GL184" s="25"/>
      <c r="GM184" s="25"/>
      <c r="GN184" s="25"/>
      <c r="GO184" s="25"/>
      <c r="GP184" s="25"/>
      <c r="GQ184" s="25"/>
      <c r="GR184" s="25"/>
      <c r="GS184" s="25"/>
      <c r="GT184" s="25"/>
      <c r="GU184" s="25"/>
      <c r="GV184" s="25"/>
      <c r="GW184" s="25"/>
      <c r="GX184" s="25"/>
      <c r="GY184" s="25"/>
      <c r="GZ184" s="25"/>
      <c r="HA184" s="25"/>
      <c r="HB184" s="25"/>
      <c r="HC184" s="25"/>
      <c r="HD184" s="25"/>
      <c r="HE184" s="25"/>
      <c r="HF184" s="25"/>
      <c r="HG184" s="25"/>
      <c r="HH184" s="25"/>
      <c r="HI184" s="25"/>
      <c r="HJ184" s="25"/>
      <c r="HK184" s="25"/>
      <c r="HL184" s="25"/>
      <c r="HM184" s="25"/>
      <c r="HN184" s="25"/>
      <c r="HO184" s="25"/>
      <c r="HP184" s="25"/>
      <c r="HQ184" s="25"/>
      <c r="HR184" s="25"/>
      <c r="HS184" s="25"/>
      <c r="HT184" s="25"/>
      <c r="HU184" s="25"/>
      <c r="HV184" s="25"/>
      <c r="HW184" s="25"/>
      <c r="HX184" s="25"/>
      <c r="HY184" s="25"/>
      <c r="HZ184" s="25"/>
      <c r="IA184" s="25"/>
      <c r="IB184" s="25"/>
      <c r="IC184" s="25"/>
      <c r="ID184" s="25"/>
      <c r="IE184" s="25"/>
      <c r="IF184" s="25"/>
      <c r="IG184" s="25"/>
      <c r="IH184" s="25"/>
      <c r="II184" s="25"/>
      <c r="IJ184" s="25"/>
      <c r="IK184" s="25"/>
      <c r="IL184" s="25"/>
      <c r="IM184" s="25"/>
      <c r="IN184" s="25"/>
      <c r="IO184" s="25"/>
      <c r="IP184" s="25"/>
      <c r="IQ184" s="25"/>
      <c r="IR184" s="25"/>
    </row>
    <row r="185" spans="1:252" s="39" customFormat="1" outlineLevel="1" x14ac:dyDescent="0.25">
      <c r="A185" s="121"/>
      <c r="B185" s="96" t="s">
        <v>238</v>
      </c>
      <c r="C185" s="55" t="s">
        <v>30</v>
      </c>
      <c r="D185" s="42">
        <f>ROUND(D173*0.45,2)</f>
        <v>602.67999999999995</v>
      </c>
      <c r="E185" s="18"/>
      <c r="F185" s="142">
        <f>ROUND(3956.19/25,2)</f>
        <v>158.25</v>
      </c>
      <c r="G185" s="18"/>
      <c r="H185" s="2">
        <f t="shared" si="12"/>
        <v>95374.11</v>
      </c>
      <c r="I185" s="18">
        <f t="shared" si="13"/>
        <v>95374.11</v>
      </c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  <c r="GA185" s="25"/>
      <c r="GB185" s="25"/>
      <c r="GC185" s="25"/>
      <c r="GD185" s="25"/>
      <c r="GE185" s="25"/>
      <c r="GF185" s="25"/>
      <c r="GG185" s="25"/>
      <c r="GH185" s="25"/>
      <c r="GI185" s="25"/>
      <c r="GJ185" s="25"/>
      <c r="GK185" s="25"/>
      <c r="GL185" s="25"/>
      <c r="GM185" s="25"/>
      <c r="GN185" s="25"/>
      <c r="GO185" s="25"/>
      <c r="GP185" s="25"/>
      <c r="GQ185" s="25"/>
      <c r="GR185" s="25"/>
      <c r="GS185" s="25"/>
      <c r="GT185" s="25"/>
      <c r="GU185" s="25"/>
      <c r="GV185" s="25"/>
      <c r="GW185" s="25"/>
      <c r="GX185" s="25"/>
      <c r="GY185" s="25"/>
      <c r="GZ185" s="25"/>
      <c r="HA185" s="25"/>
      <c r="HB185" s="25"/>
      <c r="HC185" s="25"/>
      <c r="HD185" s="25"/>
      <c r="HE185" s="25"/>
      <c r="HF185" s="25"/>
      <c r="HG185" s="25"/>
      <c r="HH185" s="25"/>
      <c r="HI185" s="25"/>
      <c r="HJ185" s="25"/>
      <c r="HK185" s="25"/>
      <c r="HL185" s="25"/>
      <c r="HM185" s="25"/>
      <c r="HN185" s="25"/>
      <c r="HO185" s="25"/>
      <c r="HP185" s="25"/>
      <c r="HQ185" s="25"/>
      <c r="HR185" s="25"/>
      <c r="HS185" s="25"/>
      <c r="HT185" s="25"/>
      <c r="HU185" s="25"/>
      <c r="HV185" s="25"/>
      <c r="HW185" s="25"/>
      <c r="HX185" s="25"/>
      <c r="HY185" s="25"/>
      <c r="HZ185" s="25"/>
      <c r="IA185" s="25"/>
      <c r="IB185" s="25"/>
      <c r="IC185" s="25"/>
      <c r="ID185" s="25"/>
      <c r="IE185" s="25"/>
      <c r="IF185" s="25"/>
      <c r="IG185" s="25"/>
      <c r="IH185" s="25"/>
      <c r="II185" s="25"/>
      <c r="IJ185" s="25"/>
      <c r="IK185" s="25"/>
      <c r="IL185" s="25"/>
      <c r="IM185" s="25"/>
      <c r="IN185" s="25"/>
      <c r="IO185" s="25"/>
      <c r="IP185" s="25"/>
      <c r="IQ185" s="25"/>
      <c r="IR185" s="25"/>
    </row>
    <row r="186" spans="1:252" s="39" customFormat="1" ht="31.2" outlineLevel="1" x14ac:dyDescent="0.25">
      <c r="A186" s="107" t="s">
        <v>513</v>
      </c>
      <c r="B186" s="29" t="s">
        <v>346</v>
      </c>
      <c r="C186" s="31" t="s">
        <v>14</v>
      </c>
      <c r="D186" s="267">
        <f>10.28*(14*1+12*1+16*1+21*0.12)+(1.3+1.4)*2*1*3</f>
        <v>473.86559999999997</v>
      </c>
      <c r="E186" s="31">
        <v>400</v>
      </c>
      <c r="F186" s="60"/>
      <c r="G186" s="2">
        <f>ROUND(E186*D186,2)</f>
        <v>189546.23999999999</v>
      </c>
      <c r="H186" s="18"/>
      <c r="I186" s="18">
        <f t="shared" ref="I186:I195" si="14">G186+H186</f>
        <v>189546.23999999999</v>
      </c>
      <c r="J186" s="25"/>
      <c r="K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  <c r="GA186" s="25"/>
      <c r="GB186" s="25"/>
      <c r="GC186" s="25"/>
      <c r="GD186" s="25"/>
      <c r="GE186" s="25"/>
      <c r="GF186" s="25"/>
      <c r="GG186" s="25"/>
      <c r="GH186" s="25"/>
      <c r="GI186" s="25"/>
      <c r="GJ186" s="25"/>
      <c r="GK186" s="25"/>
      <c r="GL186" s="25"/>
      <c r="GM186" s="25"/>
      <c r="GN186" s="25"/>
      <c r="GO186" s="25"/>
      <c r="GP186" s="25"/>
      <c r="GQ186" s="25"/>
      <c r="GR186" s="25"/>
      <c r="GS186" s="25"/>
      <c r="GT186" s="25"/>
      <c r="GU186" s="25"/>
      <c r="GV186" s="25"/>
      <c r="GW186" s="25"/>
      <c r="GX186" s="25"/>
      <c r="GY186" s="25"/>
      <c r="GZ186" s="25"/>
      <c r="HA186" s="25"/>
      <c r="HB186" s="25"/>
      <c r="HC186" s="25"/>
      <c r="HD186" s="25"/>
      <c r="HE186" s="25"/>
      <c r="HF186" s="25"/>
      <c r="HG186" s="25"/>
      <c r="HH186" s="25"/>
      <c r="HI186" s="25"/>
      <c r="HJ186" s="25"/>
      <c r="HK186" s="25"/>
      <c r="HL186" s="25"/>
      <c r="HM186" s="25"/>
      <c r="HN186" s="25"/>
      <c r="HO186" s="25"/>
      <c r="HP186" s="25"/>
      <c r="HQ186" s="25"/>
      <c r="HR186" s="25"/>
      <c r="HS186" s="25"/>
      <c r="HT186" s="25"/>
      <c r="HU186" s="25"/>
      <c r="HV186" s="25"/>
      <c r="HW186" s="25"/>
      <c r="HX186" s="25"/>
      <c r="HY186" s="25"/>
      <c r="HZ186" s="25"/>
      <c r="IA186" s="25"/>
      <c r="IB186" s="25"/>
      <c r="IC186" s="25"/>
      <c r="ID186" s="25"/>
      <c r="IE186" s="25"/>
      <c r="IF186" s="25"/>
      <c r="IG186" s="25"/>
      <c r="IH186" s="25"/>
      <c r="II186" s="25"/>
      <c r="IJ186" s="25"/>
      <c r="IK186" s="25"/>
      <c r="IL186" s="25"/>
      <c r="IM186" s="25"/>
      <c r="IN186" s="25"/>
      <c r="IO186" s="25"/>
      <c r="IP186" s="25"/>
      <c r="IQ186" s="25"/>
      <c r="IR186" s="25"/>
    </row>
    <row r="187" spans="1:252" s="39" customFormat="1" outlineLevel="1" x14ac:dyDescent="0.25">
      <c r="A187" s="84"/>
      <c r="B187" s="96" t="s">
        <v>228</v>
      </c>
      <c r="C187" s="55" t="s">
        <v>15</v>
      </c>
      <c r="D187" s="42">
        <f>ROUND(D186*0.1,2)</f>
        <v>47.39</v>
      </c>
      <c r="E187" s="18"/>
      <c r="F187" s="142">
        <f>ROUND(1868.06/10,2)</f>
        <v>186.81</v>
      </c>
      <c r="G187" s="18"/>
      <c r="H187" s="2">
        <f t="shared" ref="H187:H192" si="15">ROUND(D187*F187,2)</f>
        <v>8852.93</v>
      </c>
      <c r="I187" s="18">
        <f t="shared" si="14"/>
        <v>8852.93</v>
      </c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  <c r="FY187" s="25"/>
      <c r="FZ187" s="25"/>
      <c r="GA187" s="25"/>
      <c r="GB187" s="25"/>
      <c r="GC187" s="25"/>
      <c r="GD187" s="25"/>
      <c r="GE187" s="25"/>
      <c r="GF187" s="25"/>
      <c r="GG187" s="25"/>
      <c r="GH187" s="25"/>
      <c r="GI187" s="25"/>
      <c r="GJ187" s="25"/>
      <c r="GK187" s="25"/>
      <c r="GL187" s="25"/>
      <c r="GM187" s="25"/>
      <c r="GN187" s="25"/>
      <c r="GO187" s="25"/>
      <c r="GP187" s="25"/>
      <c r="GQ187" s="25"/>
      <c r="GR187" s="25"/>
      <c r="GS187" s="25"/>
      <c r="GT187" s="25"/>
      <c r="GU187" s="25"/>
      <c r="GV187" s="25"/>
      <c r="GW187" s="25"/>
      <c r="GX187" s="25"/>
      <c r="GY187" s="25"/>
      <c r="GZ187" s="25"/>
      <c r="HA187" s="25"/>
      <c r="HB187" s="25"/>
      <c r="HC187" s="25"/>
      <c r="HD187" s="25"/>
      <c r="HE187" s="25"/>
      <c r="HF187" s="25"/>
      <c r="HG187" s="25"/>
      <c r="HH187" s="25"/>
      <c r="HI187" s="25"/>
      <c r="HJ187" s="25"/>
      <c r="HK187" s="25"/>
      <c r="HL187" s="25"/>
      <c r="HM187" s="25"/>
      <c r="HN187" s="25"/>
      <c r="HO187" s="25"/>
      <c r="HP187" s="25"/>
      <c r="HQ187" s="25"/>
      <c r="HR187" s="25"/>
      <c r="HS187" s="25"/>
      <c r="HT187" s="25"/>
      <c r="HU187" s="25"/>
      <c r="HV187" s="25"/>
      <c r="HW187" s="25"/>
      <c r="HX187" s="25"/>
      <c r="HY187" s="25"/>
      <c r="HZ187" s="25"/>
      <c r="IA187" s="25"/>
      <c r="IB187" s="25"/>
      <c r="IC187" s="25"/>
      <c r="ID187" s="25"/>
      <c r="IE187" s="25"/>
      <c r="IF187" s="25"/>
      <c r="IG187" s="25"/>
      <c r="IH187" s="25"/>
      <c r="II187" s="25"/>
      <c r="IJ187" s="25"/>
      <c r="IK187" s="25"/>
      <c r="IL187" s="25"/>
      <c r="IM187" s="25"/>
      <c r="IN187" s="25"/>
      <c r="IO187" s="25"/>
      <c r="IP187" s="25"/>
      <c r="IQ187" s="25"/>
      <c r="IR187" s="25"/>
    </row>
    <row r="188" spans="1:252" s="39" customFormat="1" outlineLevel="1" x14ac:dyDescent="0.25">
      <c r="A188" s="84"/>
      <c r="B188" s="96" t="s">
        <v>233</v>
      </c>
      <c r="C188" s="55" t="s">
        <v>14</v>
      </c>
      <c r="D188" s="42">
        <f>ROUND(D186*1.1,2)</f>
        <v>521.25</v>
      </c>
      <c r="E188" s="18"/>
      <c r="F188" s="142">
        <f>ROUND(1400/50,2)</f>
        <v>28</v>
      </c>
      <c r="G188" s="18"/>
      <c r="H188" s="2">
        <f t="shared" si="15"/>
        <v>14595</v>
      </c>
      <c r="I188" s="18">
        <f t="shared" si="14"/>
        <v>14595</v>
      </c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  <c r="FY188" s="25"/>
      <c r="FZ188" s="25"/>
      <c r="GA188" s="25"/>
      <c r="GB188" s="25"/>
      <c r="GC188" s="25"/>
      <c r="GD188" s="25"/>
      <c r="GE188" s="25"/>
      <c r="GF188" s="25"/>
      <c r="GG188" s="25"/>
      <c r="GH188" s="25"/>
      <c r="GI188" s="25"/>
      <c r="GJ188" s="25"/>
      <c r="GK188" s="25"/>
      <c r="GL188" s="25"/>
      <c r="GM188" s="25"/>
      <c r="GN188" s="25"/>
      <c r="GO188" s="25"/>
      <c r="GP188" s="25"/>
      <c r="GQ188" s="25"/>
      <c r="GR188" s="25"/>
      <c r="GS188" s="25"/>
      <c r="GT188" s="25"/>
      <c r="GU188" s="25"/>
      <c r="GV188" s="25"/>
      <c r="GW188" s="25"/>
      <c r="GX188" s="25"/>
      <c r="GY188" s="25"/>
      <c r="GZ188" s="25"/>
      <c r="HA188" s="25"/>
      <c r="HB188" s="25"/>
      <c r="HC188" s="25"/>
      <c r="HD188" s="25"/>
      <c r="HE188" s="25"/>
      <c r="HF188" s="25"/>
      <c r="HG188" s="25"/>
      <c r="HH188" s="25"/>
      <c r="HI188" s="25"/>
      <c r="HJ188" s="25"/>
      <c r="HK188" s="25"/>
      <c r="HL188" s="25"/>
      <c r="HM188" s="25"/>
      <c r="HN188" s="25"/>
      <c r="HO188" s="25"/>
      <c r="HP188" s="25"/>
      <c r="HQ188" s="25"/>
      <c r="HR188" s="25"/>
      <c r="HS188" s="25"/>
      <c r="HT188" s="25"/>
      <c r="HU188" s="25"/>
      <c r="HV188" s="25"/>
      <c r="HW188" s="25"/>
      <c r="HX188" s="25"/>
      <c r="HY188" s="25"/>
      <c r="HZ188" s="25"/>
      <c r="IA188" s="25"/>
      <c r="IB188" s="25"/>
      <c r="IC188" s="25"/>
      <c r="ID188" s="25"/>
      <c r="IE188" s="25"/>
      <c r="IF188" s="25"/>
      <c r="IG188" s="25"/>
      <c r="IH188" s="25"/>
      <c r="II188" s="25"/>
      <c r="IJ188" s="25"/>
      <c r="IK188" s="25"/>
      <c r="IL188" s="25"/>
      <c r="IM188" s="25"/>
      <c r="IN188" s="25"/>
      <c r="IO188" s="25"/>
      <c r="IP188" s="25"/>
      <c r="IQ188" s="25"/>
      <c r="IR188" s="25"/>
    </row>
    <row r="189" spans="1:252" s="39" customFormat="1" ht="27.6" outlineLevel="1" x14ac:dyDescent="0.25">
      <c r="A189" s="84"/>
      <c r="B189" s="96" t="s">
        <v>234</v>
      </c>
      <c r="C189" s="55" t="s">
        <v>15</v>
      </c>
      <c r="D189" s="42">
        <f>ROUND(D186*5,2)</f>
        <v>2369.33</v>
      </c>
      <c r="E189" s="18"/>
      <c r="F189" s="142">
        <f>ROUND(443/25,2)</f>
        <v>17.72</v>
      </c>
      <c r="G189" s="18"/>
      <c r="H189" s="2">
        <f t="shared" si="15"/>
        <v>41984.53</v>
      </c>
      <c r="I189" s="18">
        <f t="shared" si="14"/>
        <v>41984.53</v>
      </c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  <c r="FY189" s="25"/>
      <c r="FZ189" s="25"/>
      <c r="GA189" s="25"/>
      <c r="GB189" s="25"/>
      <c r="GC189" s="25"/>
      <c r="GD189" s="25"/>
      <c r="GE189" s="25"/>
      <c r="GF189" s="25"/>
      <c r="GG189" s="25"/>
      <c r="GH189" s="25"/>
      <c r="GI189" s="25"/>
      <c r="GJ189" s="25"/>
      <c r="GK189" s="25"/>
      <c r="GL189" s="25"/>
      <c r="GM189" s="25"/>
      <c r="GN189" s="25"/>
      <c r="GO189" s="25"/>
      <c r="GP189" s="25"/>
      <c r="GQ189" s="25"/>
      <c r="GR189" s="25"/>
      <c r="GS189" s="25"/>
      <c r="GT189" s="25"/>
      <c r="GU189" s="25"/>
      <c r="GV189" s="25"/>
      <c r="GW189" s="25"/>
      <c r="GX189" s="25"/>
      <c r="GY189" s="25"/>
      <c r="GZ189" s="25"/>
      <c r="HA189" s="25"/>
      <c r="HB189" s="25"/>
      <c r="HC189" s="25"/>
      <c r="HD189" s="25"/>
      <c r="HE189" s="25"/>
      <c r="HF189" s="25"/>
      <c r="HG189" s="25"/>
      <c r="HH189" s="25"/>
      <c r="HI189" s="25"/>
      <c r="HJ189" s="25"/>
      <c r="HK189" s="25"/>
      <c r="HL189" s="25"/>
      <c r="HM189" s="25"/>
      <c r="HN189" s="25"/>
      <c r="HO189" s="25"/>
      <c r="HP189" s="25"/>
      <c r="HQ189" s="25"/>
      <c r="HR189" s="25"/>
      <c r="HS189" s="25"/>
      <c r="HT189" s="25"/>
      <c r="HU189" s="25"/>
      <c r="HV189" s="25"/>
      <c r="HW189" s="25"/>
      <c r="HX189" s="25"/>
      <c r="HY189" s="25"/>
      <c r="HZ189" s="25"/>
      <c r="IA189" s="25"/>
      <c r="IB189" s="25"/>
      <c r="IC189" s="25"/>
      <c r="ID189" s="25"/>
      <c r="IE189" s="25"/>
      <c r="IF189" s="25"/>
      <c r="IG189" s="25"/>
      <c r="IH189" s="25"/>
      <c r="II189" s="25"/>
      <c r="IJ189" s="25"/>
      <c r="IK189" s="25"/>
      <c r="IL189" s="25"/>
      <c r="IM189" s="25"/>
      <c r="IN189" s="25"/>
      <c r="IO189" s="25"/>
      <c r="IP189" s="25"/>
      <c r="IQ189" s="25"/>
      <c r="IR189" s="25"/>
    </row>
    <row r="190" spans="1:252" s="39" customFormat="1" ht="27.6" outlineLevel="1" x14ac:dyDescent="0.25">
      <c r="A190" s="125"/>
      <c r="B190" s="97" t="s">
        <v>237</v>
      </c>
      <c r="C190" s="55" t="s">
        <v>15</v>
      </c>
      <c r="D190" s="42">
        <f>ROUND(D186*3,2)</f>
        <v>1421.6</v>
      </c>
      <c r="E190" s="2"/>
      <c r="F190" s="142">
        <f>532.98/25</f>
        <v>21.319200000000002</v>
      </c>
      <c r="G190" s="18"/>
      <c r="H190" s="2">
        <f t="shared" si="15"/>
        <v>30307.37</v>
      </c>
      <c r="I190" s="18">
        <f t="shared" si="14"/>
        <v>30307.37</v>
      </c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  <c r="FY190" s="25"/>
      <c r="FZ190" s="25"/>
      <c r="GA190" s="25"/>
      <c r="GB190" s="25"/>
      <c r="GC190" s="25"/>
      <c r="GD190" s="25"/>
      <c r="GE190" s="25"/>
      <c r="GF190" s="25"/>
      <c r="GG190" s="25"/>
      <c r="GH190" s="25"/>
      <c r="GI190" s="25"/>
      <c r="GJ190" s="25"/>
      <c r="GK190" s="25"/>
      <c r="GL190" s="25"/>
      <c r="GM190" s="25"/>
      <c r="GN190" s="25"/>
      <c r="GO190" s="25"/>
      <c r="GP190" s="25"/>
      <c r="GQ190" s="25"/>
      <c r="GR190" s="25"/>
      <c r="GS190" s="25"/>
      <c r="GT190" s="25"/>
      <c r="GU190" s="25"/>
      <c r="GV190" s="25"/>
      <c r="GW190" s="25"/>
      <c r="GX190" s="25"/>
      <c r="GY190" s="25"/>
      <c r="GZ190" s="25"/>
      <c r="HA190" s="25"/>
      <c r="HB190" s="25"/>
      <c r="HC190" s="25"/>
      <c r="HD190" s="25"/>
      <c r="HE190" s="25"/>
      <c r="HF190" s="25"/>
      <c r="HG190" s="25"/>
      <c r="HH190" s="25"/>
      <c r="HI190" s="25"/>
      <c r="HJ190" s="25"/>
      <c r="HK190" s="25"/>
      <c r="HL190" s="25"/>
      <c r="HM190" s="25"/>
      <c r="HN190" s="25"/>
      <c r="HO190" s="25"/>
      <c r="HP190" s="25"/>
      <c r="HQ190" s="25"/>
      <c r="HR190" s="25"/>
      <c r="HS190" s="25"/>
      <c r="HT190" s="25"/>
      <c r="HU190" s="25"/>
      <c r="HV190" s="25"/>
      <c r="HW190" s="25"/>
      <c r="HX190" s="25"/>
      <c r="HY190" s="25"/>
      <c r="HZ190" s="25"/>
      <c r="IA190" s="25"/>
      <c r="IB190" s="25"/>
      <c r="IC190" s="25"/>
      <c r="ID190" s="25"/>
      <c r="IE190" s="25"/>
      <c r="IF190" s="25"/>
      <c r="IG190" s="25"/>
      <c r="IH190" s="25"/>
      <c r="II190" s="25"/>
      <c r="IJ190" s="25"/>
      <c r="IK190" s="25"/>
      <c r="IL190" s="25"/>
      <c r="IM190" s="25"/>
      <c r="IN190" s="25"/>
      <c r="IO190" s="25"/>
      <c r="IP190" s="25"/>
      <c r="IQ190" s="25"/>
      <c r="IR190" s="25"/>
    </row>
    <row r="191" spans="1:252" s="39" customFormat="1" outlineLevel="1" x14ac:dyDescent="0.25">
      <c r="A191" s="84"/>
      <c r="B191" s="96" t="s">
        <v>228</v>
      </c>
      <c r="C191" s="55" t="s">
        <v>15</v>
      </c>
      <c r="D191" s="42">
        <f>ROUND(D186*0.1,2)</f>
        <v>47.39</v>
      </c>
      <c r="E191" s="18"/>
      <c r="F191" s="142">
        <f>ROUND(1868.06/10,2)</f>
        <v>186.81</v>
      </c>
      <c r="G191" s="18"/>
      <c r="H191" s="2">
        <f t="shared" si="15"/>
        <v>8852.93</v>
      </c>
      <c r="I191" s="18">
        <f t="shared" si="14"/>
        <v>8852.93</v>
      </c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  <c r="GA191" s="25"/>
      <c r="GB191" s="25"/>
      <c r="GC191" s="25"/>
      <c r="GD191" s="25"/>
      <c r="GE191" s="25"/>
      <c r="GF191" s="25"/>
      <c r="GG191" s="25"/>
      <c r="GH191" s="25"/>
      <c r="GI191" s="25"/>
      <c r="GJ191" s="25"/>
      <c r="GK191" s="25"/>
      <c r="GL191" s="25"/>
      <c r="GM191" s="25"/>
      <c r="GN191" s="25"/>
      <c r="GO191" s="25"/>
      <c r="GP191" s="25"/>
      <c r="GQ191" s="25"/>
      <c r="GR191" s="25"/>
      <c r="GS191" s="25"/>
      <c r="GT191" s="25"/>
      <c r="GU191" s="25"/>
      <c r="GV191" s="25"/>
      <c r="GW191" s="25"/>
      <c r="GX191" s="25"/>
      <c r="GY191" s="25"/>
      <c r="GZ191" s="25"/>
      <c r="HA191" s="25"/>
      <c r="HB191" s="25"/>
      <c r="HC191" s="25"/>
      <c r="HD191" s="25"/>
      <c r="HE191" s="25"/>
      <c r="HF191" s="25"/>
      <c r="HG191" s="25"/>
      <c r="HH191" s="25"/>
      <c r="HI191" s="25"/>
      <c r="HJ191" s="25"/>
      <c r="HK191" s="25"/>
      <c r="HL191" s="25"/>
      <c r="HM191" s="25"/>
      <c r="HN191" s="25"/>
      <c r="HO191" s="25"/>
      <c r="HP191" s="25"/>
      <c r="HQ191" s="25"/>
      <c r="HR191" s="25"/>
      <c r="HS191" s="25"/>
      <c r="HT191" s="25"/>
      <c r="HU191" s="25"/>
      <c r="HV191" s="25"/>
      <c r="HW191" s="25"/>
      <c r="HX191" s="25"/>
      <c r="HY191" s="25"/>
      <c r="HZ191" s="25"/>
      <c r="IA191" s="25"/>
      <c r="IB191" s="25"/>
      <c r="IC191" s="25"/>
      <c r="ID191" s="25"/>
      <c r="IE191" s="25"/>
      <c r="IF191" s="25"/>
      <c r="IG191" s="25"/>
      <c r="IH191" s="25"/>
      <c r="II191" s="25"/>
      <c r="IJ191" s="25"/>
      <c r="IK191" s="25"/>
      <c r="IL191" s="25"/>
      <c r="IM191" s="25"/>
      <c r="IN191" s="25"/>
      <c r="IO191" s="25"/>
      <c r="IP191" s="25"/>
      <c r="IQ191" s="25"/>
      <c r="IR191" s="25"/>
    </row>
    <row r="192" spans="1:252" s="39" customFormat="1" outlineLevel="1" x14ac:dyDescent="0.25">
      <c r="A192" s="125"/>
      <c r="B192" s="96" t="s">
        <v>238</v>
      </c>
      <c r="C192" s="55" t="s">
        <v>30</v>
      </c>
      <c r="D192" s="42">
        <f>ROUND(D186*0.45,2)</f>
        <v>213.24</v>
      </c>
      <c r="E192" s="18"/>
      <c r="F192" s="142">
        <f>ROUND(3956.19/25,2)</f>
        <v>158.25</v>
      </c>
      <c r="G192" s="18"/>
      <c r="H192" s="2">
        <f t="shared" si="15"/>
        <v>33745.230000000003</v>
      </c>
      <c r="I192" s="18">
        <f t="shared" si="14"/>
        <v>33745.230000000003</v>
      </c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  <c r="GA192" s="25"/>
      <c r="GB192" s="25"/>
      <c r="GC192" s="25"/>
      <c r="GD192" s="25"/>
      <c r="GE192" s="25"/>
      <c r="GF192" s="25"/>
      <c r="GG192" s="25"/>
      <c r="GH192" s="25"/>
      <c r="GI192" s="25"/>
      <c r="GJ192" s="25"/>
      <c r="GK192" s="25"/>
      <c r="GL192" s="25"/>
      <c r="GM192" s="25"/>
      <c r="GN192" s="25"/>
      <c r="GO192" s="25"/>
      <c r="GP192" s="25"/>
      <c r="GQ192" s="25"/>
      <c r="GR192" s="25"/>
      <c r="GS192" s="25"/>
      <c r="GT192" s="25"/>
      <c r="GU192" s="25"/>
      <c r="GV192" s="25"/>
      <c r="GW192" s="25"/>
      <c r="GX192" s="25"/>
      <c r="GY192" s="25"/>
      <c r="GZ192" s="25"/>
      <c r="HA192" s="25"/>
      <c r="HB192" s="25"/>
      <c r="HC192" s="25"/>
      <c r="HD192" s="25"/>
      <c r="HE192" s="25"/>
      <c r="HF192" s="25"/>
      <c r="HG192" s="25"/>
      <c r="HH192" s="25"/>
      <c r="HI192" s="25"/>
      <c r="HJ192" s="25"/>
      <c r="HK192" s="25"/>
      <c r="HL192" s="25"/>
      <c r="HM192" s="25"/>
      <c r="HN192" s="25"/>
      <c r="HO192" s="25"/>
      <c r="HP192" s="25"/>
      <c r="HQ192" s="25"/>
      <c r="HR192" s="25"/>
      <c r="HS192" s="25"/>
      <c r="HT192" s="25"/>
      <c r="HU192" s="25"/>
      <c r="HV192" s="25"/>
      <c r="HW192" s="25"/>
      <c r="HX192" s="25"/>
      <c r="HY192" s="25"/>
      <c r="HZ192" s="25"/>
      <c r="IA192" s="25"/>
      <c r="IB192" s="25"/>
      <c r="IC192" s="25"/>
      <c r="ID192" s="25"/>
      <c r="IE192" s="25"/>
      <c r="IF192" s="25"/>
      <c r="IG192" s="25"/>
      <c r="IH192" s="25"/>
      <c r="II192" s="25"/>
      <c r="IJ192" s="25"/>
      <c r="IK192" s="25"/>
      <c r="IL192" s="25"/>
      <c r="IM192" s="25"/>
      <c r="IN192" s="25"/>
      <c r="IO192" s="25"/>
      <c r="IP192" s="25"/>
      <c r="IQ192" s="25"/>
      <c r="IR192" s="25"/>
    </row>
    <row r="193" spans="1:252" s="39" customFormat="1" outlineLevel="1" x14ac:dyDescent="0.25">
      <c r="A193" s="107" t="s">
        <v>514</v>
      </c>
      <c r="B193" s="29" t="s">
        <v>403</v>
      </c>
      <c r="C193" s="31" t="s">
        <v>14</v>
      </c>
      <c r="D193" s="160">
        <f>(1*2.8*10+3.44*1*3)*3</f>
        <v>114.96000000000001</v>
      </c>
      <c r="E193" s="31">
        <v>150</v>
      </c>
      <c r="F193" s="60"/>
      <c r="G193" s="2">
        <f>ROUND(E193*D193,2)</f>
        <v>17244</v>
      </c>
      <c r="H193" s="18"/>
      <c r="I193" s="18">
        <f t="shared" si="14"/>
        <v>17244</v>
      </c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  <c r="FY193" s="25"/>
      <c r="FZ193" s="25"/>
      <c r="GA193" s="25"/>
      <c r="GB193" s="25"/>
      <c r="GC193" s="25"/>
      <c r="GD193" s="25"/>
      <c r="GE193" s="25"/>
      <c r="GF193" s="25"/>
      <c r="GG193" s="25"/>
      <c r="GH193" s="25"/>
      <c r="GI193" s="25"/>
      <c r="GJ193" s="25"/>
      <c r="GK193" s="25"/>
      <c r="GL193" s="25"/>
      <c r="GM193" s="25"/>
      <c r="GN193" s="25"/>
      <c r="GO193" s="25"/>
      <c r="GP193" s="25"/>
      <c r="GQ193" s="25"/>
      <c r="GR193" s="25"/>
      <c r="GS193" s="25"/>
      <c r="GT193" s="25"/>
      <c r="GU193" s="25"/>
      <c r="GV193" s="25"/>
      <c r="GW193" s="25"/>
      <c r="GX193" s="25"/>
      <c r="GY193" s="25"/>
      <c r="GZ193" s="25"/>
      <c r="HA193" s="25"/>
      <c r="HB193" s="25"/>
      <c r="HC193" s="25"/>
      <c r="HD193" s="25"/>
      <c r="HE193" s="25"/>
      <c r="HF193" s="25"/>
      <c r="HG193" s="25"/>
      <c r="HH193" s="25"/>
      <c r="HI193" s="25"/>
      <c r="HJ193" s="25"/>
      <c r="HK193" s="25"/>
      <c r="HL193" s="25"/>
      <c r="HM193" s="25"/>
      <c r="HN193" s="25"/>
      <c r="HO193" s="25"/>
      <c r="HP193" s="25"/>
      <c r="HQ193" s="25"/>
      <c r="HR193" s="25"/>
      <c r="HS193" s="25"/>
      <c r="HT193" s="25"/>
      <c r="HU193" s="25"/>
      <c r="HV193" s="25"/>
      <c r="HW193" s="25"/>
      <c r="HX193" s="25"/>
      <c r="HY193" s="25"/>
      <c r="HZ193" s="25"/>
      <c r="IA193" s="25"/>
      <c r="IB193" s="25"/>
      <c r="IC193" s="25"/>
      <c r="ID193" s="25"/>
      <c r="IE193" s="25"/>
      <c r="IF193" s="25"/>
      <c r="IG193" s="25"/>
      <c r="IH193" s="25"/>
      <c r="II193" s="25"/>
      <c r="IJ193" s="25"/>
      <c r="IK193" s="25"/>
      <c r="IL193" s="25"/>
      <c r="IM193" s="25"/>
      <c r="IN193" s="25"/>
      <c r="IO193" s="25"/>
      <c r="IP193" s="25"/>
      <c r="IQ193" s="25"/>
      <c r="IR193" s="25"/>
    </row>
    <row r="194" spans="1:252" s="39" customFormat="1" outlineLevel="1" x14ac:dyDescent="0.25">
      <c r="A194" s="121"/>
      <c r="B194" s="96" t="s">
        <v>228</v>
      </c>
      <c r="C194" s="55" t="s">
        <v>15</v>
      </c>
      <c r="D194" s="42">
        <f>ROUND(D193*0.1,2)</f>
        <v>11.5</v>
      </c>
      <c r="E194" s="18"/>
      <c r="F194" s="142">
        <f>ROUND(1868.06/10,2)</f>
        <v>186.81</v>
      </c>
      <c r="G194" s="18"/>
      <c r="H194" s="2">
        <f>ROUND(D194*F194,2)</f>
        <v>2148.3200000000002</v>
      </c>
      <c r="I194" s="18">
        <f t="shared" si="14"/>
        <v>2148.3200000000002</v>
      </c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  <c r="FY194" s="25"/>
      <c r="FZ194" s="25"/>
      <c r="GA194" s="25"/>
      <c r="GB194" s="25"/>
      <c r="GC194" s="25"/>
      <c r="GD194" s="25"/>
      <c r="GE194" s="25"/>
      <c r="GF194" s="25"/>
      <c r="GG194" s="25"/>
      <c r="GH194" s="25"/>
      <c r="GI194" s="25"/>
      <c r="GJ194" s="25"/>
      <c r="GK194" s="25"/>
      <c r="GL194" s="25"/>
      <c r="GM194" s="25"/>
      <c r="GN194" s="25"/>
      <c r="GO194" s="25"/>
      <c r="GP194" s="25"/>
      <c r="GQ194" s="25"/>
      <c r="GR194" s="25"/>
      <c r="GS194" s="25"/>
      <c r="GT194" s="25"/>
      <c r="GU194" s="25"/>
      <c r="GV194" s="25"/>
      <c r="GW194" s="25"/>
      <c r="GX194" s="25"/>
      <c r="GY194" s="25"/>
      <c r="GZ194" s="25"/>
      <c r="HA194" s="25"/>
      <c r="HB194" s="25"/>
      <c r="HC194" s="25"/>
      <c r="HD194" s="25"/>
      <c r="HE194" s="25"/>
      <c r="HF194" s="25"/>
      <c r="HG194" s="25"/>
      <c r="HH194" s="25"/>
      <c r="HI194" s="25"/>
      <c r="HJ194" s="25"/>
      <c r="HK194" s="25"/>
      <c r="HL194" s="25"/>
      <c r="HM194" s="25"/>
      <c r="HN194" s="25"/>
      <c r="HO194" s="25"/>
      <c r="HP194" s="25"/>
      <c r="HQ194" s="25"/>
      <c r="HR194" s="25"/>
      <c r="HS194" s="25"/>
      <c r="HT194" s="25"/>
      <c r="HU194" s="25"/>
      <c r="HV194" s="25"/>
      <c r="HW194" s="25"/>
      <c r="HX194" s="25"/>
      <c r="HY194" s="25"/>
      <c r="HZ194" s="25"/>
      <c r="IA194" s="25"/>
      <c r="IB194" s="25"/>
      <c r="IC194" s="25"/>
      <c r="ID194" s="25"/>
      <c r="IE194" s="25"/>
      <c r="IF194" s="25"/>
      <c r="IG194" s="25"/>
      <c r="IH194" s="25"/>
      <c r="II194" s="25"/>
      <c r="IJ194" s="25"/>
      <c r="IK194" s="25"/>
      <c r="IL194" s="25"/>
      <c r="IM194" s="25"/>
      <c r="IN194" s="25"/>
      <c r="IO194" s="25"/>
      <c r="IP194" s="25"/>
      <c r="IQ194" s="25"/>
      <c r="IR194" s="25"/>
    </row>
    <row r="195" spans="1:252" s="39" customFormat="1" outlineLevel="1" x14ac:dyDescent="0.25">
      <c r="A195" s="121"/>
      <c r="B195" s="96" t="s">
        <v>238</v>
      </c>
      <c r="C195" s="55" t="s">
        <v>30</v>
      </c>
      <c r="D195" s="42">
        <f>ROUND(D193*0.45,2)</f>
        <v>51.73</v>
      </c>
      <c r="E195" s="18"/>
      <c r="F195" s="142">
        <f>ROUND(3956.19/25,2)</f>
        <v>158.25</v>
      </c>
      <c r="G195" s="18"/>
      <c r="H195" s="2">
        <f>ROUND(D195*F195,2)</f>
        <v>8186.27</v>
      </c>
      <c r="I195" s="18">
        <f t="shared" si="14"/>
        <v>8186.27</v>
      </c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  <c r="FY195" s="25"/>
      <c r="FZ195" s="25"/>
      <c r="GA195" s="25"/>
      <c r="GB195" s="25"/>
      <c r="GC195" s="25"/>
      <c r="GD195" s="25"/>
      <c r="GE195" s="25"/>
      <c r="GF195" s="25"/>
      <c r="GG195" s="25"/>
      <c r="GH195" s="25"/>
      <c r="GI195" s="25"/>
      <c r="GJ195" s="25"/>
      <c r="GK195" s="25"/>
      <c r="GL195" s="25"/>
      <c r="GM195" s="25"/>
      <c r="GN195" s="25"/>
      <c r="GO195" s="25"/>
      <c r="GP195" s="25"/>
      <c r="GQ195" s="25"/>
      <c r="GR195" s="25"/>
      <c r="GS195" s="25"/>
      <c r="GT195" s="25"/>
      <c r="GU195" s="25"/>
      <c r="GV195" s="25"/>
      <c r="GW195" s="25"/>
      <c r="GX195" s="25"/>
      <c r="GY195" s="25"/>
      <c r="GZ195" s="25"/>
      <c r="HA195" s="25"/>
      <c r="HB195" s="25"/>
      <c r="HC195" s="25"/>
      <c r="HD195" s="25"/>
      <c r="HE195" s="25"/>
      <c r="HF195" s="25"/>
      <c r="HG195" s="25"/>
      <c r="HH195" s="25"/>
      <c r="HI195" s="25"/>
      <c r="HJ195" s="25"/>
      <c r="HK195" s="25"/>
      <c r="HL195" s="25"/>
      <c r="HM195" s="25"/>
      <c r="HN195" s="25"/>
      <c r="HO195" s="25"/>
      <c r="HP195" s="25"/>
      <c r="HQ195" s="25"/>
      <c r="HR195" s="25"/>
      <c r="HS195" s="25"/>
      <c r="HT195" s="25"/>
      <c r="HU195" s="25"/>
      <c r="HV195" s="25"/>
      <c r="HW195" s="25"/>
      <c r="HX195" s="25"/>
      <c r="HY195" s="25"/>
      <c r="HZ195" s="25"/>
      <c r="IA195" s="25"/>
      <c r="IB195" s="25"/>
      <c r="IC195" s="25"/>
      <c r="ID195" s="25"/>
      <c r="IE195" s="25"/>
      <c r="IF195" s="25"/>
      <c r="IG195" s="25"/>
      <c r="IH195" s="25"/>
      <c r="II195" s="25"/>
      <c r="IJ195" s="25"/>
      <c r="IK195" s="25"/>
      <c r="IL195" s="25"/>
      <c r="IM195" s="25"/>
      <c r="IN195" s="25"/>
      <c r="IO195" s="25"/>
      <c r="IP195" s="25"/>
      <c r="IQ195" s="25"/>
      <c r="IR195" s="25"/>
    </row>
    <row r="196" spans="1:252" ht="19.5" customHeight="1" collapsed="1" x14ac:dyDescent="0.25">
      <c r="A196" s="223"/>
      <c r="B196" s="232" t="s">
        <v>57</v>
      </c>
      <c r="C196" s="225"/>
      <c r="D196" s="226"/>
      <c r="E196" s="227"/>
      <c r="F196" s="228"/>
      <c r="G196" s="227">
        <f>SUM(G173:G195)</f>
        <v>1010358.24</v>
      </c>
      <c r="H196" s="227">
        <f>SUM(H173:H195)</f>
        <v>1828248.5400000003</v>
      </c>
      <c r="I196" s="227">
        <f>SUM(I173:I195)</f>
        <v>2838606.7800000003</v>
      </c>
      <c r="L196" s="133"/>
    </row>
    <row r="197" spans="1:252" ht="17.399999999999999" customHeight="1" x14ac:dyDescent="0.25">
      <c r="A197" s="90"/>
      <c r="B197" s="58" t="s">
        <v>624</v>
      </c>
      <c r="C197" s="9"/>
      <c r="D197" s="31"/>
      <c r="E197" s="10"/>
      <c r="F197" s="57"/>
      <c r="G197" s="10"/>
      <c r="H197" s="10"/>
      <c r="I197" s="31">
        <f>ROUND(I196/1.18*0.18,2)</f>
        <v>433007.81</v>
      </c>
    </row>
    <row r="198" spans="1:252" ht="20.25" customHeight="1" x14ac:dyDescent="0.25">
      <c r="A198" s="109"/>
      <c r="B198" s="785" t="s">
        <v>515</v>
      </c>
      <c r="C198" s="786"/>
      <c r="D198" s="786"/>
      <c r="E198" s="786"/>
      <c r="F198" s="786"/>
      <c r="G198" s="105"/>
      <c r="H198" s="105"/>
      <c r="I198" s="106"/>
    </row>
    <row r="199" spans="1:252" ht="18" outlineLevel="1" x14ac:dyDescent="0.25">
      <c r="A199" s="84" t="s">
        <v>239</v>
      </c>
      <c r="B199" s="14" t="s">
        <v>40</v>
      </c>
      <c r="C199" s="14"/>
      <c r="D199" s="24"/>
      <c r="E199" s="77"/>
      <c r="F199" s="143"/>
      <c r="G199" s="77"/>
      <c r="H199" s="77"/>
      <c r="I199" s="77"/>
    </row>
    <row r="200" spans="1:252" ht="16.95" customHeight="1" outlineLevel="1" x14ac:dyDescent="0.25">
      <c r="A200" s="107" t="s">
        <v>516</v>
      </c>
      <c r="B200" s="79" t="s">
        <v>43</v>
      </c>
      <c r="C200" s="31" t="s">
        <v>14</v>
      </c>
      <c r="D200" s="256">
        <f>47.79+93.48</f>
        <v>141.27000000000001</v>
      </c>
      <c r="E200" s="31">
        <v>200</v>
      </c>
      <c r="F200" s="60"/>
      <c r="G200" s="2">
        <f>ROUND(E200*D200,2)</f>
        <v>28254</v>
      </c>
      <c r="H200" s="18"/>
      <c r="I200" s="18">
        <f t="shared" ref="I200:I209" si="16">H200+G200</f>
        <v>28254</v>
      </c>
    </row>
    <row r="201" spans="1:252" outlineLevel="1" x14ac:dyDescent="0.25">
      <c r="A201" s="84"/>
      <c r="B201" s="22" t="s">
        <v>44</v>
      </c>
      <c r="C201" s="21" t="s">
        <v>14</v>
      </c>
      <c r="D201" s="2">
        <f>ROUND(D200*1.1,2)</f>
        <v>155.4</v>
      </c>
      <c r="E201" s="18"/>
      <c r="F201" s="60">
        <f>ROUND(88.7*1.1,2)</f>
        <v>97.57</v>
      </c>
      <c r="G201" s="18"/>
      <c r="H201" s="2">
        <f>ROUND(D201*F201,2)</f>
        <v>15162.38</v>
      </c>
      <c r="I201" s="18">
        <f t="shared" si="16"/>
        <v>15162.38</v>
      </c>
    </row>
    <row r="202" spans="1:252" ht="18" outlineLevel="1" x14ac:dyDescent="0.25">
      <c r="A202" s="84"/>
      <c r="B202" s="14" t="s">
        <v>45</v>
      </c>
      <c r="C202" s="16"/>
      <c r="D202" s="167"/>
      <c r="E202" s="24"/>
      <c r="F202" s="144"/>
      <c r="G202" s="18"/>
      <c r="H202" s="18"/>
      <c r="I202" s="18">
        <f t="shared" si="16"/>
        <v>0</v>
      </c>
    </row>
    <row r="203" spans="1:252" ht="18.75" customHeight="1" outlineLevel="1" x14ac:dyDescent="0.25">
      <c r="A203" s="107" t="s">
        <v>517</v>
      </c>
      <c r="B203" s="79" t="s">
        <v>333</v>
      </c>
      <c r="C203" s="31" t="s">
        <v>14</v>
      </c>
      <c r="D203" s="256">
        <f>286.12+74.06+135.38+47.79</f>
        <v>543.35</v>
      </c>
      <c r="E203" s="31">
        <v>200</v>
      </c>
      <c r="F203" s="60"/>
      <c r="G203" s="2">
        <f>ROUND(E203*D203,2)</f>
        <v>108670</v>
      </c>
      <c r="H203" s="18"/>
      <c r="I203" s="18">
        <f t="shared" si="16"/>
        <v>108670</v>
      </c>
    </row>
    <row r="204" spans="1:252" outlineLevel="1" x14ac:dyDescent="0.25">
      <c r="A204" s="84"/>
      <c r="B204" s="28" t="s">
        <v>332</v>
      </c>
      <c r="C204" s="21" t="s">
        <v>8</v>
      </c>
      <c r="D204" s="2">
        <f>ROUND(D203*0.05,2)</f>
        <v>27.17</v>
      </c>
      <c r="E204" s="18"/>
      <c r="F204" s="140">
        <f>ROUND(3750*1.1,2)</f>
        <v>4125</v>
      </c>
      <c r="G204" s="18"/>
      <c r="H204" s="2">
        <f>ROUND(D204*F204,2)</f>
        <v>112076.25</v>
      </c>
      <c r="I204" s="18">
        <f t="shared" si="16"/>
        <v>112076.25</v>
      </c>
    </row>
    <row r="205" spans="1:252" ht="27.6" outlineLevel="1" x14ac:dyDescent="0.25">
      <c r="A205" s="107" t="s">
        <v>518</v>
      </c>
      <c r="B205" s="78" t="s">
        <v>46</v>
      </c>
      <c r="C205" s="31" t="s">
        <v>14</v>
      </c>
      <c r="D205" s="256">
        <f>D203</f>
        <v>543.35</v>
      </c>
      <c r="E205" s="18"/>
      <c r="F205" s="60"/>
      <c r="G205" s="18">
        <f>E205*D205</f>
        <v>0</v>
      </c>
      <c r="H205" s="18"/>
      <c r="I205" s="18">
        <f t="shared" si="16"/>
        <v>0</v>
      </c>
    </row>
    <row r="206" spans="1:252" outlineLevel="1" x14ac:dyDescent="0.25">
      <c r="A206" s="84"/>
      <c r="B206" s="22" t="s">
        <v>31</v>
      </c>
      <c r="C206" s="21" t="s">
        <v>14</v>
      </c>
      <c r="D206" s="2">
        <f>ROUND(D205*1.1,2)</f>
        <v>597.69000000000005</v>
      </c>
      <c r="E206" s="18"/>
      <c r="F206" s="140">
        <f>ROUND(10.1*1.1,2)</f>
        <v>11.11</v>
      </c>
      <c r="G206" s="18"/>
      <c r="H206" s="2">
        <f>ROUND(D206*F206,2)</f>
        <v>6640.34</v>
      </c>
      <c r="I206" s="18">
        <f t="shared" si="16"/>
        <v>6640.34</v>
      </c>
    </row>
    <row r="207" spans="1:252" ht="27.6" outlineLevel="1" x14ac:dyDescent="0.25">
      <c r="A207" s="107" t="s">
        <v>519</v>
      </c>
      <c r="B207" s="79" t="s">
        <v>337</v>
      </c>
      <c r="C207" s="31" t="s">
        <v>14</v>
      </c>
      <c r="D207" s="256">
        <f>D203</f>
        <v>543.35</v>
      </c>
      <c r="E207" s="31">
        <v>350</v>
      </c>
      <c r="F207" s="60"/>
      <c r="G207" s="2">
        <f>ROUND(E207*D207,2)</f>
        <v>190172.5</v>
      </c>
      <c r="H207" s="18"/>
      <c r="I207" s="18">
        <f t="shared" si="16"/>
        <v>190172.5</v>
      </c>
    </row>
    <row r="208" spans="1:252" outlineLevel="1" x14ac:dyDescent="0.25">
      <c r="A208" s="84"/>
      <c r="B208" s="22" t="s">
        <v>47</v>
      </c>
      <c r="C208" s="21" t="s">
        <v>8</v>
      </c>
      <c r="D208" s="2">
        <f>ROUND(D207*0.04,2)</f>
        <v>21.73</v>
      </c>
      <c r="E208" s="18"/>
      <c r="F208" s="11">
        <f>ROUND(4500*1.1,2)</f>
        <v>4950</v>
      </c>
      <c r="G208" s="18"/>
      <c r="H208" s="2">
        <f>ROUND(D208*F208,2)</f>
        <v>107563.5</v>
      </c>
      <c r="I208" s="18">
        <f t="shared" si="16"/>
        <v>107563.5</v>
      </c>
    </row>
    <row r="209" spans="1:252" outlineLevel="1" x14ac:dyDescent="0.25">
      <c r="A209" s="84"/>
      <c r="B209" s="28" t="s">
        <v>334</v>
      </c>
      <c r="C209" s="21" t="s">
        <v>14</v>
      </c>
      <c r="D209" s="2">
        <f>D207</f>
        <v>543.35</v>
      </c>
      <c r="E209" s="18"/>
      <c r="F209" s="60">
        <f>ROUND(87*1.1,2)</f>
        <v>95.7</v>
      </c>
      <c r="G209" s="18"/>
      <c r="H209" s="2">
        <f>ROUND(D209*F209,2)</f>
        <v>51998.6</v>
      </c>
      <c r="I209" s="18">
        <f t="shared" si="16"/>
        <v>51998.6</v>
      </c>
    </row>
    <row r="210" spans="1:252" outlineLevel="1" x14ac:dyDescent="0.25">
      <c r="A210" s="107" t="s">
        <v>520</v>
      </c>
      <c r="B210" s="79" t="s">
        <v>335</v>
      </c>
      <c r="C210" s="31" t="s">
        <v>14</v>
      </c>
      <c r="D210" s="256">
        <f>572.24+148.12+259.85+93.48</f>
        <v>1073.69</v>
      </c>
      <c r="E210" s="31">
        <v>350</v>
      </c>
      <c r="F210" s="60"/>
      <c r="G210" s="2">
        <f>ROUND(E210*D210,2)</f>
        <v>375791.5</v>
      </c>
      <c r="H210" s="18"/>
      <c r="I210" s="18">
        <f t="shared" ref="I210:I215" si="17">H210+G210</f>
        <v>375791.5</v>
      </c>
    </row>
    <row r="211" spans="1:252" outlineLevel="1" x14ac:dyDescent="0.25">
      <c r="A211" s="84"/>
      <c r="B211" s="22" t="s">
        <v>47</v>
      </c>
      <c r="C211" s="21" t="s">
        <v>8</v>
      </c>
      <c r="D211" s="2">
        <f>ROUND(D210*0.07,2)</f>
        <v>75.16</v>
      </c>
      <c r="E211" s="18"/>
      <c r="F211" s="11">
        <f>+ROUND(4500*1.1,2)</f>
        <v>4950</v>
      </c>
      <c r="G211" s="18"/>
      <c r="H211" s="2">
        <f>ROUND(D211*F211,2)</f>
        <v>372042</v>
      </c>
      <c r="I211" s="18">
        <f t="shared" si="17"/>
        <v>372042</v>
      </c>
    </row>
    <row r="212" spans="1:252" outlineLevel="1" x14ac:dyDescent="0.25">
      <c r="A212" s="269" t="s">
        <v>588</v>
      </c>
      <c r="B212" s="79" t="s">
        <v>578</v>
      </c>
      <c r="C212" s="31" t="s">
        <v>14</v>
      </c>
      <c r="D212" s="31">
        <v>314</v>
      </c>
      <c r="E212" s="31">
        <v>240</v>
      </c>
      <c r="F212" s="11"/>
      <c r="G212" s="2">
        <f>E212*D212</f>
        <v>75360</v>
      </c>
      <c r="H212" s="2"/>
      <c r="I212" s="2">
        <f t="shared" si="17"/>
        <v>75360</v>
      </c>
    </row>
    <row r="213" spans="1:252" outlineLevel="1" x14ac:dyDescent="0.25">
      <c r="A213" s="206"/>
      <c r="B213" s="22" t="s">
        <v>579</v>
      </c>
      <c r="C213" s="21" t="s">
        <v>29</v>
      </c>
      <c r="D213" s="2">
        <v>201</v>
      </c>
      <c r="E213" s="2"/>
      <c r="F213" s="11">
        <v>250</v>
      </c>
      <c r="G213" s="2"/>
      <c r="H213" s="2">
        <f>ROUND(D213*F213,2)</f>
        <v>50250</v>
      </c>
      <c r="I213" s="2">
        <f t="shared" si="17"/>
        <v>50250</v>
      </c>
    </row>
    <row r="214" spans="1:252" outlineLevel="1" x14ac:dyDescent="0.25">
      <c r="A214" s="86"/>
      <c r="B214" s="22" t="s">
        <v>579</v>
      </c>
      <c r="C214" s="21" t="s">
        <v>29</v>
      </c>
      <c r="D214" s="2">
        <v>201</v>
      </c>
      <c r="E214" s="2"/>
      <c r="F214" s="11">
        <v>250</v>
      </c>
      <c r="G214" s="2"/>
      <c r="H214" s="2">
        <f>ROUND(D214*F214,2)</f>
        <v>50250</v>
      </c>
      <c r="I214" s="2">
        <f t="shared" si="17"/>
        <v>50250</v>
      </c>
    </row>
    <row r="215" spans="1:252" outlineLevel="1" x14ac:dyDescent="0.25">
      <c r="A215" s="86"/>
      <c r="B215" s="22" t="s">
        <v>580</v>
      </c>
      <c r="C215" s="21" t="s">
        <v>14</v>
      </c>
      <c r="D215" s="2">
        <f>D212*1.03</f>
        <v>323.42</v>
      </c>
      <c r="E215" s="2"/>
      <c r="F215" s="11">
        <v>225</v>
      </c>
      <c r="G215" s="2"/>
      <c r="H215" s="2">
        <f>ROUND(D215*F215,2)</f>
        <v>72769.5</v>
      </c>
      <c r="I215" s="2">
        <f t="shared" si="17"/>
        <v>72769.5</v>
      </c>
    </row>
    <row r="216" spans="1:252" ht="27.6" collapsed="1" x14ac:dyDescent="0.25">
      <c r="A216" s="223"/>
      <c r="B216" s="231" t="s">
        <v>56</v>
      </c>
      <c r="C216" s="225"/>
      <c r="D216" s="226"/>
      <c r="E216" s="227"/>
      <c r="F216" s="228"/>
      <c r="G216" s="227">
        <f>SUM(G200:G215)</f>
        <v>778248</v>
      </c>
      <c r="H216" s="227">
        <f>SUM(H200:H215)</f>
        <v>838752.57000000007</v>
      </c>
      <c r="I216" s="227">
        <f>SUM(I200:I215)</f>
        <v>1617000.5699999998</v>
      </c>
      <c r="L216" s="133"/>
    </row>
    <row r="217" spans="1:252" ht="18.600000000000001" customHeight="1" x14ac:dyDescent="0.25">
      <c r="A217" s="90"/>
      <c r="B217" s="58" t="s">
        <v>624</v>
      </c>
      <c r="C217" s="9"/>
      <c r="D217" s="31"/>
      <c r="E217" s="10"/>
      <c r="F217" s="57"/>
      <c r="G217" s="10"/>
      <c r="H217" s="10"/>
      <c r="I217" s="31">
        <f>ROUND(I216/1.18*0.18,2)</f>
        <v>246661.1</v>
      </c>
    </row>
    <row r="218" spans="1:252" ht="39" customHeight="1" x14ac:dyDescent="0.25">
      <c r="A218" s="109"/>
      <c r="B218" s="187" t="s">
        <v>521</v>
      </c>
      <c r="C218" s="110"/>
      <c r="D218" s="110"/>
      <c r="E218" s="131"/>
      <c r="F218" s="145"/>
      <c r="G218" s="111"/>
      <c r="H218" s="111"/>
      <c r="I218" s="111"/>
    </row>
    <row r="219" spans="1:252" s="34" customFormat="1" ht="47.25" customHeight="1" outlineLevel="1" x14ac:dyDescent="0.25">
      <c r="A219" s="107" t="s">
        <v>316</v>
      </c>
      <c r="B219" s="79" t="s">
        <v>404</v>
      </c>
      <c r="C219" s="31" t="s">
        <v>14</v>
      </c>
      <c r="D219" s="31">
        <v>5.16</v>
      </c>
      <c r="E219" s="31">
        <v>500</v>
      </c>
      <c r="F219" s="11"/>
      <c r="G219" s="2">
        <f>ROUND(E219*D219,2)</f>
        <v>2580</v>
      </c>
      <c r="H219" s="18"/>
      <c r="I219" s="18">
        <f>H219+G219</f>
        <v>2580</v>
      </c>
    </row>
    <row r="220" spans="1:252" s="34" customFormat="1" ht="18.75" customHeight="1" outlineLevel="1" x14ac:dyDescent="0.25">
      <c r="A220" s="83"/>
      <c r="B220" s="11" t="s">
        <v>189</v>
      </c>
      <c r="C220" s="2" t="s">
        <v>8</v>
      </c>
      <c r="D220" s="2">
        <f>ROUND(0.4*D219,2)</f>
        <v>2.06</v>
      </c>
      <c r="E220" s="2"/>
      <c r="F220" s="11">
        <f>ROUND(980*1.1,2)</f>
        <v>1078</v>
      </c>
      <c r="G220" s="2"/>
      <c r="H220" s="2">
        <f>ROUND(D220*F220,2)</f>
        <v>2220.6799999999998</v>
      </c>
      <c r="I220" s="2">
        <f>G220+H220</f>
        <v>2220.6799999999998</v>
      </c>
    </row>
    <row r="221" spans="1:252" s="34" customFormat="1" ht="18.75" customHeight="1" outlineLevel="1" x14ac:dyDescent="0.25">
      <c r="A221" s="83"/>
      <c r="B221" s="11" t="s">
        <v>190</v>
      </c>
      <c r="C221" s="2" t="s">
        <v>15</v>
      </c>
      <c r="D221" s="2">
        <f>ROUND(1.2*D219,2)</f>
        <v>6.19</v>
      </c>
      <c r="E221" s="2"/>
      <c r="F221" s="11">
        <f>ROUND(48.8*1.1,2)</f>
        <v>53.68</v>
      </c>
      <c r="G221" s="2"/>
      <c r="H221" s="2">
        <f>ROUND(D221*F221,2)</f>
        <v>332.28</v>
      </c>
      <c r="I221" s="2">
        <f>G221+H221</f>
        <v>332.28</v>
      </c>
    </row>
    <row r="222" spans="1:252" ht="40.950000000000003" customHeight="1" outlineLevel="1" x14ac:dyDescent="0.25">
      <c r="A222" s="107" t="s">
        <v>469</v>
      </c>
      <c r="B222" s="79" t="s">
        <v>405</v>
      </c>
      <c r="C222" s="31" t="s">
        <v>14</v>
      </c>
      <c r="D222" s="65">
        <f>D219</f>
        <v>5.16</v>
      </c>
      <c r="E222" s="10">
        <v>1500</v>
      </c>
      <c r="F222" s="60"/>
      <c r="G222" s="2">
        <f>ROUND(E222*D222,2)</f>
        <v>7740</v>
      </c>
      <c r="H222" s="18"/>
      <c r="I222" s="18">
        <f>H222+G222</f>
        <v>7740</v>
      </c>
    </row>
    <row r="223" spans="1:252" s="38" customFormat="1" ht="17.399999999999999" customHeight="1" outlineLevel="1" x14ac:dyDescent="0.25">
      <c r="A223" s="86"/>
      <c r="B223" s="33" t="s">
        <v>73</v>
      </c>
      <c r="C223" s="69" t="s">
        <v>8</v>
      </c>
      <c r="D223" s="64">
        <f>ROUND(0.1*D222*1.015,2)</f>
        <v>0.52</v>
      </c>
      <c r="E223" s="2"/>
      <c r="F223" s="60">
        <f>4850*1.1</f>
        <v>5335</v>
      </c>
      <c r="G223" s="2"/>
      <c r="H223" s="2">
        <f>ROUND(D223*F223,2)</f>
        <v>2774.2</v>
      </c>
      <c r="I223" s="2">
        <f>G223+H223</f>
        <v>2774.2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5"/>
      <c r="HD223" s="15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  <c r="HV223" s="15"/>
      <c r="HW223" s="15"/>
      <c r="HX223" s="15"/>
      <c r="HY223" s="15"/>
      <c r="HZ223" s="15"/>
      <c r="IA223" s="15"/>
      <c r="IB223" s="15"/>
      <c r="IC223" s="15"/>
      <c r="ID223" s="15"/>
      <c r="IE223" s="15"/>
      <c r="IF223" s="15"/>
      <c r="IG223" s="15"/>
      <c r="IH223" s="15"/>
      <c r="II223" s="15"/>
      <c r="IJ223" s="15"/>
      <c r="IK223" s="15"/>
      <c r="IL223" s="15"/>
      <c r="IM223" s="15"/>
      <c r="IN223" s="15"/>
      <c r="IO223" s="15"/>
      <c r="IP223" s="15"/>
      <c r="IQ223" s="15"/>
      <c r="IR223" s="15"/>
    </row>
    <row r="224" spans="1:252" ht="40.5" customHeight="1" outlineLevel="1" x14ac:dyDescent="0.25">
      <c r="A224" s="107" t="s">
        <v>522</v>
      </c>
      <c r="B224" s="79" t="s">
        <v>406</v>
      </c>
      <c r="C224" s="31" t="s">
        <v>14</v>
      </c>
      <c r="D224" s="65">
        <f>D219</f>
        <v>5.16</v>
      </c>
      <c r="E224" s="10">
        <v>2500</v>
      </c>
      <c r="F224" s="60"/>
      <c r="G224" s="2">
        <f>ROUND(E224*D224,2)</f>
        <v>12900</v>
      </c>
      <c r="H224" s="18"/>
      <c r="I224" s="18">
        <f>H224+G224</f>
        <v>12900</v>
      </c>
    </row>
    <row r="225" spans="1:9" outlineLevel="1" x14ac:dyDescent="0.25">
      <c r="A225" s="84"/>
      <c r="B225" s="28" t="s">
        <v>490</v>
      </c>
      <c r="C225" s="21" t="s">
        <v>8</v>
      </c>
      <c r="D225" s="2">
        <f>ROUND(D224*0.3,2)</f>
        <v>1.55</v>
      </c>
      <c r="E225" s="18"/>
      <c r="F225" s="11">
        <f>4850*1.1</f>
        <v>5335</v>
      </c>
      <c r="G225" s="18"/>
      <c r="H225" s="18">
        <f>F225*D225</f>
        <v>8269.25</v>
      </c>
      <c r="I225" s="18">
        <f>H225+G225</f>
        <v>8269.25</v>
      </c>
    </row>
    <row r="226" spans="1:9" ht="18.75" customHeight="1" outlineLevel="1" x14ac:dyDescent="0.25">
      <c r="A226" s="107" t="s">
        <v>523</v>
      </c>
      <c r="B226" s="79" t="s">
        <v>333</v>
      </c>
      <c r="C226" s="31" t="s">
        <v>14</v>
      </c>
      <c r="D226" s="256">
        <f>13.44+31.43</f>
        <v>44.87</v>
      </c>
      <c r="E226" s="31">
        <v>200</v>
      </c>
      <c r="F226" s="60"/>
      <c r="G226" s="2">
        <f>ROUND(E226*D226,2)</f>
        <v>8974</v>
      </c>
      <c r="H226" s="18"/>
      <c r="I226" s="18">
        <f t="shared" ref="I226:I232" si="18">H226+G226</f>
        <v>8974</v>
      </c>
    </row>
    <row r="227" spans="1:9" outlineLevel="1" x14ac:dyDescent="0.25">
      <c r="A227" s="84"/>
      <c r="B227" s="28" t="s">
        <v>468</v>
      </c>
      <c r="C227" s="21" t="s">
        <v>8</v>
      </c>
      <c r="D227" s="2">
        <f>+ROUND(D226*0.05,2)</f>
        <v>2.2400000000000002</v>
      </c>
      <c r="E227" s="18"/>
      <c r="F227" s="140">
        <f>3750*1.1</f>
        <v>4125</v>
      </c>
      <c r="G227" s="18"/>
      <c r="H227" s="2">
        <f>ROUND(D227*F227,2)</f>
        <v>9240</v>
      </c>
      <c r="I227" s="18">
        <f t="shared" si="18"/>
        <v>9240</v>
      </c>
    </row>
    <row r="228" spans="1:9" ht="27.6" outlineLevel="1" x14ac:dyDescent="0.25">
      <c r="A228" s="107" t="s">
        <v>524</v>
      </c>
      <c r="B228" s="78" t="s">
        <v>46</v>
      </c>
      <c r="C228" s="31" t="s">
        <v>14</v>
      </c>
      <c r="D228" s="256">
        <f>D226</f>
        <v>44.87</v>
      </c>
      <c r="E228" s="18"/>
      <c r="F228" s="60"/>
      <c r="G228" s="18">
        <f>E228*D228</f>
        <v>0</v>
      </c>
      <c r="H228" s="18"/>
      <c r="I228" s="18">
        <f t="shared" si="18"/>
        <v>0</v>
      </c>
    </row>
    <row r="229" spans="1:9" outlineLevel="1" x14ac:dyDescent="0.25">
      <c r="A229" s="84"/>
      <c r="B229" s="22" t="s">
        <v>31</v>
      </c>
      <c r="C229" s="21" t="s">
        <v>14</v>
      </c>
      <c r="D229" s="2">
        <f>+ROUND(D228*1.1,2)</f>
        <v>49.36</v>
      </c>
      <c r="E229" s="18"/>
      <c r="F229" s="140">
        <f>10.1*1.1</f>
        <v>11.110000000000001</v>
      </c>
      <c r="G229" s="18"/>
      <c r="H229" s="2">
        <f>ROUND(D229*F229,2)</f>
        <v>548.39</v>
      </c>
      <c r="I229" s="18">
        <f t="shared" si="18"/>
        <v>548.39</v>
      </c>
    </row>
    <row r="230" spans="1:9" ht="27.6" outlineLevel="1" x14ac:dyDescent="0.25">
      <c r="A230" s="107" t="s">
        <v>525</v>
      </c>
      <c r="B230" s="79" t="s">
        <v>337</v>
      </c>
      <c r="C230" s="31" t="s">
        <v>14</v>
      </c>
      <c r="D230" s="256">
        <f>D226</f>
        <v>44.87</v>
      </c>
      <c r="E230" s="31">
        <v>200</v>
      </c>
      <c r="F230" s="60"/>
      <c r="G230" s="2">
        <f>ROUND(E230*D230,2)</f>
        <v>8974</v>
      </c>
      <c r="H230" s="18"/>
      <c r="I230" s="18">
        <f t="shared" si="18"/>
        <v>8974</v>
      </c>
    </row>
    <row r="231" spans="1:9" outlineLevel="1" x14ac:dyDescent="0.25">
      <c r="A231" s="84"/>
      <c r="B231" s="22" t="s">
        <v>47</v>
      </c>
      <c r="C231" s="21" t="s">
        <v>8</v>
      </c>
      <c r="D231" s="2">
        <f>D230*0.04</f>
        <v>1.7948</v>
      </c>
      <c r="E231" s="18"/>
      <c r="F231" s="11">
        <f>4500*1.1</f>
        <v>4950</v>
      </c>
      <c r="G231" s="18"/>
      <c r="H231" s="2">
        <f>ROUND(D231*F231,2)</f>
        <v>8884.26</v>
      </c>
      <c r="I231" s="18">
        <f t="shared" si="18"/>
        <v>8884.26</v>
      </c>
    </row>
    <row r="232" spans="1:9" outlineLevel="1" x14ac:dyDescent="0.25">
      <c r="A232" s="84"/>
      <c r="B232" s="28" t="s">
        <v>334</v>
      </c>
      <c r="C232" s="21" t="s">
        <v>14</v>
      </c>
      <c r="D232" s="2">
        <f>D230</f>
        <v>44.87</v>
      </c>
      <c r="E232" s="18"/>
      <c r="F232" s="60">
        <f>87*1.1</f>
        <v>95.7</v>
      </c>
      <c r="G232" s="18"/>
      <c r="H232" s="2">
        <f>ROUND(D232*F232,2)</f>
        <v>4294.0600000000004</v>
      </c>
      <c r="I232" s="18">
        <f t="shared" si="18"/>
        <v>4294.0600000000004</v>
      </c>
    </row>
    <row r="233" spans="1:9" outlineLevel="1" x14ac:dyDescent="0.25">
      <c r="A233" s="107" t="s">
        <v>622</v>
      </c>
      <c r="B233" s="79" t="s">
        <v>335</v>
      </c>
      <c r="C233" s="31" t="s">
        <v>14</v>
      </c>
      <c r="D233" s="256">
        <f>31.43+39.6</f>
        <v>71.03</v>
      </c>
      <c r="E233" s="31">
        <v>200</v>
      </c>
      <c r="F233" s="60"/>
      <c r="G233" s="2">
        <f>ROUND(E233*D233,2)</f>
        <v>14206</v>
      </c>
      <c r="H233" s="18"/>
      <c r="I233" s="18">
        <f>H233+G233</f>
        <v>14206</v>
      </c>
    </row>
    <row r="234" spans="1:9" outlineLevel="1" x14ac:dyDescent="0.25">
      <c r="A234" s="84"/>
      <c r="B234" s="22" t="s">
        <v>47</v>
      </c>
      <c r="C234" s="21" t="s">
        <v>8</v>
      </c>
      <c r="D234" s="2">
        <f>D233*0.07</f>
        <v>4.9721000000000002</v>
      </c>
      <c r="E234" s="18"/>
      <c r="F234" s="11">
        <f>4500*1.1</f>
        <v>4950</v>
      </c>
      <c r="G234" s="18"/>
      <c r="H234" s="2">
        <f>ROUND(D234*F234,2)</f>
        <v>24611.9</v>
      </c>
      <c r="I234" s="18">
        <f>H234+G234</f>
        <v>24611.9</v>
      </c>
    </row>
    <row r="235" spans="1:9" ht="27.6" outlineLevel="1" x14ac:dyDescent="0.25">
      <c r="A235" s="261" t="s">
        <v>526</v>
      </c>
      <c r="B235" s="79" t="s">
        <v>407</v>
      </c>
      <c r="C235" s="31" t="s">
        <v>14</v>
      </c>
      <c r="D235" s="256">
        <f>(31.43+39.6)*1.05</f>
        <v>74.581500000000005</v>
      </c>
      <c r="E235" s="31">
        <v>700</v>
      </c>
      <c r="F235" s="60"/>
      <c r="G235" s="2">
        <f>ROUND(E235*D235,2)</f>
        <v>52207.05</v>
      </c>
      <c r="H235" s="18"/>
      <c r="I235" s="18">
        <f t="shared" ref="I235:I253" si="19">H235+G235</f>
        <v>52207.05</v>
      </c>
    </row>
    <row r="236" spans="1:9" outlineLevel="1" x14ac:dyDescent="0.25">
      <c r="A236" s="84"/>
      <c r="B236" s="22" t="s">
        <v>48</v>
      </c>
      <c r="C236" s="21" t="s">
        <v>14</v>
      </c>
      <c r="D236" s="2">
        <f>+ROUND(D235*1.1,2)</f>
        <v>82.04</v>
      </c>
      <c r="E236" s="18"/>
      <c r="F236" s="60">
        <f>+ROUND(557.7*1.1,2)</f>
        <v>613.47</v>
      </c>
      <c r="G236" s="18"/>
      <c r="H236" s="2">
        <f>ROUND(D236*F236,2)</f>
        <v>50329.08</v>
      </c>
      <c r="I236" s="18">
        <f t="shared" si="19"/>
        <v>50329.08</v>
      </c>
    </row>
    <row r="237" spans="1:9" outlineLevel="1" x14ac:dyDescent="0.25">
      <c r="A237" s="84"/>
      <c r="B237" s="22" t="s">
        <v>49</v>
      </c>
      <c r="C237" s="21" t="s">
        <v>15</v>
      </c>
      <c r="D237" s="2">
        <f>+ROUND(D236*6,2)</f>
        <v>492.24</v>
      </c>
      <c r="E237" s="18"/>
      <c r="F237" s="11">
        <f>+ROUND(7.5*1.1,2)</f>
        <v>8.25</v>
      </c>
      <c r="G237" s="18"/>
      <c r="H237" s="2">
        <f>ROUND(D237*F237,2)</f>
        <v>4060.98</v>
      </c>
      <c r="I237" s="18">
        <f t="shared" si="19"/>
        <v>4060.98</v>
      </c>
    </row>
    <row r="238" spans="1:9" outlineLevel="1" x14ac:dyDescent="0.25">
      <c r="A238" s="84"/>
      <c r="B238" s="22" t="s">
        <v>50</v>
      </c>
      <c r="C238" s="21" t="s">
        <v>15</v>
      </c>
      <c r="D238" s="2">
        <f>+ROUND(D236*0.19,2)</f>
        <v>15.59</v>
      </c>
      <c r="E238" s="18"/>
      <c r="F238" s="60">
        <f>+ROUND(45.8*1.1,2)</f>
        <v>50.38</v>
      </c>
      <c r="G238" s="18"/>
      <c r="H238" s="2">
        <f>ROUND(D238*F238,2)</f>
        <v>785.42</v>
      </c>
      <c r="I238" s="18">
        <f t="shared" si="19"/>
        <v>785.42</v>
      </c>
    </row>
    <row r="239" spans="1:9" ht="41.4" outlineLevel="1" x14ac:dyDescent="0.25">
      <c r="A239" s="261" t="s">
        <v>527</v>
      </c>
      <c r="B239" s="79" t="s">
        <v>408</v>
      </c>
      <c r="C239" s="31" t="s">
        <v>14</v>
      </c>
      <c r="D239" s="31">
        <f>((2*2+2.85)*2*2.4--1.6*0.9*2)+(2.5*4.075*2-2.1*0.8*2)</f>
        <v>52.774999999999999</v>
      </c>
      <c r="E239" s="31">
        <v>250</v>
      </c>
      <c r="F239" s="60"/>
      <c r="G239" s="2">
        <f>ROUND(E239*D239,2)</f>
        <v>13193.75</v>
      </c>
      <c r="H239" s="18"/>
      <c r="I239" s="18">
        <f t="shared" si="19"/>
        <v>13193.75</v>
      </c>
    </row>
    <row r="240" spans="1:9" outlineLevel="1" x14ac:dyDescent="0.25">
      <c r="A240" s="84"/>
      <c r="B240" s="22" t="s">
        <v>42</v>
      </c>
      <c r="C240" s="21" t="s">
        <v>15</v>
      </c>
      <c r="D240" s="70">
        <f>+ROUND(30*D239,2)</f>
        <v>1583.25</v>
      </c>
      <c r="E240" s="18"/>
      <c r="F240" s="60">
        <v>7</v>
      </c>
      <c r="G240" s="18"/>
      <c r="H240" s="2">
        <f>ROUND(D240*F240,2)</f>
        <v>11082.75</v>
      </c>
      <c r="I240" s="18">
        <f t="shared" si="19"/>
        <v>11082.75</v>
      </c>
    </row>
    <row r="241" spans="1:10" outlineLevel="1" x14ac:dyDescent="0.25">
      <c r="A241" s="107"/>
      <c r="B241" s="169" t="s">
        <v>191</v>
      </c>
      <c r="C241" s="158" t="s">
        <v>14</v>
      </c>
      <c r="D241" s="168">
        <f>(3.39+1)*2.65-(2.1*1.3)+8.9+8.9</f>
        <v>26.703499999999998</v>
      </c>
      <c r="E241" s="158"/>
      <c r="F241" s="164"/>
      <c r="G241" s="158">
        <f>E241*D241</f>
        <v>0</v>
      </c>
      <c r="H241" s="158"/>
      <c r="I241" s="158"/>
    </row>
    <row r="242" spans="1:10" outlineLevel="1" x14ac:dyDescent="0.25">
      <c r="A242" s="84"/>
      <c r="B242" s="170" t="s">
        <v>51</v>
      </c>
      <c r="C242" s="171" t="s">
        <v>8</v>
      </c>
      <c r="D242" s="158">
        <f>D241*0.15</f>
        <v>4.0055249999999996</v>
      </c>
      <c r="E242" s="158"/>
      <c r="F242" s="164">
        <f>3917*1.1</f>
        <v>4308.7000000000007</v>
      </c>
      <c r="G242" s="158"/>
      <c r="H242" s="158"/>
      <c r="I242" s="158"/>
    </row>
    <row r="243" spans="1:10" outlineLevel="1" x14ac:dyDescent="0.25">
      <c r="A243" s="84"/>
      <c r="B243" s="170" t="s">
        <v>52</v>
      </c>
      <c r="C243" s="171" t="s">
        <v>14</v>
      </c>
      <c r="D243" s="158">
        <f>D241</f>
        <v>26.703499999999998</v>
      </c>
      <c r="E243" s="158"/>
      <c r="F243" s="164">
        <f>11*1.1</f>
        <v>12.100000000000001</v>
      </c>
      <c r="G243" s="158"/>
      <c r="H243" s="158"/>
      <c r="I243" s="158"/>
    </row>
    <row r="244" spans="1:10" s="37" customFormat="1" ht="27.6" outlineLevel="1" x14ac:dyDescent="0.25">
      <c r="A244" s="271"/>
      <c r="B244" s="169" t="s">
        <v>192</v>
      </c>
      <c r="C244" s="158" t="s">
        <v>14</v>
      </c>
      <c r="D244" s="168">
        <f>3.97*3</f>
        <v>11.91</v>
      </c>
      <c r="E244" s="158"/>
      <c r="F244" s="164"/>
      <c r="G244" s="158">
        <f>D244*E244</f>
        <v>0</v>
      </c>
      <c r="H244" s="158"/>
      <c r="I244" s="158"/>
    </row>
    <row r="245" spans="1:10" s="37" customFormat="1" outlineLevel="1" x14ac:dyDescent="0.25">
      <c r="A245" s="86"/>
      <c r="B245" s="170" t="s">
        <v>54</v>
      </c>
      <c r="C245" s="171" t="s">
        <v>8</v>
      </c>
      <c r="D245" s="158">
        <f>D244*0.1</f>
        <v>1.1910000000000001</v>
      </c>
      <c r="E245" s="172"/>
      <c r="F245" s="164">
        <f>F242</f>
        <v>4308.7000000000007</v>
      </c>
      <c r="G245" s="158"/>
      <c r="H245" s="158"/>
      <c r="I245" s="158"/>
    </row>
    <row r="246" spans="1:10" s="37" customFormat="1" outlineLevel="1" x14ac:dyDescent="0.25">
      <c r="A246" s="86"/>
      <c r="B246" s="173" t="s">
        <v>193</v>
      </c>
      <c r="C246" s="171" t="s">
        <v>29</v>
      </c>
      <c r="D246" s="158">
        <f>D244*4</f>
        <v>47.64</v>
      </c>
      <c r="E246" s="172"/>
      <c r="F246" s="164">
        <v>30</v>
      </c>
      <c r="G246" s="158"/>
      <c r="H246" s="158"/>
      <c r="I246" s="158"/>
    </row>
    <row r="247" spans="1:10" s="37" customFormat="1" outlineLevel="1" x14ac:dyDescent="0.25">
      <c r="A247" s="86"/>
      <c r="B247" s="173" t="s">
        <v>194</v>
      </c>
      <c r="C247" s="171" t="s">
        <v>12</v>
      </c>
      <c r="D247" s="158">
        <f>12*3</f>
        <v>36</v>
      </c>
      <c r="E247" s="172"/>
      <c r="F247" s="164">
        <v>11</v>
      </c>
      <c r="G247" s="158"/>
      <c r="H247" s="158"/>
      <c r="I247" s="158"/>
    </row>
    <row r="248" spans="1:10" s="37" customFormat="1" outlineLevel="1" x14ac:dyDescent="0.25">
      <c r="A248" s="86"/>
      <c r="B248" s="173" t="s">
        <v>195</v>
      </c>
      <c r="C248" s="171" t="s">
        <v>14</v>
      </c>
      <c r="D248" s="158">
        <f>D244</f>
        <v>11.91</v>
      </c>
      <c r="E248" s="172"/>
      <c r="F248" s="164">
        <f>450*1.1</f>
        <v>495.00000000000006</v>
      </c>
      <c r="G248" s="158"/>
      <c r="H248" s="158"/>
      <c r="I248" s="158"/>
    </row>
    <row r="249" spans="1:10" s="37" customFormat="1" outlineLevel="1" x14ac:dyDescent="0.25">
      <c r="A249" s="86"/>
      <c r="B249" s="173" t="s">
        <v>196</v>
      </c>
      <c r="C249" s="171" t="s">
        <v>12</v>
      </c>
      <c r="D249" s="158">
        <f>D248*8</f>
        <v>95.28</v>
      </c>
      <c r="E249" s="172"/>
      <c r="F249" s="164">
        <v>3</v>
      </c>
      <c r="G249" s="158"/>
      <c r="H249" s="158"/>
      <c r="I249" s="158"/>
    </row>
    <row r="250" spans="1:10" ht="27.6" outlineLevel="1" x14ac:dyDescent="0.25">
      <c r="A250" s="274" t="s">
        <v>528</v>
      </c>
      <c r="B250" s="79" t="s">
        <v>411</v>
      </c>
      <c r="C250" s="31" t="s">
        <v>14</v>
      </c>
      <c r="D250" s="273">
        <f>35.65+71.3+37.39+38.44+6.22+22.8+234.5+384.1</f>
        <v>830.4</v>
      </c>
      <c r="E250" s="31">
        <v>200</v>
      </c>
      <c r="F250" s="60"/>
      <c r="G250" s="2">
        <f>ROUND(E250*D250,2)</f>
        <v>166080</v>
      </c>
      <c r="H250" s="18"/>
      <c r="I250" s="18">
        <f>H250+G250</f>
        <v>166080</v>
      </c>
      <c r="J250" s="25">
        <v>360.48</v>
      </c>
    </row>
    <row r="251" spans="1:10" outlineLevel="1" x14ac:dyDescent="0.25">
      <c r="A251" s="84"/>
      <c r="B251" s="22" t="s">
        <v>41</v>
      </c>
      <c r="C251" s="21" t="s">
        <v>15</v>
      </c>
      <c r="D251" s="2">
        <f>D250*0.2</f>
        <v>166.08</v>
      </c>
      <c r="E251" s="18"/>
      <c r="F251" s="60">
        <f>31*1.1</f>
        <v>34.1</v>
      </c>
      <c r="G251" s="18"/>
      <c r="H251" s="2">
        <f>ROUND(D251*F251,2)</f>
        <v>5663.33</v>
      </c>
      <c r="I251" s="18">
        <f t="shared" si="19"/>
        <v>5663.33</v>
      </c>
    </row>
    <row r="252" spans="1:10" outlineLevel="1" x14ac:dyDescent="0.25">
      <c r="A252" s="84"/>
      <c r="B252" s="22" t="s">
        <v>53</v>
      </c>
      <c r="C252" s="21" t="s">
        <v>15</v>
      </c>
      <c r="D252" s="70">
        <f>D250*9</f>
        <v>7473.5999999999995</v>
      </c>
      <c r="E252" s="18"/>
      <c r="F252" s="60">
        <f>15*1.1</f>
        <v>16.5</v>
      </c>
      <c r="G252" s="18"/>
      <c r="H252" s="2">
        <f>ROUND(D252*F252,2)</f>
        <v>123314.4</v>
      </c>
      <c r="I252" s="18">
        <f t="shared" si="19"/>
        <v>123314.4</v>
      </c>
    </row>
    <row r="253" spans="1:10" outlineLevel="1" x14ac:dyDescent="0.25">
      <c r="A253" s="84"/>
      <c r="B253" s="28" t="s">
        <v>182</v>
      </c>
      <c r="C253" s="21" t="s">
        <v>30</v>
      </c>
      <c r="D253" s="64">
        <f>D250*0.4</f>
        <v>332.16</v>
      </c>
      <c r="E253" s="18"/>
      <c r="F253" s="60">
        <v>205</v>
      </c>
      <c r="G253" s="18"/>
      <c r="H253" s="2">
        <f>ROUND(D253*F253,2)</f>
        <v>68092.800000000003</v>
      </c>
      <c r="I253" s="18">
        <f t="shared" si="19"/>
        <v>68092.800000000003</v>
      </c>
    </row>
    <row r="254" spans="1:10" ht="27.6" outlineLevel="1" x14ac:dyDescent="0.25">
      <c r="A254" s="261" t="s">
        <v>529</v>
      </c>
      <c r="B254" s="79" t="s">
        <v>410</v>
      </c>
      <c r="C254" s="31" t="s">
        <v>14</v>
      </c>
      <c r="D254" s="262">
        <f>13.44+31.43+26.88+39.6+4.07</f>
        <v>115.41999999999999</v>
      </c>
      <c r="E254" s="31">
        <v>200</v>
      </c>
      <c r="F254" s="60"/>
      <c r="G254" s="2">
        <f>ROUND(E254*D254,2)</f>
        <v>23084</v>
      </c>
      <c r="H254" s="18"/>
      <c r="I254" s="18">
        <f t="shared" ref="I254:I261" si="20">H254+G254</f>
        <v>23084</v>
      </c>
    </row>
    <row r="255" spans="1:10" outlineLevel="1" x14ac:dyDescent="0.25">
      <c r="A255" s="84"/>
      <c r="B255" s="22" t="s">
        <v>41</v>
      </c>
      <c r="C255" s="21" t="s">
        <v>15</v>
      </c>
      <c r="D255" s="2">
        <f>D254*0.2</f>
        <v>23.084</v>
      </c>
      <c r="E255" s="18"/>
      <c r="F255" s="60">
        <f>31*1.1</f>
        <v>34.1</v>
      </c>
      <c r="G255" s="18"/>
      <c r="H255" s="2">
        <f>ROUND(D255*F255,2)</f>
        <v>787.16</v>
      </c>
      <c r="I255" s="18">
        <f t="shared" si="20"/>
        <v>787.16</v>
      </c>
    </row>
    <row r="256" spans="1:10" outlineLevel="1" x14ac:dyDescent="0.25">
      <c r="A256" s="84"/>
      <c r="B256" s="22" t="s">
        <v>53</v>
      </c>
      <c r="C256" s="21" t="s">
        <v>15</v>
      </c>
      <c r="D256" s="70">
        <f>D254*9</f>
        <v>1038.78</v>
      </c>
      <c r="E256" s="18"/>
      <c r="F256" s="60">
        <f>15*1.1</f>
        <v>16.5</v>
      </c>
      <c r="G256" s="18"/>
      <c r="H256" s="2">
        <f>ROUND(D256*F256,2)</f>
        <v>17139.87</v>
      </c>
      <c r="I256" s="18">
        <f t="shared" si="20"/>
        <v>17139.87</v>
      </c>
    </row>
    <row r="257" spans="1:12" outlineLevel="1" x14ac:dyDescent="0.25">
      <c r="A257" s="84"/>
      <c r="B257" s="28" t="s">
        <v>182</v>
      </c>
      <c r="C257" s="21" t="s">
        <v>30</v>
      </c>
      <c r="D257" s="64">
        <f>D254*0.4</f>
        <v>46.167999999999999</v>
      </c>
      <c r="E257" s="18"/>
      <c r="F257" s="60">
        <v>205</v>
      </c>
      <c r="G257" s="18"/>
      <c r="H257" s="2">
        <f>ROUND(D257*F257,2)</f>
        <v>9464.44</v>
      </c>
      <c r="I257" s="18">
        <f t="shared" si="20"/>
        <v>9464.44</v>
      </c>
    </row>
    <row r="258" spans="1:12" outlineLevel="1" x14ac:dyDescent="0.25">
      <c r="A258" s="263"/>
      <c r="B258" s="208" t="s">
        <v>312</v>
      </c>
      <c r="C258" s="41" t="s">
        <v>208</v>
      </c>
      <c r="D258" s="209">
        <f>(3.6*6+3.92*6+3.32*7+3.2*6+3*6+3.6*8+6*6+3.2*6+12*8+1.36*5)*4</f>
        <v>1169.44</v>
      </c>
      <c r="E258" s="2">
        <v>50</v>
      </c>
      <c r="F258" s="43"/>
      <c r="G258" s="2">
        <f>D258*E258</f>
        <v>58472</v>
      </c>
      <c r="H258" s="11"/>
      <c r="I258" s="2">
        <f t="shared" si="20"/>
        <v>58472</v>
      </c>
    </row>
    <row r="259" spans="1:12" outlineLevel="1" x14ac:dyDescent="0.25">
      <c r="A259" s="84"/>
      <c r="B259" s="210" t="s">
        <v>13</v>
      </c>
      <c r="C259" s="41" t="s">
        <v>8</v>
      </c>
      <c r="D259" s="42">
        <f>D258*0.0027</f>
        <v>3.1574880000000003</v>
      </c>
      <c r="E259" s="2"/>
      <c r="F259" s="11">
        <f>5050.05*1.1</f>
        <v>5555.0550000000003</v>
      </c>
      <c r="G259" s="2"/>
      <c r="H259" s="2">
        <f>ROUND(D259*F259,2)</f>
        <v>17540.02</v>
      </c>
      <c r="I259" s="2">
        <f t="shared" si="20"/>
        <v>17540.02</v>
      </c>
    </row>
    <row r="260" spans="1:12" s="15" customFormat="1" outlineLevel="1" x14ac:dyDescent="0.25">
      <c r="A260" s="269" t="s">
        <v>623</v>
      </c>
      <c r="B260" s="95" t="s">
        <v>74</v>
      </c>
      <c r="C260" s="176" t="s">
        <v>12</v>
      </c>
      <c r="D260" s="31">
        <v>36</v>
      </c>
      <c r="E260" s="31">
        <v>200</v>
      </c>
      <c r="F260" s="11"/>
      <c r="G260" s="2">
        <f>ROUND(E260*D260,2)</f>
        <v>7200</v>
      </c>
      <c r="H260" s="2"/>
      <c r="I260" s="2">
        <f t="shared" si="20"/>
        <v>7200</v>
      </c>
    </row>
    <row r="261" spans="1:12" s="15" customFormat="1" outlineLevel="1" x14ac:dyDescent="0.25">
      <c r="A261" s="86"/>
      <c r="B261" s="22" t="s">
        <v>75</v>
      </c>
      <c r="C261" s="21" t="s">
        <v>12</v>
      </c>
      <c r="D261" s="2">
        <v>36</v>
      </c>
      <c r="E261" s="2"/>
      <c r="F261" s="11">
        <v>175</v>
      </c>
      <c r="G261" s="2"/>
      <c r="H261" s="2">
        <f>ROUND(D261*F261,2)</f>
        <v>6300</v>
      </c>
      <c r="I261" s="2">
        <f t="shared" si="20"/>
        <v>6300</v>
      </c>
    </row>
    <row r="262" spans="1:12" ht="27.6" collapsed="1" x14ac:dyDescent="0.25">
      <c r="A262" s="223"/>
      <c r="B262" s="231" t="s">
        <v>71</v>
      </c>
      <c r="C262" s="225"/>
      <c r="D262" s="226"/>
      <c r="E262" s="227"/>
      <c r="F262" s="228"/>
      <c r="G262" s="227">
        <f>SUM(G219:G261)</f>
        <v>375610.8</v>
      </c>
      <c r="H262" s="227">
        <f>SUM(H219:H261)</f>
        <v>375735.26999999996</v>
      </c>
      <c r="I262" s="227">
        <f>SUM(I219:I261)</f>
        <v>751346.07000000007</v>
      </c>
      <c r="L262" s="185"/>
    </row>
    <row r="263" spans="1:12" ht="16.95" customHeight="1" x14ac:dyDescent="0.25">
      <c r="A263" s="90"/>
      <c r="B263" s="58" t="s">
        <v>624</v>
      </c>
      <c r="C263" s="9"/>
      <c r="D263" s="31"/>
      <c r="E263" s="10"/>
      <c r="F263" s="57"/>
      <c r="G263" s="10"/>
      <c r="H263" s="10"/>
      <c r="I263" s="31">
        <f>ROUND(I262/1.18*0.18,2)</f>
        <v>114612.11</v>
      </c>
    </row>
    <row r="264" spans="1:12" ht="36" customHeight="1" x14ac:dyDescent="0.25">
      <c r="A264" s="108"/>
      <c r="B264" s="187" t="s">
        <v>530</v>
      </c>
      <c r="C264" s="105"/>
      <c r="D264" s="105"/>
      <c r="E264" s="105"/>
      <c r="F264" s="138"/>
      <c r="G264" s="105"/>
      <c r="H264" s="105"/>
      <c r="I264" s="106"/>
    </row>
    <row r="265" spans="1:12" s="15" customFormat="1" ht="33" customHeight="1" outlineLevel="1" x14ac:dyDescent="0.25">
      <c r="A265" s="271" t="s">
        <v>317</v>
      </c>
      <c r="B265" s="78" t="s">
        <v>69</v>
      </c>
      <c r="C265" s="31" t="s">
        <v>8</v>
      </c>
      <c r="D265" s="272">
        <f>(54.6*2+13.32*3+1.32*5)*0.1</f>
        <v>15.576000000000001</v>
      </c>
      <c r="E265" s="31">
        <v>1000</v>
      </c>
      <c r="F265" s="11"/>
      <c r="G265" s="2">
        <f>ROUND(E265*D265,2)</f>
        <v>15576</v>
      </c>
      <c r="H265" s="2"/>
      <c r="I265" s="2">
        <f>H265+G265</f>
        <v>15576</v>
      </c>
    </row>
    <row r="266" spans="1:12" s="15" customFormat="1" outlineLevel="1" x14ac:dyDescent="0.25">
      <c r="A266" s="86"/>
      <c r="B266" s="11" t="s">
        <v>240</v>
      </c>
      <c r="C266" s="21" t="s">
        <v>8</v>
      </c>
      <c r="D266" s="2">
        <f>D265*1.1</f>
        <v>17.133600000000001</v>
      </c>
      <c r="E266" s="2"/>
      <c r="F266" s="60">
        <f>350*1.3</f>
        <v>455</v>
      </c>
      <c r="G266" s="2"/>
      <c r="H266" s="2">
        <f>ROUND(D266*F266,2)</f>
        <v>7795.79</v>
      </c>
      <c r="I266" s="2">
        <f>H266+G266</f>
        <v>7795.79</v>
      </c>
    </row>
    <row r="267" spans="1:12" s="15" customFormat="1" outlineLevel="1" x14ac:dyDescent="0.25">
      <c r="A267" s="86"/>
      <c r="B267" s="22" t="s">
        <v>70</v>
      </c>
      <c r="C267" s="21" t="s">
        <v>8</v>
      </c>
      <c r="D267" s="2">
        <f>1.02*D265</f>
        <v>15.88752</v>
      </c>
      <c r="E267" s="2"/>
      <c r="F267" s="60">
        <f>4850*1.1</f>
        <v>5335</v>
      </c>
      <c r="G267" s="2"/>
      <c r="H267" s="2">
        <f>ROUND(D267*F267,2)</f>
        <v>84759.92</v>
      </c>
      <c r="I267" s="2">
        <f>H267+G267</f>
        <v>84759.92</v>
      </c>
    </row>
    <row r="268" spans="1:12" s="15" customFormat="1" outlineLevel="1" x14ac:dyDescent="0.25">
      <c r="A268" s="271" t="s">
        <v>318</v>
      </c>
      <c r="B268" s="79" t="s">
        <v>470</v>
      </c>
      <c r="C268" s="31" t="s">
        <v>8</v>
      </c>
      <c r="D268" s="31">
        <f>3*1.2*0.2</f>
        <v>0.72</v>
      </c>
      <c r="E268" s="31">
        <v>1000</v>
      </c>
      <c r="F268" s="11"/>
      <c r="G268" s="2">
        <f>ROUND(E268*D268,2)</f>
        <v>720</v>
      </c>
      <c r="H268" s="2"/>
      <c r="I268" s="2">
        <f>H268+G268</f>
        <v>720</v>
      </c>
    </row>
    <row r="269" spans="1:12" s="15" customFormat="1" outlineLevel="1" x14ac:dyDescent="0.25">
      <c r="A269" s="86"/>
      <c r="B269" s="33" t="s">
        <v>471</v>
      </c>
      <c r="C269" s="2" t="s">
        <v>8</v>
      </c>
      <c r="D269" s="2">
        <f>D268*1.02</f>
        <v>0.73439999999999994</v>
      </c>
      <c r="E269" s="2"/>
      <c r="F269" s="11">
        <f>4850*1.1</f>
        <v>5335</v>
      </c>
      <c r="G269" s="2"/>
      <c r="H269" s="2">
        <f>ROUND(D269*F269,2)</f>
        <v>3918.02</v>
      </c>
      <c r="I269" s="2">
        <f>G269+H269</f>
        <v>3918.02</v>
      </c>
    </row>
    <row r="270" spans="1:12" s="15" customFormat="1" outlineLevel="1" x14ac:dyDescent="0.25">
      <c r="A270" s="86"/>
      <c r="B270" s="33" t="s">
        <v>472</v>
      </c>
      <c r="C270" s="2" t="s">
        <v>9</v>
      </c>
      <c r="D270" s="2">
        <f>3*1.2*3.08/1000</f>
        <v>1.1087999999999999E-2</v>
      </c>
      <c r="E270" s="2"/>
      <c r="F270" s="11">
        <v>42000</v>
      </c>
      <c r="G270" s="2"/>
      <c r="H270" s="2">
        <f>ROUND(D270*F270,2)</f>
        <v>465.7</v>
      </c>
      <c r="I270" s="2">
        <f>G270+H270</f>
        <v>465.7</v>
      </c>
    </row>
    <row r="271" spans="1:12" s="15" customFormat="1" outlineLevel="1" x14ac:dyDescent="0.25">
      <c r="A271" s="86"/>
      <c r="B271" s="22" t="s">
        <v>70</v>
      </c>
      <c r="C271" s="21" t="s">
        <v>8</v>
      </c>
      <c r="D271" s="2">
        <f>1.015*3*1.2*0.1</f>
        <v>0.3654</v>
      </c>
      <c r="E271" s="2"/>
      <c r="F271" s="60">
        <f>4850*1.1</f>
        <v>5335</v>
      </c>
      <c r="G271" s="2"/>
      <c r="H271" s="2">
        <f>ROUND(D271*F271,2)</f>
        <v>1949.41</v>
      </c>
      <c r="I271" s="2">
        <f>H271+G271</f>
        <v>1949.41</v>
      </c>
    </row>
    <row r="272" spans="1:12" s="15" customFormat="1" outlineLevel="1" x14ac:dyDescent="0.25">
      <c r="A272" s="86"/>
      <c r="B272" s="22" t="s">
        <v>240</v>
      </c>
      <c r="C272" s="21" t="s">
        <v>8</v>
      </c>
      <c r="D272" s="2">
        <f>D271</f>
        <v>0.3654</v>
      </c>
      <c r="E272" s="2"/>
      <c r="F272" s="60">
        <f>350*1.3</f>
        <v>455</v>
      </c>
      <c r="G272" s="2"/>
      <c r="H272" s="2">
        <f>ROUND(D272*F272,2)</f>
        <v>166.26</v>
      </c>
      <c r="I272" s="2">
        <f>H272+G272</f>
        <v>166.26</v>
      </c>
    </row>
    <row r="273" spans="1:9" collapsed="1" x14ac:dyDescent="0.25">
      <c r="A273" s="223"/>
      <c r="B273" s="231" t="s">
        <v>60</v>
      </c>
      <c r="C273" s="225"/>
      <c r="D273" s="226"/>
      <c r="E273" s="227"/>
      <c r="F273" s="228"/>
      <c r="G273" s="227">
        <f>SUM(G265:G272)</f>
        <v>16296</v>
      </c>
      <c r="H273" s="227">
        <f>SUM(H265:H272)</f>
        <v>99055.099999999991</v>
      </c>
      <c r="I273" s="227">
        <f>ROUND(SUM(I265:I272),2)</f>
        <v>115351.1</v>
      </c>
    </row>
    <row r="274" spans="1:9" ht="16.2" customHeight="1" x14ac:dyDescent="0.25">
      <c r="A274" s="90"/>
      <c r="B274" s="58" t="s">
        <v>624</v>
      </c>
      <c r="C274" s="9"/>
      <c r="D274" s="31"/>
      <c r="E274" s="10"/>
      <c r="F274" s="57"/>
      <c r="G274" s="10"/>
      <c r="H274" s="10"/>
      <c r="I274" s="31">
        <f>ROUND(I273/1.18*0.18,2)</f>
        <v>17595.93</v>
      </c>
    </row>
    <row r="275" spans="1:9" s="5" customFormat="1" ht="27" customHeight="1" x14ac:dyDescent="0.25">
      <c r="A275" s="109"/>
      <c r="B275" s="785" t="s">
        <v>531</v>
      </c>
      <c r="C275" s="786"/>
      <c r="D275" s="787"/>
      <c r="E275" s="118"/>
      <c r="F275" s="138"/>
      <c r="G275" s="102"/>
      <c r="H275" s="111"/>
      <c r="I275" s="102"/>
    </row>
    <row r="276" spans="1:9" outlineLevel="1" x14ac:dyDescent="0.25">
      <c r="A276" s="84" t="s">
        <v>319</v>
      </c>
      <c r="B276" s="9" t="s">
        <v>155</v>
      </c>
      <c r="C276" s="31" t="s">
        <v>12</v>
      </c>
      <c r="D276" s="31">
        <v>1</v>
      </c>
      <c r="E276" s="12">
        <v>900</v>
      </c>
      <c r="F276" s="137"/>
      <c r="G276" s="2">
        <f>ROUND(E276*D276,2)</f>
        <v>900</v>
      </c>
      <c r="H276" s="26"/>
      <c r="I276" s="26">
        <f>G276+H276</f>
        <v>900</v>
      </c>
    </row>
    <row r="277" spans="1:9" outlineLevel="1" x14ac:dyDescent="0.25">
      <c r="A277" s="84"/>
      <c r="B277" s="28" t="s">
        <v>282</v>
      </c>
      <c r="C277" s="21" t="s">
        <v>12</v>
      </c>
      <c r="D277" s="2">
        <v>1</v>
      </c>
      <c r="E277" s="18"/>
      <c r="F277" s="60">
        <v>37300</v>
      </c>
      <c r="G277" s="26"/>
      <c r="H277" s="2">
        <f>ROUND(D277*F277,2)</f>
        <v>37300</v>
      </c>
      <c r="I277" s="26">
        <f t="shared" ref="I277:I343" si="21">G277+H277</f>
        <v>37300</v>
      </c>
    </row>
    <row r="278" spans="1:9" outlineLevel="1" x14ac:dyDescent="0.25">
      <c r="A278" s="84"/>
      <c r="B278" s="28" t="s">
        <v>176</v>
      </c>
      <c r="C278" s="21" t="s">
        <v>12</v>
      </c>
      <c r="D278" s="2">
        <v>1</v>
      </c>
      <c r="E278" s="18"/>
      <c r="F278" s="60">
        <v>1600</v>
      </c>
      <c r="G278" s="26"/>
      <c r="H278" s="2">
        <f>ROUND(D278*F278,2)</f>
        <v>1600</v>
      </c>
      <c r="I278" s="26">
        <f t="shared" si="21"/>
        <v>1600</v>
      </c>
    </row>
    <row r="279" spans="1:9" outlineLevel="1" x14ac:dyDescent="0.25">
      <c r="A279" s="84"/>
      <c r="B279" s="28" t="s">
        <v>283</v>
      </c>
      <c r="C279" s="21" t="s">
        <v>12</v>
      </c>
      <c r="D279" s="2">
        <v>4</v>
      </c>
      <c r="E279" s="18"/>
      <c r="F279" s="60">
        <v>380</v>
      </c>
      <c r="G279" s="26"/>
      <c r="H279" s="2">
        <f>ROUND(D279*F279,2)</f>
        <v>1520</v>
      </c>
      <c r="I279" s="26">
        <f t="shared" si="21"/>
        <v>1520</v>
      </c>
    </row>
    <row r="280" spans="1:9" outlineLevel="1" x14ac:dyDescent="0.25">
      <c r="A280" s="84" t="s">
        <v>320</v>
      </c>
      <c r="B280" s="29" t="s">
        <v>284</v>
      </c>
      <c r="C280" s="31" t="s">
        <v>12</v>
      </c>
      <c r="D280" s="31">
        <f>D281+D283+D282</f>
        <v>38</v>
      </c>
      <c r="E280" s="12">
        <v>900</v>
      </c>
      <c r="F280" s="137"/>
      <c r="G280" s="2">
        <f>ROUND(E280*D280,2)</f>
        <v>34200</v>
      </c>
      <c r="H280" s="26"/>
      <c r="I280" s="26">
        <f>G280+H280</f>
        <v>34200</v>
      </c>
    </row>
    <row r="281" spans="1:9" outlineLevel="1" x14ac:dyDescent="0.25">
      <c r="A281" s="84"/>
      <c r="B281" s="28" t="s">
        <v>285</v>
      </c>
      <c r="C281" s="21" t="s">
        <v>12</v>
      </c>
      <c r="D281" s="2">
        <v>1</v>
      </c>
      <c r="E281" s="18"/>
      <c r="F281" s="60">
        <v>4900</v>
      </c>
      <c r="G281" s="26"/>
      <c r="H281" s="2">
        <f t="shared" ref="H281:H303" si="22">ROUND(D281*F281,2)</f>
        <v>4900</v>
      </c>
      <c r="I281" s="26">
        <f>G281+H281</f>
        <v>4900</v>
      </c>
    </row>
    <row r="282" spans="1:9" outlineLevel="1" x14ac:dyDescent="0.25">
      <c r="A282" s="84"/>
      <c r="B282" s="28" t="s">
        <v>449</v>
      </c>
      <c r="C282" s="21" t="s">
        <v>12</v>
      </c>
      <c r="D282" s="2">
        <v>1</v>
      </c>
      <c r="E282" s="18"/>
      <c r="F282" s="60">
        <v>4900</v>
      </c>
      <c r="G282" s="26"/>
      <c r="H282" s="2">
        <f t="shared" si="22"/>
        <v>4900</v>
      </c>
      <c r="I282" s="26">
        <f>G282+H282</f>
        <v>4900</v>
      </c>
    </row>
    <row r="283" spans="1:9" outlineLevel="1" x14ac:dyDescent="0.25">
      <c r="A283" s="84"/>
      <c r="B283" s="28" t="s">
        <v>448</v>
      </c>
      <c r="C283" s="21" t="s">
        <v>12</v>
      </c>
      <c r="D283" s="2">
        <f>9+9+18</f>
        <v>36</v>
      </c>
      <c r="E283" s="18"/>
      <c r="F283" s="60">
        <v>600</v>
      </c>
      <c r="G283" s="26"/>
      <c r="H283" s="2">
        <f t="shared" si="22"/>
        <v>21600</v>
      </c>
      <c r="I283" s="26">
        <f>G283+H283</f>
        <v>21600</v>
      </c>
    </row>
    <row r="284" spans="1:9" outlineLevel="1" x14ac:dyDescent="0.25">
      <c r="A284" s="84" t="s">
        <v>321</v>
      </c>
      <c r="B284" s="29" t="s">
        <v>156</v>
      </c>
      <c r="C284" s="31" t="s">
        <v>12</v>
      </c>
      <c r="D284" s="31">
        <f>D285+D286+D287+D290</f>
        <v>18</v>
      </c>
      <c r="E284" s="12">
        <v>900</v>
      </c>
      <c r="F284" s="137"/>
      <c r="G284" s="2">
        <f>ROUND(E284*D284,2)</f>
        <v>16200</v>
      </c>
      <c r="H284" s="26">
        <f>F284*D284</f>
        <v>0</v>
      </c>
      <c r="I284" s="26">
        <f t="shared" si="21"/>
        <v>16200</v>
      </c>
    </row>
    <row r="285" spans="1:9" outlineLevel="1" x14ac:dyDescent="0.25">
      <c r="A285" s="84"/>
      <c r="B285" s="28" t="s">
        <v>183</v>
      </c>
      <c r="C285" s="21" t="s">
        <v>12</v>
      </c>
      <c r="D285" s="2">
        <v>12</v>
      </c>
      <c r="E285" s="18"/>
      <c r="F285" s="60">
        <v>4500</v>
      </c>
      <c r="G285" s="26"/>
      <c r="H285" s="2">
        <f t="shared" si="22"/>
        <v>54000</v>
      </c>
      <c r="I285" s="26">
        <f t="shared" si="21"/>
        <v>54000</v>
      </c>
    </row>
    <row r="286" spans="1:9" outlineLevel="1" x14ac:dyDescent="0.25">
      <c r="A286" s="84"/>
      <c r="B286" s="28" t="s">
        <v>453</v>
      </c>
      <c r="C286" s="21" t="s">
        <v>12</v>
      </c>
      <c r="D286" s="2">
        <v>1</v>
      </c>
      <c r="E286" s="18"/>
      <c r="F286" s="60">
        <v>2350</v>
      </c>
      <c r="G286" s="26"/>
      <c r="H286" s="2">
        <f t="shared" si="22"/>
        <v>2350</v>
      </c>
      <c r="I286" s="26">
        <f t="shared" si="21"/>
        <v>2350</v>
      </c>
    </row>
    <row r="287" spans="1:9" ht="32.4" customHeight="1" outlineLevel="1" x14ac:dyDescent="0.25">
      <c r="A287" s="84"/>
      <c r="B287" s="28" t="s">
        <v>286</v>
      </c>
      <c r="C287" s="21" t="s">
        <v>12</v>
      </c>
      <c r="D287" s="2">
        <f>1+1</f>
        <v>2</v>
      </c>
      <c r="E287" s="18"/>
      <c r="F287" s="60">
        <v>955</v>
      </c>
      <c r="G287" s="26"/>
      <c r="H287" s="2">
        <f t="shared" si="22"/>
        <v>1910</v>
      </c>
      <c r="I287" s="26">
        <f t="shared" si="21"/>
        <v>1910</v>
      </c>
    </row>
    <row r="288" spans="1:9" ht="30" customHeight="1" outlineLevel="1" x14ac:dyDescent="0.25">
      <c r="A288" s="84"/>
      <c r="B288" s="28" t="s">
        <v>446</v>
      </c>
      <c r="C288" s="21" t="s">
        <v>12</v>
      </c>
      <c r="D288" s="2">
        <v>36</v>
      </c>
      <c r="E288" s="18"/>
      <c r="F288" s="60">
        <v>130</v>
      </c>
      <c r="G288" s="18"/>
      <c r="H288" s="2">
        <f t="shared" si="22"/>
        <v>4680</v>
      </c>
      <c r="I288" s="26">
        <f>G288+H288</f>
        <v>4680</v>
      </c>
    </row>
    <row r="289" spans="1:10" ht="20.399999999999999" customHeight="1" outlineLevel="1" x14ac:dyDescent="0.25">
      <c r="A289" s="84"/>
      <c r="B289" s="28" t="s">
        <v>447</v>
      </c>
      <c r="C289" s="21" t="s">
        <v>12</v>
      </c>
      <c r="D289" s="2">
        <v>108</v>
      </c>
      <c r="E289" s="18"/>
      <c r="F289" s="60">
        <v>610</v>
      </c>
      <c r="G289" s="18"/>
      <c r="H289" s="2">
        <f t="shared" si="22"/>
        <v>65880</v>
      </c>
      <c r="I289" s="18">
        <f>G289+H289</f>
        <v>65880</v>
      </c>
    </row>
    <row r="290" spans="1:10" ht="24.6" customHeight="1" outlineLevel="1" x14ac:dyDescent="0.25">
      <c r="A290" s="84"/>
      <c r="B290" s="28" t="s">
        <v>450</v>
      </c>
      <c r="C290" s="21" t="s">
        <v>12</v>
      </c>
      <c r="D290" s="2">
        <v>3</v>
      </c>
      <c r="E290" s="18"/>
      <c r="F290" s="60">
        <v>303</v>
      </c>
      <c r="G290" s="18"/>
      <c r="H290" s="2">
        <f t="shared" si="22"/>
        <v>909</v>
      </c>
      <c r="I290" s="18">
        <f>G290+H290</f>
        <v>909</v>
      </c>
    </row>
    <row r="291" spans="1:10" ht="27.75" customHeight="1" outlineLevel="1" x14ac:dyDescent="0.25">
      <c r="A291" s="84"/>
      <c r="B291" s="28" t="s">
        <v>454</v>
      </c>
      <c r="C291" s="21" t="s">
        <v>12</v>
      </c>
      <c r="D291" s="2">
        <v>2</v>
      </c>
      <c r="E291" s="18"/>
      <c r="F291" s="60">
        <v>1061</v>
      </c>
      <c r="G291" s="18"/>
      <c r="H291" s="2">
        <f t="shared" si="22"/>
        <v>2122</v>
      </c>
      <c r="I291" s="18">
        <f>G291+H291</f>
        <v>2122</v>
      </c>
    </row>
    <row r="292" spans="1:10" ht="24.6" customHeight="1" outlineLevel="1" x14ac:dyDescent="0.25">
      <c r="A292" s="84"/>
      <c r="B292" s="28" t="s">
        <v>455</v>
      </c>
      <c r="C292" s="21" t="s">
        <v>12</v>
      </c>
      <c r="D292" s="2">
        <v>1</v>
      </c>
      <c r="E292" s="18"/>
      <c r="F292" s="60">
        <v>386</v>
      </c>
      <c r="G292" s="18"/>
      <c r="H292" s="2">
        <f t="shared" si="22"/>
        <v>386</v>
      </c>
      <c r="I292" s="18">
        <f>G292+H292</f>
        <v>386</v>
      </c>
      <c r="J292" s="5"/>
    </row>
    <row r="293" spans="1:10" ht="31.2" outlineLevel="1" x14ac:dyDescent="0.25">
      <c r="A293" s="84"/>
      <c r="B293" s="177" t="s">
        <v>159</v>
      </c>
      <c r="C293" s="166" t="s">
        <v>12</v>
      </c>
      <c r="D293" s="158">
        <v>1</v>
      </c>
      <c r="E293" s="199"/>
      <c r="F293" s="200"/>
      <c r="G293" s="193">
        <f>E293*D293</f>
        <v>0</v>
      </c>
      <c r="H293" s="193">
        <f>F293*D293</f>
        <v>0</v>
      </c>
      <c r="I293" s="193">
        <f t="shared" si="21"/>
        <v>0</v>
      </c>
    </row>
    <row r="294" spans="1:10" ht="18" customHeight="1" outlineLevel="1" x14ac:dyDescent="0.25">
      <c r="A294" s="84"/>
      <c r="B294" s="173" t="s">
        <v>160</v>
      </c>
      <c r="C294" s="171" t="s">
        <v>12</v>
      </c>
      <c r="D294" s="158">
        <v>1</v>
      </c>
      <c r="E294" s="158"/>
      <c r="F294" s="164">
        <f>223+1170</f>
        <v>1393</v>
      </c>
      <c r="G294" s="193"/>
      <c r="H294" s="158"/>
      <c r="I294" s="193"/>
    </row>
    <row r="295" spans="1:10" outlineLevel="1" x14ac:dyDescent="0.25">
      <c r="A295" s="84"/>
      <c r="B295" s="173" t="s">
        <v>161</v>
      </c>
      <c r="C295" s="171" t="s">
        <v>12</v>
      </c>
      <c r="D295" s="158">
        <v>1</v>
      </c>
      <c r="E295" s="158"/>
      <c r="F295" s="164">
        <v>158</v>
      </c>
      <c r="G295" s="193"/>
      <c r="H295" s="158"/>
      <c r="I295" s="193"/>
    </row>
    <row r="296" spans="1:10" outlineLevel="1" x14ac:dyDescent="0.25">
      <c r="A296" s="84" t="s">
        <v>322</v>
      </c>
      <c r="B296" s="29" t="s">
        <v>162</v>
      </c>
      <c r="C296" s="31" t="s">
        <v>12</v>
      </c>
      <c r="D296" s="31">
        <v>1</v>
      </c>
      <c r="E296" s="10">
        <v>500</v>
      </c>
      <c r="F296" s="60"/>
      <c r="G296" s="2">
        <f>ROUND(E296*D296,2)</f>
        <v>500</v>
      </c>
      <c r="H296" s="18">
        <f>F296*D296</f>
        <v>0</v>
      </c>
      <c r="I296" s="18">
        <f t="shared" si="21"/>
        <v>500</v>
      </c>
    </row>
    <row r="297" spans="1:10" outlineLevel="1" x14ac:dyDescent="0.25">
      <c r="A297" s="84"/>
      <c r="B297" s="28" t="s">
        <v>163</v>
      </c>
      <c r="C297" s="21" t="s">
        <v>12</v>
      </c>
      <c r="D297" s="2">
        <v>1</v>
      </c>
      <c r="E297" s="18"/>
      <c r="F297" s="60">
        <f>950*1.1</f>
        <v>1045</v>
      </c>
      <c r="G297" s="18"/>
      <c r="H297" s="2">
        <f t="shared" si="22"/>
        <v>1045</v>
      </c>
      <c r="I297" s="18">
        <f t="shared" si="21"/>
        <v>1045</v>
      </c>
    </row>
    <row r="298" spans="1:10" outlineLevel="1" x14ac:dyDescent="0.25">
      <c r="A298" s="84" t="s">
        <v>323</v>
      </c>
      <c r="B298" s="29" t="s">
        <v>164</v>
      </c>
      <c r="C298" s="31" t="s">
        <v>12</v>
      </c>
      <c r="D298" s="31">
        <f>SUM(D299:D303)</f>
        <v>157</v>
      </c>
      <c r="E298" s="10">
        <v>200</v>
      </c>
      <c r="F298" s="60"/>
      <c r="G298" s="2">
        <f>ROUND(E298*D298,2)</f>
        <v>31400</v>
      </c>
      <c r="H298" s="18">
        <f>F298*D298</f>
        <v>0</v>
      </c>
      <c r="I298" s="18">
        <f t="shared" si="21"/>
        <v>31400</v>
      </c>
    </row>
    <row r="299" spans="1:10" outlineLevel="1" x14ac:dyDescent="0.25">
      <c r="A299" s="84"/>
      <c r="B299" s="28" t="s">
        <v>165</v>
      </c>
      <c r="C299" s="21" t="s">
        <v>12</v>
      </c>
      <c r="D299" s="2">
        <f>6*3</f>
        <v>18</v>
      </c>
      <c r="E299" s="18"/>
      <c r="F299" s="60">
        <v>674.3</v>
      </c>
      <c r="G299" s="18"/>
      <c r="H299" s="2">
        <f t="shared" si="22"/>
        <v>12137.4</v>
      </c>
      <c r="I299" s="18">
        <f t="shared" si="21"/>
        <v>12137.4</v>
      </c>
    </row>
    <row r="300" spans="1:10" outlineLevel="1" x14ac:dyDescent="0.25">
      <c r="A300" s="84"/>
      <c r="B300" s="28" t="s">
        <v>309</v>
      </c>
      <c r="C300" s="21" t="s">
        <v>12</v>
      </c>
      <c r="D300" s="2">
        <v>123</v>
      </c>
      <c r="E300" s="18"/>
      <c r="F300" s="60">
        <v>850</v>
      </c>
      <c r="G300" s="18"/>
      <c r="H300" s="2">
        <f t="shared" si="22"/>
        <v>104550</v>
      </c>
      <c r="I300" s="18">
        <f>G300+H300</f>
        <v>104550</v>
      </c>
    </row>
    <row r="301" spans="1:10" outlineLevel="1" x14ac:dyDescent="0.25">
      <c r="A301" s="84"/>
      <c r="B301" s="28" t="s">
        <v>345</v>
      </c>
      <c r="C301" s="21" t="s">
        <v>12</v>
      </c>
      <c r="D301" s="2">
        <v>6</v>
      </c>
      <c r="E301" s="18"/>
      <c r="F301" s="60">
        <v>851</v>
      </c>
      <c r="G301" s="18"/>
      <c r="H301" s="2">
        <f t="shared" si="22"/>
        <v>5106</v>
      </c>
      <c r="I301" s="18">
        <f>G301+H301</f>
        <v>5106</v>
      </c>
    </row>
    <row r="302" spans="1:10" ht="17.25" customHeight="1" outlineLevel="1" x14ac:dyDescent="0.25">
      <c r="A302" s="84"/>
      <c r="B302" s="28" t="s">
        <v>301</v>
      </c>
      <c r="C302" s="21" t="s">
        <v>12</v>
      </c>
      <c r="D302" s="2">
        <v>1</v>
      </c>
      <c r="E302" s="18"/>
      <c r="F302" s="60">
        <v>449</v>
      </c>
      <c r="G302" s="18"/>
      <c r="H302" s="2">
        <f t="shared" si="22"/>
        <v>449</v>
      </c>
      <c r="I302" s="18">
        <f t="shared" si="21"/>
        <v>449</v>
      </c>
    </row>
    <row r="303" spans="1:10" ht="17.25" customHeight="1" outlineLevel="1" x14ac:dyDescent="0.25">
      <c r="A303" s="84"/>
      <c r="B303" s="28" t="s">
        <v>344</v>
      </c>
      <c r="C303" s="21" t="s">
        <v>12</v>
      </c>
      <c r="D303" s="2">
        <v>9</v>
      </c>
      <c r="E303" s="18"/>
      <c r="F303" s="60">
        <v>914</v>
      </c>
      <c r="G303" s="18"/>
      <c r="H303" s="18">
        <f t="shared" si="22"/>
        <v>8226</v>
      </c>
      <c r="I303" s="18">
        <f t="shared" si="21"/>
        <v>8226</v>
      </c>
    </row>
    <row r="304" spans="1:10" outlineLevel="1" x14ac:dyDescent="0.25">
      <c r="A304" s="84" t="s">
        <v>324</v>
      </c>
      <c r="B304" s="79" t="s">
        <v>166</v>
      </c>
      <c r="C304" s="31" t="s">
        <v>12</v>
      </c>
      <c r="D304" s="31">
        <f>SUM(D305:D317)</f>
        <v>851</v>
      </c>
      <c r="E304" s="10">
        <v>55</v>
      </c>
      <c r="F304" s="60"/>
      <c r="G304" s="2">
        <f>ROUND(E304*D304,2)</f>
        <v>46805</v>
      </c>
      <c r="H304" s="18">
        <f>F304*D304</f>
        <v>0</v>
      </c>
      <c r="I304" s="18">
        <f t="shared" si="21"/>
        <v>46805</v>
      </c>
    </row>
    <row r="305" spans="1:9" ht="31.2" outlineLevel="1" x14ac:dyDescent="0.25">
      <c r="A305" s="84"/>
      <c r="B305" s="28" t="s">
        <v>167</v>
      </c>
      <c r="C305" s="21" t="s">
        <v>12</v>
      </c>
      <c r="D305" s="2">
        <v>99</v>
      </c>
      <c r="E305" s="18"/>
      <c r="F305" s="60">
        <v>50</v>
      </c>
      <c r="G305" s="18"/>
      <c r="H305" s="2">
        <f t="shared" ref="H305:H317" si="23">ROUND(D305*F305,2)</f>
        <v>4950</v>
      </c>
      <c r="I305" s="18">
        <f t="shared" si="21"/>
        <v>4950</v>
      </c>
    </row>
    <row r="306" spans="1:9" ht="46.8" outlineLevel="1" x14ac:dyDescent="0.25">
      <c r="A306" s="84"/>
      <c r="B306" s="28" t="s">
        <v>292</v>
      </c>
      <c r="C306" s="21" t="s">
        <v>12</v>
      </c>
      <c r="D306" s="2">
        <v>378</v>
      </c>
      <c r="E306" s="18"/>
      <c r="F306" s="60">
        <v>30.46</v>
      </c>
      <c r="G306" s="18"/>
      <c r="H306" s="2">
        <f t="shared" si="23"/>
        <v>11513.88</v>
      </c>
      <c r="I306" s="18">
        <f t="shared" si="21"/>
        <v>11513.88</v>
      </c>
    </row>
    <row r="307" spans="1:9" ht="31.2" outlineLevel="1" x14ac:dyDescent="0.25">
      <c r="A307" s="84"/>
      <c r="B307" s="28" t="s">
        <v>293</v>
      </c>
      <c r="C307" s="21" t="s">
        <v>12</v>
      </c>
      <c r="D307" s="2">
        <v>72</v>
      </c>
      <c r="E307" s="18"/>
      <c r="F307" s="60">
        <v>30.46</v>
      </c>
      <c r="G307" s="18"/>
      <c r="H307" s="2">
        <f t="shared" si="23"/>
        <v>2193.12</v>
      </c>
      <c r="I307" s="18">
        <f>G307+H307</f>
        <v>2193.12</v>
      </c>
    </row>
    <row r="308" spans="1:9" ht="31.2" outlineLevel="1" x14ac:dyDescent="0.25">
      <c r="A308" s="84"/>
      <c r="B308" s="28" t="s">
        <v>294</v>
      </c>
      <c r="C308" s="21" t="s">
        <v>12</v>
      </c>
      <c r="D308" s="2">
        <v>1</v>
      </c>
      <c r="E308" s="18"/>
      <c r="F308" s="60">
        <v>41.85</v>
      </c>
      <c r="G308" s="18"/>
      <c r="H308" s="2">
        <f t="shared" si="23"/>
        <v>41.85</v>
      </c>
      <c r="I308" s="18">
        <f t="shared" si="21"/>
        <v>41.85</v>
      </c>
    </row>
    <row r="309" spans="1:9" ht="31.2" outlineLevel="1" x14ac:dyDescent="0.25">
      <c r="A309" s="84"/>
      <c r="B309" s="28" t="s">
        <v>289</v>
      </c>
      <c r="C309" s="21" t="s">
        <v>12</v>
      </c>
      <c r="D309" s="2">
        <f>21+18+30</f>
        <v>69</v>
      </c>
      <c r="E309" s="18"/>
      <c r="F309" s="60">
        <f>59*1.1</f>
        <v>64.900000000000006</v>
      </c>
      <c r="G309" s="18"/>
      <c r="H309" s="2">
        <f t="shared" si="23"/>
        <v>4478.1000000000004</v>
      </c>
      <c r="I309" s="18">
        <f t="shared" si="21"/>
        <v>4478.1000000000004</v>
      </c>
    </row>
    <row r="310" spans="1:9" ht="31.2" outlineLevel="1" x14ac:dyDescent="0.25">
      <c r="A310" s="84"/>
      <c r="B310" s="28" t="s">
        <v>288</v>
      </c>
      <c r="C310" s="21" t="s">
        <v>12</v>
      </c>
      <c r="D310" s="2">
        <v>66</v>
      </c>
      <c r="E310" s="18"/>
      <c r="F310" s="60">
        <v>37.25</v>
      </c>
      <c r="G310" s="18"/>
      <c r="H310" s="2">
        <f t="shared" si="23"/>
        <v>2458.5</v>
      </c>
      <c r="I310" s="18">
        <f t="shared" si="21"/>
        <v>2458.5</v>
      </c>
    </row>
    <row r="311" spans="1:9" ht="31.2" outlineLevel="1" x14ac:dyDescent="0.25">
      <c r="A311" s="84"/>
      <c r="B311" s="28" t="s">
        <v>290</v>
      </c>
      <c r="C311" s="21" t="s">
        <v>12</v>
      </c>
      <c r="D311" s="2">
        <v>18</v>
      </c>
      <c r="E311" s="18"/>
      <c r="F311" s="60">
        <v>277</v>
      </c>
      <c r="G311" s="18"/>
      <c r="H311" s="2">
        <f t="shared" si="23"/>
        <v>4986</v>
      </c>
      <c r="I311" s="18">
        <f t="shared" si="21"/>
        <v>4986</v>
      </c>
    </row>
    <row r="312" spans="1:9" ht="31.2" outlineLevel="1" x14ac:dyDescent="0.25">
      <c r="A312" s="84"/>
      <c r="B312" s="28" t="s">
        <v>291</v>
      </c>
      <c r="C312" s="21" t="s">
        <v>12</v>
      </c>
      <c r="D312" s="2">
        <v>8</v>
      </c>
      <c r="E312" s="18"/>
      <c r="F312" s="60">
        <v>65.900000000000006</v>
      </c>
      <c r="G312" s="18"/>
      <c r="H312" s="2">
        <f t="shared" si="23"/>
        <v>527.20000000000005</v>
      </c>
      <c r="I312" s="18">
        <f t="shared" si="21"/>
        <v>527.20000000000005</v>
      </c>
    </row>
    <row r="313" spans="1:9" outlineLevel="1" x14ac:dyDescent="0.25">
      <c r="A313" s="84"/>
      <c r="B313" s="28" t="s">
        <v>168</v>
      </c>
      <c r="C313" s="21" t="s">
        <v>12</v>
      </c>
      <c r="D313" s="2">
        <f>9*2+18</f>
        <v>36</v>
      </c>
      <c r="E313" s="18"/>
      <c r="F313" s="60">
        <v>127</v>
      </c>
      <c r="G313" s="18"/>
      <c r="H313" s="2">
        <f t="shared" si="23"/>
        <v>4572</v>
      </c>
      <c r="I313" s="18">
        <f t="shared" si="21"/>
        <v>4572</v>
      </c>
    </row>
    <row r="314" spans="1:9" outlineLevel="1" x14ac:dyDescent="0.25">
      <c r="A314" s="84"/>
      <c r="B314" s="28" t="s">
        <v>287</v>
      </c>
      <c r="C314" s="21" t="s">
        <v>12</v>
      </c>
      <c r="D314" s="2">
        <v>42</v>
      </c>
      <c r="E314" s="18"/>
      <c r="F314" s="60">
        <v>20</v>
      </c>
      <c r="G314" s="18"/>
      <c r="H314" s="2">
        <f t="shared" si="23"/>
        <v>840</v>
      </c>
      <c r="I314" s="18">
        <f t="shared" si="21"/>
        <v>840</v>
      </c>
    </row>
    <row r="315" spans="1:9" outlineLevel="1" x14ac:dyDescent="0.25">
      <c r="A315" s="84"/>
      <c r="B315" s="28" t="s">
        <v>295</v>
      </c>
      <c r="C315" s="21" t="s">
        <v>12</v>
      </c>
      <c r="D315" s="2">
        <v>40</v>
      </c>
      <c r="E315" s="18"/>
      <c r="F315" s="60">
        <v>30</v>
      </c>
      <c r="G315" s="18"/>
      <c r="H315" s="2">
        <f t="shared" si="23"/>
        <v>1200</v>
      </c>
      <c r="I315" s="18">
        <f>G315+H315</f>
        <v>1200</v>
      </c>
    </row>
    <row r="316" spans="1:9" ht="31.2" outlineLevel="1" x14ac:dyDescent="0.25">
      <c r="A316" s="84"/>
      <c r="B316" s="28" t="s">
        <v>442</v>
      </c>
      <c r="C316" s="21" t="s">
        <v>12</v>
      </c>
      <c r="D316" s="2">
        <v>6</v>
      </c>
      <c r="E316" s="18"/>
      <c r="F316" s="60">
        <v>78</v>
      </c>
      <c r="G316" s="18"/>
      <c r="H316" s="2">
        <f t="shared" si="23"/>
        <v>468</v>
      </c>
      <c r="I316" s="18">
        <f>G316+H316</f>
        <v>468</v>
      </c>
    </row>
    <row r="317" spans="1:9" outlineLevel="1" x14ac:dyDescent="0.25">
      <c r="A317" s="84"/>
      <c r="B317" s="28" t="s">
        <v>451</v>
      </c>
      <c r="C317" s="21" t="s">
        <v>12</v>
      </c>
      <c r="D317" s="2">
        <v>16</v>
      </c>
      <c r="E317" s="18"/>
      <c r="F317" s="60">
        <v>90</v>
      </c>
      <c r="G317" s="18"/>
      <c r="H317" s="2">
        <f t="shared" si="23"/>
        <v>1440</v>
      </c>
      <c r="I317" s="18">
        <f>G317+H317</f>
        <v>1440</v>
      </c>
    </row>
    <row r="318" spans="1:9" outlineLevel="1" x14ac:dyDescent="0.25">
      <c r="A318" s="84" t="s">
        <v>532</v>
      </c>
      <c r="B318" s="29" t="s">
        <v>489</v>
      </c>
      <c r="C318" s="31" t="s">
        <v>29</v>
      </c>
      <c r="D318" s="31">
        <f>D319+D320+D321+D322+D323+D324+D326+D327+D325</f>
        <v>8595</v>
      </c>
      <c r="E318" s="10">
        <v>25</v>
      </c>
      <c r="F318" s="60"/>
      <c r="G318" s="2">
        <f>ROUND(E318*D318,2)</f>
        <v>214875</v>
      </c>
      <c r="H318" s="18">
        <f>F318*D318</f>
        <v>0</v>
      </c>
      <c r="I318" s="18">
        <f t="shared" si="21"/>
        <v>214875</v>
      </c>
    </row>
    <row r="319" spans="1:9" outlineLevel="1" x14ac:dyDescent="0.25">
      <c r="A319" s="84"/>
      <c r="B319" s="28" t="s">
        <v>296</v>
      </c>
      <c r="C319" s="21" t="s">
        <v>29</v>
      </c>
      <c r="D319" s="2">
        <f>200*2+400</f>
        <v>800</v>
      </c>
      <c r="E319" s="18"/>
      <c r="F319" s="60">
        <v>31</v>
      </c>
      <c r="G319" s="18"/>
      <c r="H319" s="2">
        <f t="shared" ref="H319:H337" si="24">ROUND(D319*F319,2)</f>
        <v>24800</v>
      </c>
      <c r="I319" s="18">
        <f t="shared" si="21"/>
        <v>24800</v>
      </c>
    </row>
    <row r="320" spans="1:9" outlineLevel="1" x14ac:dyDescent="0.25">
      <c r="A320" s="84"/>
      <c r="B320" s="28" t="s">
        <v>311</v>
      </c>
      <c r="C320" s="21" t="s">
        <v>29</v>
      </c>
      <c r="D320" s="2">
        <v>155</v>
      </c>
      <c r="E320" s="18"/>
      <c r="F320" s="60">
        <f>459.7*1.1</f>
        <v>505.67</v>
      </c>
      <c r="G320" s="18"/>
      <c r="H320" s="2">
        <f t="shared" si="24"/>
        <v>78378.850000000006</v>
      </c>
      <c r="I320" s="18">
        <f t="shared" si="21"/>
        <v>78378.850000000006</v>
      </c>
    </row>
    <row r="321" spans="1:9" outlineLevel="1" x14ac:dyDescent="0.25">
      <c r="A321" s="84"/>
      <c r="B321" s="28" t="s">
        <v>297</v>
      </c>
      <c r="C321" s="21" t="s">
        <v>29</v>
      </c>
      <c r="D321" s="2">
        <v>1400</v>
      </c>
      <c r="E321" s="18"/>
      <c r="F321" s="60">
        <f>10.16*1.1</f>
        <v>11.176000000000002</v>
      </c>
      <c r="G321" s="18"/>
      <c r="H321" s="2">
        <f t="shared" si="24"/>
        <v>15646.4</v>
      </c>
      <c r="I321" s="18">
        <f t="shared" si="21"/>
        <v>15646.4</v>
      </c>
    </row>
    <row r="322" spans="1:9" outlineLevel="1" x14ac:dyDescent="0.25">
      <c r="A322" s="84"/>
      <c r="B322" s="28" t="s">
        <v>299</v>
      </c>
      <c r="C322" s="21" t="s">
        <v>29</v>
      </c>
      <c r="D322" s="2">
        <v>400</v>
      </c>
      <c r="E322" s="18"/>
      <c r="F322" s="60">
        <f>11.4*1.1</f>
        <v>12.540000000000001</v>
      </c>
      <c r="G322" s="18"/>
      <c r="H322" s="2">
        <f t="shared" si="24"/>
        <v>5016</v>
      </c>
      <c r="I322" s="18">
        <f>G322+H322</f>
        <v>5016</v>
      </c>
    </row>
    <row r="323" spans="1:9" outlineLevel="1" x14ac:dyDescent="0.25">
      <c r="A323" s="84"/>
      <c r="B323" s="28" t="s">
        <v>298</v>
      </c>
      <c r="C323" s="21" t="s">
        <v>29</v>
      </c>
      <c r="D323" s="2">
        <v>90</v>
      </c>
      <c r="E323" s="18"/>
      <c r="F323" s="60">
        <f>19.4*1.1</f>
        <v>21.34</v>
      </c>
      <c r="G323" s="18"/>
      <c r="H323" s="2">
        <f t="shared" si="24"/>
        <v>1920.6</v>
      </c>
      <c r="I323" s="18">
        <f>G323+H323</f>
        <v>1920.6</v>
      </c>
    </row>
    <row r="324" spans="1:9" outlineLevel="1" x14ac:dyDescent="0.25">
      <c r="A324" s="84"/>
      <c r="B324" s="28" t="s">
        <v>171</v>
      </c>
      <c r="C324" s="21" t="s">
        <v>29</v>
      </c>
      <c r="D324" s="2">
        <v>15</v>
      </c>
      <c r="E324" s="18"/>
      <c r="F324" s="60">
        <f>50.41*1.1</f>
        <v>55.451000000000001</v>
      </c>
      <c r="G324" s="18"/>
      <c r="H324" s="2">
        <f t="shared" si="24"/>
        <v>831.77</v>
      </c>
      <c r="I324" s="18">
        <f t="shared" si="21"/>
        <v>831.77</v>
      </c>
    </row>
    <row r="325" spans="1:9" outlineLevel="1" x14ac:dyDescent="0.25">
      <c r="A325" s="84"/>
      <c r="B325" s="28" t="s">
        <v>458</v>
      </c>
      <c r="C325" s="21" t="s">
        <v>29</v>
      </c>
      <c r="D325" s="2">
        <v>5</v>
      </c>
      <c r="E325" s="18"/>
      <c r="F325" s="60">
        <v>205</v>
      </c>
      <c r="G325" s="18"/>
      <c r="H325" s="2">
        <f t="shared" si="24"/>
        <v>1025</v>
      </c>
      <c r="I325" s="18">
        <f>G325+H325</f>
        <v>1025</v>
      </c>
    </row>
    <row r="326" spans="1:9" outlineLevel="1" x14ac:dyDescent="0.25">
      <c r="A326" s="84"/>
      <c r="B326" s="28" t="s">
        <v>169</v>
      </c>
      <c r="C326" s="21" t="s">
        <v>29</v>
      </c>
      <c r="D326" s="2">
        <f>700+4800</f>
        <v>5500</v>
      </c>
      <c r="E326" s="18"/>
      <c r="F326" s="60">
        <f>22.48*1.1</f>
        <v>24.728000000000002</v>
      </c>
      <c r="G326" s="18"/>
      <c r="H326" s="2">
        <f t="shared" si="24"/>
        <v>136004</v>
      </c>
      <c r="I326" s="18">
        <f t="shared" si="21"/>
        <v>136004</v>
      </c>
    </row>
    <row r="327" spans="1:9" outlineLevel="1" x14ac:dyDescent="0.25">
      <c r="A327" s="84"/>
      <c r="B327" s="28" t="s">
        <v>457</v>
      </c>
      <c r="C327" s="21" t="s">
        <v>29</v>
      </c>
      <c r="D327" s="2">
        <v>230</v>
      </c>
      <c r="E327" s="18"/>
      <c r="F327" s="60">
        <f>15.53*1.1</f>
        <v>17.083000000000002</v>
      </c>
      <c r="G327" s="18"/>
      <c r="H327" s="2">
        <f t="shared" si="24"/>
        <v>3929.09</v>
      </c>
      <c r="I327" s="18">
        <f t="shared" si="21"/>
        <v>3929.09</v>
      </c>
    </row>
    <row r="328" spans="1:9" ht="17.25" customHeight="1" outlineLevel="1" x14ac:dyDescent="0.25">
      <c r="A328" s="84"/>
      <c r="B328" s="28" t="s">
        <v>170</v>
      </c>
      <c r="C328" s="21" t="s">
        <v>12</v>
      </c>
      <c r="D328" s="2">
        <f>42+57</f>
        <v>99</v>
      </c>
      <c r="E328" s="18"/>
      <c r="F328" s="60">
        <v>8</v>
      </c>
      <c r="G328" s="18"/>
      <c r="H328" s="2">
        <f t="shared" si="24"/>
        <v>792</v>
      </c>
      <c r="I328" s="18">
        <f>G328+H328</f>
        <v>792</v>
      </c>
    </row>
    <row r="329" spans="1:9" outlineLevel="1" x14ac:dyDescent="0.25">
      <c r="A329" s="84"/>
      <c r="B329" s="28" t="s">
        <v>172</v>
      </c>
      <c r="C329" s="21" t="s">
        <v>15</v>
      </c>
      <c r="D329" s="2">
        <f>120*0.395+15*2+7+54+78.4</f>
        <v>216.8</v>
      </c>
      <c r="E329" s="18"/>
      <c r="F329" s="60">
        <v>42</v>
      </c>
      <c r="G329" s="18"/>
      <c r="H329" s="2">
        <f t="shared" si="24"/>
        <v>9105.6</v>
      </c>
      <c r="I329" s="18">
        <f t="shared" si="21"/>
        <v>9105.6</v>
      </c>
    </row>
    <row r="330" spans="1:9" outlineLevel="1" x14ac:dyDescent="0.25">
      <c r="A330" s="84"/>
      <c r="B330" s="28" t="s">
        <v>302</v>
      </c>
      <c r="C330" s="21" t="s">
        <v>29</v>
      </c>
      <c r="D330" s="2">
        <v>190</v>
      </c>
      <c r="E330" s="18"/>
      <c r="F330" s="60">
        <v>194</v>
      </c>
      <c r="G330" s="18"/>
      <c r="H330" s="2">
        <f t="shared" si="24"/>
        <v>36860</v>
      </c>
      <c r="I330" s="18">
        <f t="shared" si="21"/>
        <v>36860</v>
      </c>
    </row>
    <row r="331" spans="1:9" outlineLevel="1" x14ac:dyDescent="0.25">
      <c r="A331" s="84"/>
      <c r="B331" s="28" t="s">
        <v>443</v>
      </c>
      <c r="C331" s="21" t="s">
        <v>29</v>
      </c>
      <c r="D331" s="2">
        <v>70</v>
      </c>
      <c r="E331" s="18"/>
      <c r="F331" s="60">
        <v>45</v>
      </c>
      <c r="G331" s="18"/>
      <c r="H331" s="2">
        <f t="shared" si="24"/>
        <v>3150</v>
      </c>
      <c r="I331" s="18">
        <f t="shared" si="21"/>
        <v>3150</v>
      </c>
    </row>
    <row r="332" spans="1:9" outlineLevel="1" x14ac:dyDescent="0.25">
      <c r="A332" s="84"/>
      <c r="B332" s="28" t="s">
        <v>300</v>
      </c>
      <c r="C332" s="21" t="s">
        <v>29</v>
      </c>
      <c r="D332" s="2">
        <v>39</v>
      </c>
      <c r="E332" s="18"/>
      <c r="F332" s="60">
        <v>78</v>
      </c>
      <c r="G332" s="18"/>
      <c r="H332" s="2">
        <f t="shared" si="24"/>
        <v>3042</v>
      </c>
      <c r="I332" s="18">
        <f t="shared" si="21"/>
        <v>3042</v>
      </c>
    </row>
    <row r="333" spans="1:9" outlineLevel="1" x14ac:dyDescent="0.25">
      <c r="A333" s="84"/>
      <c r="B333" s="28" t="s">
        <v>90</v>
      </c>
      <c r="C333" s="21" t="s">
        <v>29</v>
      </c>
      <c r="D333" s="2">
        <v>40</v>
      </c>
      <c r="E333" s="18"/>
      <c r="F333" s="60">
        <v>9.8699999999999992</v>
      </c>
      <c r="G333" s="18"/>
      <c r="H333" s="2">
        <f t="shared" si="24"/>
        <v>394.8</v>
      </c>
      <c r="I333" s="18">
        <f t="shared" si="21"/>
        <v>394.8</v>
      </c>
    </row>
    <row r="334" spans="1:9" outlineLevel="1" x14ac:dyDescent="0.25">
      <c r="A334" s="84"/>
      <c r="B334" s="28" t="s">
        <v>444</v>
      </c>
      <c r="C334" s="21" t="s">
        <v>29</v>
      </c>
      <c r="D334" s="2">
        <f>15+220</f>
        <v>235</v>
      </c>
      <c r="E334" s="18"/>
      <c r="F334" s="60">
        <v>56</v>
      </c>
      <c r="G334" s="18"/>
      <c r="H334" s="2">
        <f t="shared" si="24"/>
        <v>13160</v>
      </c>
      <c r="I334" s="18">
        <f>G334+H334</f>
        <v>13160</v>
      </c>
    </row>
    <row r="335" spans="1:9" outlineLevel="1" x14ac:dyDescent="0.25">
      <c r="A335" s="84"/>
      <c r="B335" s="28" t="s">
        <v>445</v>
      </c>
      <c r="C335" s="21" t="s">
        <v>29</v>
      </c>
      <c r="D335" s="2">
        <v>55</v>
      </c>
      <c r="E335" s="18"/>
      <c r="F335" s="60">
        <v>70</v>
      </c>
      <c r="G335" s="18"/>
      <c r="H335" s="2">
        <f t="shared" si="24"/>
        <v>3850</v>
      </c>
      <c r="I335" s="18">
        <f>G335+H335</f>
        <v>3850</v>
      </c>
    </row>
    <row r="336" spans="1:9" outlineLevel="1" x14ac:dyDescent="0.25">
      <c r="A336" s="84"/>
      <c r="B336" s="28" t="s">
        <v>452</v>
      </c>
      <c r="C336" s="21" t="s">
        <v>29</v>
      </c>
      <c r="D336" s="2">
        <v>10</v>
      </c>
      <c r="E336" s="18"/>
      <c r="F336" s="60">
        <v>60</v>
      </c>
      <c r="G336" s="18"/>
      <c r="H336" s="2">
        <f t="shared" si="24"/>
        <v>600</v>
      </c>
      <c r="I336" s="18">
        <f>G336+H336</f>
        <v>600</v>
      </c>
    </row>
    <row r="337" spans="1:9" outlineLevel="1" x14ac:dyDescent="0.25">
      <c r="A337" s="84"/>
      <c r="B337" s="28" t="s">
        <v>456</v>
      </c>
      <c r="C337" s="21" t="s">
        <v>29</v>
      </c>
      <c r="D337" s="2">
        <v>340</v>
      </c>
      <c r="E337" s="18"/>
      <c r="F337" s="60">
        <v>170</v>
      </c>
      <c r="G337" s="18"/>
      <c r="H337" s="2">
        <f t="shared" si="24"/>
        <v>57800</v>
      </c>
      <c r="I337" s="18">
        <f>G337+H337</f>
        <v>57800</v>
      </c>
    </row>
    <row r="338" spans="1:9" outlineLevel="1" x14ac:dyDescent="0.25">
      <c r="A338" s="84" t="s">
        <v>533</v>
      </c>
      <c r="B338" s="29" t="s">
        <v>303</v>
      </c>
      <c r="C338" s="31" t="s">
        <v>12</v>
      </c>
      <c r="D338" s="158"/>
      <c r="E338" s="18"/>
      <c r="F338" s="60"/>
      <c r="G338" s="18">
        <f>E338*D338</f>
        <v>0</v>
      </c>
      <c r="H338" s="18"/>
      <c r="I338" s="18">
        <f t="shared" si="21"/>
        <v>0</v>
      </c>
    </row>
    <row r="339" spans="1:9" outlineLevel="1" x14ac:dyDescent="0.25">
      <c r="A339" s="84"/>
      <c r="B339" s="28" t="s">
        <v>304</v>
      </c>
      <c r="C339" s="21" t="s">
        <v>12</v>
      </c>
      <c r="D339" s="2">
        <v>1</v>
      </c>
      <c r="E339" s="18"/>
      <c r="F339" s="60">
        <v>462</v>
      </c>
      <c r="G339" s="18"/>
      <c r="H339" s="2">
        <f>ROUND(D339*F339,2)</f>
        <v>462</v>
      </c>
      <c r="I339" s="18">
        <f t="shared" si="21"/>
        <v>462</v>
      </c>
    </row>
    <row r="340" spans="1:9" outlineLevel="1" x14ac:dyDescent="0.25">
      <c r="A340" s="84"/>
      <c r="B340" s="28" t="s">
        <v>306</v>
      </c>
      <c r="C340" s="21" t="s">
        <v>12</v>
      </c>
      <c r="D340" s="2">
        <v>1</v>
      </c>
      <c r="E340" s="18"/>
      <c r="F340" s="60">
        <v>216</v>
      </c>
      <c r="G340" s="18"/>
      <c r="H340" s="2">
        <f>ROUND(D340*F340,2)</f>
        <v>216</v>
      </c>
      <c r="I340" s="18">
        <f t="shared" si="21"/>
        <v>216</v>
      </c>
    </row>
    <row r="341" spans="1:9" outlineLevel="1" x14ac:dyDescent="0.25">
      <c r="A341" s="84"/>
      <c r="B341" s="28" t="s">
        <v>305</v>
      </c>
      <c r="C341" s="21" t="s">
        <v>12</v>
      </c>
      <c r="D341" s="2">
        <v>1</v>
      </c>
      <c r="E341" s="18"/>
      <c r="F341" s="60">
        <v>216</v>
      </c>
      <c r="G341" s="18"/>
      <c r="H341" s="2">
        <f>ROUND(D341*F341,2)</f>
        <v>216</v>
      </c>
      <c r="I341" s="18">
        <f t="shared" si="21"/>
        <v>216</v>
      </c>
    </row>
    <row r="342" spans="1:9" outlineLevel="1" x14ac:dyDescent="0.25">
      <c r="A342" s="84"/>
      <c r="B342" s="28" t="s">
        <v>307</v>
      </c>
      <c r="C342" s="21" t="s">
        <v>12</v>
      </c>
      <c r="D342" s="2">
        <v>1</v>
      </c>
      <c r="E342" s="18"/>
      <c r="F342" s="60">
        <v>300</v>
      </c>
      <c r="G342" s="18"/>
      <c r="H342" s="2">
        <f>ROUND(D342*F342,2)</f>
        <v>300</v>
      </c>
      <c r="I342" s="18">
        <f t="shared" si="21"/>
        <v>300</v>
      </c>
    </row>
    <row r="343" spans="1:9" outlineLevel="1" x14ac:dyDescent="0.25">
      <c r="A343" s="84" t="s">
        <v>534</v>
      </c>
      <c r="B343" s="29" t="s">
        <v>310</v>
      </c>
      <c r="C343" s="31" t="s">
        <v>173</v>
      </c>
      <c r="D343" s="31">
        <v>3</v>
      </c>
      <c r="E343" s="18"/>
      <c r="F343" s="60">
        <f>30000</f>
        <v>30000</v>
      </c>
      <c r="G343" s="18"/>
      <c r="H343" s="2">
        <f>ROUND(D343*F343,2)</f>
        <v>90000</v>
      </c>
      <c r="I343" s="18">
        <f t="shared" si="21"/>
        <v>90000</v>
      </c>
    </row>
    <row r="344" spans="1:9" outlineLevel="1" x14ac:dyDescent="0.25">
      <c r="A344" s="84" t="s">
        <v>611</v>
      </c>
      <c r="B344" s="192" t="s">
        <v>590</v>
      </c>
      <c r="C344" s="31"/>
      <c r="D344" s="18"/>
      <c r="E344" s="10">
        <v>12000</v>
      </c>
      <c r="F344" s="60"/>
      <c r="G344" s="18">
        <f>E344</f>
        <v>12000</v>
      </c>
      <c r="H344" s="18">
        <v>0</v>
      </c>
      <c r="I344" s="18">
        <f>G344+H344</f>
        <v>12000</v>
      </c>
    </row>
    <row r="345" spans="1:9" outlineLevel="1" x14ac:dyDescent="0.25">
      <c r="A345" s="84"/>
      <c r="B345" s="28" t="s">
        <v>591</v>
      </c>
      <c r="C345" s="21" t="s">
        <v>12</v>
      </c>
      <c r="D345" s="18">
        <v>1</v>
      </c>
      <c r="E345" s="18"/>
      <c r="F345" s="60">
        <f>1144.07*1.1</f>
        <v>1258.4770000000001</v>
      </c>
      <c r="G345" s="18"/>
      <c r="H345" s="18">
        <f>F345*D345</f>
        <v>1258.4770000000001</v>
      </c>
      <c r="I345" s="18">
        <f>G345+H345</f>
        <v>1258.4770000000001</v>
      </c>
    </row>
    <row r="346" spans="1:9" outlineLevel="1" x14ac:dyDescent="0.25">
      <c r="A346" s="84"/>
      <c r="B346" s="28" t="s">
        <v>592</v>
      </c>
      <c r="C346" s="21" t="s">
        <v>12</v>
      </c>
      <c r="D346" s="18">
        <v>1</v>
      </c>
      <c r="E346" s="18"/>
      <c r="F346" s="60">
        <f>1144.07*1.1</f>
        <v>1258.4770000000001</v>
      </c>
      <c r="G346" s="18"/>
      <c r="H346" s="18">
        <f>F346*D346</f>
        <v>1258.4770000000001</v>
      </c>
      <c r="I346" s="18">
        <f>G346+H346</f>
        <v>1258.4770000000001</v>
      </c>
    </row>
    <row r="347" spans="1:9" outlineLevel="1" x14ac:dyDescent="0.25">
      <c r="A347" s="84"/>
      <c r="B347" s="28" t="s">
        <v>593</v>
      </c>
      <c r="C347" s="21" t="s">
        <v>12</v>
      </c>
      <c r="D347" s="18">
        <v>1</v>
      </c>
      <c r="E347" s="18"/>
      <c r="F347" s="60">
        <f>1144.07*1.1</f>
        <v>1258.4770000000001</v>
      </c>
      <c r="G347" s="18"/>
      <c r="H347" s="18">
        <f>F347*D347</f>
        <v>1258.4770000000001</v>
      </c>
      <c r="I347" s="18">
        <f>G347+H347</f>
        <v>1258.4770000000001</v>
      </c>
    </row>
    <row r="348" spans="1:9" outlineLevel="1" x14ac:dyDescent="0.25">
      <c r="A348" s="84"/>
      <c r="B348" s="28" t="s">
        <v>594</v>
      </c>
      <c r="C348" s="21" t="s">
        <v>12</v>
      </c>
      <c r="D348" s="18">
        <v>1</v>
      </c>
      <c r="E348" s="18"/>
      <c r="F348" s="60">
        <f>1101.7*1.18</f>
        <v>1300.0060000000001</v>
      </c>
      <c r="G348" s="18"/>
      <c r="H348" s="18">
        <f>F348*D348</f>
        <v>1300.0060000000001</v>
      </c>
      <c r="I348" s="18">
        <f>G348+H348</f>
        <v>1300.0060000000001</v>
      </c>
    </row>
    <row r="349" spans="1:9" outlineLevel="1" x14ac:dyDescent="0.25">
      <c r="A349" s="84"/>
      <c r="B349" s="33" t="s">
        <v>595</v>
      </c>
      <c r="C349" s="21" t="s">
        <v>12</v>
      </c>
      <c r="D349" s="18">
        <v>2</v>
      </c>
      <c r="E349" s="18"/>
      <c r="F349" s="60">
        <f>120</f>
        <v>120</v>
      </c>
      <c r="G349" s="18"/>
      <c r="H349" s="18">
        <f t="shared" ref="H349:H364" si="25">F349*D349</f>
        <v>240</v>
      </c>
      <c r="I349" s="18">
        <f t="shared" ref="I349:I364" si="26">G349+H349</f>
        <v>240</v>
      </c>
    </row>
    <row r="350" spans="1:9" outlineLevel="1" x14ac:dyDescent="0.25">
      <c r="A350" s="84"/>
      <c r="B350" s="33" t="s">
        <v>596</v>
      </c>
      <c r="C350" s="21" t="s">
        <v>12</v>
      </c>
      <c r="D350" s="18">
        <v>1</v>
      </c>
      <c r="E350" s="18"/>
      <c r="F350" s="60">
        <f>127.12*1.18</f>
        <v>150.0016</v>
      </c>
      <c r="G350" s="18"/>
      <c r="H350" s="18">
        <f t="shared" si="25"/>
        <v>150.0016</v>
      </c>
      <c r="I350" s="18">
        <f t="shared" si="26"/>
        <v>150.0016</v>
      </c>
    </row>
    <row r="351" spans="1:9" outlineLevel="1" x14ac:dyDescent="0.25">
      <c r="A351" s="84"/>
      <c r="B351" s="33" t="s">
        <v>597</v>
      </c>
      <c r="C351" s="21" t="s">
        <v>12</v>
      </c>
      <c r="D351" s="18">
        <v>2</v>
      </c>
      <c r="E351" s="18"/>
      <c r="F351" s="60">
        <f>127.12*1.18</f>
        <v>150.0016</v>
      </c>
      <c r="G351" s="18"/>
      <c r="H351" s="18">
        <f t="shared" si="25"/>
        <v>300.00319999999999</v>
      </c>
      <c r="I351" s="18">
        <f t="shared" si="26"/>
        <v>300.00319999999999</v>
      </c>
    </row>
    <row r="352" spans="1:9" outlineLevel="1" x14ac:dyDescent="0.25">
      <c r="A352" s="84"/>
      <c r="B352" s="33" t="s">
        <v>598</v>
      </c>
      <c r="C352" s="21" t="s">
        <v>12</v>
      </c>
      <c r="D352" s="18">
        <v>2</v>
      </c>
      <c r="E352" s="18"/>
      <c r="F352" s="60">
        <v>50</v>
      </c>
      <c r="G352" s="18"/>
      <c r="H352" s="18">
        <f t="shared" si="25"/>
        <v>100</v>
      </c>
      <c r="I352" s="18">
        <f t="shared" si="26"/>
        <v>100</v>
      </c>
    </row>
    <row r="353" spans="1:9" outlineLevel="1" x14ac:dyDescent="0.25">
      <c r="A353" s="84"/>
      <c r="B353" s="33" t="s">
        <v>599</v>
      </c>
      <c r="C353" s="21" t="s">
        <v>12</v>
      </c>
      <c r="D353" s="18">
        <v>3</v>
      </c>
      <c r="E353" s="18"/>
      <c r="F353" s="60">
        <v>200</v>
      </c>
      <c r="G353" s="18"/>
      <c r="H353" s="18">
        <f t="shared" si="25"/>
        <v>600</v>
      </c>
      <c r="I353" s="18">
        <f t="shared" si="26"/>
        <v>600</v>
      </c>
    </row>
    <row r="354" spans="1:9" outlineLevel="1" x14ac:dyDescent="0.25">
      <c r="A354" s="84"/>
      <c r="B354" s="33" t="s">
        <v>600</v>
      </c>
      <c r="C354" s="21" t="s">
        <v>12</v>
      </c>
      <c r="D354" s="18">
        <v>36</v>
      </c>
      <c r="E354" s="18"/>
      <c r="F354" s="60">
        <v>10</v>
      </c>
      <c r="G354" s="18"/>
      <c r="H354" s="18">
        <f t="shared" si="25"/>
        <v>360</v>
      </c>
      <c r="I354" s="18">
        <f t="shared" si="26"/>
        <v>360</v>
      </c>
    </row>
    <row r="355" spans="1:9" outlineLevel="1" x14ac:dyDescent="0.25">
      <c r="A355" s="84"/>
      <c r="B355" s="33" t="s">
        <v>601</v>
      </c>
      <c r="C355" s="21" t="s">
        <v>12</v>
      </c>
      <c r="D355" s="18">
        <v>24</v>
      </c>
      <c r="E355" s="18"/>
      <c r="F355" s="60">
        <v>18</v>
      </c>
      <c r="G355" s="18"/>
      <c r="H355" s="18">
        <f t="shared" si="25"/>
        <v>432</v>
      </c>
      <c r="I355" s="18">
        <f t="shared" si="26"/>
        <v>432</v>
      </c>
    </row>
    <row r="356" spans="1:9" outlineLevel="1" x14ac:dyDescent="0.25">
      <c r="A356" s="84"/>
      <c r="B356" s="33" t="s">
        <v>602</v>
      </c>
      <c r="C356" s="21" t="s">
        <v>12</v>
      </c>
      <c r="D356" s="18">
        <v>12</v>
      </c>
      <c r="E356" s="18"/>
      <c r="F356" s="60">
        <v>67</v>
      </c>
      <c r="G356" s="18"/>
      <c r="H356" s="18">
        <f t="shared" si="25"/>
        <v>804</v>
      </c>
      <c r="I356" s="18">
        <f t="shared" si="26"/>
        <v>804</v>
      </c>
    </row>
    <row r="357" spans="1:9" outlineLevel="1" x14ac:dyDescent="0.25">
      <c r="A357" s="84"/>
      <c r="B357" s="33" t="s">
        <v>603</v>
      </c>
      <c r="C357" s="21" t="s">
        <v>12</v>
      </c>
      <c r="D357" s="18">
        <v>2</v>
      </c>
      <c r="E357" s="18"/>
      <c r="F357" s="60">
        <v>65</v>
      </c>
      <c r="G357" s="18"/>
      <c r="H357" s="18">
        <f t="shared" si="25"/>
        <v>130</v>
      </c>
      <c r="I357" s="18">
        <f t="shared" si="26"/>
        <v>130</v>
      </c>
    </row>
    <row r="358" spans="1:9" outlineLevel="1" x14ac:dyDescent="0.25">
      <c r="A358" s="84"/>
      <c r="B358" s="33" t="s">
        <v>604</v>
      </c>
      <c r="C358" s="21" t="s">
        <v>12</v>
      </c>
      <c r="D358" s="18">
        <v>4</v>
      </c>
      <c r="E358" s="18"/>
      <c r="F358" s="60">
        <v>150</v>
      </c>
      <c r="G358" s="18"/>
      <c r="H358" s="18">
        <f t="shared" si="25"/>
        <v>600</v>
      </c>
      <c r="I358" s="18">
        <f t="shared" si="26"/>
        <v>600</v>
      </c>
    </row>
    <row r="359" spans="1:9" outlineLevel="1" x14ac:dyDescent="0.25">
      <c r="A359" s="84"/>
      <c r="B359" s="33" t="s">
        <v>605</v>
      </c>
      <c r="C359" s="21" t="s">
        <v>12</v>
      </c>
      <c r="D359" s="18">
        <v>36</v>
      </c>
      <c r="E359" s="18"/>
      <c r="F359" s="60">
        <v>45</v>
      </c>
      <c r="G359" s="18"/>
      <c r="H359" s="18">
        <f t="shared" si="25"/>
        <v>1620</v>
      </c>
      <c r="I359" s="18">
        <f t="shared" si="26"/>
        <v>1620</v>
      </c>
    </row>
    <row r="360" spans="1:9" outlineLevel="1" x14ac:dyDescent="0.25">
      <c r="A360" s="84"/>
      <c r="B360" s="33" t="s">
        <v>606</v>
      </c>
      <c r="C360" s="21" t="s">
        <v>12</v>
      </c>
      <c r="D360" s="18">
        <v>36</v>
      </c>
      <c r="E360" s="18"/>
      <c r="F360" s="60">
        <v>65</v>
      </c>
      <c r="G360" s="18"/>
      <c r="H360" s="18">
        <f t="shared" si="25"/>
        <v>2340</v>
      </c>
      <c r="I360" s="18">
        <f t="shared" si="26"/>
        <v>2340</v>
      </c>
    </row>
    <row r="361" spans="1:9" outlineLevel="1" x14ac:dyDescent="0.25">
      <c r="A361" s="84"/>
      <c r="B361" s="33" t="s">
        <v>607</v>
      </c>
      <c r="C361" s="21" t="s">
        <v>29</v>
      </c>
      <c r="D361" s="18">
        <f>0.13*1000</f>
        <v>130</v>
      </c>
      <c r="E361" s="18"/>
      <c r="F361" s="60">
        <v>50</v>
      </c>
      <c r="G361" s="18"/>
      <c r="H361" s="18">
        <f t="shared" si="25"/>
        <v>6500</v>
      </c>
      <c r="I361" s="18">
        <f t="shared" si="26"/>
        <v>6500</v>
      </c>
    </row>
    <row r="362" spans="1:9" outlineLevel="1" x14ac:dyDescent="0.25">
      <c r="A362" s="84"/>
      <c r="B362" s="33" t="s">
        <v>608</v>
      </c>
      <c r="C362" s="21" t="s">
        <v>29</v>
      </c>
      <c r="D362" s="18">
        <v>310</v>
      </c>
      <c r="E362" s="18"/>
      <c r="F362" s="60">
        <v>59</v>
      </c>
      <c r="G362" s="18"/>
      <c r="H362" s="18">
        <f t="shared" si="25"/>
        <v>18290</v>
      </c>
      <c r="I362" s="18">
        <f t="shared" si="26"/>
        <v>18290</v>
      </c>
    </row>
    <row r="363" spans="1:9" outlineLevel="1" x14ac:dyDescent="0.25">
      <c r="A363" s="84"/>
      <c r="B363" s="33" t="s">
        <v>90</v>
      </c>
      <c r="C363" s="2" t="s">
        <v>29</v>
      </c>
      <c r="D363" s="18">
        <v>43</v>
      </c>
      <c r="E363" s="18"/>
      <c r="F363" s="60">
        <v>20</v>
      </c>
      <c r="G363" s="18"/>
      <c r="H363" s="18">
        <f t="shared" si="25"/>
        <v>860</v>
      </c>
      <c r="I363" s="18">
        <f t="shared" si="26"/>
        <v>860</v>
      </c>
    </row>
    <row r="364" spans="1:9" outlineLevel="1" x14ac:dyDescent="0.25">
      <c r="A364" s="84"/>
      <c r="B364" s="33" t="s">
        <v>91</v>
      </c>
      <c r="C364" s="31" t="s">
        <v>15</v>
      </c>
      <c r="D364" s="18">
        <v>10</v>
      </c>
      <c r="E364" s="18"/>
      <c r="F364" s="60">
        <v>42</v>
      </c>
      <c r="G364" s="18"/>
      <c r="H364" s="18">
        <f t="shared" si="25"/>
        <v>420</v>
      </c>
      <c r="I364" s="18">
        <f t="shared" si="26"/>
        <v>420</v>
      </c>
    </row>
    <row r="365" spans="1:9" s="6" customFormat="1" outlineLevel="1" x14ac:dyDescent="0.25">
      <c r="A365" s="84" t="s">
        <v>612</v>
      </c>
      <c r="B365" s="192" t="s">
        <v>609</v>
      </c>
      <c r="C365" s="31"/>
      <c r="D365" s="18"/>
      <c r="E365" s="130"/>
      <c r="F365" s="60"/>
      <c r="G365" s="18"/>
      <c r="H365" s="18"/>
      <c r="I365" s="18"/>
    </row>
    <row r="366" spans="1:9" s="6" customFormat="1" outlineLevel="1" x14ac:dyDescent="0.25">
      <c r="A366" s="84"/>
      <c r="B366" s="33" t="s">
        <v>610</v>
      </c>
      <c r="C366" s="31" t="s">
        <v>12</v>
      </c>
      <c r="D366" s="10">
        <v>147</v>
      </c>
      <c r="E366" s="10">
        <v>100</v>
      </c>
      <c r="F366" s="57">
        <v>350</v>
      </c>
      <c r="G366" s="18">
        <f>E366</f>
        <v>100</v>
      </c>
      <c r="H366" s="18">
        <f>F366*D366</f>
        <v>51450</v>
      </c>
      <c r="I366" s="18">
        <f>G366+H366</f>
        <v>51550</v>
      </c>
    </row>
    <row r="367" spans="1:9" s="5" customFormat="1" ht="38.4" customHeight="1" collapsed="1" x14ac:dyDescent="0.25">
      <c r="A367" s="223"/>
      <c r="B367" s="233" t="s">
        <v>61</v>
      </c>
      <c r="C367" s="234"/>
      <c r="D367" s="235"/>
      <c r="E367" s="236"/>
      <c r="F367" s="237"/>
      <c r="G367" s="236">
        <f>SUM(G276:G366)</f>
        <v>356980</v>
      </c>
      <c r="H367" s="236">
        <f>SUM(H276:H366)</f>
        <v>953010.60179999995</v>
      </c>
      <c r="I367" s="236">
        <f>SUM(I276:I366)</f>
        <v>1309990.6018000001</v>
      </c>
    </row>
    <row r="368" spans="1:9" s="5" customFormat="1" ht="18.600000000000001" customHeight="1" x14ac:dyDescent="0.25">
      <c r="A368" s="92"/>
      <c r="B368" s="58" t="s">
        <v>624</v>
      </c>
      <c r="C368" s="9"/>
      <c r="D368" s="31"/>
      <c r="E368" s="10"/>
      <c r="F368" s="57"/>
      <c r="G368" s="10"/>
      <c r="H368" s="10"/>
      <c r="I368" s="31">
        <f>ROUND(I367/1.18*0.18,2)</f>
        <v>199829.07</v>
      </c>
    </row>
    <row r="369" spans="1:9" s="5" customFormat="1" ht="18.75" customHeight="1" x14ac:dyDescent="0.25">
      <c r="A369" s="126"/>
      <c r="B369" s="127" t="s">
        <v>535</v>
      </c>
      <c r="C369" s="126"/>
      <c r="D369" s="128"/>
      <c r="E369" s="119"/>
      <c r="F369" s="145"/>
      <c r="G369" s="128"/>
      <c r="H369" s="128"/>
      <c r="I369" s="111"/>
    </row>
    <row r="370" spans="1:9" ht="31.2" outlineLevel="1" x14ac:dyDescent="0.25">
      <c r="A370" s="93" t="s">
        <v>325</v>
      </c>
      <c r="B370" s="71" t="s">
        <v>77</v>
      </c>
      <c r="C370" s="72" t="s">
        <v>12</v>
      </c>
      <c r="D370" s="72">
        <f>D371</f>
        <v>36</v>
      </c>
      <c r="E370" s="191">
        <v>1500</v>
      </c>
      <c r="F370" s="146"/>
      <c r="G370" s="2">
        <f>ROUND(E370*D370,2)</f>
        <v>54000</v>
      </c>
      <c r="H370" s="73"/>
      <c r="I370" s="73">
        <f>G370+H370</f>
        <v>54000</v>
      </c>
    </row>
    <row r="371" spans="1:9" outlineLevel="1" x14ac:dyDescent="0.25">
      <c r="A371" s="84"/>
      <c r="B371" s="28" t="s">
        <v>181</v>
      </c>
      <c r="C371" s="21" t="s">
        <v>173</v>
      </c>
      <c r="D371" s="2">
        <f>9*2+18</f>
        <v>36</v>
      </c>
      <c r="E371" s="18"/>
      <c r="F371" s="60">
        <v>25130</v>
      </c>
      <c r="G371" s="18"/>
      <c r="H371" s="2">
        <f>ROUND(D371*F371,2)</f>
        <v>904680</v>
      </c>
      <c r="I371" s="18">
        <f>G371+H371</f>
        <v>904680</v>
      </c>
    </row>
    <row r="372" spans="1:9" outlineLevel="1" x14ac:dyDescent="0.25">
      <c r="A372" s="84" t="s">
        <v>326</v>
      </c>
      <c r="B372" s="9" t="s">
        <v>79</v>
      </c>
      <c r="C372" s="31" t="s">
        <v>80</v>
      </c>
      <c r="D372" s="31">
        <f>D373</f>
        <v>755</v>
      </c>
      <c r="E372" s="10">
        <v>50</v>
      </c>
      <c r="F372" s="60"/>
      <c r="G372" s="2">
        <f>ROUND(E372*D372,2)</f>
        <v>37750</v>
      </c>
      <c r="H372" s="18"/>
      <c r="I372" s="18">
        <f t="shared" ref="I372:I407" si="27">G372+H372</f>
        <v>37750</v>
      </c>
    </row>
    <row r="373" spans="1:9" outlineLevel="1" x14ac:dyDescent="0.25">
      <c r="A373" s="84"/>
      <c r="B373" s="22" t="s">
        <v>81</v>
      </c>
      <c r="C373" s="21" t="s">
        <v>80</v>
      </c>
      <c r="D373" s="2">
        <v>755</v>
      </c>
      <c r="E373" s="18"/>
      <c r="F373" s="60">
        <v>418</v>
      </c>
      <c r="G373" s="18"/>
      <c r="H373" s="2">
        <f>ROUND(D373*F373,2)</f>
        <v>315590</v>
      </c>
      <c r="I373" s="18">
        <f t="shared" si="27"/>
        <v>315590</v>
      </c>
    </row>
    <row r="374" spans="1:9" outlineLevel="1" x14ac:dyDescent="0.25">
      <c r="A374" s="84" t="s">
        <v>327</v>
      </c>
      <c r="B374" s="9" t="s">
        <v>83</v>
      </c>
      <c r="C374" s="31" t="s">
        <v>12</v>
      </c>
      <c r="D374" s="31">
        <f>D375</f>
        <v>36</v>
      </c>
      <c r="E374" s="10">
        <v>200</v>
      </c>
      <c r="F374" s="60"/>
      <c r="G374" s="2">
        <f>ROUND(E374*D374,2)</f>
        <v>7200</v>
      </c>
      <c r="H374" s="18"/>
      <c r="I374" s="18">
        <f t="shared" si="27"/>
        <v>7200</v>
      </c>
    </row>
    <row r="375" spans="1:9" ht="31.2" outlineLevel="1" x14ac:dyDescent="0.25">
      <c r="A375" s="84"/>
      <c r="B375" s="28" t="s">
        <v>266</v>
      </c>
      <c r="C375" s="21" t="s">
        <v>12</v>
      </c>
      <c r="D375" s="2">
        <f>9*2+18</f>
        <v>36</v>
      </c>
      <c r="E375" s="18"/>
      <c r="F375" s="60">
        <v>900</v>
      </c>
      <c r="G375" s="18"/>
      <c r="H375" s="2">
        <f>ROUND(D375*F375,2)</f>
        <v>32400</v>
      </c>
      <c r="I375" s="18">
        <f t="shared" si="27"/>
        <v>32400</v>
      </c>
    </row>
    <row r="376" spans="1:9" ht="31.2" outlineLevel="1" x14ac:dyDescent="0.25">
      <c r="A376" s="84" t="s">
        <v>536</v>
      </c>
      <c r="B376" s="9" t="s">
        <v>85</v>
      </c>
      <c r="C376" s="31" t="s">
        <v>29</v>
      </c>
      <c r="D376" s="31">
        <f>D377+D378</f>
        <v>1477</v>
      </c>
      <c r="E376" s="10">
        <v>85</v>
      </c>
      <c r="F376" s="60"/>
      <c r="G376" s="2">
        <f>ROUND(E376*D376,2)</f>
        <v>125545</v>
      </c>
      <c r="H376" s="18"/>
      <c r="I376" s="18">
        <f t="shared" si="27"/>
        <v>125545</v>
      </c>
    </row>
    <row r="377" spans="1:9" ht="31.2" outlineLevel="1" x14ac:dyDescent="0.25">
      <c r="A377" s="84"/>
      <c r="B377" s="28" t="s">
        <v>412</v>
      </c>
      <c r="C377" s="21" t="s">
        <v>29</v>
      </c>
      <c r="D377" s="2">
        <v>72</v>
      </c>
      <c r="E377" s="18"/>
      <c r="F377" s="60">
        <v>40</v>
      </c>
      <c r="G377" s="18"/>
      <c r="H377" s="2">
        <f t="shared" ref="H377:H385" si="28">ROUND(D377*F377,2)</f>
        <v>2880</v>
      </c>
      <c r="I377" s="18">
        <f t="shared" si="27"/>
        <v>2880</v>
      </c>
    </row>
    <row r="378" spans="1:9" ht="31.2" outlineLevel="1" x14ac:dyDescent="0.25">
      <c r="A378" s="84"/>
      <c r="B378" s="28" t="s">
        <v>413</v>
      </c>
      <c r="C378" s="21" t="s">
        <v>29</v>
      </c>
      <c r="D378" s="2">
        <v>1405</v>
      </c>
      <c r="E378" s="18"/>
      <c r="F378" s="60">
        <v>101</v>
      </c>
      <c r="G378" s="18"/>
      <c r="H378" s="2">
        <f t="shared" si="28"/>
        <v>141905</v>
      </c>
      <c r="I378" s="18">
        <f>G378+H378</f>
        <v>141905</v>
      </c>
    </row>
    <row r="379" spans="1:9" outlineLevel="1" x14ac:dyDescent="0.25">
      <c r="A379" s="84"/>
      <c r="B379" s="22" t="s">
        <v>86</v>
      </c>
      <c r="C379" s="21" t="s">
        <v>12</v>
      </c>
      <c r="D379" s="2">
        <v>187</v>
      </c>
      <c r="E379" s="18"/>
      <c r="F379" s="60">
        <v>98.64</v>
      </c>
      <c r="G379" s="18"/>
      <c r="H379" s="2">
        <f t="shared" si="28"/>
        <v>18445.68</v>
      </c>
      <c r="I379" s="18">
        <f t="shared" si="27"/>
        <v>18445.68</v>
      </c>
    </row>
    <row r="380" spans="1:9" outlineLevel="1" x14ac:dyDescent="0.25">
      <c r="A380" s="84"/>
      <c r="B380" s="28" t="s">
        <v>348</v>
      </c>
      <c r="C380" s="21" t="s">
        <v>12</v>
      </c>
      <c r="D380" s="2">
        <v>14</v>
      </c>
      <c r="E380" s="18"/>
      <c r="F380" s="60">
        <v>120</v>
      </c>
      <c r="G380" s="18"/>
      <c r="H380" s="2">
        <f t="shared" si="28"/>
        <v>1680</v>
      </c>
      <c r="I380" s="18">
        <f>G380+H380</f>
        <v>1680</v>
      </c>
    </row>
    <row r="381" spans="1:9" ht="31.2" outlineLevel="1" x14ac:dyDescent="0.25">
      <c r="A381" s="84"/>
      <c r="B381" s="22" t="s">
        <v>263</v>
      </c>
      <c r="C381" s="21" t="s">
        <v>12</v>
      </c>
      <c r="D381" s="2">
        <f>27*2+39</f>
        <v>93</v>
      </c>
      <c r="E381" s="18"/>
      <c r="F381" s="60">
        <v>145.03</v>
      </c>
      <c r="G381" s="18"/>
      <c r="H381" s="2">
        <f t="shared" si="28"/>
        <v>13487.79</v>
      </c>
      <c r="I381" s="18">
        <f t="shared" si="27"/>
        <v>13487.79</v>
      </c>
    </row>
    <row r="382" spans="1:9" ht="31.2" outlineLevel="1" x14ac:dyDescent="0.25">
      <c r="A382" s="84"/>
      <c r="B382" s="28" t="s">
        <v>264</v>
      </c>
      <c r="C382" s="21" t="s">
        <v>12</v>
      </c>
      <c r="D382" s="2">
        <f>9*2+18</f>
        <v>36</v>
      </c>
      <c r="E382" s="18"/>
      <c r="F382" s="60">
        <v>450</v>
      </c>
      <c r="G382" s="18"/>
      <c r="H382" s="2">
        <f t="shared" si="28"/>
        <v>16200</v>
      </c>
      <c r="I382" s="18">
        <f>G382+H382</f>
        <v>16200</v>
      </c>
    </row>
    <row r="383" spans="1:9" ht="31.2" outlineLevel="1" x14ac:dyDescent="0.25">
      <c r="A383" s="84"/>
      <c r="B383" s="28" t="s">
        <v>265</v>
      </c>
      <c r="C383" s="21" t="s">
        <v>12</v>
      </c>
      <c r="D383" s="2">
        <f>27*2+39</f>
        <v>93</v>
      </c>
      <c r="E383" s="18"/>
      <c r="F383" s="60">
        <v>450</v>
      </c>
      <c r="G383" s="18"/>
      <c r="H383" s="2">
        <f t="shared" si="28"/>
        <v>41850</v>
      </c>
      <c r="I383" s="18">
        <f>G383+H383</f>
        <v>41850</v>
      </c>
    </row>
    <row r="384" spans="1:9" outlineLevel="1" x14ac:dyDescent="0.25">
      <c r="A384" s="84"/>
      <c r="B384" s="22" t="s">
        <v>87</v>
      </c>
      <c r="C384" s="21" t="s">
        <v>12</v>
      </c>
      <c r="D384" s="2">
        <f>36*2+57</f>
        <v>129</v>
      </c>
      <c r="E384" s="18"/>
      <c r="F384" s="60">
        <v>470</v>
      </c>
      <c r="G384" s="18"/>
      <c r="H384" s="2">
        <f t="shared" si="28"/>
        <v>60630</v>
      </c>
      <c r="I384" s="18">
        <f t="shared" si="27"/>
        <v>60630</v>
      </c>
    </row>
    <row r="385" spans="1:9" outlineLevel="1" x14ac:dyDescent="0.25">
      <c r="A385" s="84"/>
      <c r="B385" s="22" t="s">
        <v>88</v>
      </c>
      <c r="C385" s="21" t="s">
        <v>12</v>
      </c>
      <c r="D385" s="2">
        <f>550*3</f>
        <v>1650</v>
      </c>
      <c r="E385" s="18"/>
      <c r="F385" s="60">
        <v>1.5</v>
      </c>
      <c r="G385" s="18"/>
      <c r="H385" s="2">
        <f t="shared" si="28"/>
        <v>2475</v>
      </c>
      <c r="I385" s="18">
        <f t="shared" si="27"/>
        <v>2475</v>
      </c>
    </row>
    <row r="386" spans="1:9" ht="31.2" outlineLevel="1" x14ac:dyDescent="0.25">
      <c r="A386" s="84" t="s">
        <v>537</v>
      </c>
      <c r="B386" s="29" t="s">
        <v>268</v>
      </c>
      <c r="C386" s="31" t="s">
        <v>29</v>
      </c>
      <c r="D386" s="31">
        <f>D387+D388</f>
        <v>1096</v>
      </c>
      <c r="E386" s="31">
        <v>50</v>
      </c>
      <c r="F386" s="11"/>
      <c r="G386" s="2">
        <f>ROUND(E386*D386,2)</f>
        <v>54800</v>
      </c>
      <c r="H386" s="18"/>
      <c r="I386" s="18">
        <f t="shared" si="27"/>
        <v>54800</v>
      </c>
    </row>
    <row r="387" spans="1:9" outlineLevel="1" x14ac:dyDescent="0.25">
      <c r="A387" s="84"/>
      <c r="B387" s="74" t="s">
        <v>414</v>
      </c>
      <c r="C387" s="2" t="s">
        <v>29</v>
      </c>
      <c r="D387" s="2">
        <v>1043</v>
      </c>
      <c r="E387" s="2"/>
      <c r="F387" s="11">
        <v>113</v>
      </c>
      <c r="G387" s="18"/>
      <c r="H387" s="2">
        <f>ROUND(D387*F387,2)</f>
        <v>117859</v>
      </c>
      <c r="I387" s="18">
        <f t="shared" si="27"/>
        <v>117859</v>
      </c>
    </row>
    <row r="388" spans="1:9" outlineLevel="1" x14ac:dyDescent="0.25">
      <c r="A388" s="84"/>
      <c r="B388" s="74" t="s">
        <v>415</v>
      </c>
      <c r="C388" s="2" t="s">
        <v>29</v>
      </c>
      <c r="D388" s="2">
        <v>53</v>
      </c>
      <c r="E388" s="2"/>
      <c r="F388" s="11">
        <v>129</v>
      </c>
      <c r="G388" s="18"/>
      <c r="H388" s="2">
        <f>ROUND(D388*F388,2)</f>
        <v>6837</v>
      </c>
      <c r="I388" s="18">
        <f t="shared" si="27"/>
        <v>6837</v>
      </c>
    </row>
    <row r="389" spans="1:9" ht="31.2" outlineLevel="1" x14ac:dyDescent="0.25">
      <c r="A389" s="84" t="s">
        <v>538</v>
      </c>
      <c r="B389" s="29" t="s">
        <v>267</v>
      </c>
      <c r="C389" s="31" t="s">
        <v>12</v>
      </c>
      <c r="D389" s="31">
        <f>D390</f>
        <v>10</v>
      </c>
      <c r="E389" s="2">
        <v>300</v>
      </c>
      <c r="F389" s="11"/>
      <c r="G389" s="2">
        <f>ROUND(E389*D389,2)</f>
        <v>3000</v>
      </c>
      <c r="H389" s="18"/>
      <c r="I389" s="18">
        <f t="shared" si="27"/>
        <v>3000</v>
      </c>
    </row>
    <row r="390" spans="1:9" outlineLevel="1" x14ac:dyDescent="0.25">
      <c r="A390" s="84"/>
      <c r="B390" s="74" t="s">
        <v>416</v>
      </c>
      <c r="C390" s="2" t="s">
        <v>12</v>
      </c>
      <c r="D390" s="2">
        <f>3+6+1</f>
        <v>10</v>
      </c>
      <c r="E390" s="2"/>
      <c r="F390" s="11">
        <f>2500*1.1</f>
        <v>2750</v>
      </c>
      <c r="G390" s="18"/>
      <c r="H390" s="2">
        <f>ROUND(D390*F390,2)</f>
        <v>27500</v>
      </c>
      <c r="I390" s="18">
        <f t="shared" si="27"/>
        <v>27500</v>
      </c>
    </row>
    <row r="391" spans="1:9" x14ac:dyDescent="0.25">
      <c r="A391" s="223"/>
      <c r="B391" s="238" t="s">
        <v>539</v>
      </c>
      <c r="C391" s="234"/>
      <c r="D391" s="235"/>
      <c r="E391" s="236"/>
      <c r="F391" s="237"/>
      <c r="G391" s="236">
        <f>SUM(G369:G390)</f>
        <v>282295</v>
      </c>
      <c r="H391" s="236">
        <f>SUM(H369:H390)</f>
        <v>1704419.47</v>
      </c>
      <c r="I391" s="236">
        <f>SUM(I370:I390)</f>
        <v>1986714.47</v>
      </c>
    </row>
    <row r="392" spans="1:9" s="5" customFormat="1" ht="18.600000000000001" customHeight="1" x14ac:dyDescent="0.25">
      <c r="A392" s="92"/>
      <c r="B392" s="58" t="s">
        <v>624</v>
      </c>
      <c r="C392" s="9"/>
      <c r="D392" s="31"/>
      <c r="E392" s="10"/>
      <c r="F392" s="57"/>
      <c r="G392" s="10"/>
      <c r="H392" s="10"/>
      <c r="I392" s="31">
        <f>ROUND(I391/1.18*0.18,2)</f>
        <v>303058.14</v>
      </c>
    </row>
    <row r="393" spans="1:9" s="6" customFormat="1" ht="17.399999999999999" x14ac:dyDescent="0.25">
      <c r="A393" s="107"/>
      <c r="B393" s="113" t="s">
        <v>540</v>
      </c>
      <c r="C393" s="103"/>
      <c r="D393" s="103"/>
      <c r="E393" s="118"/>
      <c r="F393" s="112"/>
      <c r="G393" s="102"/>
      <c r="H393" s="102"/>
      <c r="I393" s="102"/>
    </row>
    <row r="394" spans="1:9" ht="31.2" outlineLevel="1" x14ac:dyDescent="0.25">
      <c r="A394" s="84" t="s">
        <v>154</v>
      </c>
      <c r="B394" s="29" t="s">
        <v>269</v>
      </c>
      <c r="C394" s="192" t="s">
        <v>29</v>
      </c>
      <c r="D394" s="10">
        <f>D395+D396</f>
        <v>392</v>
      </c>
      <c r="E394" s="10">
        <v>150</v>
      </c>
      <c r="F394" s="60"/>
      <c r="G394" s="2">
        <f>ROUND(E394*D394,2)</f>
        <v>58800</v>
      </c>
      <c r="H394" s="18"/>
      <c r="I394" s="18">
        <f>G394+H394</f>
        <v>58800</v>
      </c>
    </row>
    <row r="395" spans="1:9" ht="31.2" outlineLevel="1" x14ac:dyDescent="0.25">
      <c r="A395" s="84"/>
      <c r="B395" s="33" t="s">
        <v>270</v>
      </c>
      <c r="C395" s="21" t="s">
        <v>29</v>
      </c>
      <c r="D395" s="18">
        <v>196</v>
      </c>
      <c r="E395" s="18"/>
      <c r="F395" s="60">
        <f>(0.2+0.2+0.15+0.15)*500</f>
        <v>350.00000000000006</v>
      </c>
      <c r="G395" s="18"/>
      <c r="H395" s="2">
        <f>ROUND(D395*F395,2)</f>
        <v>68600</v>
      </c>
      <c r="I395" s="18">
        <f>G395+H395</f>
        <v>68600</v>
      </c>
    </row>
    <row r="396" spans="1:9" ht="31.2" outlineLevel="1" x14ac:dyDescent="0.25">
      <c r="A396" s="84"/>
      <c r="B396" s="33" t="s">
        <v>271</v>
      </c>
      <c r="C396" s="21" t="s">
        <v>29</v>
      </c>
      <c r="D396" s="18">
        <v>196</v>
      </c>
      <c r="E396" s="18"/>
      <c r="F396" s="60">
        <f>0.15*4*500</f>
        <v>300</v>
      </c>
      <c r="G396" s="18"/>
      <c r="H396" s="2">
        <f>ROUND(D396*F396,2)</f>
        <v>58800</v>
      </c>
      <c r="I396" s="18">
        <f>G396+H396</f>
        <v>58800</v>
      </c>
    </row>
    <row r="397" spans="1:9" outlineLevel="1" x14ac:dyDescent="0.25">
      <c r="A397" s="84" t="s">
        <v>157</v>
      </c>
      <c r="B397" s="9" t="s">
        <v>89</v>
      </c>
      <c r="C397" s="31" t="s">
        <v>12</v>
      </c>
      <c r="D397" s="10">
        <f>D398+D399+D400+D402+D406</f>
        <v>141</v>
      </c>
      <c r="E397" s="10">
        <v>50</v>
      </c>
      <c r="F397" s="60"/>
      <c r="G397" s="2">
        <f>ROUND(E397*D397,2)</f>
        <v>7050</v>
      </c>
      <c r="H397" s="18"/>
      <c r="I397" s="18">
        <f t="shared" si="27"/>
        <v>7050</v>
      </c>
    </row>
    <row r="398" spans="1:9" outlineLevel="1" x14ac:dyDescent="0.25">
      <c r="A398" s="84"/>
      <c r="B398" s="28" t="s">
        <v>273</v>
      </c>
      <c r="C398" s="21" t="s">
        <v>12</v>
      </c>
      <c r="D398" s="18">
        <v>12</v>
      </c>
      <c r="E398" s="18"/>
      <c r="F398" s="60">
        <v>100</v>
      </c>
      <c r="G398" s="18"/>
      <c r="H398" s="2">
        <f t="shared" ref="H398:H409" si="29">ROUND(D398*F398,2)</f>
        <v>1200</v>
      </c>
      <c r="I398" s="18">
        <f t="shared" si="27"/>
        <v>1200</v>
      </c>
    </row>
    <row r="399" spans="1:9" outlineLevel="1" x14ac:dyDescent="0.25">
      <c r="A399" s="84"/>
      <c r="B399" s="28" t="s">
        <v>272</v>
      </c>
      <c r="C399" s="21" t="s">
        <v>12</v>
      </c>
      <c r="D399" s="18">
        <v>12</v>
      </c>
      <c r="E399" s="18"/>
      <c r="F399" s="60">
        <v>100</v>
      </c>
      <c r="G399" s="18"/>
      <c r="H399" s="2">
        <f t="shared" si="29"/>
        <v>1200</v>
      </c>
      <c r="I399" s="18">
        <f t="shared" ref="I399:I405" si="30">G399+H399</f>
        <v>1200</v>
      </c>
    </row>
    <row r="400" spans="1:9" outlineLevel="1" x14ac:dyDescent="0.25">
      <c r="A400" s="84"/>
      <c r="B400" s="28" t="s">
        <v>274</v>
      </c>
      <c r="C400" s="21" t="s">
        <v>12</v>
      </c>
      <c r="D400" s="18">
        <v>24</v>
      </c>
      <c r="E400" s="18"/>
      <c r="F400" s="60">
        <v>100</v>
      </c>
      <c r="G400" s="18"/>
      <c r="H400" s="2">
        <f t="shared" si="29"/>
        <v>2400</v>
      </c>
      <c r="I400" s="18">
        <f t="shared" si="30"/>
        <v>2400</v>
      </c>
    </row>
    <row r="401" spans="1:9" outlineLevel="1" x14ac:dyDescent="0.25">
      <c r="A401" s="84"/>
      <c r="B401" s="28" t="s">
        <v>417</v>
      </c>
      <c r="C401" s="21" t="s">
        <v>12</v>
      </c>
      <c r="D401" s="18">
        <v>24</v>
      </c>
      <c r="E401" s="18"/>
      <c r="F401" s="60">
        <v>100</v>
      </c>
      <c r="G401" s="18"/>
      <c r="H401" s="2">
        <f t="shared" si="29"/>
        <v>2400</v>
      </c>
      <c r="I401" s="18">
        <f t="shared" si="30"/>
        <v>2400</v>
      </c>
    </row>
    <row r="402" spans="1:9" ht="31.2" outlineLevel="1" x14ac:dyDescent="0.25">
      <c r="A402" s="84"/>
      <c r="B402" s="28" t="s">
        <v>418</v>
      </c>
      <c r="C402" s="21" t="s">
        <v>12</v>
      </c>
      <c r="D402" s="18">
        <v>36</v>
      </c>
      <c r="E402" s="18"/>
      <c r="F402" s="60">
        <v>100</v>
      </c>
      <c r="G402" s="18"/>
      <c r="H402" s="2">
        <f t="shared" si="29"/>
        <v>3600</v>
      </c>
      <c r="I402" s="18">
        <f t="shared" si="30"/>
        <v>3600</v>
      </c>
    </row>
    <row r="403" spans="1:9" ht="31.2" outlineLevel="1" x14ac:dyDescent="0.25">
      <c r="A403" s="84"/>
      <c r="B403" s="28" t="s">
        <v>419</v>
      </c>
      <c r="C403" s="21" t="s">
        <v>12</v>
      </c>
      <c r="D403" s="18">
        <v>36</v>
      </c>
      <c r="E403" s="18"/>
      <c r="F403" s="60">
        <v>100</v>
      </c>
      <c r="G403" s="18"/>
      <c r="H403" s="2">
        <f t="shared" si="29"/>
        <v>3600</v>
      </c>
      <c r="I403" s="18">
        <f t="shared" si="30"/>
        <v>3600</v>
      </c>
    </row>
    <row r="404" spans="1:9" ht="31.2" outlineLevel="1" x14ac:dyDescent="0.25">
      <c r="A404" s="84"/>
      <c r="B404" s="28" t="s">
        <v>420</v>
      </c>
      <c r="C404" s="21" t="s">
        <v>12</v>
      </c>
      <c r="D404" s="18">
        <v>2</v>
      </c>
      <c r="E404" s="18"/>
      <c r="F404" s="60">
        <v>100</v>
      </c>
      <c r="G404" s="18"/>
      <c r="H404" s="2">
        <f t="shared" si="29"/>
        <v>200</v>
      </c>
      <c r="I404" s="18">
        <f t="shared" si="30"/>
        <v>200</v>
      </c>
    </row>
    <row r="405" spans="1:9" ht="31.2" outlineLevel="1" x14ac:dyDescent="0.25">
      <c r="A405" s="84"/>
      <c r="B405" s="28" t="s">
        <v>421</v>
      </c>
      <c r="C405" s="21" t="s">
        <v>12</v>
      </c>
      <c r="D405" s="18">
        <v>31</v>
      </c>
      <c r="E405" s="18"/>
      <c r="F405" s="60">
        <v>100</v>
      </c>
      <c r="G405" s="18"/>
      <c r="H405" s="2">
        <f t="shared" si="29"/>
        <v>3100</v>
      </c>
      <c r="I405" s="18">
        <f t="shared" si="30"/>
        <v>3100</v>
      </c>
    </row>
    <row r="406" spans="1:9" outlineLevel="1" x14ac:dyDescent="0.25">
      <c r="A406" s="84"/>
      <c r="B406" s="28" t="s">
        <v>275</v>
      </c>
      <c r="C406" s="21" t="s">
        <v>12</v>
      </c>
      <c r="D406" s="18">
        <v>57</v>
      </c>
      <c r="E406" s="18"/>
      <c r="F406" s="60">
        <v>2000</v>
      </c>
      <c r="G406" s="18"/>
      <c r="H406" s="2">
        <f t="shared" si="29"/>
        <v>114000</v>
      </c>
      <c r="I406" s="18">
        <f t="shared" si="27"/>
        <v>114000</v>
      </c>
    </row>
    <row r="407" spans="1:9" ht="31.2" outlineLevel="1" x14ac:dyDescent="0.25">
      <c r="A407" s="84"/>
      <c r="B407" s="28" t="s">
        <v>276</v>
      </c>
      <c r="C407" s="21" t="s">
        <v>12</v>
      </c>
      <c r="D407" s="18">
        <v>5</v>
      </c>
      <c r="E407" s="18"/>
      <c r="F407" s="60">
        <f>(1.6+0.9)*0.125*1000</f>
        <v>312.5</v>
      </c>
      <c r="G407" s="18"/>
      <c r="H407" s="2">
        <f t="shared" si="29"/>
        <v>1562.5</v>
      </c>
      <c r="I407" s="18">
        <f t="shared" si="27"/>
        <v>1562.5</v>
      </c>
    </row>
    <row r="408" spans="1:9" ht="31.2" outlineLevel="1" x14ac:dyDescent="0.25">
      <c r="A408" s="84"/>
      <c r="B408" s="28" t="s">
        <v>277</v>
      </c>
      <c r="C408" s="21" t="s">
        <v>12</v>
      </c>
      <c r="D408" s="18">
        <v>5</v>
      </c>
      <c r="E408" s="18"/>
      <c r="F408" s="60">
        <f>(1.8+0.9)*0.125*1000</f>
        <v>337.5</v>
      </c>
      <c r="G408" s="18"/>
      <c r="H408" s="2">
        <f t="shared" si="29"/>
        <v>1687.5</v>
      </c>
      <c r="I408" s="18">
        <f>G408+H408</f>
        <v>1687.5</v>
      </c>
    </row>
    <row r="409" spans="1:9" ht="31.2" outlineLevel="1" x14ac:dyDescent="0.25">
      <c r="A409" s="84"/>
      <c r="B409" s="28" t="s">
        <v>278</v>
      </c>
      <c r="C409" s="21" t="s">
        <v>12</v>
      </c>
      <c r="D409" s="18">
        <v>6</v>
      </c>
      <c r="E409" s="18"/>
      <c r="F409" s="60">
        <f>(2.88+0.9)*0.125*1000</f>
        <v>472.5</v>
      </c>
      <c r="G409" s="18"/>
      <c r="H409" s="2">
        <f t="shared" si="29"/>
        <v>2835</v>
      </c>
      <c r="I409" s="18">
        <f>G409+H409</f>
        <v>2835</v>
      </c>
    </row>
    <row r="410" spans="1:9" outlineLevel="1" x14ac:dyDescent="0.25">
      <c r="A410" s="84" t="s">
        <v>158</v>
      </c>
      <c r="B410" s="9" t="s">
        <v>279</v>
      </c>
      <c r="C410" s="31" t="s">
        <v>14</v>
      </c>
      <c r="D410" s="10">
        <f>D411</f>
        <v>161</v>
      </c>
      <c r="E410" s="10">
        <v>150</v>
      </c>
      <c r="F410" s="60"/>
      <c r="G410" s="2">
        <f>ROUND(E410*D410,2)</f>
        <v>24150</v>
      </c>
      <c r="H410" s="18"/>
      <c r="I410" s="18">
        <f>G410+H410</f>
        <v>24150</v>
      </c>
    </row>
    <row r="411" spans="1:9" outlineLevel="1" x14ac:dyDescent="0.25">
      <c r="A411" s="84"/>
      <c r="B411" s="28" t="s">
        <v>422</v>
      </c>
      <c r="C411" s="21" t="s">
        <v>14</v>
      </c>
      <c r="D411" s="18">
        <v>161</v>
      </c>
      <c r="E411" s="18"/>
      <c r="F411" s="60">
        <v>350</v>
      </c>
      <c r="G411" s="18"/>
      <c r="H411" s="2">
        <f>ROUND(D411*F411,2)</f>
        <v>56350</v>
      </c>
      <c r="I411" s="18">
        <f>G411+H411</f>
        <v>56350</v>
      </c>
    </row>
    <row r="412" spans="1:9" s="5" customFormat="1" collapsed="1" x14ac:dyDescent="0.25">
      <c r="A412" s="223"/>
      <c r="B412" s="238" t="s">
        <v>328</v>
      </c>
      <c r="C412" s="234"/>
      <c r="D412" s="235"/>
      <c r="E412" s="236"/>
      <c r="F412" s="237"/>
      <c r="G412" s="236">
        <f>SUM(G393:G411)</f>
        <v>90000</v>
      </c>
      <c r="H412" s="236">
        <f>SUM(H393:H411)</f>
        <v>321535</v>
      </c>
      <c r="I412" s="236">
        <f>SUM(I393:I411)</f>
        <v>411535</v>
      </c>
    </row>
    <row r="413" spans="1:9" s="5" customFormat="1" ht="18.600000000000001" customHeight="1" x14ac:dyDescent="0.25">
      <c r="A413" s="84"/>
      <c r="B413" s="58" t="s">
        <v>624</v>
      </c>
      <c r="C413" s="9"/>
      <c r="D413" s="31"/>
      <c r="E413" s="10"/>
      <c r="F413" s="57"/>
      <c r="G413" s="10"/>
      <c r="H413" s="10"/>
      <c r="I413" s="31">
        <f>ROUND(I412/1.18*0.18,2)</f>
        <v>62776.53</v>
      </c>
    </row>
    <row r="414" spans="1:9" s="5" customFormat="1" ht="18.75" customHeight="1" x14ac:dyDescent="0.25">
      <c r="A414" s="109"/>
      <c r="B414" s="187" t="s">
        <v>541</v>
      </c>
      <c r="C414" s="105"/>
      <c r="D414" s="105"/>
      <c r="E414" s="105"/>
      <c r="F414" s="138"/>
      <c r="G414" s="105"/>
      <c r="H414" s="105"/>
      <c r="I414" s="106"/>
    </row>
    <row r="415" spans="1:9" s="36" customFormat="1" ht="30" customHeight="1" outlineLevel="1" x14ac:dyDescent="0.25">
      <c r="A415" s="84" t="s">
        <v>76</v>
      </c>
      <c r="B415" s="75" t="s">
        <v>120</v>
      </c>
      <c r="C415" s="2"/>
      <c r="D415" s="2"/>
      <c r="E415" s="117"/>
      <c r="F415" s="11"/>
      <c r="G415" s="18"/>
      <c r="H415" s="18"/>
      <c r="I415" s="18"/>
    </row>
    <row r="416" spans="1:9" ht="31.2" outlineLevel="1" x14ac:dyDescent="0.25">
      <c r="A416" s="84" t="s">
        <v>542</v>
      </c>
      <c r="B416" s="29" t="s">
        <v>95</v>
      </c>
      <c r="C416" s="31" t="s">
        <v>29</v>
      </c>
      <c r="D416" s="10">
        <f>D417+D418+D419+D420+D421</f>
        <v>115.30000000000001</v>
      </c>
      <c r="E416" s="10">
        <v>85</v>
      </c>
      <c r="F416" s="60"/>
      <c r="G416" s="2">
        <f>ROUND(E416*D416,2)</f>
        <v>9800.5</v>
      </c>
      <c r="H416" s="18"/>
      <c r="I416" s="18">
        <f>G416+H416</f>
        <v>9800.5</v>
      </c>
    </row>
    <row r="417" spans="1:9" outlineLevel="1" x14ac:dyDescent="0.25">
      <c r="A417" s="84"/>
      <c r="B417" s="28" t="s">
        <v>96</v>
      </c>
      <c r="C417" s="21" t="s">
        <v>29</v>
      </c>
      <c r="D417" s="18">
        <v>12.5</v>
      </c>
      <c r="E417" s="18"/>
      <c r="F417" s="60">
        <v>42.23</v>
      </c>
      <c r="G417" s="18"/>
      <c r="H417" s="2">
        <f t="shared" ref="H417:H425" si="31">ROUND(D417*F417,2)</f>
        <v>527.88</v>
      </c>
      <c r="I417" s="18">
        <f>G417+H417</f>
        <v>527.88</v>
      </c>
    </row>
    <row r="418" spans="1:9" outlineLevel="1" x14ac:dyDescent="0.25">
      <c r="A418" s="84"/>
      <c r="B418" s="22" t="s">
        <v>98</v>
      </c>
      <c r="C418" s="21" t="s">
        <v>29</v>
      </c>
      <c r="D418" s="18">
        <v>42.4</v>
      </c>
      <c r="E418" s="18"/>
      <c r="F418" s="60">
        <v>58.9</v>
      </c>
      <c r="G418" s="18"/>
      <c r="H418" s="2">
        <f t="shared" si="31"/>
        <v>2497.36</v>
      </c>
      <c r="I418" s="18">
        <f>G418+H418</f>
        <v>2497.36</v>
      </c>
    </row>
    <row r="419" spans="1:9" outlineLevel="1" x14ac:dyDescent="0.25">
      <c r="A419" s="84"/>
      <c r="B419" s="28" t="s">
        <v>423</v>
      </c>
      <c r="C419" s="21" t="s">
        <v>29</v>
      </c>
      <c r="D419" s="18">
        <v>18.5</v>
      </c>
      <c r="E419" s="18"/>
      <c r="F419" s="60">
        <v>94.01</v>
      </c>
      <c r="G419" s="18"/>
      <c r="H419" s="2">
        <f t="shared" si="31"/>
        <v>1739.19</v>
      </c>
      <c r="I419" s="18">
        <f>G419+H419</f>
        <v>1739.19</v>
      </c>
    </row>
    <row r="420" spans="1:9" outlineLevel="1" x14ac:dyDescent="0.25">
      <c r="A420" s="84"/>
      <c r="B420" s="28" t="s">
        <v>424</v>
      </c>
      <c r="C420" s="21" t="s">
        <v>29</v>
      </c>
      <c r="D420" s="18">
        <v>17.8</v>
      </c>
      <c r="E420" s="18"/>
      <c r="F420" s="60">
        <v>135.80000000000001</v>
      </c>
      <c r="G420" s="18"/>
      <c r="H420" s="2">
        <f t="shared" si="31"/>
        <v>2417.2399999999998</v>
      </c>
      <c r="I420" s="18">
        <f>G420+H420</f>
        <v>2417.2399999999998</v>
      </c>
    </row>
    <row r="421" spans="1:9" outlineLevel="1" x14ac:dyDescent="0.25">
      <c r="A421" s="84"/>
      <c r="B421" s="28" t="s">
        <v>119</v>
      </c>
      <c r="C421" s="21" t="s">
        <v>29</v>
      </c>
      <c r="D421" s="18">
        <v>24.1</v>
      </c>
      <c r="E421" s="18"/>
      <c r="F421" s="60">
        <v>226</v>
      </c>
      <c r="G421" s="18"/>
      <c r="H421" s="2">
        <f t="shared" si="31"/>
        <v>5446.6</v>
      </c>
      <c r="I421" s="18">
        <f t="shared" ref="I421:I491" si="32">G421+H421</f>
        <v>5446.6</v>
      </c>
    </row>
    <row r="422" spans="1:9" outlineLevel="1" x14ac:dyDescent="0.25">
      <c r="A422" s="84"/>
      <c r="B422" s="28" t="s">
        <v>121</v>
      </c>
      <c r="C422" s="21" t="s">
        <v>12</v>
      </c>
      <c r="D422" s="18">
        <v>16</v>
      </c>
      <c r="E422" s="18"/>
      <c r="F422" s="60">
        <v>77.25</v>
      </c>
      <c r="G422" s="18"/>
      <c r="H422" s="2">
        <f t="shared" si="31"/>
        <v>1236</v>
      </c>
      <c r="I422" s="18">
        <f t="shared" si="32"/>
        <v>1236</v>
      </c>
    </row>
    <row r="423" spans="1:9" outlineLevel="1" x14ac:dyDescent="0.25">
      <c r="A423" s="84"/>
      <c r="B423" s="28" t="s">
        <v>425</v>
      </c>
      <c r="C423" s="21" t="s">
        <v>12</v>
      </c>
      <c r="D423" s="18">
        <v>1</v>
      </c>
      <c r="E423" s="18"/>
      <c r="F423" s="60">
        <v>77.25</v>
      </c>
      <c r="G423" s="18"/>
      <c r="H423" s="2">
        <f t="shared" si="31"/>
        <v>77.25</v>
      </c>
      <c r="I423" s="18">
        <f>G423+H423</f>
        <v>77.25</v>
      </c>
    </row>
    <row r="424" spans="1:9" outlineLevel="1" x14ac:dyDescent="0.25">
      <c r="A424" s="84"/>
      <c r="B424" s="28" t="s">
        <v>426</v>
      </c>
      <c r="C424" s="21" t="s">
        <v>12</v>
      </c>
      <c r="D424" s="18">
        <v>12</v>
      </c>
      <c r="E424" s="18"/>
      <c r="F424" s="60">
        <v>77.25</v>
      </c>
      <c r="G424" s="18"/>
      <c r="H424" s="2">
        <f t="shared" si="31"/>
        <v>927</v>
      </c>
      <c r="I424" s="18">
        <f>G424+H424</f>
        <v>927</v>
      </c>
    </row>
    <row r="425" spans="1:9" ht="31.2" outlineLevel="1" x14ac:dyDescent="0.25">
      <c r="A425" s="84"/>
      <c r="B425" s="28" t="s">
        <v>107</v>
      </c>
      <c r="C425" s="21" t="s">
        <v>12</v>
      </c>
      <c r="D425" s="18">
        <f>35*2+40</f>
        <v>110</v>
      </c>
      <c r="E425" s="18"/>
      <c r="F425" s="60">
        <v>40</v>
      </c>
      <c r="G425" s="18"/>
      <c r="H425" s="2">
        <f t="shared" si="31"/>
        <v>4400</v>
      </c>
      <c r="I425" s="18">
        <f t="shared" si="32"/>
        <v>4400</v>
      </c>
    </row>
    <row r="426" spans="1:9" outlineLevel="1" x14ac:dyDescent="0.25">
      <c r="A426" s="84" t="s">
        <v>543</v>
      </c>
      <c r="B426" s="175" t="s">
        <v>427</v>
      </c>
      <c r="C426" s="176" t="s">
        <v>12</v>
      </c>
      <c r="D426" s="10">
        <v>2</v>
      </c>
      <c r="E426" s="18"/>
      <c r="F426" s="60"/>
      <c r="G426" s="18"/>
      <c r="H426" s="18"/>
      <c r="I426" s="18"/>
    </row>
    <row r="427" spans="1:9" outlineLevel="1" x14ac:dyDescent="0.25">
      <c r="A427" s="84"/>
      <c r="B427" s="28" t="s">
        <v>428</v>
      </c>
      <c r="C427" s="21" t="s">
        <v>12</v>
      </c>
      <c r="D427" s="18">
        <v>2</v>
      </c>
      <c r="E427" s="18"/>
      <c r="F427" s="60">
        <v>283</v>
      </c>
      <c r="G427" s="18"/>
      <c r="H427" s="2">
        <f>ROUND(D427*F427,2)</f>
        <v>566</v>
      </c>
      <c r="I427" s="18">
        <f t="shared" si="32"/>
        <v>566</v>
      </c>
    </row>
    <row r="428" spans="1:9" outlineLevel="1" x14ac:dyDescent="0.25">
      <c r="A428" s="84"/>
      <c r="B428" s="28" t="s">
        <v>467</v>
      </c>
      <c r="C428" s="21" t="s">
        <v>12</v>
      </c>
      <c r="D428" s="18">
        <v>2</v>
      </c>
      <c r="E428" s="18"/>
      <c r="F428" s="60">
        <v>322.2</v>
      </c>
      <c r="G428" s="18"/>
      <c r="H428" s="2">
        <f>ROUND(D428*F428,2)</f>
        <v>644.4</v>
      </c>
      <c r="I428" s="18">
        <f t="shared" si="32"/>
        <v>644.4</v>
      </c>
    </row>
    <row r="429" spans="1:9" outlineLevel="1" x14ac:dyDescent="0.25">
      <c r="A429" s="84" t="s">
        <v>544</v>
      </c>
      <c r="B429" s="29" t="s">
        <v>101</v>
      </c>
      <c r="C429" s="31" t="s">
        <v>29</v>
      </c>
      <c r="D429" s="10">
        <f>D416</f>
        <v>115.30000000000001</v>
      </c>
      <c r="E429" s="10">
        <v>30</v>
      </c>
      <c r="F429" s="60"/>
      <c r="G429" s="2">
        <f>ROUND(E429*D429,2)</f>
        <v>3459</v>
      </c>
      <c r="H429" s="18"/>
      <c r="I429" s="18">
        <f t="shared" si="32"/>
        <v>3459</v>
      </c>
    </row>
    <row r="430" spans="1:9" outlineLevel="1" x14ac:dyDescent="0.25">
      <c r="A430" s="84"/>
      <c r="B430" s="28" t="s">
        <v>122</v>
      </c>
      <c r="C430" s="21" t="s">
        <v>29</v>
      </c>
      <c r="D430" s="18">
        <f>D429/2</f>
        <v>57.650000000000006</v>
      </c>
      <c r="E430" s="18"/>
      <c r="F430" s="60">
        <v>62</v>
      </c>
      <c r="G430" s="18"/>
      <c r="H430" s="2">
        <f>ROUND(D430*F430,2)</f>
        <v>3574.3</v>
      </c>
      <c r="I430" s="18">
        <f t="shared" si="32"/>
        <v>3574.3</v>
      </c>
    </row>
    <row r="431" spans="1:9" outlineLevel="1" x14ac:dyDescent="0.25">
      <c r="A431" s="84" t="s">
        <v>545</v>
      </c>
      <c r="B431" s="29" t="s">
        <v>123</v>
      </c>
      <c r="C431" s="31" t="s">
        <v>12</v>
      </c>
      <c r="D431" s="10">
        <v>2</v>
      </c>
      <c r="E431" s="10">
        <v>500</v>
      </c>
      <c r="F431" s="60"/>
      <c r="G431" s="2">
        <f>ROUND(E431*D431,2)</f>
        <v>1000</v>
      </c>
      <c r="H431" s="18"/>
      <c r="I431" s="18">
        <f t="shared" si="32"/>
        <v>1000</v>
      </c>
    </row>
    <row r="432" spans="1:9" outlineLevel="1" x14ac:dyDescent="0.25">
      <c r="A432" s="84"/>
      <c r="B432" s="28" t="s">
        <v>124</v>
      </c>
      <c r="C432" s="21" t="s">
        <v>12</v>
      </c>
      <c r="D432" s="18">
        <v>2</v>
      </c>
      <c r="E432" s="18"/>
      <c r="F432" s="60">
        <v>100</v>
      </c>
      <c r="G432" s="18"/>
      <c r="H432" s="2">
        <f>ROUND(D432*F432,2)</f>
        <v>200</v>
      </c>
      <c r="I432" s="18">
        <f t="shared" si="32"/>
        <v>200</v>
      </c>
    </row>
    <row r="433" spans="1:9" outlineLevel="1" x14ac:dyDescent="0.25">
      <c r="A433" s="84"/>
      <c r="B433" s="22" t="s">
        <v>125</v>
      </c>
      <c r="C433" s="21" t="s">
        <v>12</v>
      </c>
      <c r="D433" s="18">
        <v>2</v>
      </c>
      <c r="E433" s="18"/>
      <c r="F433" s="60">
        <f>30*20</f>
        <v>600</v>
      </c>
      <c r="G433" s="18"/>
      <c r="H433" s="2">
        <f>ROUND(D433*F433,2)</f>
        <v>1200</v>
      </c>
      <c r="I433" s="18">
        <f t="shared" si="32"/>
        <v>1200</v>
      </c>
    </row>
    <row r="434" spans="1:9" outlineLevel="1" x14ac:dyDescent="0.25">
      <c r="A434" s="84" t="s">
        <v>78</v>
      </c>
      <c r="B434" s="75" t="s">
        <v>126</v>
      </c>
      <c r="C434" s="2"/>
      <c r="D434" s="2"/>
      <c r="E434" s="2"/>
      <c r="F434" s="11"/>
      <c r="G434" s="18"/>
      <c r="H434" s="18"/>
      <c r="I434" s="18">
        <f t="shared" si="32"/>
        <v>0</v>
      </c>
    </row>
    <row r="435" spans="1:9" outlineLevel="1" x14ac:dyDescent="0.25">
      <c r="A435" s="84" t="s">
        <v>546</v>
      </c>
      <c r="B435" s="29" t="s">
        <v>127</v>
      </c>
      <c r="C435" s="31" t="s">
        <v>12</v>
      </c>
      <c r="D435" s="31">
        <v>1</v>
      </c>
      <c r="E435" s="10">
        <v>10000</v>
      </c>
      <c r="F435" s="60"/>
      <c r="G435" s="2">
        <f>ROUND(E435*D435,2)</f>
        <v>10000</v>
      </c>
      <c r="H435" s="18"/>
      <c r="I435" s="18">
        <f t="shared" si="32"/>
        <v>10000</v>
      </c>
    </row>
    <row r="436" spans="1:9" outlineLevel="1" x14ac:dyDescent="0.25">
      <c r="A436" s="84"/>
      <c r="B436" s="22" t="s">
        <v>128</v>
      </c>
      <c r="C436" s="21" t="s">
        <v>12</v>
      </c>
      <c r="D436" s="2">
        <v>1</v>
      </c>
      <c r="E436" s="18"/>
      <c r="F436" s="60">
        <v>1033.78</v>
      </c>
      <c r="G436" s="18"/>
      <c r="H436" s="2">
        <f t="shared" ref="H436:H447" si="33">ROUND(D436*F436,2)</f>
        <v>1033.78</v>
      </c>
      <c r="I436" s="18">
        <f t="shared" si="32"/>
        <v>1033.78</v>
      </c>
    </row>
    <row r="437" spans="1:9" outlineLevel="1" x14ac:dyDescent="0.25">
      <c r="A437" s="84"/>
      <c r="B437" s="22" t="s">
        <v>129</v>
      </c>
      <c r="C437" s="21" t="s">
        <v>12</v>
      </c>
      <c r="D437" s="2">
        <v>3</v>
      </c>
      <c r="E437" s="18"/>
      <c r="F437" s="60">
        <v>2018.83</v>
      </c>
      <c r="G437" s="18"/>
      <c r="H437" s="2">
        <f t="shared" si="33"/>
        <v>6056.49</v>
      </c>
      <c r="I437" s="18">
        <f t="shared" si="32"/>
        <v>6056.49</v>
      </c>
    </row>
    <row r="438" spans="1:9" outlineLevel="1" x14ac:dyDescent="0.25">
      <c r="A438" s="84"/>
      <c r="B438" s="28" t="s">
        <v>130</v>
      </c>
      <c r="C438" s="21" t="s">
        <v>12</v>
      </c>
      <c r="D438" s="2">
        <v>1</v>
      </c>
      <c r="E438" s="18"/>
      <c r="F438" s="60">
        <v>109.44</v>
      </c>
      <c r="G438" s="18"/>
      <c r="H438" s="2">
        <f t="shared" si="33"/>
        <v>109.44</v>
      </c>
      <c r="I438" s="18">
        <f t="shared" si="32"/>
        <v>109.44</v>
      </c>
    </row>
    <row r="439" spans="1:9" outlineLevel="1" x14ac:dyDescent="0.25">
      <c r="A439" s="84"/>
      <c r="B439" s="28" t="s">
        <v>131</v>
      </c>
      <c r="C439" s="21" t="s">
        <v>12</v>
      </c>
      <c r="D439" s="2">
        <v>1</v>
      </c>
      <c r="E439" s="18"/>
      <c r="F439" s="60">
        <v>228.92</v>
      </c>
      <c r="G439" s="18"/>
      <c r="H439" s="2">
        <f t="shared" si="33"/>
        <v>228.92</v>
      </c>
      <c r="I439" s="18">
        <f t="shared" si="32"/>
        <v>228.92</v>
      </c>
    </row>
    <row r="440" spans="1:9" outlineLevel="1" x14ac:dyDescent="0.25">
      <c r="A440" s="84"/>
      <c r="B440" s="28" t="s">
        <v>132</v>
      </c>
      <c r="C440" s="21" t="s">
        <v>12</v>
      </c>
      <c r="D440" s="2">
        <v>8</v>
      </c>
      <c r="E440" s="18"/>
      <c r="F440" s="60">
        <v>198</v>
      </c>
      <c r="G440" s="18"/>
      <c r="H440" s="2">
        <f t="shared" si="33"/>
        <v>1584</v>
      </c>
      <c r="I440" s="18">
        <f t="shared" si="32"/>
        <v>1584</v>
      </c>
    </row>
    <row r="441" spans="1:9" ht="19.95" customHeight="1" outlineLevel="1" x14ac:dyDescent="0.25">
      <c r="A441" s="84"/>
      <c r="B441" s="28" t="s">
        <v>430</v>
      </c>
      <c r="C441" s="21" t="s">
        <v>12</v>
      </c>
      <c r="D441" s="2">
        <v>2</v>
      </c>
      <c r="E441" s="18"/>
      <c r="F441" s="60">
        <v>43</v>
      </c>
      <c r="G441" s="18"/>
      <c r="H441" s="2">
        <f t="shared" si="33"/>
        <v>86</v>
      </c>
      <c r="I441" s="18">
        <f t="shared" si="32"/>
        <v>86</v>
      </c>
    </row>
    <row r="442" spans="1:9" ht="31.2" customHeight="1" outlineLevel="1" x14ac:dyDescent="0.25">
      <c r="A442" s="84"/>
      <c r="B442" s="28" t="s">
        <v>431</v>
      </c>
      <c r="C442" s="21" t="s">
        <v>12</v>
      </c>
      <c r="D442" s="2">
        <v>2</v>
      </c>
      <c r="E442" s="18"/>
      <c r="F442" s="60">
        <v>448</v>
      </c>
      <c r="G442" s="18"/>
      <c r="H442" s="2">
        <f t="shared" si="33"/>
        <v>896</v>
      </c>
      <c r="I442" s="18">
        <f t="shared" si="32"/>
        <v>896</v>
      </c>
    </row>
    <row r="443" spans="1:9" outlineLevel="1" x14ac:dyDescent="0.25">
      <c r="A443" s="84"/>
      <c r="B443" s="28" t="s">
        <v>133</v>
      </c>
      <c r="C443" s="21" t="s">
        <v>12</v>
      </c>
      <c r="D443" s="2">
        <v>1</v>
      </c>
      <c r="E443" s="18"/>
      <c r="F443" s="60">
        <v>5922.3</v>
      </c>
      <c r="G443" s="18"/>
      <c r="H443" s="2">
        <f t="shared" si="33"/>
        <v>5922.3</v>
      </c>
      <c r="I443" s="18">
        <f>G443+H443</f>
        <v>5922.3</v>
      </c>
    </row>
    <row r="444" spans="1:9" outlineLevel="1" x14ac:dyDescent="0.25">
      <c r="A444" s="84"/>
      <c r="B444" s="28" t="s">
        <v>429</v>
      </c>
      <c r="C444" s="21" t="s">
        <v>12</v>
      </c>
      <c r="D444" s="2">
        <v>1</v>
      </c>
      <c r="E444" s="18"/>
      <c r="F444" s="60">
        <v>127</v>
      </c>
      <c r="G444" s="18"/>
      <c r="H444" s="2">
        <f t="shared" si="33"/>
        <v>127</v>
      </c>
      <c r="I444" s="18">
        <f t="shared" si="32"/>
        <v>127</v>
      </c>
    </row>
    <row r="445" spans="1:9" outlineLevel="1" x14ac:dyDescent="0.25">
      <c r="A445" s="84"/>
      <c r="B445" s="28" t="s">
        <v>91</v>
      </c>
      <c r="C445" s="21" t="s">
        <v>15</v>
      </c>
      <c r="D445" s="2">
        <v>15</v>
      </c>
      <c r="E445" s="18"/>
      <c r="F445" s="60">
        <f>37500/1000</f>
        <v>37.5</v>
      </c>
      <c r="G445" s="18"/>
      <c r="H445" s="2">
        <f t="shared" si="33"/>
        <v>562.5</v>
      </c>
      <c r="I445" s="18">
        <f t="shared" si="32"/>
        <v>562.5</v>
      </c>
    </row>
    <row r="446" spans="1:9" outlineLevel="1" x14ac:dyDescent="0.25">
      <c r="A446" s="84"/>
      <c r="B446" s="28" t="s">
        <v>423</v>
      </c>
      <c r="C446" s="21" t="s">
        <v>29</v>
      </c>
      <c r="D446" s="2">
        <v>1</v>
      </c>
      <c r="E446" s="18"/>
      <c r="F446" s="60">
        <v>42.1</v>
      </c>
      <c r="G446" s="18"/>
      <c r="H446" s="2">
        <f t="shared" si="33"/>
        <v>42.1</v>
      </c>
      <c r="I446" s="18">
        <f>G446+H446</f>
        <v>42.1</v>
      </c>
    </row>
    <row r="447" spans="1:9" outlineLevel="1" x14ac:dyDescent="0.25">
      <c r="A447" s="84"/>
      <c r="B447" s="28" t="s">
        <v>119</v>
      </c>
      <c r="C447" s="21" t="s">
        <v>29</v>
      </c>
      <c r="D447" s="2">
        <v>3.5</v>
      </c>
      <c r="E447" s="18"/>
      <c r="F447" s="60">
        <v>161.68</v>
      </c>
      <c r="G447" s="18"/>
      <c r="H447" s="2">
        <f t="shared" si="33"/>
        <v>565.88</v>
      </c>
      <c r="I447" s="18">
        <f>G447+H447</f>
        <v>565.88</v>
      </c>
    </row>
    <row r="448" spans="1:9" outlineLevel="1" x14ac:dyDescent="0.25">
      <c r="A448" s="84" t="s">
        <v>82</v>
      </c>
      <c r="B448" s="75" t="s">
        <v>134</v>
      </c>
      <c r="C448" s="2"/>
      <c r="D448" s="158"/>
      <c r="E448" s="2"/>
      <c r="F448" s="11"/>
      <c r="G448" s="18"/>
      <c r="H448" s="18"/>
      <c r="I448" s="18">
        <f t="shared" si="32"/>
        <v>0</v>
      </c>
    </row>
    <row r="449" spans="1:10" ht="31.2" outlineLevel="1" x14ac:dyDescent="0.25">
      <c r="A449" s="84" t="s">
        <v>547</v>
      </c>
      <c r="B449" s="29" t="s">
        <v>112</v>
      </c>
      <c r="C449" s="31" t="s">
        <v>29</v>
      </c>
      <c r="D449" s="31">
        <f>D450</f>
        <v>116</v>
      </c>
      <c r="E449" s="10">
        <v>85</v>
      </c>
      <c r="F449" s="60"/>
      <c r="G449" s="2">
        <f>ROUND(E449*D449,2)</f>
        <v>9860</v>
      </c>
      <c r="H449" s="18"/>
      <c r="I449" s="18">
        <f t="shared" si="32"/>
        <v>9860</v>
      </c>
    </row>
    <row r="450" spans="1:10" outlineLevel="1" x14ac:dyDescent="0.25">
      <c r="A450" s="84"/>
      <c r="B450" s="28" t="s">
        <v>114</v>
      </c>
      <c r="C450" s="21" t="s">
        <v>29</v>
      </c>
      <c r="D450" s="2">
        <v>116</v>
      </c>
      <c r="E450" s="18"/>
      <c r="F450" s="60">
        <f>311.85/3</f>
        <v>103.95</v>
      </c>
      <c r="G450" s="18"/>
      <c r="H450" s="2">
        <f>ROUND(D450*F450,2)</f>
        <v>12058.2</v>
      </c>
      <c r="I450" s="18">
        <f t="shared" si="32"/>
        <v>12058.2</v>
      </c>
    </row>
    <row r="451" spans="1:10" outlineLevel="1" x14ac:dyDescent="0.25">
      <c r="A451" s="84"/>
      <c r="B451" s="28" t="s">
        <v>329</v>
      </c>
      <c r="C451" s="21" t="s">
        <v>12</v>
      </c>
      <c r="D451" s="2">
        <v>1</v>
      </c>
      <c r="E451" s="18"/>
      <c r="F451" s="60">
        <v>200</v>
      </c>
      <c r="G451" s="18"/>
      <c r="H451" s="2">
        <f>ROUND(D451*F451,2)</f>
        <v>200</v>
      </c>
      <c r="I451" s="18">
        <f t="shared" si="32"/>
        <v>200</v>
      </c>
    </row>
    <row r="452" spans="1:10" outlineLevel="1" x14ac:dyDescent="0.25">
      <c r="A452" s="84"/>
      <c r="B452" s="28" t="s">
        <v>135</v>
      </c>
      <c r="C452" s="21" t="s">
        <v>12</v>
      </c>
      <c r="D452" s="2">
        <v>24</v>
      </c>
      <c r="E452" s="18"/>
      <c r="F452" s="60">
        <v>61.27</v>
      </c>
      <c r="G452" s="18"/>
      <c r="H452" s="2">
        <f>ROUND(D452*F452,2)</f>
        <v>1470.48</v>
      </c>
      <c r="I452" s="18">
        <f t="shared" si="32"/>
        <v>1470.48</v>
      </c>
    </row>
    <row r="453" spans="1:10" outlineLevel="1" x14ac:dyDescent="0.25">
      <c r="A453" s="84"/>
      <c r="B453" s="28" t="s">
        <v>433</v>
      </c>
      <c r="C453" s="21" t="s">
        <v>12</v>
      </c>
      <c r="D453" s="2">
        <v>24</v>
      </c>
      <c r="E453" s="18"/>
      <c r="F453" s="60">
        <v>40</v>
      </c>
      <c r="G453" s="18"/>
      <c r="H453" s="2">
        <f>ROUND(D453*F453,2)</f>
        <v>960</v>
      </c>
      <c r="I453" s="18">
        <f>G453+H453</f>
        <v>960</v>
      </c>
    </row>
    <row r="454" spans="1:10" outlineLevel="1" x14ac:dyDescent="0.25">
      <c r="A454" s="84" t="s">
        <v>548</v>
      </c>
      <c r="B454" s="29" t="s">
        <v>136</v>
      </c>
      <c r="C454" s="31" t="s">
        <v>29</v>
      </c>
      <c r="D454" s="31">
        <f>D455</f>
        <v>5</v>
      </c>
      <c r="E454" s="10">
        <v>150</v>
      </c>
      <c r="F454" s="60"/>
      <c r="G454" s="2">
        <f>ROUND(E454*D454,2)</f>
        <v>750</v>
      </c>
      <c r="H454" s="18"/>
      <c r="I454" s="18">
        <f t="shared" si="32"/>
        <v>750</v>
      </c>
    </row>
    <row r="455" spans="1:10" outlineLevel="1" x14ac:dyDescent="0.25">
      <c r="A455" s="84"/>
      <c r="B455" s="28" t="s">
        <v>432</v>
      </c>
      <c r="C455" s="21" t="s">
        <v>29</v>
      </c>
      <c r="D455" s="2">
        <v>5</v>
      </c>
      <c r="E455" s="18"/>
      <c r="F455" s="60">
        <f>107*3</f>
        <v>321</v>
      </c>
      <c r="G455" s="18"/>
      <c r="H455" s="2">
        <f>ROUND(D455*F455,2)</f>
        <v>1605</v>
      </c>
      <c r="I455" s="18">
        <f t="shared" si="32"/>
        <v>1605</v>
      </c>
    </row>
    <row r="456" spans="1:10" outlineLevel="1" x14ac:dyDescent="0.25">
      <c r="A456" s="84"/>
      <c r="B456" s="28" t="s">
        <v>330</v>
      </c>
      <c r="C456" s="21" t="s">
        <v>12</v>
      </c>
      <c r="D456" s="2">
        <v>1</v>
      </c>
      <c r="E456" s="18"/>
      <c r="F456" s="60">
        <v>205</v>
      </c>
      <c r="G456" s="18"/>
      <c r="H456" s="2">
        <f>ROUND(D456*F456,2)</f>
        <v>205</v>
      </c>
      <c r="I456" s="18">
        <f t="shared" si="32"/>
        <v>205</v>
      </c>
    </row>
    <row r="457" spans="1:10" outlineLevel="1" x14ac:dyDescent="0.25">
      <c r="A457" s="87" t="s">
        <v>549</v>
      </c>
      <c r="B457" s="29" t="s">
        <v>101</v>
      </c>
      <c r="C457" s="31" t="s">
        <v>29</v>
      </c>
      <c r="D457" s="31">
        <f>D449</f>
        <v>116</v>
      </c>
      <c r="E457" s="10">
        <v>150</v>
      </c>
      <c r="F457" s="60"/>
      <c r="G457" s="2">
        <f>ROUND(E457*D457,2)</f>
        <v>17400</v>
      </c>
      <c r="H457" s="18"/>
      <c r="I457" s="18">
        <f t="shared" si="32"/>
        <v>17400</v>
      </c>
    </row>
    <row r="458" spans="1:10" outlineLevel="1" x14ac:dyDescent="0.25">
      <c r="A458" s="84"/>
      <c r="B458" s="28" t="s">
        <v>174</v>
      </c>
      <c r="C458" s="21" t="s">
        <v>12</v>
      </c>
      <c r="D458" s="2">
        <v>58</v>
      </c>
      <c r="E458" s="18"/>
      <c r="F458" s="60">
        <v>200</v>
      </c>
      <c r="G458" s="18"/>
      <c r="H458" s="2">
        <f>ROUND(D458*F458,2)</f>
        <v>11600</v>
      </c>
      <c r="I458" s="18">
        <f t="shared" si="32"/>
        <v>11600</v>
      </c>
    </row>
    <row r="459" spans="1:10" outlineLevel="1" x14ac:dyDescent="0.25">
      <c r="A459" s="87" t="s">
        <v>550</v>
      </c>
      <c r="B459" s="29" t="s">
        <v>138</v>
      </c>
      <c r="C459" s="31" t="s">
        <v>12</v>
      </c>
      <c r="D459" s="31">
        <v>1</v>
      </c>
      <c r="E459" s="18"/>
      <c r="F459" s="60"/>
      <c r="G459" s="18"/>
      <c r="H459" s="18"/>
      <c r="I459" s="18">
        <f t="shared" si="32"/>
        <v>0</v>
      </c>
    </row>
    <row r="460" spans="1:10" outlineLevel="1" x14ac:dyDescent="0.25">
      <c r="A460" s="84"/>
      <c r="B460" s="28" t="s">
        <v>139</v>
      </c>
      <c r="C460" s="21" t="s">
        <v>12</v>
      </c>
      <c r="D460" s="2">
        <v>1</v>
      </c>
      <c r="E460" s="18"/>
      <c r="F460" s="60">
        <v>5555</v>
      </c>
      <c r="G460" s="18"/>
      <c r="H460" s="2">
        <f>ROUND(D460*F460,2)</f>
        <v>5555</v>
      </c>
      <c r="I460" s="18">
        <f t="shared" si="32"/>
        <v>5555</v>
      </c>
    </row>
    <row r="461" spans="1:10" ht="31.2" outlineLevel="1" x14ac:dyDescent="0.25">
      <c r="A461" s="87" t="s">
        <v>551</v>
      </c>
      <c r="B461" s="29" t="s">
        <v>434</v>
      </c>
      <c r="C461" s="31" t="s">
        <v>29</v>
      </c>
      <c r="D461" s="31">
        <v>11.2</v>
      </c>
      <c r="E461" s="10">
        <v>250</v>
      </c>
      <c r="F461" s="60"/>
      <c r="G461" s="2">
        <f>ROUND(E461*D461,2)</f>
        <v>2800</v>
      </c>
      <c r="H461" s="18"/>
      <c r="I461" s="18">
        <f t="shared" si="32"/>
        <v>2800</v>
      </c>
    </row>
    <row r="462" spans="1:10" outlineLevel="1" x14ac:dyDescent="0.25">
      <c r="A462" s="84"/>
      <c r="B462" s="28" t="s">
        <v>114</v>
      </c>
      <c r="C462" s="21" t="s">
        <v>29</v>
      </c>
      <c r="D462" s="2">
        <v>11.2</v>
      </c>
      <c r="E462" s="18"/>
      <c r="F462" s="60">
        <v>103.95</v>
      </c>
      <c r="G462" s="18"/>
      <c r="H462" s="2">
        <f>ROUND(D462*F462,2)</f>
        <v>1164.24</v>
      </c>
      <c r="I462" s="18">
        <f t="shared" si="32"/>
        <v>1164.24</v>
      </c>
    </row>
    <row r="463" spans="1:10" outlineLevel="1" x14ac:dyDescent="0.25">
      <c r="A463" s="84"/>
      <c r="B463" s="204" t="s">
        <v>140</v>
      </c>
      <c r="C463" s="2"/>
      <c r="D463" s="2"/>
      <c r="E463" s="2"/>
      <c r="F463" s="11"/>
      <c r="G463" s="18"/>
      <c r="H463" s="18"/>
      <c r="I463" s="18">
        <f t="shared" si="32"/>
        <v>0</v>
      </c>
    </row>
    <row r="464" spans="1:10" ht="31.2" outlineLevel="1" x14ac:dyDescent="0.25">
      <c r="A464" s="84"/>
      <c r="B464" s="177" t="s">
        <v>112</v>
      </c>
      <c r="C464" s="158" t="s">
        <v>29</v>
      </c>
      <c r="D464" s="158">
        <f>(1.8+5)*3</f>
        <v>20.399999999999999</v>
      </c>
      <c r="E464" s="158"/>
      <c r="F464" s="164"/>
      <c r="G464" s="158"/>
      <c r="H464" s="158"/>
      <c r="I464" s="158">
        <f t="shared" si="32"/>
        <v>0</v>
      </c>
      <c r="J464" s="780" t="s">
        <v>625</v>
      </c>
    </row>
    <row r="465" spans="1:10" outlineLevel="1" x14ac:dyDescent="0.25">
      <c r="A465" s="84"/>
      <c r="B465" s="173" t="s">
        <v>114</v>
      </c>
      <c r="C465" s="171" t="s">
        <v>29</v>
      </c>
      <c r="D465" s="158">
        <f>D464</f>
        <v>20.399999999999999</v>
      </c>
      <c r="E465" s="158"/>
      <c r="F465" s="164">
        <v>103.95</v>
      </c>
      <c r="G465" s="158"/>
      <c r="H465" s="158"/>
      <c r="I465" s="158"/>
      <c r="J465" s="780"/>
    </row>
    <row r="466" spans="1:10" outlineLevel="1" x14ac:dyDescent="0.25">
      <c r="A466" s="84"/>
      <c r="B466" s="173" t="s">
        <v>135</v>
      </c>
      <c r="C466" s="171" t="s">
        <v>12</v>
      </c>
      <c r="D466" s="158">
        <v>3</v>
      </c>
      <c r="E466" s="158"/>
      <c r="F466" s="164">
        <v>61.27</v>
      </c>
      <c r="G466" s="158"/>
      <c r="H466" s="158"/>
      <c r="I466" s="158"/>
      <c r="J466" s="780"/>
    </row>
    <row r="467" spans="1:10" outlineLevel="1" x14ac:dyDescent="0.25">
      <c r="A467" s="84"/>
      <c r="B467" s="173" t="s">
        <v>91</v>
      </c>
      <c r="C467" s="171" t="s">
        <v>15</v>
      </c>
      <c r="D467" s="158">
        <v>36</v>
      </c>
      <c r="E467" s="158"/>
      <c r="F467" s="164">
        <v>42</v>
      </c>
      <c r="G467" s="158"/>
      <c r="H467" s="158"/>
      <c r="I467" s="158"/>
      <c r="J467" s="780"/>
    </row>
    <row r="468" spans="1:10" outlineLevel="1" x14ac:dyDescent="0.25">
      <c r="A468" s="84"/>
      <c r="B468" s="177" t="s">
        <v>141</v>
      </c>
      <c r="C468" s="158" t="s">
        <v>12</v>
      </c>
      <c r="D468" s="158">
        <v>3</v>
      </c>
      <c r="E468" s="158"/>
      <c r="F468" s="164"/>
      <c r="G468" s="158"/>
      <c r="H468" s="158"/>
      <c r="I468" s="158"/>
      <c r="J468" s="780"/>
    </row>
    <row r="469" spans="1:10" outlineLevel="1" x14ac:dyDescent="0.25">
      <c r="A469" s="84"/>
      <c r="B469" s="173" t="s">
        <v>142</v>
      </c>
      <c r="C469" s="171" t="s">
        <v>12</v>
      </c>
      <c r="D469" s="158">
        <v>3</v>
      </c>
      <c r="E469" s="158"/>
      <c r="F469" s="164">
        <v>586.74</v>
      </c>
      <c r="G469" s="158"/>
      <c r="H469" s="158"/>
      <c r="I469" s="158"/>
      <c r="J469" s="780"/>
    </row>
    <row r="470" spans="1:10" outlineLevel="1" x14ac:dyDescent="0.25">
      <c r="A470" s="84"/>
      <c r="B470" s="173" t="s">
        <v>143</v>
      </c>
      <c r="C470" s="171" t="s">
        <v>12</v>
      </c>
      <c r="D470" s="158">
        <v>6</v>
      </c>
      <c r="E470" s="158"/>
      <c r="F470" s="164">
        <v>429</v>
      </c>
      <c r="G470" s="158"/>
      <c r="H470" s="158"/>
      <c r="I470" s="158"/>
      <c r="J470" s="780"/>
    </row>
    <row r="471" spans="1:10" outlineLevel="1" x14ac:dyDescent="0.25">
      <c r="A471" s="84"/>
      <c r="B471" s="177" t="s">
        <v>101</v>
      </c>
      <c r="C471" s="158" t="s">
        <v>29</v>
      </c>
      <c r="D471" s="158">
        <f>D464</f>
        <v>20.399999999999999</v>
      </c>
      <c r="E471" s="158"/>
      <c r="F471" s="164"/>
      <c r="G471" s="158"/>
      <c r="H471" s="158"/>
      <c r="I471" s="158"/>
      <c r="J471" s="780"/>
    </row>
    <row r="472" spans="1:10" outlineLevel="1" x14ac:dyDescent="0.25">
      <c r="A472" s="84"/>
      <c r="B472" s="173" t="s">
        <v>137</v>
      </c>
      <c r="C472" s="171" t="s">
        <v>12</v>
      </c>
      <c r="D472" s="158">
        <f>D471/2</f>
        <v>10.199999999999999</v>
      </c>
      <c r="E472" s="158"/>
      <c r="F472" s="164">
        <v>200</v>
      </c>
      <c r="G472" s="158"/>
      <c r="H472" s="158"/>
      <c r="I472" s="158"/>
      <c r="J472" s="780"/>
    </row>
    <row r="473" spans="1:10" outlineLevel="1" x14ac:dyDescent="0.25">
      <c r="A473" s="84" t="s">
        <v>84</v>
      </c>
      <c r="B473" s="75" t="s">
        <v>144</v>
      </c>
      <c r="C473" s="2"/>
      <c r="D473" s="158"/>
      <c r="E473" s="2"/>
      <c r="F473" s="11"/>
      <c r="G473" s="18"/>
      <c r="H473" s="18"/>
      <c r="I473" s="18">
        <f t="shared" si="32"/>
        <v>0</v>
      </c>
    </row>
    <row r="474" spans="1:10" ht="31.2" outlineLevel="1" x14ac:dyDescent="0.25">
      <c r="A474" s="84" t="s">
        <v>552</v>
      </c>
      <c r="B474" s="29" t="s">
        <v>145</v>
      </c>
      <c r="C474" s="31" t="s">
        <v>29</v>
      </c>
      <c r="D474" s="31">
        <v>340</v>
      </c>
      <c r="E474" s="10">
        <v>30</v>
      </c>
      <c r="F474" s="60"/>
      <c r="G474" s="2">
        <f>ROUND(E474*D474,2)</f>
        <v>10200</v>
      </c>
      <c r="H474" s="18"/>
      <c r="I474" s="18">
        <f t="shared" si="32"/>
        <v>10200</v>
      </c>
    </row>
    <row r="475" spans="1:10" outlineLevel="1" x14ac:dyDescent="0.25">
      <c r="A475" s="84"/>
      <c r="B475" s="28" t="s">
        <v>146</v>
      </c>
      <c r="C475" s="21" t="s">
        <v>12</v>
      </c>
      <c r="D475" s="184">
        <v>8</v>
      </c>
      <c r="E475" s="18"/>
      <c r="F475" s="60">
        <v>9275</v>
      </c>
      <c r="G475" s="18"/>
      <c r="H475" s="2">
        <f>ROUND(D475*F475,2)</f>
        <v>74200</v>
      </c>
      <c r="I475" s="18">
        <f t="shared" si="32"/>
        <v>74200</v>
      </c>
    </row>
    <row r="476" spans="1:10" outlineLevel="1" x14ac:dyDescent="0.25">
      <c r="A476" s="84"/>
      <c r="B476" s="28" t="s">
        <v>147</v>
      </c>
      <c r="C476" s="21" t="s">
        <v>29</v>
      </c>
      <c r="D476" s="2">
        <f>D474</f>
        <v>340</v>
      </c>
      <c r="E476" s="18"/>
      <c r="F476" s="60">
        <v>3</v>
      </c>
      <c r="G476" s="18"/>
      <c r="H476" s="2">
        <f>ROUND(D476*F476,2)</f>
        <v>1020</v>
      </c>
      <c r="I476" s="18">
        <f t="shared" si="32"/>
        <v>1020</v>
      </c>
    </row>
    <row r="477" spans="1:10" ht="31.2" outlineLevel="1" x14ac:dyDescent="0.25">
      <c r="A477" s="84" t="s">
        <v>331</v>
      </c>
      <c r="B477" s="75" t="s">
        <v>148</v>
      </c>
      <c r="C477" s="2"/>
      <c r="D477" s="2"/>
      <c r="E477" s="2"/>
      <c r="F477" s="11"/>
      <c r="G477" s="18"/>
      <c r="H477" s="18"/>
      <c r="I477" s="18">
        <f t="shared" si="32"/>
        <v>0</v>
      </c>
    </row>
    <row r="478" spans="1:10" outlineLevel="1" x14ac:dyDescent="0.25">
      <c r="A478" s="84"/>
      <c r="B478" s="177" t="s">
        <v>149</v>
      </c>
      <c r="C478" s="158" t="s">
        <v>12</v>
      </c>
      <c r="D478" s="158">
        <v>1</v>
      </c>
      <c r="E478" s="158"/>
      <c r="F478" s="164"/>
      <c r="G478" s="158"/>
      <c r="H478" s="158"/>
      <c r="I478" s="158"/>
      <c r="J478" s="780" t="s">
        <v>625</v>
      </c>
    </row>
    <row r="479" spans="1:10" ht="31.2" outlineLevel="1" x14ac:dyDescent="0.25">
      <c r="A479" s="84"/>
      <c r="B479" s="173" t="s">
        <v>150</v>
      </c>
      <c r="C479" s="171" t="s">
        <v>12</v>
      </c>
      <c r="D479" s="158">
        <v>1</v>
      </c>
      <c r="E479" s="158"/>
      <c r="F479" s="164">
        <f>2352*1.18</f>
        <v>2775.3599999999997</v>
      </c>
      <c r="G479" s="158"/>
      <c r="H479" s="158"/>
      <c r="I479" s="158"/>
      <c r="J479" s="780"/>
    </row>
    <row r="480" spans="1:10" outlineLevel="1" x14ac:dyDescent="0.25">
      <c r="A480" s="84" t="s">
        <v>553</v>
      </c>
      <c r="B480" s="29" t="s">
        <v>151</v>
      </c>
      <c r="C480" s="31" t="s">
        <v>29</v>
      </c>
      <c r="D480" s="31">
        <f>D481+D482</f>
        <v>7.3999999999999995</v>
      </c>
      <c r="E480" s="10">
        <v>100</v>
      </c>
      <c r="F480" s="60"/>
      <c r="G480" s="2">
        <f>ROUND(E480*D480,2)</f>
        <v>740</v>
      </c>
      <c r="H480" s="18"/>
      <c r="I480" s="18">
        <f t="shared" si="32"/>
        <v>740</v>
      </c>
    </row>
    <row r="481" spans="1:9" outlineLevel="1" x14ac:dyDescent="0.25">
      <c r="A481" s="84"/>
      <c r="B481" s="28" t="s">
        <v>184</v>
      </c>
      <c r="C481" s="21" t="s">
        <v>29</v>
      </c>
      <c r="D481" s="2">
        <v>0.3</v>
      </c>
      <c r="E481" s="18"/>
      <c r="F481" s="60">
        <f>2779*1.18</f>
        <v>3279.22</v>
      </c>
      <c r="G481" s="18"/>
      <c r="H481" s="2">
        <f>ROUND(D481*F481,2)</f>
        <v>983.77</v>
      </c>
      <c r="I481" s="18">
        <f t="shared" si="32"/>
        <v>983.77</v>
      </c>
    </row>
    <row r="482" spans="1:9" outlineLevel="1" x14ac:dyDescent="0.25">
      <c r="A482" s="84"/>
      <c r="B482" s="28" t="s">
        <v>437</v>
      </c>
      <c r="C482" s="21" t="s">
        <v>29</v>
      </c>
      <c r="D482" s="2">
        <v>7.1</v>
      </c>
      <c r="E482" s="18"/>
      <c r="F482" s="60">
        <v>2687.5</v>
      </c>
      <c r="G482" s="18"/>
      <c r="H482" s="2">
        <f>ROUND(D482*F482,2)</f>
        <v>19081.25</v>
      </c>
      <c r="I482" s="18">
        <f>G482+H482</f>
        <v>19081.25</v>
      </c>
    </row>
    <row r="483" spans="1:9" ht="31.2" outlineLevel="1" x14ac:dyDescent="0.25">
      <c r="A483" s="84" t="s">
        <v>554</v>
      </c>
      <c r="B483" s="29" t="s">
        <v>152</v>
      </c>
      <c r="C483" s="31" t="s">
        <v>29</v>
      </c>
      <c r="D483" s="31">
        <f>D484</f>
        <v>10.7</v>
      </c>
      <c r="E483" s="10">
        <v>85</v>
      </c>
      <c r="F483" s="60"/>
      <c r="G483" s="2">
        <f>ROUND(E483*D483,2)</f>
        <v>909.5</v>
      </c>
      <c r="H483" s="18"/>
      <c r="I483" s="18">
        <f t="shared" si="32"/>
        <v>909.5</v>
      </c>
    </row>
    <row r="484" spans="1:9" outlineLevel="1" x14ac:dyDescent="0.25">
      <c r="A484" s="84"/>
      <c r="B484" s="28" t="s">
        <v>438</v>
      </c>
      <c r="C484" s="21" t="s">
        <v>29</v>
      </c>
      <c r="D484" s="2">
        <v>10.7</v>
      </c>
      <c r="E484" s="18"/>
      <c r="F484" s="60">
        <f>1626.1/5.5</f>
        <v>295.65454545454543</v>
      </c>
      <c r="G484" s="18"/>
      <c r="H484" s="2">
        <f>ROUND(D484*F484,2)</f>
        <v>3163.5</v>
      </c>
      <c r="I484" s="18">
        <f t="shared" si="32"/>
        <v>3163.5</v>
      </c>
    </row>
    <row r="485" spans="1:9" s="6" customFormat="1" outlineLevel="1" x14ac:dyDescent="0.25">
      <c r="A485" s="84" t="s">
        <v>555</v>
      </c>
      <c r="B485" s="29" t="s">
        <v>153</v>
      </c>
      <c r="C485" s="31" t="s">
        <v>12</v>
      </c>
      <c r="D485" s="31">
        <v>2</v>
      </c>
      <c r="E485" s="5"/>
      <c r="F485" s="60"/>
      <c r="G485" s="18"/>
      <c r="H485" s="18"/>
      <c r="I485" s="18">
        <f t="shared" si="32"/>
        <v>0</v>
      </c>
    </row>
    <row r="486" spans="1:9" outlineLevel="1" x14ac:dyDescent="0.25">
      <c r="A486" s="84"/>
      <c r="B486" s="28" t="s">
        <v>436</v>
      </c>
      <c r="C486" s="21" t="s">
        <v>12</v>
      </c>
      <c r="D486" s="2">
        <v>1</v>
      </c>
      <c r="E486" s="18"/>
      <c r="F486" s="60">
        <v>480.3</v>
      </c>
      <c r="G486" s="18"/>
      <c r="H486" s="2">
        <f>ROUND(D486*F486,2)</f>
        <v>480.3</v>
      </c>
      <c r="I486" s="18">
        <f t="shared" si="32"/>
        <v>480.3</v>
      </c>
    </row>
    <row r="487" spans="1:9" outlineLevel="1" x14ac:dyDescent="0.25">
      <c r="A487" s="84"/>
      <c r="B487" s="28" t="s">
        <v>435</v>
      </c>
      <c r="C487" s="21" t="s">
        <v>12</v>
      </c>
      <c r="D487" s="2">
        <v>1</v>
      </c>
      <c r="E487" s="18"/>
      <c r="F487" s="60">
        <v>322.2</v>
      </c>
      <c r="G487" s="18"/>
      <c r="H487" s="2">
        <f>ROUND(D487*F487,2)</f>
        <v>322.2</v>
      </c>
      <c r="I487" s="18">
        <f t="shared" si="32"/>
        <v>322.2</v>
      </c>
    </row>
    <row r="488" spans="1:9" outlineLevel="1" x14ac:dyDescent="0.25">
      <c r="A488" s="84" t="s">
        <v>556</v>
      </c>
      <c r="B488" s="75" t="s">
        <v>92</v>
      </c>
      <c r="C488" s="2"/>
      <c r="D488" s="2"/>
      <c r="E488" s="2"/>
      <c r="F488" s="11"/>
      <c r="G488" s="18"/>
      <c r="H488" s="18"/>
      <c r="I488" s="18">
        <f t="shared" si="32"/>
        <v>0</v>
      </c>
    </row>
    <row r="489" spans="1:9" ht="31.2" outlineLevel="1" x14ac:dyDescent="0.25">
      <c r="A489" s="84" t="s">
        <v>557</v>
      </c>
      <c r="B489" s="9" t="s">
        <v>93</v>
      </c>
      <c r="C489" s="31" t="s">
        <v>29</v>
      </c>
      <c r="D489" s="31">
        <v>8</v>
      </c>
      <c r="E489" s="10">
        <v>150</v>
      </c>
      <c r="F489" s="60"/>
      <c r="G489" s="2">
        <f>ROUND(E489*D489,2)</f>
        <v>1200</v>
      </c>
      <c r="H489" s="18"/>
      <c r="I489" s="18">
        <f t="shared" si="32"/>
        <v>1200</v>
      </c>
    </row>
    <row r="490" spans="1:9" outlineLevel="1" x14ac:dyDescent="0.25">
      <c r="A490" s="84"/>
      <c r="B490" s="22" t="s">
        <v>94</v>
      </c>
      <c r="C490" s="21" t="s">
        <v>29</v>
      </c>
      <c r="D490" s="2">
        <f>D489</f>
        <v>8</v>
      </c>
      <c r="E490" s="18"/>
      <c r="F490" s="60">
        <v>64.900000000000006</v>
      </c>
      <c r="G490" s="18"/>
      <c r="H490" s="2">
        <f>ROUND(D490*F490,2)</f>
        <v>519.20000000000005</v>
      </c>
      <c r="I490" s="18">
        <f t="shared" si="32"/>
        <v>519.20000000000005</v>
      </c>
    </row>
    <row r="491" spans="1:9" ht="31.2" outlineLevel="1" x14ac:dyDescent="0.25">
      <c r="A491" s="84" t="s">
        <v>558</v>
      </c>
      <c r="B491" s="29" t="s">
        <v>95</v>
      </c>
      <c r="C491" s="31" t="s">
        <v>29</v>
      </c>
      <c r="D491" s="31">
        <f>D492+D493+D494+D495</f>
        <v>701.9</v>
      </c>
      <c r="E491" s="10">
        <v>85</v>
      </c>
      <c r="F491" s="60"/>
      <c r="G491" s="2">
        <f>ROUND(E491*D491,2)</f>
        <v>59661.5</v>
      </c>
      <c r="H491" s="18"/>
      <c r="I491" s="18">
        <f t="shared" si="32"/>
        <v>59661.5</v>
      </c>
    </row>
    <row r="492" spans="1:9" outlineLevel="1" x14ac:dyDescent="0.25">
      <c r="A492" s="84"/>
      <c r="B492" s="22" t="s">
        <v>96</v>
      </c>
      <c r="C492" s="21" t="s">
        <v>29</v>
      </c>
      <c r="D492" s="2">
        <v>537.5</v>
      </c>
      <c r="E492" s="18"/>
      <c r="F492" s="60">
        <v>22.07</v>
      </c>
      <c r="G492" s="18"/>
      <c r="H492" s="2">
        <f t="shared" ref="H492:H499" si="34">ROUND(D492*F492,2)</f>
        <v>11862.63</v>
      </c>
      <c r="I492" s="18">
        <f t="shared" ref="I492:I523" si="35">G492+H492</f>
        <v>11862.63</v>
      </c>
    </row>
    <row r="493" spans="1:9" outlineLevel="1" x14ac:dyDescent="0.25">
      <c r="A493" s="84"/>
      <c r="B493" s="22" t="s">
        <v>97</v>
      </c>
      <c r="C493" s="21" t="s">
        <v>29</v>
      </c>
      <c r="D493" s="2">
        <v>64.8</v>
      </c>
      <c r="E493" s="18"/>
      <c r="F493" s="60">
        <v>25.75</v>
      </c>
      <c r="G493" s="18"/>
      <c r="H493" s="2">
        <f t="shared" si="34"/>
        <v>1668.6</v>
      </c>
      <c r="I493" s="18">
        <f t="shared" si="35"/>
        <v>1668.6</v>
      </c>
    </row>
    <row r="494" spans="1:9" outlineLevel="1" x14ac:dyDescent="0.25">
      <c r="A494" s="84"/>
      <c r="B494" s="22" t="s">
        <v>98</v>
      </c>
      <c r="C494" s="21" t="s">
        <v>29</v>
      </c>
      <c r="D494" s="2">
        <v>92.4</v>
      </c>
      <c r="E494" s="18"/>
      <c r="F494" s="60">
        <v>58.9</v>
      </c>
      <c r="G494" s="18"/>
      <c r="H494" s="2">
        <f t="shared" si="34"/>
        <v>5442.36</v>
      </c>
      <c r="I494" s="18">
        <f t="shared" si="35"/>
        <v>5442.36</v>
      </c>
    </row>
    <row r="495" spans="1:9" outlineLevel="1" x14ac:dyDescent="0.25">
      <c r="A495" s="84"/>
      <c r="B495" s="22" t="s">
        <v>241</v>
      </c>
      <c r="C495" s="21" t="s">
        <v>29</v>
      </c>
      <c r="D495" s="2">
        <f>36*0.2</f>
        <v>7.2</v>
      </c>
      <c r="E495" s="18"/>
      <c r="F495" s="60">
        <v>75</v>
      </c>
      <c r="G495" s="18"/>
      <c r="H495" s="2">
        <f t="shared" si="34"/>
        <v>540</v>
      </c>
      <c r="I495" s="18">
        <f>G495+H495</f>
        <v>540</v>
      </c>
    </row>
    <row r="496" spans="1:9" outlineLevel="1" x14ac:dyDescent="0.25">
      <c r="A496" s="84"/>
      <c r="B496" s="28" t="s">
        <v>99</v>
      </c>
      <c r="C496" s="21" t="s">
        <v>12</v>
      </c>
      <c r="D496" s="2">
        <f>9*2+18</f>
        <v>36</v>
      </c>
      <c r="E496" s="18"/>
      <c r="F496" s="60">
        <v>198</v>
      </c>
      <c r="G496" s="18"/>
      <c r="H496" s="2">
        <f t="shared" si="34"/>
        <v>7128</v>
      </c>
      <c r="I496" s="18">
        <f t="shared" si="35"/>
        <v>7128</v>
      </c>
    </row>
    <row r="497" spans="1:9" outlineLevel="1" x14ac:dyDescent="0.25">
      <c r="A497" s="84"/>
      <c r="B497" s="28" t="s">
        <v>100</v>
      </c>
      <c r="C497" s="21" t="s">
        <v>12</v>
      </c>
      <c r="D497" s="2">
        <v>108</v>
      </c>
      <c r="E497" s="18"/>
      <c r="F497" s="60">
        <v>198</v>
      </c>
      <c r="G497" s="18"/>
      <c r="H497" s="2">
        <f t="shared" si="34"/>
        <v>21384</v>
      </c>
      <c r="I497" s="18">
        <f t="shared" si="35"/>
        <v>21384</v>
      </c>
    </row>
    <row r="498" spans="1:9" ht="31.2" outlineLevel="1" x14ac:dyDescent="0.25">
      <c r="A498" s="84"/>
      <c r="B498" s="28" t="s">
        <v>107</v>
      </c>
      <c r="C498" s="21" t="s">
        <v>12</v>
      </c>
      <c r="D498" s="25">
        <f>24+51+21+108+12+51+219+150+21+57+252+36+872+87+95</f>
        <v>2056</v>
      </c>
      <c r="E498" s="18"/>
      <c r="F498" s="60">
        <v>95</v>
      </c>
      <c r="G498" s="18"/>
      <c r="H498" s="2">
        <f t="shared" si="34"/>
        <v>195320</v>
      </c>
      <c r="I498" s="18">
        <f t="shared" si="35"/>
        <v>195320</v>
      </c>
    </row>
    <row r="499" spans="1:9" ht="31.2" outlineLevel="1" x14ac:dyDescent="0.25">
      <c r="A499" s="84"/>
      <c r="B499" s="28" t="s">
        <v>242</v>
      </c>
      <c r="C499" s="21" t="s">
        <v>29</v>
      </c>
      <c r="D499" s="2">
        <v>79</v>
      </c>
      <c r="E499" s="18"/>
      <c r="F499" s="60">
        <v>35</v>
      </c>
      <c r="G499" s="18"/>
      <c r="H499" s="2">
        <f t="shared" si="34"/>
        <v>2765</v>
      </c>
      <c r="I499" s="18">
        <f>G499+H499</f>
        <v>2765</v>
      </c>
    </row>
    <row r="500" spans="1:9" outlineLevel="1" x14ac:dyDescent="0.25">
      <c r="A500" s="84" t="s">
        <v>559</v>
      </c>
      <c r="B500" s="29" t="s">
        <v>101</v>
      </c>
      <c r="C500" s="31" t="s">
        <v>29</v>
      </c>
      <c r="D500" s="31">
        <f>D501</f>
        <v>96</v>
      </c>
      <c r="E500" s="10">
        <v>30</v>
      </c>
      <c r="F500" s="60"/>
      <c r="G500" s="2">
        <f>ROUND(E500*D500,2)</f>
        <v>2880</v>
      </c>
      <c r="H500" s="18"/>
      <c r="I500" s="18">
        <f t="shared" si="35"/>
        <v>2880</v>
      </c>
    </row>
    <row r="501" spans="1:9" outlineLevel="1" x14ac:dyDescent="0.25">
      <c r="A501" s="84"/>
      <c r="B501" s="28" t="s">
        <v>175</v>
      </c>
      <c r="C501" s="21" t="s">
        <v>29</v>
      </c>
      <c r="D501" s="2">
        <f>48*2</f>
        <v>96</v>
      </c>
      <c r="E501" s="18"/>
      <c r="F501" s="60">
        <v>74</v>
      </c>
      <c r="G501" s="18"/>
      <c r="H501" s="2">
        <f>ROUND(D501*F501,2)</f>
        <v>7104</v>
      </c>
      <c r="I501" s="18">
        <f t="shared" si="35"/>
        <v>7104</v>
      </c>
    </row>
    <row r="502" spans="1:9" outlineLevel="1" x14ac:dyDescent="0.25">
      <c r="A502" s="84" t="s">
        <v>560</v>
      </c>
      <c r="B502" s="29" t="s">
        <v>102</v>
      </c>
      <c r="C502" s="31" t="s">
        <v>12</v>
      </c>
      <c r="D502" s="31">
        <f>D503</f>
        <v>36</v>
      </c>
      <c r="E502" s="10">
        <v>500</v>
      </c>
      <c r="F502" s="60"/>
      <c r="G502" s="2">
        <f>ROUND(E502*D502,2)</f>
        <v>18000</v>
      </c>
      <c r="H502" s="18"/>
      <c r="I502" s="18">
        <f t="shared" si="35"/>
        <v>18000</v>
      </c>
    </row>
    <row r="503" spans="1:9" outlineLevel="1" x14ac:dyDescent="0.25">
      <c r="A503" s="84"/>
      <c r="B503" s="22" t="s">
        <v>103</v>
      </c>
      <c r="C503" s="21" t="s">
        <v>12</v>
      </c>
      <c r="D503" s="2">
        <f>9*2+18</f>
        <v>36</v>
      </c>
      <c r="E503" s="18"/>
      <c r="F503" s="60">
        <v>400</v>
      </c>
      <c r="G503" s="18"/>
      <c r="H503" s="2">
        <f>ROUND(D503*F503,2)</f>
        <v>14400</v>
      </c>
      <c r="I503" s="18">
        <f t="shared" si="35"/>
        <v>14400</v>
      </c>
    </row>
    <row r="504" spans="1:9" outlineLevel="1" x14ac:dyDescent="0.25">
      <c r="A504" s="84"/>
      <c r="B504" s="22" t="s">
        <v>104</v>
      </c>
      <c r="C504" s="21" t="s">
        <v>12</v>
      </c>
      <c r="D504" s="2">
        <f>D503</f>
        <v>36</v>
      </c>
      <c r="E504" s="18"/>
      <c r="F504" s="60">
        <v>210.8</v>
      </c>
      <c r="G504" s="18"/>
      <c r="H504" s="2">
        <f>ROUND(D504*F504,2)</f>
        <v>7588.8</v>
      </c>
      <c r="I504" s="18">
        <f t="shared" si="35"/>
        <v>7588.8</v>
      </c>
    </row>
    <row r="505" spans="1:9" outlineLevel="1" x14ac:dyDescent="0.25">
      <c r="A505" s="84" t="s">
        <v>561</v>
      </c>
      <c r="B505" s="29" t="s">
        <v>105</v>
      </c>
      <c r="C505" s="31" t="s">
        <v>12</v>
      </c>
      <c r="D505" s="31">
        <f>D504</f>
        <v>36</v>
      </c>
      <c r="E505" s="10">
        <v>520</v>
      </c>
      <c r="F505" s="60"/>
      <c r="G505" s="2">
        <f>ROUND(E505*D505,2)</f>
        <v>18720</v>
      </c>
      <c r="H505" s="18"/>
      <c r="I505" s="18">
        <f t="shared" si="35"/>
        <v>18720</v>
      </c>
    </row>
    <row r="506" spans="1:9" ht="31.2" outlineLevel="1" x14ac:dyDescent="0.25">
      <c r="A506" s="84"/>
      <c r="B506" s="22" t="s">
        <v>106</v>
      </c>
      <c r="C506" s="21" t="s">
        <v>12</v>
      </c>
      <c r="D506" s="2">
        <f>D505</f>
        <v>36</v>
      </c>
      <c r="E506" s="18"/>
      <c r="F506" s="60">
        <v>900</v>
      </c>
      <c r="G506" s="18"/>
      <c r="H506" s="2">
        <f>ROUND(D506*F506,2)</f>
        <v>32400</v>
      </c>
      <c r="I506" s="18">
        <f t="shared" si="35"/>
        <v>32400</v>
      </c>
    </row>
    <row r="507" spans="1:9" outlineLevel="1" x14ac:dyDescent="0.25">
      <c r="A507" s="84" t="s">
        <v>562</v>
      </c>
      <c r="B507" s="75" t="s">
        <v>108</v>
      </c>
      <c r="C507" s="2"/>
      <c r="D507" s="158"/>
      <c r="E507" s="2"/>
      <c r="F507" s="11"/>
      <c r="G507" s="18"/>
      <c r="H507" s="18"/>
      <c r="I507" s="18">
        <f t="shared" si="35"/>
        <v>0</v>
      </c>
    </row>
    <row r="508" spans="1:9" ht="31.2" outlineLevel="1" x14ac:dyDescent="0.25">
      <c r="A508" s="84" t="s">
        <v>563</v>
      </c>
      <c r="B508" s="29" t="s">
        <v>110</v>
      </c>
      <c r="C508" s="31" t="s">
        <v>29</v>
      </c>
      <c r="D508" s="31">
        <f>D509</f>
        <v>487</v>
      </c>
      <c r="E508" s="10">
        <v>85</v>
      </c>
      <c r="F508" s="60"/>
      <c r="G508" s="2">
        <f>ROUND(E508*D508,2)</f>
        <v>41395</v>
      </c>
      <c r="H508" s="18">
        <f>D508*F508</f>
        <v>0</v>
      </c>
      <c r="I508" s="18">
        <f t="shared" si="35"/>
        <v>41395</v>
      </c>
    </row>
    <row r="509" spans="1:9" ht="31.2" outlineLevel="1" x14ac:dyDescent="0.25">
      <c r="A509" s="84"/>
      <c r="B509" s="22" t="s">
        <v>109</v>
      </c>
      <c r="C509" s="21" t="s">
        <v>29</v>
      </c>
      <c r="D509" s="2">
        <f>487</f>
        <v>487</v>
      </c>
      <c r="E509" s="18"/>
      <c r="F509" s="60">
        <v>200</v>
      </c>
      <c r="G509" s="18"/>
      <c r="H509" s="2">
        <f>ROUND(D509*F509,2)</f>
        <v>97400</v>
      </c>
      <c r="I509" s="18">
        <f t="shared" si="35"/>
        <v>97400</v>
      </c>
    </row>
    <row r="510" spans="1:9" outlineLevel="1" x14ac:dyDescent="0.25">
      <c r="A510" s="84"/>
      <c r="B510" s="28" t="s">
        <v>100</v>
      </c>
      <c r="C510" s="21" t="s">
        <v>12</v>
      </c>
      <c r="D510" s="2">
        <f>9*2+18</f>
        <v>36</v>
      </c>
      <c r="E510" s="18"/>
      <c r="F510" s="60">
        <v>198</v>
      </c>
      <c r="G510" s="18"/>
      <c r="H510" s="2">
        <f>ROUND(D510*F510,2)</f>
        <v>7128</v>
      </c>
      <c r="I510" s="18">
        <f t="shared" si="35"/>
        <v>7128</v>
      </c>
    </row>
    <row r="511" spans="1:9" ht="31.2" outlineLevel="1" x14ac:dyDescent="0.25">
      <c r="A511" s="84"/>
      <c r="B511" s="28" t="s">
        <v>107</v>
      </c>
      <c r="C511" s="21" t="s">
        <v>12</v>
      </c>
      <c r="D511" s="2">
        <f>72+219+108+36+815</f>
        <v>1250</v>
      </c>
      <c r="E511" s="18"/>
      <c r="F511" s="60">
        <v>150</v>
      </c>
      <c r="G511" s="18"/>
      <c r="H511" s="2">
        <f>ROUND(D511*F511,2)</f>
        <v>187500</v>
      </c>
      <c r="I511" s="18">
        <f t="shared" si="35"/>
        <v>187500</v>
      </c>
    </row>
    <row r="512" spans="1:9" ht="31.2" outlineLevel="1" x14ac:dyDescent="0.25">
      <c r="A512" s="84"/>
      <c r="B512" s="28" t="s">
        <v>439</v>
      </c>
      <c r="C512" s="21" t="s">
        <v>29</v>
      </c>
      <c r="D512" s="2">
        <v>79</v>
      </c>
      <c r="E512" s="18"/>
      <c r="F512" s="60">
        <v>35</v>
      </c>
      <c r="G512" s="18"/>
      <c r="H512" s="2">
        <f>ROUND(D512*F512,2)</f>
        <v>2765</v>
      </c>
      <c r="I512" s="18">
        <f>G512+H512</f>
        <v>2765</v>
      </c>
    </row>
    <row r="513" spans="1:10" outlineLevel="1" x14ac:dyDescent="0.25">
      <c r="A513" s="84" t="s">
        <v>564</v>
      </c>
      <c r="B513" s="75" t="s">
        <v>111</v>
      </c>
      <c r="C513" s="2"/>
      <c r="D513" s="158"/>
      <c r="E513" s="2"/>
      <c r="F513" s="11"/>
      <c r="G513" s="18"/>
      <c r="H513" s="18"/>
      <c r="I513" s="18">
        <f t="shared" si="35"/>
        <v>0</v>
      </c>
    </row>
    <row r="514" spans="1:10" ht="31.2" outlineLevel="1" x14ac:dyDescent="0.25">
      <c r="A514" s="84" t="s">
        <v>565</v>
      </c>
      <c r="B514" s="29" t="s">
        <v>112</v>
      </c>
      <c r="C514" s="31" t="s">
        <v>29</v>
      </c>
      <c r="D514" s="31">
        <f>D515+D516+D517</f>
        <v>321</v>
      </c>
      <c r="E514" s="10">
        <v>85</v>
      </c>
      <c r="F514" s="60"/>
      <c r="G514" s="2">
        <f>ROUND(E514*D514,2)</f>
        <v>27285</v>
      </c>
      <c r="H514" s="18"/>
      <c r="I514" s="18">
        <f t="shared" si="35"/>
        <v>27285</v>
      </c>
    </row>
    <row r="515" spans="1:10" outlineLevel="1" x14ac:dyDescent="0.25">
      <c r="A515" s="84"/>
      <c r="B515" s="28" t="s">
        <v>113</v>
      </c>
      <c r="C515" s="21" t="s">
        <v>29</v>
      </c>
      <c r="D515" s="2">
        <v>74.7</v>
      </c>
      <c r="E515" s="18"/>
      <c r="F515" s="60">
        <v>63.8</v>
      </c>
      <c r="G515" s="18"/>
      <c r="H515" s="2">
        <f t="shared" ref="H515:H521" si="36">ROUND(D515*F515,2)</f>
        <v>4765.8599999999997</v>
      </c>
      <c r="I515" s="18">
        <f t="shared" si="35"/>
        <v>4765.8599999999997</v>
      </c>
    </row>
    <row r="516" spans="1:10" outlineLevel="1" x14ac:dyDescent="0.25">
      <c r="A516" s="84"/>
      <c r="B516" s="28" t="s">
        <v>440</v>
      </c>
      <c r="C516" s="21" t="s">
        <v>29</v>
      </c>
      <c r="D516" s="2">
        <v>36.9</v>
      </c>
      <c r="E516" s="18"/>
      <c r="F516" s="11">
        <v>55</v>
      </c>
      <c r="G516" s="18"/>
      <c r="H516" s="2">
        <f t="shared" si="36"/>
        <v>2029.5</v>
      </c>
      <c r="I516" s="18">
        <f>G516+H516</f>
        <v>2029.5</v>
      </c>
    </row>
    <row r="517" spans="1:10" outlineLevel="1" x14ac:dyDescent="0.25">
      <c r="A517" s="84"/>
      <c r="B517" s="28" t="s">
        <v>114</v>
      </c>
      <c r="C517" s="21" t="s">
        <v>29</v>
      </c>
      <c r="D517" s="2">
        <v>209.4</v>
      </c>
      <c r="E517" s="18"/>
      <c r="F517" s="60">
        <v>103.95</v>
      </c>
      <c r="G517" s="18"/>
      <c r="H517" s="2">
        <f t="shared" si="36"/>
        <v>21767.13</v>
      </c>
      <c r="I517" s="18">
        <f>G517+H517</f>
        <v>21767.13</v>
      </c>
    </row>
    <row r="518" spans="1:10" outlineLevel="1" x14ac:dyDescent="0.25">
      <c r="A518" s="84"/>
      <c r="B518" s="28" t="s">
        <v>115</v>
      </c>
      <c r="C518" s="21" t="s">
        <v>12</v>
      </c>
      <c r="D518" s="2">
        <f>10*2+14</f>
        <v>34</v>
      </c>
      <c r="E518" s="18"/>
      <c r="F518" s="60">
        <v>61.27</v>
      </c>
      <c r="G518" s="18"/>
      <c r="H518" s="2">
        <f t="shared" si="36"/>
        <v>2083.1799999999998</v>
      </c>
      <c r="I518" s="18">
        <f t="shared" si="35"/>
        <v>2083.1799999999998</v>
      </c>
    </row>
    <row r="519" spans="1:10" outlineLevel="1" x14ac:dyDescent="0.25">
      <c r="A519" s="84"/>
      <c r="B519" s="22" t="s">
        <v>91</v>
      </c>
      <c r="C519" s="21" t="s">
        <v>15</v>
      </c>
      <c r="D519" s="2">
        <v>41.8</v>
      </c>
      <c r="E519" s="18"/>
      <c r="F519" s="60">
        <f>37500/1000</f>
        <v>37.5</v>
      </c>
      <c r="G519" s="18"/>
      <c r="H519" s="2">
        <f t="shared" si="36"/>
        <v>1567.5</v>
      </c>
      <c r="I519" s="18">
        <f t="shared" si="35"/>
        <v>1567.5</v>
      </c>
    </row>
    <row r="520" spans="1:10" outlineLevel="1" x14ac:dyDescent="0.25">
      <c r="A520" s="84"/>
      <c r="B520" s="28" t="s">
        <v>116</v>
      </c>
      <c r="C520" s="21" t="s">
        <v>12</v>
      </c>
      <c r="D520" s="2">
        <f>20*2+28</f>
        <v>68</v>
      </c>
      <c r="E520" s="18"/>
      <c r="F520" s="60">
        <v>320</v>
      </c>
      <c r="G520" s="18"/>
      <c r="H520" s="2">
        <f t="shared" si="36"/>
        <v>21760</v>
      </c>
      <c r="I520" s="18">
        <f t="shared" si="35"/>
        <v>21760</v>
      </c>
    </row>
    <row r="521" spans="1:10" outlineLevel="1" x14ac:dyDescent="0.25">
      <c r="A521" s="84"/>
      <c r="B521" s="28" t="s">
        <v>441</v>
      </c>
      <c r="C521" s="21" t="s">
        <v>12</v>
      </c>
      <c r="D521" s="2">
        <v>12</v>
      </c>
      <c r="E521" s="18"/>
      <c r="F521" s="60">
        <v>1250</v>
      </c>
      <c r="G521" s="18"/>
      <c r="H521" s="2">
        <f t="shared" si="36"/>
        <v>15000</v>
      </c>
      <c r="I521" s="18">
        <f>G521+H521</f>
        <v>15000</v>
      </c>
    </row>
    <row r="522" spans="1:10" outlineLevel="1" x14ac:dyDescent="0.25">
      <c r="A522" s="84"/>
      <c r="B522" s="204" t="s">
        <v>117</v>
      </c>
      <c r="C522" s="2"/>
      <c r="D522" s="158"/>
      <c r="E522" s="2"/>
      <c r="F522" s="11"/>
      <c r="G522" s="18"/>
      <c r="H522" s="18"/>
      <c r="I522" s="18">
        <f t="shared" si="35"/>
        <v>0</v>
      </c>
    </row>
    <row r="523" spans="1:10" ht="31.2" outlineLevel="1" x14ac:dyDescent="0.25">
      <c r="A523" s="87"/>
      <c r="B523" s="177" t="s">
        <v>112</v>
      </c>
      <c r="C523" s="158" t="s">
        <v>29</v>
      </c>
      <c r="D523" s="158">
        <f>D524</f>
        <v>72</v>
      </c>
      <c r="E523" s="158"/>
      <c r="F523" s="164"/>
      <c r="G523" s="158"/>
      <c r="H523" s="158"/>
      <c r="I523" s="158">
        <f t="shared" si="35"/>
        <v>0</v>
      </c>
      <c r="J523" s="780" t="s">
        <v>625</v>
      </c>
    </row>
    <row r="524" spans="1:10" outlineLevel="1" x14ac:dyDescent="0.25">
      <c r="A524" s="84"/>
      <c r="B524" s="173" t="s">
        <v>114</v>
      </c>
      <c r="C524" s="171" t="s">
        <v>29</v>
      </c>
      <c r="D524" s="158">
        <f>12*2*3</f>
        <v>72</v>
      </c>
      <c r="E524" s="158"/>
      <c r="F524" s="164">
        <v>103.95</v>
      </c>
      <c r="G524" s="158"/>
      <c r="H524" s="158"/>
      <c r="I524" s="158"/>
      <c r="J524" s="780"/>
    </row>
    <row r="525" spans="1:10" outlineLevel="1" x14ac:dyDescent="0.25">
      <c r="A525" s="84"/>
      <c r="B525" s="173" t="s">
        <v>115</v>
      </c>
      <c r="C525" s="171" t="s">
        <v>12</v>
      </c>
      <c r="D525" s="158">
        <f>D524/3</f>
        <v>24</v>
      </c>
      <c r="E525" s="158"/>
      <c r="F525" s="164">
        <v>200</v>
      </c>
      <c r="G525" s="158"/>
      <c r="H525" s="158"/>
      <c r="I525" s="158"/>
      <c r="J525" s="780"/>
    </row>
    <row r="526" spans="1:10" outlineLevel="1" x14ac:dyDescent="0.25">
      <c r="A526" s="84"/>
      <c r="B526" s="170" t="s">
        <v>91</v>
      </c>
      <c r="C526" s="171" t="s">
        <v>15</v>
      </c>
      <c r="D526" s="158">
        <f>2.5*3</f>
        <v>7.5</v>
      </c>
      <c r="E526" s="158"/>
      <c r="F526" s="164">
        <f>37500/1000</f>
        <v>37.5</v>
      </c>
      <c r="G526" s="158"/>
      <c r="H526" s="158"/>
      <c r="I526" s="158"/>
      <c r="J526" s="780"/>
    </row>
    <row r="527" spans="1:10" outlineLevel="1" x14ac:dyDescent="0.25">
      <c r="A527" s="84"/>
      <c r="B527" s="173" t="s">
        <v>116</v>
      </c>
      <c r="C527" s="171" t="s">
        <v>12</v>
      </c>
      <c r="D527" s="158">
        <v>9</v>
      </c>
      <c r="E527" s="158"/>
      <c r="F527" s="164">
        <v>320</v>
      </c>
      <c r="G527" s="158"/>
      <c r="H527" s="158"/>
      <c r="I527" s="158"/>
      <c r="J527" s="780"/>
    </row>
    <row r="528" spans="1:10" outlineLevel="1" x14ac:dyDescent="0.25">
      <c r="A528" s="84"/>
      <c r="B528" s="173" t="s">
        <v>118</v>
      </c>
      <c r="C528" s="171" t="s">
        <v>12</v>
      </c>
      <c r="D528" s="158">
        <v>9</v>
      </c>
      <c r="E528" s="158"/>
      <c r="F528" s="164">
        <v>2435.6</v>
      </c>
      <c r="G528" s="158"/>
      <c r="H528" s="158"/>
      <c r="I528" s="158"/>
      <c r="J528" s="780"/>
    </row>
    <row r="529" spans="1:12" s="5" customFormat="1" ht="26.4" customHeight="1" collapsed="1" x14ac:dyDescent="0.25">
      <c r="A529" s="223"/>
      <c r="B529" s="233" t="s">
        <v>62</v>
      </c>
      <c r="C529" s="234"/>
      <c r="D529" s="235"/>
      <c r="E529" s="236"/>
      <c r="F529" s="237"/>
      <c r="G529" s="236">
        <f>SUM(G416:G528)</f>
        <v>236060.5</v>
      </c>
      <c r="H529" s="236">
        <f>SUM(H415:H528)</f>
        <v>848625.33</v>
      </c>
      <c r="I529" s="236">
        <f>SUM(I416:I528)</f>
        <v>1084685.83</v>
      </c>
    </row>
    <row r="530" spans="1:12" s="5" customFormat="1" x14ac:dyDescent="0.25">
      <c r="A530" s="84"/>
      <c r="B530" s="58" t="s">
        <v>624</v>
      </c>
      <c r="C530" s="9"/>
      <c r="D530" s="31"/>
      <c r="E530" s="10"/>
      <c r="F530" s="57"/>
      <c r="G530" s="10"/>
      <c r="H530" s="10"/>
      <c r="I530" s="31">
        <f>ROUND(I529/1.18*0.18,2)</f>
        <v>165460.54999999999</v>
      </c>
    </row>
    <row r="531" spans="1:12" s="5" customFormat="1" ht="18.75" customHeight="1" x14ac:dyDescent="0.25">
      <c r="A531" s="109"/>
      <c r="B531" s="187" t="s">
        <v>566</v>
      </c>
      <c r="C531" s="105"/>
      <c r="D531" s="105"/>
      <c r="E531" s="105"/>
      <c r="F531" s="138"/>
      <c r="G531" s="105"/>
      <c r="H531" s="105"/>
      <c r="I531" s="106"/>
    </row>
    <row r="532" spans="1:12" outlineLevel="1" x14ac:dyDescent="0.25">
      <c r="A532" s="90"/>
      <c r="B532" s="80" t="s">
        <v>177</v>
      </c>
      <c r="C532" s="13"/>
      <c r="D532" s="2"/>
      <c r="E532" s="130">
        <f>H566*0.5</f>
        <v>578539.39</v>
      </c>
      <c r="F532" s="147"/>
      <c r="G532" s="120">
        <f>E532</f>
        <v>578539.39</v>
      </c>
      <c r="H532" s="26"/>
      <c r="I532" s="120">
        <f>G532+H532</f>
        <v>578539.39</v>
      </c>
    </row>
    <row r="533" spans="1:12" outlineLevel="1" x14ac:dyDescent="0.25">
      <c r="A533" s="87" t="s">
        <v>338</v>
      </c>
      <c r="B533" s="29" t="s">
        <v>178</v>
      </c>
      <c r="C533" s="2" t="s">
        <v>12</v>
      </c>
      <c r="D533" s="2">
        <f>D534</f>
        <v>36</v>
      </c>
      <c r="E533" s="18"/>
      <c r="F533" s="60"/>
      <c r="G533" s="18"/>
      <c r="H533" s="18"/>
      <c r="I533" s="18">
        <f>G533+H533</f>
        <v>0</v>
      </c>
    </row>
    <row r="534" spans="1:12" outlineLevel="1" x14ac:dyDescent="0.25">
      <c r="A534" s="84"/>
      <c r="B534" s="28" t="s">
        <v>243</v>
      </c>
      <c r="C534" s="21" t="s">
        <v>12</v>
      </c>
      <c r="D534" s="2">
        <f>9*2+18</f>
        <v>36</v>
      </c>
      <c r="E534" s="18"/>
      <c r="F534" s="60">
        <v>1530</v>
      </c>
      <c r="G534" s="18"/>
      <c r="H534" s="2">
        <f>ROUND(D534*F534,2)</f>
        <v>55080</v>
      </c>
      <c r="I534" s="18">
        <f t="shared" ref="I534:I560" si="37">G534+H534</f>
        <v>55080</v>
      </c>
    </row>
    <row r="535" spans="1:12" s="6" customFormat="1" outlineLevel="1" x14ac:dyDescent="0.25">
      <c r="A535" s="87" t="s">
        <v>567</v>
      </c>
      <c r="B535" s="63" t="s">
        <v>179</v>
      </c>
      <c r="C535" s="2" t="s">
        <v>173</v>
      </c>
      <c r="D535" s="2">
        <f>D536</f>
        <v>36</v>
      </c>
      <c r="E535" s="2"/>
      <c r="F535" s="11"/>
      <c r="G535" s="18"/>
      <c r="H535" s="18"/>
      <c r="I535" s="18">
        <f t="shared" si="37"/>
        <v>0</v>
      </c>
    </row>
    <row r="536" spans="1:12" outlineLevel="1" x14ac:dyDescent="0.25">
      <c r="A536" s="84"/>
      <c r="B536" s="60" t="s">
        <v>180</v>
      </c>
      <c r="C536" s="2" t="s">
        <v>12</v>
      </c>
      <c r="D536" s="2">
        <f>9*2+18</f>
        <v>36</v>
      </c>
      <c r="E536" s="2"/>
      <c r="F536" s="11">
        <v>4200</v>
      </c>
      <c r="G536" s="18"/>
      <c r="H536" s="2">
        <f>ROUND(D536*F536,2)</f>
        <v>151200</v>
      </c>
      <c r="I536" s="18">
        <f t="shared" si="37"/>
        <v>151200</v>
      </c>
    </row>
    <row r="537" spans="1:12" outlineLevel="1" x14ac:dyDescent="0.25">
      <c r="A537" s="84"/>
      <c r="B537" s="60" t="s">
        <v>244</v>
      </c>
      <c r="C537" s="2" t="s">
        <v>12</v>
      </c>
      <c r="D537" s="2">
        <f>9*2+18</f>
        <v>36</v>
      </c>
      <c r="E537" s="2"/>
      <c r="F537" s="11">
        <v>380</v>
      </c>
      <c r="G537" s="18"/>
      <c r="H537" s="2">
        <f>ROUND(D537*F537,2)</f>
        <v>13680</v>
      </c>
      <c r="I537" s="18">
        <f>G537+H537</f>
        <v>13680</v>
      </c>
    </row>
    <row r="538" spans="1:12" ht="31.2" outlineLevel="1" x14ac:dyDescent="0.25">
      <c r="A538" s="84" t="s">
        <v>568</v>
      </c>
      <c r="B538" s="63" t="s">
        <v>262</v>
      </c>
      <c r="C538" s="2" t="s">
        <v>173</v>
      </c>
      <c r="D538" s="2">
        <v>12</v>
      </c>
      <c r="E538" s="2"/>
      <c r="F538" s="11"/>
      <c r="G538" s="18"/>
      <c r="H538" s="18"/>
      <c r="I538" s="18">
        <f>G538+H538</f>
        <v>0</v>
      </c>
    </row>
    <row r="539" spans="1:12" ht="25.2" customHeight="1" outlineLevel="1" x14ac:dyDescent="0.25">
      <c r="A539" s="84"/>
      <c r="B539" s="152" t="s">
        <v>353</v>
      </c>
      <c r="C539" s="150" t="s">
        <v>12</v>
      </c>
      <c r="D539" s="150">
        <f>D538</f>
        <v>12</v>
      </c>
      <c r="E539" s="150"/>
      <c r="F539" s="151">
        <f>185000/3</f>
        <v>61666.666666666664</v>
      </c>
      <c r="G539" s="149"/>
      <c r="H539" s="150">
        <f>ROUND(D539*F539,2)</f>
        <v>740000</v>
      </c>
      <c r="I539" s="149">
        <f>G539+H539</f>
        <v>740000</v>
      </c>
      <c r="K539" s="781" t="s">
        <v>466</v>
      </c>
      <c r="L539" s="782"/>
    </row>
    <row r="540" spans="1:12" outlineLevel="1" x14ac:dyDescent="0.25">
      <c r="A540" s="84" t="s">
        <v>569</v>
      </c>
      <c r="B540" s="62" t="s">
        <v>245</v>
      </c>
      <c r="C540" s="2" t="s">
        <v>29</v>
      </c>
      <c r="D540" s="2">
        <f>D542+D543+D544+D545+D541</f>
        <v>407</v>
      </c>
      <c r="E540" s="2"/>
      <c r="F540" s="11"/>
      <c r="G540" s="18"/>
      <c r="H540" s="18">
        <f>E540*D540</f>
        <v>0</v>
      </c>
      <c r="I540" s="18">
        <f t="shared" si="37"/>
        <v>0</v>
      </c>
    </row>
    <row r="541" spans="1:12" outlineLevel="1" x14ac:dyDescent="0.25">
      <c r="A541" s="84"/>
      <c r="B541" s="74" t="s">
        <v>460</v>
      </c>
      <c r="C541" s="2" t="s">
        <v>29</v>
      </c>
      <c r="D541" s="2">
        <v>120</v>
      </c>
      <c r="E541" s="2"/>
      <c r="F541" s="11">
        <v>252.4</v>
      </c>
      <c r="G541" s="18"/>
      <c r="H541" s="2">
        <f t="shared" ref="H541:H560" si="38">ROUND(D541*F541,2)</f>
        <v>30288</v>
      </c>
      <c r="I541" s="18">
        <f>G541+H541</f>
        <v>30288</v>
      </c>
    </row>
    <row r="542" spans="1:12" outlineLevel="1" x14ac:dyDescent="0.25">
      <c r="A542" s="84"/>
      <c r="B542" s="74" t="s">
        <v>246</v>
      </c>
      <c r="C542" s="2" t="s">
        <v>29</v>
      </c>
      <c r="D542" s="2">
        <v>125</v>
      </c>
      <c r="E542" s="2"/>
      <c r="F542" s="11">
        <v>145.19999999999999</v>
      </c>
      <c r="G542" s="18"/>
      <c r="H542" s="2">
        <f t="shared" si="38"/>
        <v>18150</v>
      </c>
      <c r="I542" s="18">
        <f t="shared" si="37"/>
        <v>18150</v>
      </c>
    </row>
    <row r="543" spans="1:12" outlineLevel="1" x14ac:dyDescent="0.25">
      <c r="A543" s="84"/>
      <c r="B543" s="74" t="s">
        <v>247</v>
      </c>
      <c r="C543" s="2" t="s">
        <v>29</v>
      </c>
      <c r="D543" s="2">
        <f>27+54+27</f>
        <v>108</v>
      </c>
      <c r="E543" s="2"/>
      <c r="F543" s="11">
        <f>2.91*42</f>
        <v>122.22</v>
      </c>
      <c r="G543" s="18"/>
      <c r="H543" s="2">
        <f t="shared" si="38"/>
        <v>13199.76</v>
      </c>
      <c r="I543" s="18">
        <f t="shared" si="37"/>
        <v>13199.76</v>
      </c>
    </row>
    <row r="544" spans="1:12" outlineLevel="1" x14ac:dyDescent="0.25">
      <c r="A544" s="84"/>
      <c r="B544" s="74" t="s">
        <v>248</v>
      </c>
      <c r="C544" s="2" t="s">
        <v>29</v>
      </c>
      <c r="D544" s="2">
        <v>18</v>
      </c>
      <c r="E544" s="2"/>
      <c r="F544" s="11">
        <f>2.12*42</f>
        <v>89.04</v>
      </c>
      <c r="G544" s="18"/>
      <c r="H544" s="2">
        <f t="shared" si="38"/>
        <v>1602.72</v>
      </c>
      <c r="I544" s="18">
        <f t="shared" si="37"/>
        <v>1602.72</v>
      </c>
    </row>
    <row r="545" spans="1:9" outlineLevel="1" x14ac:dyDescent="0.25">
      <c r="A545" s="84"/>
      <c r="B545" s="74" t="s">
        <v>249</v>
      </c>
      <c r="C545" s="2" t="s">
        <v>29</v>
      </c>
      <c r="D545" s="2">
        <v>36</v>
      </c>
      <c r="E545" s="2"/>
      <c r="F545" s="11">
        <v>70.900000000000006</v>
      </c>
      <c r="G545" s="18"/>
      <c r="H545" s="2">
        <f t="shared" si="38"/>
        <v>2552.4</v>
      </c>
      <c r="I545" s="18">
        <f t="shared" si="37"/>
        <v>2552.4</v>
      </c>
    </row>
    <row r="546" spans="1:9" outlineLevel="1" x14ac:dyDescent="0.25">
      <c r="A546" s="84"/>
      <c r="B546" s="74" t="s">
        <v>465</v>
      </c>
      <c r="C546" s="2" t="s">
        <v>29</v>
      </c>
      <c r="D546" s="2">
        <f>12*0.4</f>
        <v>4.8000000000000007</v>
      </c>
      <c r="E546" s="2"/>
      <c r="F546" s="11">
        <v>232</v>
      </c>
      <c r="G546" s="18"/>
      <c r="H546" s="2">
        <f t="shared" si="38"/>
        <v>1113.5999999999999</v>
      </c>
      <c r="I546" s="18">
        <f t="shared" si="37"/>
        <v>1113.5999999999999</v>
      </c>
    </row>
    <row r="547" spans="1:9" outlineLevel="1" x14ac:dyDescent="0.25">
      <c r="A547" s="84"/>
      <c r="B547" s="74" t="s">
        <v>254</v>
      </c>
      <c r="C547" s="2" t="s">
        <v>29</v>
      </c>
      <c r="D547" s="2">
        <f>12*0.3*2</f>
        <v>7.1999999999999993</v>
      </c>
      <c r="E547" s="2"/>
      <c r="F547" s="11">
        <v>158</v>
      </c>
      <c r="G547" s="18"/>
      <c r="H547" s="2">
        <f t="shared" si="38"/>
        <v>1137.5999999999999</v>
      </c>
      <c r="I547" s="18">
        <f t="shared" si="37"/>
        <v>1137.5999999999999</v>
      </c>
    </row>
    <row r="548" spans="1:9" outlineLevel="1" x14ac:dyDescent="0.25">
      <c r="A548" s="84"/>
      <c r="B548" s="74" t="s">
        <v>463</v>
      </c>
      <c r="C548" s="2" t="s">
        <v>15</v>
      </c>
      <c r="D548" s="2">
        <f>72*0.052+25*0.075</f>
        <v>5.6189999999999998</v>
      </c>
      <c r="E548" s="2"/>
      <c r="F548" s="11">
        <v>45</v>
      </c>
      <c r="G548" s="18"/>
      <c r="H548" s="18">
        <f t="shared" si="38"/>
        <v>252.86</v>
      </c>
      <c r="I548" s="18">
        <f t="shared" si="37"/>
        <v>252.86</v>
      </c>
    </row>
    <row r="549" spans="1:9" outlineLevel="1" x14ac:dyDescent="0.25">
      <c r="A549" s="84" t="s">
        <v>570</v>
      </c>
      <c r="B549" s="63" t="s">
        <v>250</v>
      </c>
      <c r="C549" s="2" t="s">
        <v>12</v>
      </c>
      <c r="D549" s="2">
        <f>D550+D551+D552+D554+D553+D555</f>
        <v>192</v>
      </c>
      <c r="E549" s="2"/>
      <c r="F549" s="11"/>
      <c r="G549" s="18"/>
      <c r="H549" s="18"/>
      <c r="I549" s="18">
        <f t="shared" si="37"/>
        <v>0</v>
      </c>
    </row>
    <row r="550" spans="1:9" outlineLevel="1" x14ac:dyDescent="0.25">
      <c r="A550" s="84"/>
      <c r="B550" s="28" t="s">
        <v>251</v>
      </c>
      <c r="C550" s="21" t="s">
        <v>12</v>
      </c>
      <c r="D550" s="2">
        <v>36</v>
      </c>
      <c r="E550" s="18"/>
      <c r="F550" s="60">
        <v>278</v>
      </c>
      <c r="G550" s="18"/>
      <c r="H550" s="18">
        <f t="shared" si="38"/>
        <v>10008</v>
      </c>
      <c r="I550" s="18">
        <f t="shared" si="37"/>
        <v>10008</v>
      </c>
    </row>
    <row r="551" spans="1:9" outlineLevel="1" x14ac:dyDescent="0.25">
      <c r="A551" s="84"/>
      <c r="B551" s="28" t="s">
        <v>252</v>
      </c>
      <c r="C551" s="21" t="s">
        <v>12</v>
      </c>
      <c r="D551" s="2">
        <v>36</v>
      </c>
      <c r="E551" s="18"/>
      <c r="F551" s="60">
        <v>143</v>
      </c>
      <c r="G551" s="18"/>
      <c r="H551" s="18">
        <f t="shared" si="38"/>
        <v>5148</v>
      </c>
      <c r="I551" s="18">
        <f t="shared" si="37"/>
        <v>5148</v>
      </c>
    </row>
    <row r="552" spans="1:9" outlineLevel="1" x14ac:dyDescent="0.25">
      <c r="A552" s="84"/>
      <c r="B552" s="28" t="s">
        <v>253</v>
      </c>
      <c r="C552" s="21" t="s">
        <v>12</v>
      </c>
      <c r="D552" s="2">
        <v>36</v>
      </c>
      <c r="E552" s="18"/>
      <c r="F552" s="60">
        <v>89.7</v>
      </c>
      <c r="G552" s="18"/>
      <c r="H552" s="18">
        <f t="shared" si="38"/>
        <v>3229.2</v>
      </c>
      <c r="I552" s="18">
        <f t="shared" si="37"/>
        <v>3229.2</v>
      </c>
    </row>
    <row r="553" spans="1:9" outlineLevel="1" x14ac:dyDescent="0.25">
      <c r="A553" s="84"/>
      <c r="B553" s="74" t="s">
        <v>488</v>
      </c>
      <c r="C553" s="2" t="s">
        <v>12</v>
      </c>
      <c r="D553" s="2">
        <v>36</v>
      </c>
      <c r="E553" s="2"/>
      <c r="F553" s="60">
        <v>1320</v>
      </c>
      <c r="G553" s="18"/>
      <c r="H553" s="18">
        <f t="shared" si="38"/>
        <v>47520</v>
      </c>
      <c r="I553" s="18">
        <f t="shared" si="37"/>
        <v>47520</v>
      </c>
    </row>
    <row r="554" spans="1:9" outlineLevel="1" x14ac:dyDescent="0.25">
      <c r="A554" s="84"/>
      <c r="B554" s="74" t="s">
        <v>487</v>
      </c>
      <c r="C554" s="2" t="s">
        <v>12</v>
      </c>
      <c r="D554" s="2">
        <v>36</v>
      </c>
      <c r="E554" s="2"/>
      <c r="F554" s="60">
        <v>1200</v>
      </c>
      <c r="G554" s="18"/>
      <c r="H554" s="18">
        <f t="shared" si="38"/>
        <v>43200</v>
      </c>
      <c r="I554" s="18">
        <f t="shared" si="37"/>
        <v>43200</v>
      </c>
    </row>
    <row r="555" spans="1:9" outlineLevel="1" x14ac:dyDescent="0.25">
      <c r="A555" s="84"/>
      <c r="B555" s="28" t="s">
        <v>459</v>
      </c>
      <c r="C555" s="21" t="s">
        <v>12</v>
      </c>
      <c r="D555" s="2">
        <v>12</v>
      </c>
      <c r="E555" s="2"/>
      <c r="F555" s="60">
        <v>490</v>
      </c>
      <c r="G555" s="18"/>
      <c r="H555" s="18">
        <f t="shared" si="38"/>
        <v>5880</v>
      </c>
      <c r="I555" s="18">
        <f t="shared" si="37"/>
        <v>5880</v>
      </c>
    </row>
    <row r="556" spans="1:9" outlineLevel="1" x14ac:dyDescent="0.25">
      <c r="A556" s="84"/>
      <c r="B556" s="74" t="s">
        <v>255</v>
      </c>
      <c r="C556" s="2" t="s">
        <v>12</v>
      </c>
      <c r="D556" s="2">
        <v>76</v>
      </c>
      <c r="E556" s="2"/>
      <c r="F556" s="11">
        <v>22.22</v>
      </c>
      <c r="G556" s="18"/>
      <c r="H556" s="18">
        <f t="shared" si="38"/>
        <v>1688.72</v>
      </c>
      <c r="I556" s="18">
        <f t="shared" si="37"/>
        <v>1688.72</v>
      </c>
    </row>
    <row r="557" spans="1:9" outlineLevel="1" x14ac:dyDescent="0.25">
      <c r="A557" s="84"/>
      <c r="B557" s="74" t="s">
        <v>256</v>
      </c>
      <c r="C557" s="2" t="s">
        <v>12</v>
      </c>
      <c r="D557" s="2">
        <f>21+21+42</f>
        <v>84</v>
      </c>
      <c r="E557" s="2"/>
      <c r="F557" s="11">
        <v>16.760000000000002</v>
      </c>
      <c r="G557" s="18"/>
      <c r="H557" s="18">
        <f t="shared" si="38"/>
        <v>1407.84</v>
      </c>
      <c r="I557" s="18">
        <f t="shared" si="37"/>
        <v>1407.84</v>
      </c>
    </row>
    <row r="558" spans="1:9" outlineLevel="1" x14ac:dyDescent="0.25">
      <c r="A558" s="84"/>
      <c r="B558" s="74" t="s">
        <v>461</v>
      </c>
      <c r="C558" s="2" t="s">
        <v>12</v>
      </c>
      <c r="D558" s="2">
        <v>40</v>
      </c>
      <c r="E558" s="2"/>
      <c r="F558" s="11">
        <v>54.92</v>
      </c>
      <c r="G558" s="18"/>
      <c r="H558" s="18">
        <f t="shared" si="38"/>
        <v>2196.8000000000002</v>
      </c>
      <c r="I558" s="18">
        <f t="shared" si="37"/>
        <v>2196.8000000000002</v>
      </c>
    </row>
    <row r="559" spans="1:9" outlineLevel="1" x14ac:dyDescent="0.25">
      <c r="A559" s="84"/>
      <c r="B559" s="74" t="s">
        <v>257</v>
      </c>
      <c r="C559" s="2" t="s">
        <v>12</v>
      </c>
      <c r="D559" s="2">
        <v>36</v>
      </c>
      <c r="E559" s="2"/>
      <c r="F559" s="11">
        <v>19.12</v>
      </c>
      <c r="G559" s="18"/>
      <c r="H559" s="18">
        <f t="shared" si="38"/>
        <v>688.32</v>
      </c>
      <c r="I559" s="18">
        <f t="shared" si="37"/>
        <v>688.32</v>
      </c>
    </row>
    <row r="560" spans="1:9" outlineLevel="1" x14ac:dyDescent="0.25">
      <c r="A560" s="84"/>
      <c r="B560" s="74" t="s">
        <v>258</v>
      </c>
      <c r="C560" s="2" t="s">
        <v>12</v>
      </c>
      <c r="D560" s="2">
        <v>12</v>
      </c>
      <c r="E560" s="2"/>
      <c r="F560" s="11">
        <v>19.13</v>
      </c>
      <c r="G560" s="18"/>
      <c r="H560" s="18">
        <f t="shared" si="38"/>
        <v>229.56</v>
      </c>
      <c r="I560" s="18">
        <f t="shared" si="37"/>
        <v>229.56</v>
      </c>
    </row>
    <row r="561" spans="1:12" outlineLevel="1" x14ac:dyDescent="0.25">
      <c r="A561" s="84"/>
      <c r="B561" s="74" t="s">
        <v>462</v>
      </c>
      <c r="C561" s="2" t="s">
        <v>12</v>
      </c>
      <c r="D561" s="2">
        <v>2</v>
      </c>
      <c r="E561" s="2"/>
      <c r="F561" s="11">
        <v>32.700000000000003</v>
      </c>
      <c r="G561" s="18"/>
      <c r="H561" s="18">
        <f>ROUND(D561*F561,2)</f>
        <v>65.400000000000006</v>
      </c>
      <c r="I561" s="18">
        <f>G561+H561</f>
        <v>65.400000000000006</v>
      </c>
    </row>
    <row r="562" spans="1:12" outlineLevel="1" x14ac:dyDescent="0.25">
      <c r="A562" s="84" t="s">
        <v>571</v>
      </c>
      <c r="B562" s="62" t="s">
        <v>259</v>
      </c>
      <c r="C562" s="2" t="s">
        <v>14</v>
      </c>
      <c r="D562" s="2">
        <v>75.599999999999994</v>
      </c>
      <c r="E562" s="2"/>
      <c r="F562" s="11"/>
      <c r="G562" s="18"/>
      <c r="H562" s="18"/>
      <c r="I562" s="18"/>
    </row>
    <row r="563" spans="1:12" outlineLevel="1" x14ac:dyDescent="0.25">
      <c r="A563" s="84"/>
      <c r="B563" s="28" t="s">
        <v>260</v>
      </c>
      <c r="C563" s="21" t="s">
        <v>15</v>
      </c>
      <c r="D563" s="2">
        <f>D562*0.2</f>
        <v>15.12</v>
      </c>
      <c r="E563" s="18"/>
      <c r="F563" s="60">
        <v>100</v>
      </c>
      <c r="G563" s="18"/>
      <c r="H563" s="18">
        <f>ROUND(D563*F563,2)</f>
        <v>1512</v>
      </c>
      <c r="I563" s="18">
        <f>H563+G563</f>
        <v>1512</v>
      </c>
    </row>
    <row r="564" spans="1:12" outlineLevel="1" x14ac:dyDescent="0.25">
      <c r="A564" s="84"/>
      <c r="B564" s="28" t="s">
        <v>261</v>
      </c>
      <c r="C564" s="21" t="s">
        <v>15</v>
      </c>
      <c r="D564" s="2">
        <f>D562*0.4</f>
        <v>30.24</v>
      </c>
      <c r="E564" s="18"/>
      <c r="F564" s="60">
        <v>200</v>
      </c>
      <c r="G564" s="18"/>
      <c r="H564" s="18">
        <f>ROUND(D564*F564,2)</f>
        <v>6048</v>
      </c>
      <c r="I564" s="18">
        <f>H564+G564</f>
        <v>6048</v>
      </c>
    </row>
    <row r="565" spans="1:12" outlineLevel="1" x14ac:dyDescent="0.25">
      <c r="A565" s="84" t="s">
        <v>572</v>
      </c>
      <c r="B565" s="183" t="s">
        <v>464</v>
      </c>
      <c r="C565" s="178" t="s">
        <v>29</v>
      </c>
      <c r="D565" s="179">
        <f>D540</f>
        <v>407</v>
      </c>
      <c r="E565" s="180"/>
      <c r="F565" s="181"/>
      <c r="G565" s="182"/>
      <c r="H565" s="18"/>
      <c r="I565" s="18"/>
    </row>
    <row r="566" spans="1:12" s="5" customFormat="1" collapsed="1" x14ac:dyDescent="0.25">
      <c r="A566" s="223"/>
      <c r="B566" s="233" t="s">
        <v>63</v>
      </c>
      <c r="C566" s="234"/>
      <c r="D566" s="235"/>
      <c r="E566" s="236"/>
      <c r="F566" s="237"/>
      <c r="G566" s="236">
        <f>SUM(G532:G564)</f>
        <v>578539.39</v>
      </c>
      <c r="H566" s="236">
        <f>SUM(H532:H564)</f>
        <v>1157078.78</v>
      </c>
      <c r="I566" s="236">
        <f>SUM(I532:I564)</f>
        <v>1735618.1700000004</v>
      </c>
    </row>
    <row r="567" spans="1:12" s="5" customFormat="1" ht="18.600000000000001" customHeight="1" x14ac:dyDescent="0.25">
      <c r="A567" s="84"/>
      <c r="B567" s="58" t="s">
        <v>624</v>
      </c>
      <c r="C567" s="9"/>
      <c r="D567" s="31"/>
      <c r="E567" s="10"/>
      <c r="F567" s="57"/>
      <c r="G567" s="10"/>
      <c r="H567" s="10"/>
      <c r="I567" s="31">
        <f>ROUND(I566/1.18*0.18,2)</f>
        <v>264755.31</v>
      </c>
    </row>
    <row r="568" spans="1:12" s="5" customFormat="1" ht="24" customHeight="1" x14ac:dyDescent="0.25">
      <c r="A568" s="107"/>
      <c r="B568" s="187" t="s">
        <v>573</v>
      </c>
      <c r="C568" s="124"/>
      <c r="D568" s="124"/>
      <c r="E568" s="111"/>
      <c r="F568" s="145"/>
      <c r="G568" s="111"/>
      <c r="H568" s="111"/>
      <c r="I568" s="111"/>
      <c r="K568" s="129"/>
      <c r="L568" s="197"/>
    </row>
    <row r="569" spans="1:12" s="5" customFormat="1" outlineLevel="1" x14ac:dyDescent="0.25">
      <c r="A569" s="87" t="s">
        <v>582</v>
      </c>
      <c r="B569" s="175" t="s">
        <v>341</v>
      </c>
      <c r="C569" s="176" t="s">
        <v>340</v>
      </c>
      <c r="D569" s="31">
        <v>600</v>
      </c>
      <c r="E569" s="10">
        <v>1320</v>
      </c>
      <c r="F569" s="57"/>
      <c r="G569" s="26">
        <f>E569*D569</f>
        <v>792000</v>
      </c>
      <c r="H569" s="26"/>
      <c r="I569" s="26">
        <f>G569+H569</f>
        <v>792000</v>
      </c>
      <c r="K569" s="129"/>
      <c r="L569" s="129"/>
    </row>
    <row r="570" spans="1:12" s="5" customFormat="1" ht="31.2" outlineLevel="1" x14ac:dyDescent="0.25">
      <c r="A570" s="87" t="s">
        <v>583</v>
      </c>
      <c r="B570" s="175" t="s">
        <v>581</v>
      </c>
      <c r="C570" s="176" t="s">
        <v>12</v>
      </c>
      <c r="D570" s="31">
        <v>1</v>
      </c>
      <c r="E570" s="10">
        <v>350000</v>
      </c>
      <c r="F570" s="57"/>
      <c r="G570" s="26">
        <f>E570*D570</f>
        <v>350000</v>
      </c>
      <c r="H570" s="26"/>
      <c r="I570" s="26">
        <f>G570+H570</f>
        <v>350000</v>
      </c>
      <c r="K570" s="129"/>
      <c r="L570" s="129"/>
    </row>
    <row r="571" spans="1:12" s="5" customFormat="1" outlineLevel="1" x14ac:dyDescent="0.25">
      <c r="A571" s="87" t="s">
        <v>584</v>
      </c>
      <c r="B571" s="175" t="s">
        <v>585</v>
      </c>
      <c r="C571" s="176" t="s">
        <v>12</v>
      </c>
      <c r="D571" s="31">
        <v>1</v>
      </c>
      <c r="E571" s="10">
        <v>80000</v>
      </c>
      <c r="F571" s="57">
        <v>125000</v>
      </c>
      <c r="G571" s="26">
        <f>E571*D571</f>
        <v>80000</v>
      </c>
      <c r="H571" s="26">
        <f>F571*D571</f>
        <v>125000</v>
      </c>
      <c r="I571" s="26">
        <f>G571+H571</f>
        <v>205000</v>
      </c>
      <c r="K571" s="129"/>
      <c r="L571" s="129"/>
    </row>
    <row r="572" spans="1:12" s="5" customFormat="1" x14ac:dyDescent="0.25">
      <c r="A572" s="223"/>
      <c r="B572" s="238" t="s">
        <v>308</v>
      </c>
      <c r="C572" s="234"/>
      <c r="D572" s="235"/>
      <c r="E572" s="236"/>
      <c r="F572" s="237"/>
      <c r="G572" s="236">
        <f>SUM(G569:G569)</f>
        <v>792000</v>
      </c>
      <c r="H572" s="236">
        <f>SUM(H569:H569)</f>
        <v>0</v>
      </c>
      <c r="I572" s="236">
        <f>SUM(I569:I571)</f>
        <v>1347000</v>
      </c>
      <c r="K572" s="162"/>
      <c r="L572" s="129"/>
    </row>
    <row r="573" spans="1:12" s="5" customFormat="1" ht="16.95" customHeight="1" x14ac:dyDescent="0.25">
      <c r="A573" s="84"/>
      <c r="B573" s="58" t="s">
        <v>624</v>
      </c>
      <c r="C573" s="9"/>
      <c r="D573" s="31"/>
      <c r="E573" s="10"/>
      <c r="F573" s="57"/>
      <c r="G573" s="10"/>
      <c r="H573" s="10"/>
      <c r="I573" s="31">
        <f>ROUND(I572/1.18*0.18,2)</f>
        <v>205474.58</v>
      </c>
    </row>
    <row r="574" spans="1:12" s="5" customFormat="1" ht="25.5" customHeight="1" x14ac:dyDescent="0.25">
      <c r="A574" s="241"/>
      <c r="B574" s="242" t="s">
        <v>24</v>
      </c>
      <c r="C574" s="243"/>
      <c r="D574" s="244"/>
      <c r="E574" s="243"/>
      <c r="F574" s="242"/>
      <c r="G574" s="243">
        <f>G20++G25+G44+G68+G115+G150+G155+G170+G196+G216+G262+G273+G367+G412+G529+G566+G572+G391</f>
        <v>8558087.1600000001</v>
      </c>
      <c r="H574" s="243">
        <f>H20+H25+H44+H68+H115+H150+H155+H170+H196+H216+H262+H273+H367+H412+H529+H566+H572+H391</f>
        <v>26762884.861799996</v>
      </c>
      <c r="I574" s="243">
        <f>I572+I566+I529+I412+I391+I367+I273+I262+I216+I196+I170+I155+I150+I115+I68+I44+I20+I25</f>
        <v>35875972.021799996</v>
      </c>
    </row>
    <row r="575" spans="1:12" s="101" customFormat="1" ht="21" customHeight="1" x14ac:dyDescent="0.25">
      <c r="A575" s="245"/>
      <c r="B575" s="246" t="s">
        <v>26</v>
      </c>
      <c r="C575" s="247"/>
      <c r="D575" s="247"/>
      <c r="E575" s="247"/>
      <c r="F575" s="246"/>
      <c r="G575" s="247"/>
      <c r="H575" s="247"/>
      <c r="I575" s="247">
        <f>I574/1.18*18/100</f>
        <v>5472605.9016305087</v>
      </c>
    </row>
    <row r="576" spans="1:12" ht="25.5" customHeight="1" x14ac:dyDescent="0.25">
      <c r="A576" s="98"/>
      <c r="B576" s="99" t="s">
        <v>342</v>
      </c>
      <c r="C576" s="100"/>
      <c r="D576" s="100"/>
      <c r="E576" s="100"/>
      <c r="F576" s="99"/>
      <c r="G576" s="100">
        <f>G574/C10</f>
        <v>5116.8206201346457</v>
      </c>
      <c r="H576" s="100">
        <f>H574/C10</f>
        <v>16001.342187212262</v>
      </c>
      <c r="I576" s="100">
        <f>I574/C10</f>
        <v>21449.993436210792</v>
      </c>
    </row>
  </sheetData>
  <mergeCells count="21">
    <mergeCell ref="B11:B12"/>
    <mergeCell ref="B198:F198"/>
    <mergeCell ref="A10:B10"/>
    <mergeCell ref="B7:H7"/>
    <mergeCell ref="B8:H8"/>
    <mergeCell ref="E11:F11"/>
    <mergeCell ref="G11:H11"/>
    <mergeCell ref="B46:F46"/>
    <mergeCell ref="A11:A12"/>
    <mergeCell ref="G9:H9"/>
    <mergeCell ref="F10:H10"/>
    <mergeCell ref="B275:D275"/>
    <mergeCell ref="B27:E27"/>
    <mergeCell ref="K539:L539"/>
    <mergeCell ref="B22:E22"/>
    <mergeCell ref="J523:J528"/>
    <mergeCell ref="I11:I12"/>
    <mergeCell ref="D11:D12"/>
    <mergeCell ref="C11:C12"/>
    <mergeCell ref="J478:J479"/>
    <mergeCell ref="J464:J472"/>
  </mergeCells>
  <pageMargins left="0.43307086614173229" right="0.23622047244094491" top="0.39370078740157483" bottom="0.31496062992125984" header="0" footer="0.19685039370078741"/>
  <pageSetup paperSize="9" scale="6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R785"/>
  <sheetViews>
    <sheetView topLeftCell="A9" zoomScale="70" zoomScaleNormal="70" workbookViewId="0">
      <pane ySplit="1032" topLeftCell="A490" activePane="bottomLeft"/>
      <selection activeCell="C11" sqref="C11"/>
      <selection pane="bottomLeft" activeCell="F785" sqref="F785:I785"/>
    </sheetView>
  </sheetViews>
  <sheetFormatPr defaultColWidth="9" defaultRowHeight="15.6" outlineLevelRow="2" x14ac:dyDescent="0.25"/>
  <cols>
    <col min="1" max="1" width="5.21875" style="81" customWidth="1"/>
    <col min="2" max="2" width="44.44140625" style="25" customWidth="1"/>
    <col min="3" max="3" width="11.6640625" style="286" customWidth="1"/>
    <col min="4" max="4" width="12.33203125" style="286" customWidth="1"/>
    <col min="5" max="5" width="13.109375" style="286" customWidth="1"/>
    <col min="6" max="6" width="13" style="148" customWidth="1"/>
    <col min="7" max="7" width="15.33203125" style="286" customWidth="1"/>
    <col min="8" max="8" width="16.44140625" style="286" customWidth="1"/>
    <col min="9" max="9" width="16.33203125" style="286" customWidth="1"/>
    <col min="10" max="10" width="14.44140625" style="25" bestFit="1" customWidth="1"/>
    <col min="11" max="11" width="17.109375" style="25" customWidth="1"/>
    <col min="12" max="12" width="16.33203125" style="25" customWidth="1"/>
    <col min="13" max="13" width="10.6640625" style="25" customWidth="1"/>
    <col min="14" max="14" width="7" style="25" customWidth="1"/>
    <col min="15" max="15" width="26.21875" style="25" customWidth="1"/>
    <col min="16" max="16" width="17.33203125" style="25" customWidth="1"/>
    <col min="17" max="16384" width="9" style="25"/>
  </cols>
  <sheetData>
    <row r="1" spans="1:13" s="251" customFormat="1" ht="14.4" x14ac:dyDescent="0.25">
      <c r="A1" s="249"/>
      <c r="B1" s="249"/>
      <c r="C1" s="249"/>
      <c r="D1" s="249"/>
      <c r="E1" s="249"/>
      <c r="F1" s="249"/>
      <c r="G1" s="250"/>
      <c r="H1" s="250"/>
      <c r="I1" s="250"/>
    </row>
    <row r="2" spans="1:13" s="251" customFormat="1" ht="27.75" customHeight="1" x14ac:dyDescent="0.25">
      <c r="A2" s="249"/>
      <c r="B2" s="252" t="s">
        <v>626</v>
      </c>
      <c r="C2" s="249"/>
      <c r="D2" s="249"/>
      <c r="E2" s="249"/>
      <c r="F2" s="249"/>
      <c r="G2" s="253" t="s">
        <v>627</v>
      </c>
      <c r="H2" s="250"/>
      <c r="I2" s="250"/>
    </row>
    <row r="3" spans="1:13" s="251" customFormat="1" ht="14.4" x14ac:dyDescent="0.25">
      <c r="A3" s="249"/>
      <c r="B3" s="249"/>
      <c r="C3" s="249"/>
      <c r="D3" s="249"/>
      <c r="E3" s="249"/>
      <c r="F3" s="249"/>
      <c r="G3" s="250"/>
      <c r="H3" s="250" t="s">
        <v>628</v>
      </c>
      <c r="I3" s="250"/>
    </row>
    <row r="4" spans="1:13" s="251" customFormat="1" ht="14.4" x14ac:dyDescent="0.25">
      <c r="A4" s="249"/>
      <c r="B4" s="249"/>
      <c r="C4" s="249"/>
      <c r="D4" s="249"/>
      <c r="E4" s="249"/>
      <c r="F4" s="249"/>
      <c r="G4" s="250"/>
      <c r="H4" s="250"/>
      <c r="I4" s="250"/>
    </row>
    <row r="5" spans="1:13" s="251" customFormat="1" ht="14.4" x14ac:dyDescent="0.25">
      <c r="A5" s="249"/>
      <c r="B5" s="254"/>
      <c r="C5" s="249"/>
      <c r="D5" s="249"/>
      <c r="E5" s="255"/>
      <c r="F5" s="249" t="s">
        <v>629</v>
      </c>
      <c r="G5" s="250"/>
      <c r="H5" s="250"/>
      <c r="I5" s="250"/>
    </row>
    <row r="6" spans="1:13" s="251" customFormat="1" ht="14.4" x14ac:dyDescent="0.25">
      <c r="A6" s="249"/>
      <c r="B6" s="249"/>
      <c r="C6" s="249"/>
      <c r="D6" s="249"/>
      <c r="E6" s="249"/>
      <c r="F6" s="249"/>
      <c r="G6" s="250"/>
      <c r="H6" s="250" t="s">
        <v>630</v>
      </c>
      <c r="I6" s="250"/>
    </row>
    <row r="7" spans="1:13" s="251" customFormat="1" ht="14.4" x14ac:dyDescent="0.25">
      <c r="A7" s="249"/>
      <c r="B7" s="772" t="s">
        <v>631</v>
      </c>
      <c r="C7" s="773"/>
      <c r="D7" s="773"/>
      <c r="E7" s="773"/>
      <c r="F7" s="773"/>
      <c r="G7" s="773"/>
      <c r="H7" s="773"/>
      <c r="I7" s="250"/>
    </row>
    <row r="8" spans="1:13" s="251" customFormat="1" ht="29.25" customHeight="1" x14ac:dyDescent="0.25">
      <c r="A8" s="249"/>
      <c r="B8" s="774" t="s">
        <v>1299</v>
      </c>
      <c r="C8" s="775"/>
      <c r="D8" s="775"/>
      <c r="E8" s="775"/>
      <c r="F8" s="775"/>
      <c r="G8" s="775"/>
      <c r="H8" s="775"/>
      <c r="I8" s="250"/>
    </row>
    <row r="9" spans="1:13" s="7" customFormat="1" ht="15.75" customHeight="1" x14ac:dyDescent="0.25">
      <c r="A9" s="82"/>
      <c r="B9" s="4"/>
      <c r="C9" s="4"/>
      <c r="D9" s="4"/>
      <c r="E9" s="4"/>
      <c r="F9" s="134"/>
      <c r="G9" s="776" t="s">
        <v>342</v>
      </c>
      <c r="H9" s="776"/>
      <c r="I9" s="94">
        <f>I10/C10</f>
        <v>21312.308988129582</v>
      </c>
    </row>
    <row r="10" spans="1:13" s="7" customFormat="1" ht="15.75" customHeight="1" x14ac:dyDescent="0.25">
      <c r="A10" s="777" t="s">
        <v>227</v>
      </c>
      <c r="B10" s="777"/>
      <c r="C10" s="7">
        <v>3437.2</v>
      </c>
      <c r="D10" s="59" t="s">
        <v>343</v>
      </c>
      <c r="E10" s="123">
        <v>90</v>
      </c>
      <c r="F10" s="778" t="s">
        <v>17</v>
      </c>
      <c r="G10" s="778"/>
      <c r="H10" s="778"/>
      <c r="I10" s="8">
        <f>I778*1</f>
        <v>73254668.453998998</v>
      </c>
    </row>
    <row r="11" spans="1:13" s="7" customFormat="1" ht="15.75" customHeight="1" x14ac:dyDescent="0.25">
      <c r="A11" s="325"/>
      <c r="B11" s="325"/>
      <c r="C11" s="122"/>
      <c r="D11" s="59"/>
      <c r="E11" s="123"/>
      <c r="F11" s="326"/>
      <c r="G11" s="326"/>
      <c r="H11" s="326"/>
      <c r="I11" s="8"/>
    </row>
    <row r="12" spans="1:13" s="7" customFormat="1" ht="15.75" customHeight="1" x14ac:dyDescent="0.25">
      <c r="A12" s="325"/>
      <c r="B12" s="325"/>
      <c r="C12" s="122"/>
      <c r="D12" s="59"/>
      <c r="E12" s="123"/>
      <c r="F12" s="326"/>
      <c r="G12" s="326"/>
      <c r="H12" s="326"/>
      <c r="I12" s="8"/>
    </row>
    <row r="13" spans="1:13" ht="25.5" customHeight="1" x14ac:dyDescent="0.25">
      <c r="A13" s="779" t="s">
        <v>0</v>
      </c>
      <c r="B13" s="783" t="s">
        <v>1</v>
      </c>
      <c r="C13" s="783" t="s">
        <v>2</v>
      </c>
      <c r="D13" s="783" t="s">
        <v>3</v>
      </c>
      <c r="E13" s="783" t="s">
        <v>4</v>
      </c>
      <c r="F13" s="783"/>
      <c r="G13" s="783" t="s">
        <v>5</v>
      </c>
      <c r="H13" s="783"/>
      <c r="I13" s="783" t="s">
        <v>6</v>
      </c>
    </row>
    <row r="14" spans="1:13" x14ac:dyDescent="0.25">
      <c r="A14" s="779"/>
      <c r="B14" s="783"/>
      <c r="C14" s="783"/>
      <c r="D14" s="783"/>
      <c r="E14" s="285" t="s">
        <v>7</v>
      </c>
      <c r="F14" s="135" t="s">
        <v>475</v>
      </c>
      <c r="G14" s="285" t="s">
        <v>7</v>
      </c>
      <c r="H14" s="285" t="s">
        <v>339</v>
      </c>
      <c r="I14" s="783"/>
    </row>
    <row r="15" spans="1:13" s="5" customFormat="1" ht="24" customHeight="1" x14ac:dyDescent="0.25">
      <c r="A15" s="104"/>
      <c r="B15" s="771" t="s">
        <v>1511</v>
      </c>
      <c r="C15" s="771"/>
      <c r="D15" s="771"/>
      <c r="E15" s="771"/>
      <c r="F15" s="138"/>
      <c r="G15" s="105"/>
      <c r="H15" s="105"/>
      <c r="I15" s="106"/>
    </row>
    <row r="16" spans="1:13" s="6" customFormat="1" ht="21.75" customHeight="1" outlineLevel="1" x14ac:dyDescent="0.25">
      <c r="A16" s="107" t="s">
        <v>492</v>
      </c>
      <c r="B16" s="29" t="s">
        <v>1512</v>
      </c>
      <c r="C16" s="31" t="s">
        <v>8</v>
      </c>
      <c r="D16" s="31">
        <f>[1]Д2!D16+[1]Ек!D16+[1]Д!D16</f>
        <v>885.02900000000011</v>
      </c>
      <c r="E16" s="166">
        <v>500</v>
      </c>
      <c r="F16" s="60"/>
      <c r="G16" s="2">
        <f>ROUND(E16*D16,2)</f>
        <v>442514.5</v>
      </c>
      <c r="H16" s="18"/>
      <c r="I16" s="11">
        <f t="shared" ref="I16:I46" si="0">G16+H16</f>
        <v>442514.5</v>
      </c>
      <c r="J16" s="6">
        <v>300</v>
      </c>
      <c r="K16" s="406"/>
      <c r="L16" s="161"/>
      <c r="M16" s="161"/>
    </row>
    <row r="17" spans="1:252" outlineLevel="1" x14ac:dyDescent="0.25">
      <c r="A17" s="84"/>
      <c r="B17" s="33" t="s">
        <v>281</v>
      </c>
      <c r="C17" s="31" t="s">
        <v>8</v>
      </c>
      <c r="D17" s="2">
        <f>D16*1.1</f>
        <v>973.53190000000018</v>
      </c>
      <c r="E17" s="18"/>
      <c r="F17" s="164">
        <v>280</v>
      </c>
      <c r="G17" s="18"/>
      <c r="H17" s="18">
        <f>ROUND(D17*F17,2)</f>
        <v>272588.93</v>
      </c>
      <c r="I17" s="11">
        <f t="shared" si="0"/>
        <v>272588.93</v>
      </c>
      <c r="J17" s="25">
        <v>180</v>
      </c>
      <c r="K17" s="161"/>
      <c r="L17" s="161"/>
      <c r="M17" s="161"/>
    </row>
    <row r="18" spans="1:252" s="6" customFormat="1" ht="18" customHeight="1" outlineLevel="1" x14ac:dyDescent="0.25">
      <c r="A18" s="107" t="s">
        <v>210</v>
      </c>
      <c r="B18" s="29" t="s">
        <v>1513</v>
      </c>
      <c r="C18" s="31" t="s">
        <v>8</v>
      </c>
      <c r="D18" s="31">
        <f>[1]Д2!D18+[1]Ек!D18+[1]Д!D18+[1]Е!D16</f>
        <v>150.34551500000001</v>
      </c>
      <c r="E18" s="256">
        <v>1400</v>
      </c>
      <c r="F18" s="60"/>
      <c r="G18" s="2">
        <f>ROUND(E18*D18,2)</f>
        <v>210483.72</v>
      </c>
      <c r="H18" s="18"/>
      <c r="I18" s="11">
        <f t="shared" si="0"/>
        <v>210483.72</v>
      </c>
      <c r="J18" s="6">
        <v>1000</v>
      </c>
      <c r="K18" s="161"/>
      <c r="L18" s="161"/>
      <c r="M18" s="161"/>
    </row>
    <row r="19" spans="1:252" s="38" customFormat="1" outlineLevel="1" x14ac:dyDescent="0.25">
      <c r="A19" s="84"/>
      <c r="B19" s="33" t="s">
        <v>486</v>
      </c>
      <c r="C19" s="31" t="s">
        <v>8</v>
      </c>
      <c r="D19" s="2">
        <f>D18*1.015</f>
        <v>152.600697725</v>
      </c>
      <c r="E19" s="18"/>
      <c r="F19" s="664">
        <v>3450</v>
      </c>
      <c r="G19" s="18"/>
      <c r="H19" s="18">
        <f>ROUND(D19*F19,2)</f>
        <v>526472.41</v>
      </c>
      <c r="I19" s="11">
        <f t="shared" si="0"/>
        <v>526472.41</v>
      </c>
      <c r="J19" s="15">
        <v>3450</v>
      </c>
      <c r="K19" s="161"/>
      <c r="L19" s="161"/>
      <c r="M19" s="161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</row>
    <row r="20" spans="1:252" s="38" customFormat="1" ht="22.2" customHeight="1" outlineLevel="1" x14ac:dyDescent="0.25">
      <c r="A20" s="107" t="s">
        <v>211</v>
      </c>
      <c r="B20" s="29" t="s">
        <v>1476</v>
      </c>
      <c r="C20" s="31" t="s">
        <v>8</v>
      </c>
      <c r="D20" s="31">
        <f>[1]Д2!D20+[1]Ек!D20+[1]Д!D20+[1]Е!D18</f>
        <v>476.92504999999994</v>
      </c>
      <c r="E20" s="256">
        <v>2800</v>
      </c>
      <c r="F20" s="60"/>
      <c r="G20" s="2">
        <f>ROUND(E20*D20,2)</f>
        <v>1335390.1399999999</v>
      </c>
      <c r="H20" s="18"/>
      <c r="I20" s="60">
        <f t="shared" si="0"/>
        <v>1335390.1399999999</v>
      </c>
      <c r="J20" s="15">
        <v>2500</v>
      </c>
      <c r="K20" s="407"/>
      <c r="L20" s="161"/>
      <c r="M20" s="161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</row>
    <row r="21" spans="1:252" s="38" customFormat="1" outlineLevel="1" x14ac:dyDescent="0.25">
      <c r="A21" s="83"/>
      <c r="B21" s="11" t="s">
        <v>724</v>
      </c>
      <c r="C21" s="2" t="s">
        <v>8</v>
      </c>
      <c r="D21" s="2">
        <f>D20*1.015</f>
        <v>484.07892574999988</v>
      </c>
      <c r="E21" s="2"/>
      <c r="F21" s="664">
        <v>5000</v>
      </c>
      <c r="G21" s="2"/>
      <c r="H21" s="2">
        <f>ROUND(D21*F21,2)</f>
        <v>2420394.63</v>
      </c>
      <c r="I21" s="11">
        <f t="shared" si="0"/>
        <v>2420394.63</v>
      </c>
      <c r="J21" s="15">
        <v>5000</v>
      </c>
      <c r="K21" s="161"/>
      <c r="L21" s="161"/>
      <c r="M21" s="161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</row>
    <row r="22" spans="1:252" s="5" customFormat="1" ht="31.2" customHeight="1" outlineLevel="1" x14ac:dyDescent="0.25">
      <c r="A22" s="83"/>
      <c r="B22" s="33" t="s">
        <v>358</v>
      </c>
      <c r="C22" s="2" t="s">
        <v>9</v>
      </c>
      <c r="D22" s="161">
        <f>[1]Д2!D22+[1]Ек!D22+[1]Д!D22+[1]Е!D20</f>
        <v>57.744149999999998</v>
      </c>
      <c r="E22" s="2"/>
      <c r="F22" s="361">
        <v>36000</v>
      </c>
      <c r="G22" s="2"/>
      <c r="H22" s="2">
        <f>ROUND(D22*F22,2)</f>
        <v>2078789.4</v>
      </c>
      <c r="I22" s="11">
        <f t="shared" si="0"/>
        <v>2078789.4</v>
      </c>
      <c r="J22" s="248">
        <v>35000</v>
      </c>
      <c r="L22" s="161"/>
      <c r="M22" s="161"/>
    </row>
    <row r="23" spans="1:252" outlineLevel="1" x14ac:dyDescent="0.25">
      <c r="A23" s="83"/>
      <c r="B23" s="11" t="s">
        <v>11</v>
      </c>
      <c r="C23" s="2" t="s">
        <v>8</v>
      </c>
      <c r="D23" s="2">
        <v>5</v>
      </c>
      <c r="E23" s="2"/>
      <c r="F23" s="361">
        <v>7500</v>
      </c>
      <c r="G23" s="2"/>
      <c r="H23" s="2">
        <f>ROUND(D23*F23,2)</f>
        <v>37500</v>
      </c>
      <c r="I23" s="11">
        <f t="shared" si="0"/>
        <v>37500</v>
      </c>
      <c r="J23" s="25">
        <v>7500</v>
      </c>
      <c r="K23" s="161"/>
      <c r="L23" s="161"/>
      <c r="M23" s="161"/>
    </row>
    <row r="24" spans="1:252" ht="16.2" customHeight="1" outlineLevel="1" x14ac:dyDescent="0.25">
      <c r="A24" s="107" t="s">
        <v>212</v>
      </c>
      <c r="B24" s="9" t="s">
        <v>1514</v>
      </c>
      <c r="C24" s="31" t="s">
        <v>14</v>
      </c>
      <c r="D24" s="670">
        <f>[1]Д2!D24+[1]Ек!D24+[1]Д!D24+[1]Е!D22</f>
        <v>235.06</v>
      </c>
      <c r="E24" s="256">
        <v>150</v>
      </c>
      <c r="F24" s="11"/>
      <c r="G24" s="2">
        <f>ROUND(E24*D24,2)</f>
        <v>35259</v>
      </c>
      <c r="H24" s="18"/>
      <c r="I24" s="11">
        <f t="shared" si="0"/>
        <v>35259</v>
      </c>
      <c r="J24" s="25">
        <v>100</v>
      </c>
      <c r="K24" s="161"/>
      <c r="L24" s="161"/>
      <c r="M24" s="161"/>
    </row>
    <row r="25" spans="1:252" ht="16.2" customHeight="1" outlineLevel="1" x14ac:dyDescent="0.25">
      <c r="A25" s="84"/>
      <c r="B25" s="11" t="s">
        <v>1311</v>
      </c>
      <c r="C25" s="2" t="s">
        <v>15</v>
      </c>
      <c r="D25" s="2">
        <f>2.5*D24</f>
        <v>587.65</v>
      </c>
      <c r="E25" s="2"/>
      <c r="F25" s="361">
        <v>55</v>
      </c>
      <c r="G25" s="18"/>
      <c r="H25" s="2">
        <f>ROUND(D25*F25,2)</f>
        <v>32320.75</v>
      </c>
      <c r="I25" s="60">
        <f t="shared" si="0"/>
        <v>32320.75</v>
      </c>
      <c r="J25" s="25">
        <v>55</v>
      </c>
      <c r="K25" s="161"/>
      <c r="L25" s="161"/>
      <c r="M25" s="161"/>
    </row>
    <row r="26" spans="1:252" ht="16.2" customHeight="1" outlineLevel="1" x14ac:dyDescent="0.25">
      <c r="A26" s="84"/>
      <c r="B26" s="11" t="s">
        <v>1312</v>
      </c>
      <c r="C26" s="2" t="s">
        <v>30</v>
      </c>
      <c r="D26" s="2">
        <f>0.35*D24</f>
        <v>82.271000000000001</v>
      </c>
      <c r="E26" s="2"/>
      <c r="F26" s="361">
        <v>44</v>
      </c>
      <c r="G26" s="18"/>
      <c r="H26" s="2">
        <f>ROUND(D26*F26,2)</f>
        <v>3619.92</v>
      </c>
      <c r="I26" s="60">
        <f t="shared" si="0"/>
        <v>3619.92</v>
      </c>
      <c r="J26" s="25">
        <v>44</v>
      </c>
      <c r="K26" s="161"/>
      <c r="L26" s="161"/>
      <c r="M26" s="161"/>
    </row>
    <row r="27" spans="1:252" ht="26.25" customHeight="1" outlineLevel="1" x14ac:dyDescent="0.25">
      <c r="A27" s="107" t="s">
        <v>213</v>
      </c>
      <c r="B27" s="9" t="s">
        <v>1515</v>
      </c>
      <c r="C27" s="31" t="s">
        <v>14</v>
      </c>
      <c r="D27" s="65">
        <f>[1]Д2!D27+[1]Ек!D27+[1]Д!D27+[1]Е!D25</f>
        <v>312.60239999999999</v>
      </c>
      <c r="E27" s="264">
        <v>250</v>
      </c>
      <c r="F27" s="140"/>
      <c r="G27" s="51">
        <f>E27*D27</f>
        <v>78150.599999999991</v>
      </c>
      <c r="H27" s="51"/>
      <c r="I27" s="140">
        <f>H27+G27</f>
        <v>78150.599999999991</v>
      </c>
      <c r="J27" s="25">
        <v>100</v>
      </c>
      <c r="K27" s="406"/>
      <c r="L27" s="161"/>
      <c r="M27" s="161"/>
    </row>
    <row r="28" spans="1:252" ht="15.75" customHeight="1" outlineLevel="1" x14ac:dyDescent="0.25">
      <c r="A28" s="84"/>
      <c r="B28" s="33" t="s">
        <v>1244</v>
      </c>
      <c r="C28" s="2" t="s">
        <v>8</v>
      </c>
      <c r="D28" s="2">
        <f>[1]Д2!D28+[1]Ек!D28+[1]Д!D28+[1]Е!D26</f>
        <v>27.66</v>
      </c>
      <c r="E28" s="2"/>
      <c r="F28" s="164">
        <f>ROUND(4100*1.1,2)</f>
        <v>4510</v>
      </c>
      <c r="G28" s="2"/>
      <c r="H28" s="2">
        <f>ROUND(D28*F28,2)</f>
        <v>124746.6</v>
      </c>
      <c r="I28" s="11">
        <f>G28+H28</f>
        <v>124746.6</v>
      </c>
      <c r="J28" s="25">
        <v>4510</v>
      </c>
      <c r="K28" s="407"/>
      <c r="L28" s="161"/>
      <c r="M28" s="161"/>
    </row>
    <row r="29" spans="1:252" ht="15.75" customHeight="1" outlineLevel="1" x14ac:dyDescent="0.25">
      <c r="A29" s="107" t="s">
        <v>493</v>
      </c>
      <c r="B29" s="29" t="s">
        <v>731</v>
      </c>
      <c r="C29" s="31" t="s">
        <v>12</v>
      </c>
      <c r="D29" s="31">
        <f>SUM(D30:D35)</f>
        <v>1047</v>
      </c>
      <c r="E29" s="256">
        <v>550</v>
      </c>
      <c r="F29" s="60"/>
      <c r="G29" s="2">
        <f>ROUND(E29*D29,2)</f>
        <v>575850</v>
      </c>
      <c r="H29" s="18"/>
      <c r="I29" s="60">
        <f t="shared" si="0"/>
        <v>575850</v>
      </c>
      <c r="J29" s="25">
        <v>300</v>
      </c>
      <c r="K29" s="407"/>
      <c r="L29" s="161"/>
      <c r="M29" s="161"/>
    </row>
    <row r="30" spans="1:252" ht="15.75" customHeight="1" outlineLevel="1" x14ac:dyDescent="0.25">
      <c r="A30" s="84"/>
      <c r="B30" s="33" t="s">
        <v>732</v>
      </c>
      <c r="C30" s="2" t="s">
        <v>12</v>
      </c>
      <c r="D30" s="2">
        <f>[1]Д2!D30+[1]Ек!D30+[1]Д!D30+[1]Е!D28</f>
        <v>378</v>
      </c>
      <c r="E30" s="31"/>
      <c r="F30" s="664">
        <v>1935.11</v>
      </c>
      <c r="G30" s="2"/>
      <c r="H30" s="2">
        <f t="shared" ref="H30:H37" si="1">ROUND(D30*F30,2)</f>
        <v>731471.58</v>
      </c>
      <c r="I30" s="60">
        <f t="shared" si="0"/>
        <v>731471.58</v>
      </c>
      <c r="J30" s="25">
        <f>F30</f>
        <v>1935.11</v>
      </c>
      <c r="K30" s="407"/>
      <c r="L30" s="161"/>
      <c r="M30" s="161"/>
    </row>
    <row r="31" spans="1:252" ht="15.75" customHeight="1" outlineLevel="1" x14ac:dyDescent="0.25">
      <c r="A31" s="84"/>
      <c r="B31" s="33" t="s">
        <v>733</v>
      </c>
      <c r="C31" s="2" t="s">
        <v>12</v>
      </c>
      <c r="D31" s="2">
        <f>[1]Д2!D31+[1]Ек!D31+[1]Д!D31+[1]Е!D29</f>
        <v>158</v>
      </c>
      <c r="E31" s="31"/>
      <c r="F31" s="664">
        <v>944.39</v>
      </c>
      <c r="G31" s="2"/>
      <c r="H31" s="2">
        <f t="shared" si="1"/>
        <v>149213.62</v>
      </c>
      <c r="I31" s="60">
        <f t="shared" si="0"/>
        <v>149213.62</v>
      </c>
      <c r="J31" s="25">
        <f t="shared" ref="J31:J37" si="2">F31</f>
        <v>944.39</v>
      </c>
      <c r="K31" s="407"/>
      <c r="L31" s="161"/>
      <c r="M31" s="161"/>
    </row>
    <row r="32" spans="1:252" outlineLevel="1" x14ac:dyDescent="0.25">
      <c r="A32" s="84"/>
      <c r="B32" s="33" t="s">
        <v>735</v>
      </c>
      <c r="C32" s="2" t="s">
        <v>12</v>
      </c>
      <c r="D32" s="2">
        <f>[1]Д2!D32+[1]Ек!D32+[1]Д!D32+[1]Е!D30</f>
        <v>400</v>
      </c>
      <c r="E32" s="18"/>
      <c r="F32" s="664">
        <v>694.93</v>
      </c>
      <c r="G32" s="18"/>
      <c r="H32" s="2">
        <f t="shared" si="1"/>
        <v>277972</v>
      </c>
      <c r="I32" s="60">
        <f t="shared" si="0"/>
        <v>277972</v>
      </c>
      <c r="J32" s="25">
        <f t="shared" si="2"/>
        <v>694.93</v>
      </c>
      <c r="K32" s="407"/>
      <c r="L32" s="161"/>
      <c r="M32" s="161"/>
    </row>
    <row r="33" spans="1:13" outlineLevel="1" x14ac:dyDescent="0.25">
      <c r="A33" s="84"/>
      <c r="B33" s="33" t="s">
        <v>1302</v>
      </c>
      <c r="C33" s="2" t="s">
        <v>12</v>
      </c>
      <c r="D33" s="2">
        <f>[1]Д2!D33+[1]Ек!D33+[1]Д!D33+[1]Е!D31</f>
        <v>45</v>
      </c>
      <c r="E33" s="18"/>
      <c r="F33" s="363">
        <v>900</v>
      </c>
      <c r="G33" s="18"/>
      <c r="H33" s="2">
        <f t="shared" si="1"/>
        <v>40500</v>
      </c>
      <c r="I33" s="60">
        <f>G33+H33</f>
        <v>40500</v>
      </c>
      <c r="J33" s="25">
        <f t="shared" si="2"/>
        <v>900</v>
      </c>
      <c r="K33" s="161"/>
      <c r="L33" s="161"/>
      <c r="M33" s="161"/>
    </row>
    <row r="34" spans="1:13" outlineLevel="1" x14ac:dyDescent="0.25">
      <c r="A34" s="84"/>
      <c r="B34" s="33" t="s">
        <v>1313</v>
      </c>
      <c r="C34" s="2" t="s">
        <v>12</v>
      </c>
      <c r="D34" s="2">
        <f>[1]Д2!D34+[1]Ек!D34</f>
        <v>17</v>
      </c>
      <c r="E34" s="18"/>
      <c r="F34" s="664">
        <v>1365.97</v>
      </c>
      <c r="G34" s="18"/>
      <c r="H34" s="2">
        <f t="shared" si="1"/>
        <v>23221.49</v>
      </c>
      <c r="I34" s="60">
        <f t="shared" si="0"/>
        <v>23221.49</v>
      </c>
      <c r="J34" s="25">
        <f t="shared" si="2"/>
        <v>1365.97</v>
      </c>
      <c r="K34" s="638"/>
      <c r="L34" s="161"/>
      <c r="M34" s="161"/>
    </row>
    <row r="35" spans="1:13" outlineLevel="1" x14ac:dyDescent="0.25">
      <c r="A35" s="84"/>
      <c r="B35" s="33" t="s">
        <v>734</v>
      </c>
      <c r="C35" s="2" t="s">
        <v>12</v>
      </c>
      <c r="D35" s="2">
        <f>[1]Ек!D35</f>
        <v>49</v>
      </c>
      <c r="E35" s="31"/>
      <c r="F35" s="664">
        <v>452.6</v>
      </c>
      <c r="G35" s="2"/>
      <c r="H35" s="2">
        <f>ROUND(D35*F35,2)</f>
        <v>22177.4</v>
      </c>
      <c r="I35" s="663">
        <f>G35+H35</f>
        <v>22177.4</v>
      </c>
      <c r="J35" s="25">
        <f t="shared" si="2"/>
        <v>452.6</v>
      </c>
      <c r="K35" s="638"/>
      <c r="L35" s="161"/>
      <c r="M35" s="161"/>
    </row>
    <row r="36" spans="1:13" outlineLevel="1" x14ac:dyDescent="0.25">
      <c r="A36" s="84"/>
      <c r="B36" s="11" t="s">
        <v>72</v>
      </c>
      <c r="C36" s="2" t="s">
        <v>8</v>
      </c>
      <c r="D36" s="2">
        <f>D29*0.05</f>
        <v>52.35</v>
      </c>
      <c r="E36" s="18"/>
      <c r="F36" s="361">
        <v>2600</v>
      </c>
      <c r="G36" s="18"/>
      <c r="H36" s="2">
        <f t="shared" si="1"/>
        <v>136110</v>
      </c>
      <c r="I36" s="60">
        <f t="shared" si="0"/>
        <v>136110</v>
      </c>
      <c r="J36" s="25">
        <f t="shared" si="2"/>
        <v>2600</v>
      </c>
      <c r="K36" s="638"/>
      <c r="L36" s="161"/>
      <c r="M36" s="161"/>
    </row>
    <row r="37" spans="1:13" outlineLevel="1" x14ac:dyDescent="0.25">
      <c r="A37" s="92"/>
      <c r="B37" s="47" t="s">
        <v>1528</v>
      </c>
      <c r="C37" s="41" t="s">
        <v>15</v>
      </c>
      <c r="D37" s="42">
        <f>[1]Д2!D36+[1]Ек!D37+[1]Д!D35+[1]Е!D33</f>
        <v>513.08000000000004</v>
      </c>
      <c r="E37" s="2"/>
      <c r="F37" s="364">
        <v>42</v>
      </c>
      <c r="G37" s="10"/>
      <c r="H37" s="2">
        <f t="shared" si="1"/>
        <v>21549.360000000001</v>
      </c>
      <c r="I37" s="11">
        <f t="shared" si="0"/>
        <v>21549.360000000001</v>
      </c>
      <c r="J37" s="25">
        <f t="shared" si="2"/>
        <v>42</v>
      </c>
      <c r="K37" s="259"/>
      <c r="L37" s="161"/>
      <c r="M37" s="161"/>
    </row>
    <row r="38" spans="1:13" ht="31.2" outlineLevel="1" x14ac:dyDescent="0.25">
      <c r="A38" s="107" t="s">
        <v>1246</v>
      </c>
      <c r="B38" s="29" t="s">
        <v>1245</v>
      </c>
      <c r="C38" s="41" t="s">
        <v>8</v>
      </c>
      <c r="D38" s="42">
        <f>[1]Д2!D37+[1]Ек!D38+[1]Д!D36+[1]Е!D34</f>
        <v>19.2</v>
      </c>
      <c r="E38" s="256">
        <v>800</v>
      </c>
      <c r="F38" s="60"/>
      <c r="G38" s="2">
        <f>ROUND(E38*D38,2)</f>
        <v>15360</v>
      </c>
      <c r="H38" s="18"/>
      <c r="I38" s="60">
        <f t="shared" si="0"/>
        <v>15360</v>
      </c>
      <c r="J38" s="25">
        <v>800</v>
      </c>
      <c r="K38" s="161"/>
      <c r="L38" s="161"/>
      <c r="M38" s="161"/>
    </row>
    <row r="39" spans="1:13" outlineLevel="1" x14ac:dyDescent="0.25">
      <c r="A39" s="92"/>
      <c r="B39" s="11" t="s">
        <v>738</v>
      </c>
      <c r="C39" s="2" t="s">
        <v>8</v>
      </c>
      <c r="D39" s="2">
        <f>D38*1.015</f>
        <v>19.487999999999996</v>
      </c>
      <c r="E39" s="2"/>
      <c r="F39" s="664">
        <v>4200</v>
      </c>
      <c r="G39" s="2"/>
      <c r="H39" s="2">
        <f>ROUND(D39*F39,2)</f>
        <v>81849.600000000006</v>
      </c>
      <c r="I39" s="11">
        <f t="shared" si="0"/>
        <v>81849.600000000006</v>
      </c>
      <c r="J39" s="25">
        <v>4200</v>
      </c>
      <c r="K39" s="407"/>
      <c r="L39" s="161"/>
      <c r="M39" s="161"/>
    </row>
    <row r="40" spans="1:13" ht="31.2" outlineLevel="1" x14ac:dyDescent="0.25">
      <c r="A40" s="107" t="s">
        <v>1247</v>
      </c>
      <c r="B40" s="9" t="s">
        <v>1516</v>
      </c>
      <c r="C40" s="31" t="s">
        <v>14</v>
      </c>
      <c r="D40" s="670">
        <f>[1]Д2!D39+[1]Ек!D44+[1]Д!D38+[1]Е!D40</f>
        <v>921.61959999999999</v>
      </c>
      <c r="E40" s="256">
        <v>150</v>
      </c>
      <c r="F40" s="11"/>
      <c r="G40" s="2">
        <f>ROUND(E40*D40,2)</f>
        <v>138242.94</v>
      </c>
      <c r="H40" s="18"/>
      <c r="I40" s="11">
        <f t="shared" si="0"/>
        <v>138242.94</v>
      </c>
      <c r="K40" s="161"/>
      <c r="L40" s="161"/>
      <c r="M40" s="161"/>
    </row>
    <row r="41" spans="1:13" s="36" customFormat="1" ht="33" customHeight="1" outlineLevel="1" x14ac:dyDescent="0.25">
      <c r="A41" s="84"/>
      <c r="B41" s="11" t="s">
        <v>1311</v>
      </c>
      <c r="C41" s="2" t="s">
        <v>15</v>
      </c>
      <c r="D41" s="2">
        <f>2.5*D40</f>
        <v>2304.049</v>
      </c>
      <c r="E41" s="2"/>
      <c r="F41" s="361">
        <v>55</v>
      </c>
      <c r="G41" s="18"/>
      <c r="H41" s="2">
        <f>ROUND(D41*F41,2)</f>
        <v>126722.7</v>
      </c>
      <c r="I41" s="60">
        <f t="shared" si="0"/>
        <v>126722.7</v>
      </c>
      <c r="K41" s="162"/>
      <c r="L41" s="162"/>
      <c r="M41" s="162"/>
    </row>
    <row r="42" spans="1:13" s="36" customFormat="1" outlineLevel="1" x14ac:dyDescent="0.25">
      <c r="A42" s="84"/>
      <c r="B42" s="11" t="s">
        <v>1312</v>
      </c>
      <c r="C42" s="2" t="s">
        <v>30</v>
      </c>
      <c r="D42" s="2">
        <f>0.35*D40</f>
        <v>322.56685999999996</v>
      </c>
      <c r="E42" s="2"/>
      <c r="F42" s="361">
        <v>44</v>
      </c>
      <c r="G42" s="18"/>
      <c r="H42" s="2">
        <f>ROUND(D42*F42,2)</f>
        <v>14192.94</v>
      </c>
      <c r="I42" s="60">
        <f t="shared" si="0"/>
        <v>14192.94</v>
      </c>
      <c r="K42" s="162"/>
      <c r="L42" s="162"/>
      <c r="M42" s="162"/>
    </row>
    <row r="43" spans="1:13" s="36" customFormat="1" outlineLevel="1" x14ac:dyDescent="0.25">
      <c r="A43" s="107" t="s">
        <v>1496</v>
      </c>
      <c r="B43" s="29" t="s">
        <v>1317</v>
      </c>
      <c r="C43" s="31" t="s">
        <v>8</v>
      </c>
      <c r="D43" s="31">
        <f>[1]Д2!D42+[1]Ек!D40+[1]Д!D43+[1]Е!D36</f>
        <v>65.8</v>
      </c>
      <c r="E43" s="256">
        <v>2600</v>
      </c>
      <c r="F43" s="60"/>
      <c r="G43" s="2">
        <f>ROUND(E43*D43,2)</f>
        <v>171080</v>
      </c>
      <c r="H43" s="18"/>
      <c r="I43" s="60">
        <f t="shared" si="0"/>
        <v>171080</v>
      </c>
      <c r="K43" s="162"/>
      <c r="L43" s="162"/>
      <c r="M43" s="162"/>
    </row>
    <row r="44" spans="1:13" s="36" customFormat="1" outlineLevel="1" x14ac:dyDescent="0.25">
      <c r="A44" s="83"/>
      <c r="B44" s="11" t="s">
        <v>738</v>
      </c>
      <c r="C44" s="2" t="s">
        <v>8</v>
      </c>
      <c r="D44" s="2">
        <f>D43*1.015</f>
        <v>66.786999999999992</v>
      </c>
      <c r="E44" s="2"/>
      <c r="F44" s="664">
        <v>4200</v>
      </c>
      <c r="G44" s="2"/>
      <c r="H44" s="2">
        <f>ROUND(D44*F44,2)</f>
        <v>280505.40000000002</v>
      </c>
      <c r="I44" s="11">
        <f t="shared" si="0"/>
        <v>280505.40000000002</v>
      </c>
      <c r="K44" s="162"/>
      <c r="L44" s="162"/>
      <c r="M44" s="162"/>
    </row>
    <row r="45" spans="1:13" s="36" customFormat="1" outlineLevel="1" x14ac:dyDescent="0.25">
      <c r="A45" s="83"/>
      <c r="B45" s="33" t="s">
        <v>358</v>
      </c>
      <c r="C45" s="2" t="s">
        <v>9</v>
      </c>
      <c r="D45" s="161">
        <f>[1]Д2!D44+[1]Ек!D42+[1]Д!D45+[1]Е!D38</f>
        <v>1.2056</v>
      </c>
      <c r="E45" s="2"/>
      <c r="F45" s="361">
        <v>38000</v>
      </c>
      <c r="G45" s="2"/>
      <c r="H45" s="2">
        <f>ROUND(D45*F45,2)</f>
        <v>45812.800000000003</v>
      </c>
      <c r="I45" s="11">
        <f t="shared" si="0"/>
        <v>45812.800000000003</v>
      </c>
      <c r="K45" s="162"/>
      <c r="L45" s="162"/>
      <c r="M45" s="162"/>
    </row>
    <row r="46" spans="1:13" s="36" customFormat="1" outlineLevel="1" x14ac:dyDescent="0.25">
      <c r="A46" s="83"/>
      <c r="B46" s="11" t="s">
        <v>11</v>
      </c>
      <c r="C46" s="2" t="s">
        <v>8</v>
      </c>
      <c r="D46" s="2">
        <f>0.0061*D43</f>
        <v>0.40138000000000001</v>
      </c>
      <c r="E46" s="2"/>
      <c r="F46" s="361">
        <v>7500</v>
      </c>
      <c r="G46" s="2"/>
      <c r="H46" s="2">
        <f>ROUND(D46*F46,2)</f>
        <v>3010.35</v>
      </c>
      <c r="I46" s="11">
        <f t="shared" si="0"/>
        <v>3010.35</v>
      </c>
      <c r="K46" s="162"/>
      <c r="L46" s="162"/>
      <c r="M46" s="162"/>
    </row>
    <row r="47" spans="1:13" s="36" customFormat="1" ht="31.2" outlineLevel="1" x14ac:dyDescent="0.25">
      <c r="A47" s="107" t="s">
        <v>1497</v>
      </c>
      <c r="B47" s="9" t="s">
        <v>1517</v>
      </c>
      <c r="C47" s="31" t="s">
        <v>14</v>
      </c>
      <c r="D47" s="65">
        <f>[1]Д2!D46+[1]Ек!D47+[1]Д!D41+[1]Е!D43</f>
        <v>233.81399999999999</v>
      </c>
      <c r="E47" s="264">
        <v>250</v>
      </c>
      <c r="F47" s="140"/>
      <c r="G47" s="51">
        <f>E47*D47</f>
        <v>58453.5</v>
      </c>
      <c r="H47" s="51"/>
      <c r="I47" s="140">
        <f>H47+G47</f>
        <v>58453.5</v>
      </c>
      <c r="K47" s="162"/>
      <c r="L47" s="162"/>
      <c r="M47" s="162"/>
    </row>
    <row r="48" spans="1:13" s="36" customFormat="1" outlineLevel="1" x14ac:dyDescent="0.25">
      <c r="A48" s="553"/>
      <c r="B48" s="33" t="s">
        <v>1318</v>
      </c>
      <c r="C48" s="2" t="s">
        <v>14</v>
      </c>
      <c r="D48" s="2">
        <f>ROUND(D47*2,2)</f>
        <v>467.63</v>
      </c>
      <c r="E48" s="2"/>
      <c r="F48" s="665">
        <v>86.8</v>
      </c>
      <c r="G48" s="2"/>
      <c r="H48" s="2">
        <f>ROUND(D48*F48,2)</f>
        <v>40590.28</v>
      </c>
      <c r="I48" s="11">
        <f>G48+H48</f>
        <v>40590.28</v>
      </c>
      <c r="K48" s="162"/>
      <c r="L48" s="162"/>
      <c r="M48" s="162"/>
    </row>
    <row r="49" spans="1:14" s="36" customFormat="1" outlineLevel="1" x14ac:dyDescent="0.25">
      <c r="A49" s="107" t="s">
        <v>1499</v>
      </c>
      <c r="B49" s="29" t="s">
        <v>1500</v>
      </c>
      <c r="C49" s="2" t="s">
        <v>8</v>
      </c>
      <c r="D49" s="31">
        <f>[1]Д2!D48+[1]Ек!D49+[1]Д!D47+[1]Е!D45</f>
        <v>2.52</v>
      </c>
      <c r="E49" s="256">
        <v>1500</v>
      </c>
      <c r="F49" s="164"/>
      <c r="G49" s="2">
        <f>ROUND(E49*D49,2)</f>
        <v>3780</v>
      </c>
      <c r="H49" s="2"/>
      <c r="I49" s="11">
        <f>G49+H49</f>
        <v>3780</v>
      </c>
      <c r="K49" s="162"/>
      <c r="L49" s="162"/>
      <c r="M49" s="162"/>
    </row>
    <row r="50" spans="1:14" s="36" customFormat="1" outlineLevel="1" x14ac:dyDescent="0.25">
      <c r="A50" s="84"/>
      <c r="B50" s="11" t="s">
        <v>736</v>
      </c>
      <c r="C50" s="2" t="s">
        <v>8</v>
      </c>
      <c r="D50" s="2">
        <f>D49*1.02</f>
        <v>2.5704000000000002</v>
      </c>
      <c r="E50" s="2"/>
      <c r="F50" s="664">
        <v>4200</v>
      </c>
      <c r="G50" s="2"/>
      <c r="H50" s="2">
        <f>ROUND(D50*F50,2)</f>
        <v>10795.68</v>
      </c>
      <c r="I50" s="60">
        <f>G50+H50</f>
        <v>10795.68</v>
      </c>
      <c r="K50" s="162"/>
      <c r="L50" s="162"/>
      <c r="M50" s="162"/>
    </row>
    <row r="51" spans="1:14" s="36" customFormat="1" outlineLevel="1" x14ac:dyDescent="0.25">
      <c r="A51" s="84"/>
      <c r="B51" s="11" t="s">
        <v>737</v>
      </c>
      <c r="C51" s="41" t="s">
        <v>15</v>
      </c>
      <c r="D51" s="42">
        <f>[1]Д2!D50+[1]Ек!D51+[1]Д!D49+[1]Е!D47</f>
        <v>158.42999999999998</v>
      </c>
      <c r="E51" s="2"/>
      <c r="F51" s="364">
        <v>42</v>
      </c>
      <c r="G51" s="10"/>
      <c r="H51" s="2">
        <f>ROUND(D51*F51,2)</f>
        <v>6654.06</v>
      </c>
      <c r="I51" s="11">
        <f>G51+H51</f>
        <v>6654.06</v>
      </c>
      <c r="K51" s="162"/>
      <c r="L51" s="162"/>
      <c r="M51" s="162"/>
    </row>
    <row r="52" spans="1:14" s="36" customFormat="1" outlineLevel="1" x14ac:dyDescent="0.25">
      <c r="A52" s="92"/>
      <c r="B52" s="750" t="s">
        <v>1547</v>
      </c>
      <c r="C52" s="744" t="s">
        <v>1548</v>
      </c>
      <c r="D52" s="745">
        <f>2*20*8</f>
        <v>320</v>
      </c>
      <c r="E52" s="746">
        <v>1300</v>
      </c>
      <c r="F52" s="747"/>
      <c r="G52" s="2">
        <f>ROUND(E52*D52,2)</f>
        <v>416000</v>
      </c>
      <c r="H52" s="2"/>
      <c r="I52" s="11">
        <f>G52+H52</f>
        <v>416000</v>
      </c>
      <c r="K52" s="162"/>
      <c r="L52" s="162"/>
      <c r="M52" s="162"/>
    </row>
    <row r="53" spans="1:14" s="36" customFormat="1" outlineLevel="1" x14ac:dyDescent="0.25">
      <c r="A53" s="92"/>
      <c r="B53" s="748" t="s">
        <v>1543</v>
      </c>
      <c r="C53" s="744"/>
      <c r="D53" s="745"/>
      <c r="E53" s="746"/>
      <c r="F53" s="747"/>
      <c r="G53" s="474">
        <f>SUM(G16:G52)</f>
        <v>3480564.4</v>
      </c>
      <c r="H53" s="746"/>
      <c r="I53" s="749">
        <f>G53</f>
        <v>3480564.4</v>
      </c>
      <c r="K53" s="162"/>
      <c r="L53" s="162"/>
      <c r="M53" s="162"/>
    </row>
    <row r="54" spans="1:14" s="36" customFormat="1" outlineLevel="1" x14ac:dyDescent="0.25">
      <c r="A54" s="92"/>
      <c r="B54" s="748" t="s">
        <v>1546</v>
      </c>
      <c r="C54" s="744"/>
      <c r="D54" s="745"/>
      <c r="E54" s="746"/>
      <c r="F54" s="747"/>
      <c r="G54" s="474"/>
      <c r="H54" s="473">
        <f>SUM(H16:H51)</f>
        <v>7508781.8999999994</v>
      </c>
      <c r="I54" s="749">
        <f>H54</f>
        <v>7508781.8999999994</v>
      </c>
      <c r="K54" s="162"/>
      <c r="L54" s="162"/>
      <c r="M54" s="162"/>
    </row>
    <row r="55" spans="1:14" s="36" customFormat="1" outlineLevel="1" x14ac:dyDescent="0.25">
      <c r="A55" s="92"/>
      <c r="B55" s="748" t="s">
        <v>1544</v>
      </c>
      <c r="C55" s="744"/>
      <c r="D55" s="745"/>
      <c r="E55" s="746"/>
      <c r="F55" s="747"/>
      <c r="G55" s="474">
        <f>G53*0.25</f>
        <v>870141.1</v>
      </c>
      <c r="H55" s="746"/>
      <c r="I55" s="749">
        <f>G55</f>
        <v>870141.1</v>
      </c>
      <c r="K55" s="162"/>
      <c r="L55" s="162"/>
      <c r="M55" s="162"/>
    </row>
    <row r="56" spans="1:14" s="36" customFormat="1" outlineLevel="1" x14ac:dyDescent="0.25">
      <c r="A56" s="92"/>
      <c r="B56" s="748" t="s">
        <v>1545</v>
      </c>
      <c r="C56" s="744"/>
      <c r="D56" s="745"/>
      <c r="E56" s="746"/>
      <c r="F56" s="747"/>
      <c r="G56" s="474">
        <f>G53*0.05</f>
        <v>174028.22</v>
      </c>
      <c r="H56" s="746"/>
      <c r="I56" s="749">
        <f>G56</f>
        <v>174028.22</v>
      </c>
      <c r="K56" s="162"/>
      <c r="L56" s="162"/>
      <c r="M56" s="162"/>
    </row>
    <row r="57" spans="1:14" s="36" customFormat="1" ht="46.8" x14ac:dyDescent="0.25">
      <c r="A57" s="212"/>
      <c r="B57" s="213" t="s">
        <v>739</v>
      </c>
      <c r="C57" s="222"/>
      <c r="D57" s="215"/>
      <c r="E57" s="216"/>
      <c r="F57" s="217"/>
      <c r="G57" s="216">
        <f>G53+G55+G56</f>
        <v>4524733.72</v>
      </c>
      <c r="H57" s="216">
        <f>SUM(H16:H51)</f>
        <v>7508781.8999999994</v>
      </c>
      <c r="I57" s="215">
        <f>I53+I54+I55+I56</f>
        <v>12033515.619999999</v>
      </c>
      <c r="J57" s="691"/>
      <c r="K57" s="162"/>
      <c r="L57" s="162"/>
      <c r="M57" s="162"/>
    </row>
    <row r="58" spans="1:14" s="36" customFormat="1" x14ac:dyDescent="0.25">
      <c r="A58" s="85"/>
      <c r="B58" s="58" t="s">
        <v>624</v>
      </c>
      <c r="C58" s="9"/>
      <c r="D58" s="31"/>
      <c r="E58" s="10"/>
      <c r="F58" s="57"/>
      <c r="G58" s="10"/>
      <c r="H58" s="10"/>
      <c r="I58" s="31">
        <f>ROUND(I57/1.18*0.18,2)</f>
        <v>1835621.03</v>
      </c>
      <c r="K58" s="162"/>
      <c r="L58" s="162"/>
      <c r="M58" s="162"/>
    </row>
    <row r="59" spans="1:14" ht="18.75" customHeight="1" x14ac:dyDescent="0.25">
      <c r="A59" s="104"/>
      <c r="B59" s="771" t="s">
        <v>494</v>
      </c>
      <c r="C59" s="771"/>
      <c r="D59" s="771"/>
      <c r="E59" s="771"/>
      <c r="F59" s="771"/>
      <c r="G59" s="105"/>
      <c r="H59" s="105"/>
      <c r="I59" s="106"/>
      <c r="K59" s="129"/>
      <c r="L59" s="133"/>
      <c r="M59" s="133"/>
    </row>
    <row r="60" spans="1:14" ht="20.25" customHeight="1" outlineLevel="2" x14ac:dyDescent="0.25">
      <c r="A60" s="107" t="s">
        <v>204</v>
      </c>
      <c r="B60" s="29" t="s">
        <v>755</v>
      </c>
      <c r="C60" s="31" t="s">
        <v>8</v>
      </c>
      <c r="D60" s="31">
        <f>Д2!D54+Ек!D55+Д!D52+Е!D51</f>
        <v>4.6438499999999987</v>
      </c>
      <c r="E60" s="256">
        <v>550</v>
      </c>
      <c r="F60" s="11"/>
      <c r="G60" s="2">
        <f>ROUND(E60*D60,2)</f>
        <v>2554.12</v>
      </c>
      <c r="H60" s="2"/>
      <c r="I60" s="11">
        <f>G60+H60</f>
        <v>2554.12</v>
      </c>
      <c r="K60" s="161"/>
      <c r="L60" s="161"/>
      <c r="M60" s="161"/>
    </row>
    <row r="61" spans="1:14" ht="31.2" outlineLevel="2" x14ac:dyDescent="0.25">
      <c r="A61" s="84"/>
      <c r="B61" s="11" t="s">
        <v>764</v>
      </c>
      <c r="C61" s="2" t="s">
        <v>12</v>
      </c>
      <c r="D61" s="64">
        <v>1830</v>
      </c>
      <c r="E61" s="2"/>
      <c r="F61" s="664">
        <v>10.75</v>
      </c>
      <c r="G61" s="2"/>
      <c r="H61" s="2">
        <f>ROUND(D61*F61,2)</f>
        <v>19672.5</v>
      </c>
      <c r="I61" s="11">
        <f>G61+H61</f>
        <v>19672.5</v>
      </c>
      <c r="K61" s="161"/>
      <c r="L61" s="161"/>
      <c r="M61" s="161"/>
    </row>
    <row r="62" spans="1:14" outlineLevel="2" x14ac:dyDescent="0.25">
      <c r="A62" s="84"/>
      <c r="B62" s="11" t="s">
        <v>756</v>
      </c>
      <c r="C62" s="2" t="s">
        <v>8</v>
      </c>
      <c r="D62" s="64">
        <f>Д2!D56+Ек!D57+Д!D54+Е!D53</f>
        <v>1.08</v>
      </c>
      <c r="E62" s="2"/>
      <c r="F62" s="164">
        <v>2600</v>
      </c>
      <c r="G62" s="2"/>
      <c r="H62" s="2">
        <f>ROUND(D62*F62,2)</f>
        <v>2808</v>
      </c>
      <c r="I62" s="11">
        <f>G62+H62</f>
        <v>2808</v>
      </c>
      <c r="K62" s="161"/>
      <c r="L62" s="161"/>
      <c r="M62" s="161"/>
    </row>
    <row r="63" spans="1:14" outlineLevel="2" x14ac:dyDescent="0.25">
      <c r="A63" s="107" t="s">
        <v>205</v>
      </c>
      <c r="B63" s="205" t="s">
        <v>16</v>
      </c>
      <c r="C63" s="31" t="s">
        <v>12</v>
      </c>
      <c r="D63" s="160">
        <f>D64+D65</f>
        <v>14</v>
      </c>
      <c r="E63" s="256">
        <v>100</v>
      </c>
      <c r="F63" s="11"/>
      <c r="G63" s="2">
        <f>ROUND(E63*D63,2)</f>
        <v>1400</v>
      </c>
      <c r="H63" s="2"/>
      <c r="I63" s="11">
        <f t="shared" ref="I63:I70" si="3">G63+H63</f>
        <v>1400</v>
      </c>
      <c r="K63" s="163"/>
      <c r="L63" s="163"/>
      <c r="M63" s="163"/>
      <c r="N63" s="5"/>
    </row>
    <row r="64" spans="1:14" outlineLevel="2" x14ac:dyDescent="0.25">
      <c r="A64" s="84"/>
      <c r="B64" s="33" t="s">
        <v>754</v>
      </c>
      <c r="C64" s="2" t="s">
        <v>12</v>
      </c>
      <c r="D64" s="64">
        <f>Д!D56+Е!D55</f>
        <v>2</v>
      </c>
      <c r="E64" s="2"/>
      <c r="F64" s="664">
        <v>203</v>
      </c>
      <c r="G64" s="2"/>
      <c r="H64" s="2">
        <f>ROUND(D64*F64,2)</f>
        <v>406</v>
      </c>
      <c r="I64" s="11">
        <f t="shared" si="3"/>
        <v>406</v>
      </c>
      <c r="K64" s="163"/>
      <c r="L64" s="163"/>
      <c r="M64" s="163"/>
      <c r="N64" s="5"/>
    </row>
    <row r="65" spans="1:14" outlineLevel="2" x14ac:dyDescent="0.25">
      <c r="A65" s="84"/>
      <c r="B65" s="33" t="s">
        <v>880</v>
      </c>
      <c r="C65" s="2" t="s">
        <v>12</v>
      </c>
      <c r="D65" s="64">
        <f>Ек!D59</f>
        <v>12</v>
      </c>
      <c r="E65" s="2"/>
      <c r="F65" s="664">
        <v>386</v>
      </c>
      <c r="G65" s="2"/>
      <c r="H65" s="2">
        <f>ROUND(D65*F65,2)</f>
        <v>4632</v>
      </c>
      <c r="I65" s="11">
        <f t="shared" si="3"/>
        <v>4632</v>
      </c>
      <c r="K65" s="163"/>
      <c r="L65" s="163"/>
      <c r="M65" s="163"/>
      <c r="N65" s="5"/>
    </row>
    <row r="66" spans="1:14" outlineLevel="2" x14ac:dyDescent="0.25">
      <c r="A66" s="84"/>
      <c r="B66" s="11" t="s">
        <v>72</v>
      </c>
      <c r="C66" s="2" t="s">
        <v>8</v>
      </c>
      <c r="D66" s="64">
        <f>ROUND(0.23*D63,2)</f>
        <v>3.22</v>
      </c>
      <c r="E66" s="2"/>
      <c r="F66" s="361">
        <v>2600</v>
      </c>
      <c r="G66" s="2"/>
      <c r="H66" s="2">
        <f>ROUND(D66*F66,2)</f>
        <v>8372</v>
      </c>
      <c r="I66" s="11">
        <f t="shared" si="3"/>
        <v>8372</v>
      </c>
      <c r="K66" s="163"/>
      <c r="L66" s="163"/>
      <c r="M66" s="163"/>
      <c r="N66" s="5"/>
    </row>
    <row r="67" spans="1:14" outlineLevel="2" x14ac:dyDescent="0.25">
      <c r="A67" s="107" t="s">
        <v>207</v>
      </c>
      <c r="B67" s="44" t="s">
        <v>784</v>
      </c>
      <c r="C67" s="46" t="s">
        <v>12</v>
      </c>
      <c r="D67" s="50">
        <f>Д2!D60+Ек!D61+Д!D58+Е!D57</f>
        <v>5</v>
      </c>
      <c r="E67" s="166">
        <v>1000</v>
      </c>
      <c r="F67" s="43"/>
      <c r="G67" s="2">
        <f>ROUND(E67*D67,2)</f>
        <v>5000</v>
      </c>
      <c r="H67" s="11">
        <f>D67*F67</f>
        <v>0</v>
      </c>
      <c r="I67" s="11">
        <f t="shared" si="3"/>
        <v>5000</v>
      </c>
      <c r="K67" s="163"/>
      <c r="L67" s="163"/>
      <c r="M67" s="163"/>
      <c r="N67" s="5"/>
    </row>
    <row r="68" spans="1:14" outlineLevel="2" x14ac:dyDescent="0.25">
      <c r="A68" s="84"/>
      <c r="B68" s="11" t="s">
        <v>785</v>
      </c>
      <c r="C68" s="2" t="s">
        <v>12</v>
      </c>
      <c r="D68" s="64">
        <f>Д2!D61+Ек!D62+Д!D59+Е!D58</f>
        <v>24</v>
      </c>
      <c r="E68" s="2"/>
      <c r="F68" s="164">
        <v>1300</v>
      </c>
      <c r="G68" s="2"/>
      <c r="H68" s="2">
        <f t="shared" ref="H68:H74" si="4">ROUND(D68*F68,2)</f>
        <v>31200</v>
      </c>
      <c r="I68" s="11">
        <f t="shared" si="3"/>
        <v>31200</v>
      </c>
      <c r="K68" s="163"/>
      <c r="L68" s="163"/>
      <c r="M68" s="163"/>
      <c r="N68" s="5"/>
    </row>
    <row r="69" spans="1:14" outlineLevel="2" x14ac:dyDescent="0.25">
      <c r="A69" s="84"/>
      <c r="B69" s="11" t="s">
        <v>1326</v>
      </c>
      <c r="C69" s="2" t="s">
        <v>12</v>
      </c>
      <c r="D69" s="64">
        <f>Д2!D62+Ек!D63+Д!D60+Е!D59</f>
        <v>4</v>
      </c>
      <c r="E69" s="2"/>
      <c r="F69" s="164">
        <v>1300</v>
      </c>
      <c r="G69" s="2"/>
      <c r="H69" s="2">
        <f t="shared" si="4"/>
        <v>5200</v>
      </c>
      <c r="I69" s="11">
        <f t="shared" si="3"/>
        <v>5200</v>
      </c>
      <c r="K69" s="163"/>
      <c r="L69" s="163"/>
      <c r="M69" s="163"/>
      <c r="N69" s="5"/>
    </row>
    <row r="70" spans="1:14" outlineLevel="2" x14ac:dyDescent="0.25">
      <c r="A70" s="84"/>
      <c r="B70" s="11" t="s">
        <v>786</v>
      </c>
      <c r="C70" s="2" t="s">
        <v>12</v>
      </c>
      <c r="D70" s="64">
        <f>Д2!D63+Ек!D64+Д!D61+Е!D60</f>
        <v>31</v>
      </c>
      <c r="E70" s="2"/>
      <c r="F70" s="164">
        <v>1300</v>
      </c>
      <c r="G70" s="2"/>
      <c r="H70" s="2">
        <f t="shared" si="4"/>
        <v>40300</v>
      </c>
      <c r="I70" s="11">
        <f t="shared" si="3"/>
        <v>40300</v>
      </c>
      <c r="K70" s="163"/>
      <c r="L70" s="163"/>
      <c r="M70" s="163"/>
      <c r="N70" s="5"/>
    </row>
    <row r="71" spans="1:14" outlineLevel="2" x14ac:dyDescent="0.25">
      <c r="A71" s="84"/>
      <c r="B71" s="11" t="s">
        <v>1327</v>
      </c>
      <c r="C71" s="2" t="s">
        <v>12</v>
      </c>
      <c r="D71" s="64">
        <f>Д2!D64+Ек!D65+Д!D62+Е!D61</f>
        <v>5</v>
      </c>
      <c r="E71" s="2"/>
      <c r="F71" s="164">
        <v>1300</v>
      </c>
      <c r="G71" s="2"/>
      <c r="H71" s="2">
        <f t="shared" si="4"/>
        <v>6500</v>
      </c>
      <c r="I71" s="11">
        <f>G71+H71</f>
        <v>6500</v>
      </c>
      <c r="K71" s="163"/>
      <c r="L71" s="163"/>
      <c r="M71" s="163"/>
      <c r="N71" s="5"/>
    </row>
    <row r="72" spans="1:14" outlineLevel="2" x14ac:dyDescent="0.25">
      <c r="A72" s="84"/>
      <c r="B72" s="11" t="s">
        <v>1518</v>
      </c>
      <c r="C72" s="2" t="s">
        <v>12</v>
      </c>
      <c r="D72" s="64">
        <f>Д2!D65+Ек!D66+Д!D63+Е!D62</f>
        <v>4</v>
      </c>
      <c r="E72" s="2"/>
      <c r="F72" s="164">
        <v>1300</v>
      </c>
      <c r="G72" s="2"/>
      <c r="H72" s="2">
        <f t="shared" si="4"/>
        <v>5200</v>
      </c>
      <c r="I72" s="11">
        <f>G72+H72</f>
        <v>5200</v>
      </c>
      <c r="K72" s="163"/>
      <c r="L72" s="163"/>
      <c r="M72" s="163"/>
      <c r="N72" s="5"/>
    </row>
    <row r="73" spans="1:14" outlineLevel="2" x14ac:dyDescent="0.25">
      <c r="A73" s="84"/>
      <c r="B73" s="11" t="s">
        <v>738</v>
      </c>
      <c r="C73" s="2" t="s">
        <v>8</v>
      </c>
      <c r="D73" s="2">
        <f>Д2!D66+Ек!D67+Д!D64+Е!D63</f>
        <v>0.2</v>
      </c>
      <c r="E73" s="2"/>
      <c r="F73" s="664">
        <v>4200</v>
      </c>
      <c r="G73" s="2"/>
      <c r="H73" s="2">
        <f t="shared" si="4"/>
        <v>840</v>
      </c>
      <c r="I73" s="11">
        <f>G73+H73</f>
        <v>840</v>
      </c>
      <c r="K73" s="163"/>
      <c r="L73" s="163"/>
      <c r="M73" s="163"/>
      <c r="N73" s="5"/>
    </row>
    <row r="74" spans="1:14" outlineLevel="2" x14ac:dyDescent="0.25">
      <c r="A74" s="84"/>
      <c r="B74" s="11" t="s">
        <v>763</v>
      </c>
      <c r="C74" s="2" t="s">
        <v>1323</v>
      </c>
      <c r="D74" s="64">
        <f>Д2!D67+Ек!D68+Д!D65+Е!D64</f>
        <v>54.000000000000007</v>
      </c>
      <c r="E74" s="2"/>
      <c r="F74" s="164">
        <v>300</v>
      </c>
      <c r="G74" s="2"/>
      <c r="H74" s="2">
        <f t="shared" si="4"/>
        <v>16200</v>
      </c>
      <c r="I74" s="11">
        <f>G74+H74</f>
        <v>16200</v>
      </c>
      <c r="K74" s="163"/>
      <c r="L74" s="163"/>
      <c r="M74" s="163"/>
      <c r="N74" s="5"/>
    </row>
    <row r="75" spans="1:14" outlineLevel="2" x14ac:dyDescent="0.25">
      <c r="A75" s="84"/>
      <c r="B75" s="11" t="s">
        <v>767</v>
      </c>
      <c r="C75" s="2" t="s">
        <v>15</v>
      </c>
      <c r="D75" s="64">
        <f>Д2!D68+Ек!D69+Д!D66+Е!D65</f>
        <v>610</v>
      </c>
      <c r="E75" s="2"/>
      <c r="F75" s="361">
        <v>40</v>
      </c>
      <c r="G75" s="2"/>
      <c r="H75" s="2">
        <f t="shared" ref="H75:H81" si="5">ROUND(D75*F75,2)</f>
        <v>24400</v>
      </c>
      <c r="I75" s="11">
        <f t="shared" ref="I75:I81" si="6">G75+H75</f>
        <v>24400</v>
      </c>
      <c r="K75" s="163"/>
      <c r="L75" s="163"/>
      <c r="M75" s="163"/>
      <c r="N75" s="5"/>
    </row>
    <row r="76" spans="1:14" outlineLevel="2" x14ac:dyDescent="0.25">
      <c r="A76" s="84"/>
      <c r="B76" s="11" t="s">
        <v>768</v>
      </c>
      <c r="C76" s="2" t="s">
        <v>15</v>
      </c>
      <c r="D76" s="64">
        <f>Д2!D69+Ек!D70+Д!D67+Е!D66</f>
        <v>1380</v>
      </c>
      <c r="E76" s="2"/>
      <c r="F76" s="361">
        <v>40</v>
      </c>
      <c r="G76" s="2"/>
      <c r="H76" s="2">
        <f t="shared" si="5"/>
        <v>55200</v>
      </c>
      <c r="I76" s="11">
        <f t="shared" si="6"/>
        <v>55200</v>
      </c>
      <c r="K76" s="163"/>
      <c r="L76" s="163"/>
      <c r="M76" s="163"/>
      <c r="N76" s="5"/>
    </row>
    <row r="77" spans="1:14" outlineLevel="2" x14ac:dyDescent="0.25">
      <c r="A77" s="84"/>
      <c r="B77" s="11" t="s">
        <v>770</v>
      </c>
      <c r="C77" s="2" t="s">
        <v>15</v>
      </c>
      <c r="D77" s="64">
        <f>Д2!D70+Ек!D71+Д!D68+Е!D67</f>
        <v>23</v>
      </c>
      <c r="E77" s="2"/>
      <c r="F77" s="361">
        <v>36</v>
      </c>
      <c r="G77" s="2"/>
      <c r="H77" s="2">
        <f t="shared" si="5"/>
        <v>828</v>
      </c>
      <c r="I77" s="11">
        <f t="shared" si="6"/>
        <v>828</v>
      </c>
      <c r="K77" s="163"/>
      <c r="L77" s="163"/>
      <c r="M77" s="163"/>
      <c r="N77" s="5"/>
    </row>
    <row r="78" spans="1:14" outlineLevel="2" x14ac:dyDescent="0.25">
      <c r="A78" s="84"/>
      <c r="B78" s="11" t="s">
        <v>1331</v>
      </c>
      <c r="C78" s="2" t="s">
        <v>15</v>
      </c>
      <c r="D78" s="64">
        <f>Д2!D71+Ек!D72+Д!D69+Е!D68</f>
        <v>284</v>
      </c>
      <c r="E78" s="2"/>
      <c r="F78" s="361">
        <v>36</v>
      </c>
      <c r="G78" s="2"/>
      <c r="H78" s="2">
        <f t="shared" si="5"/>
        <v>10224</v>
      </c>
      <c r="I78" s="11">
        <f t="shared" si="6"/>
        <v>10224</v>
      </c>
      <c r="K78" s="163"/>
      <c r="L78" s="163"/>
      <c r="M78" s="163"/>
      <c r="N78" s="5"/>
    </row>
    <row r="79" spans="1:14" outlineLevel="2" x14ac:dyDescent="0.25">
      <c r="A79" s="84"/>
      <c r="B79" s="11" t="s">
        <v>771</v>
      </c>
      <c r="C79" s="2" t="s">
        <v>15</v>
      </c>
      <c r="D79" s="64">
        <f>Е!D69</f>
        <v>40</v>
      </c>
      <c r="E79" s="2"/>
      <c r="F79" s="361">
        <v>36</v>
      </c>
      <c r="G79" s="2"/>
      <c r="H79" s="2">
        <f>ROUND(D79*F79,2)</f>
        <v>1440</v>
      </c>
      <c r="I79" s="11">
        <f>G79+H79</f>
        <v>1440</v>
      </c>
      <c r="K79" s="163"/>
      <c r="L79" s="163"/>
      <c r="M79" s="163"/>
      <c r="N79" s="5"/>
    </row>
    <row r="80" spans="1:14" outlineLevel="2" x14ac:dyDescent="0.25">
      <c r="A80" s="84"/>
      <c r="B80" s="11" t="s">
        <v>772</v>
      </c>
      <c r="C80" s="2" t="s">
        <v>15</v>
      </c>
      <c r="D80" s="64">
        <f>Д2!D72+Ек!D74+Д!D70+Е!D70</f>
        <v>130</v>
      </c>
      <c r="E80" s="2"/>
      <c r="F80" s="361">
        <v>33</v>
      </c>
      <c r="G80" s="2"/>
      <c r="H80" s="2">
        <f t="shared" si="5"/>
        <v>4290</v>
      </c>
      <c r="I80" s="11">
        <f t="shared" si="6"/>
        <v>4290</v>
      </c>
      <c r="K80" s="163"/>
      <c r="L80" s="163"/>
      <c r="M80" s="163"/>
      <c r="N80" s="5"/>
    </row>
    <row r="81" spans="1:14" outlineLevel="2" x14ac:dyDescent="0.25">
      <c r="A81" s="84"/>
      <c r="B81" s="11" t="s">
        <v>773</v>
      </c>
      <c r="C81" s="2" t="s">
        <v>15</v>
      </c>
      <c r="D81" s="64">
        <f>Д2!D73+Ек!D75+Д!D71+Е!D71</f>
        <v>206</v>
      </c>
      <c r="E81" s="2"/>
      <c r="F81" s="361">
        <v>33</v>
      </c>
      <c r="G81" s="2"/>
      <c r="H81" s="2">
        <f t="shared" si="5"/>
        <v>6798</v>
      </c>
      <c r="I81" s="11">
        <f t="shared" si="6"/>
        <v>6798</v>
      </c>
      <c r="K81" s="163"/>
      <c r="L81" s="163"/>
      <c r="M81" s="163"/>
      <c r="N81" s="5"/>
    </row>
    <row r="82" spans="1:14" outlineLevel="2" x14ac:dyDescent="0.25">
      <c r="A82" s="107" t="s">
        <v>66</v>
      </c>
      <c r="B82" s="49" t="s">
        <v>807</v>
      </c>
      <c r="C82" s="41" t="s">
        <v>14</v>
      </c>
      <c r="D82" s="2">
        <f>SUM(D74:D81)*27/1000</f>
        <v>73.629000000000005</v>
      </c>
      <c r="E82" s="353">
        <v>150</v>
      </c>
      <c r="F82" s="363"/>
      <c r="G82" s="2">
        <f>D82*E82</f>
        <v>11044.35</v>
      </c>
      <c r="H82" s="2"/>
      <c r="I82" s="11">
        <f>G82</f>
        <v>11044.35</v>
      </c>
      <c r="K82" s="163"/>
      <c r="L82" s="163"/>
      <c r="M82" s="163"/>
      <c r="N82" s="5"/>
    </row>
    <row r="83" spans="1:14" outlineLevel="2" x14ac:dyDescent="0.25">
      <c r="A83" s="84"/>
      <c r="B83" s="47" t="s">
        <v>908</v>
      </c>
      <c r="C83" s="41" t="s">
        <v>15</v>
      </c>
      <c r="D83" s="2">
        <f>D82*0.2</f>
        <v>14.725800000000001</v>
      </c>
      <c r="E83" s="390"/>
      <c r="F83" s="362">
        <v>85</v>
      </c>
      <c r="G83" s="2"/>
      <c r="H83" s="2">
        <f>F83*D83</f>
        <v>1251.6930000000002</v>
      </c>
      <c r="I83" s="11">
        <f>H83</f>
        <v>1251.6930000000002</v>
      </c>
      <c r="K83" s="163"/>
      <c r="L83" s="163"/>
      <c r="M83" s="163"/>
      <c r="N83" s="5"/>
    </row>
    <row r="84" spans="1:14" outlineLevel="2" x14ac:dyDescent="0.25">
      <c r="A84" s="84"/>
      <c r="B84" s="47" t="s">
        <v>809</v>
      </c>
      <c r="C84" s="41" t="s">
        <v>15</v>
      </c>
      <c r="D84" s="2">
        <f>D82*0.3</f>
        <v>22.088699999999999</v>
      </c>
      <c r="E84" s="390"/>
      <c r="F84" s="362">
        <v>115</v>
      </c>
      <c r="G84" s="2"/>
      <c r="H84" s="2">
        <f>F84*D84</f>
        <v>2540.2004999999999</v>
      </c>
      <c r="I84" s="11">
        <f>H84</f>
        <v>2540.2004999999999</v>
      </c>
      <c r="K84" s="163"/>
      <c r="L84" s="163"/>
      <c r="M84" s="163"/>
      <c r="N84" s="5"/>
    </row>
    <row r="85" spans="1:14" outlineLevel="2" x14ac:dyDescent="0.25">
      <c r="A85" s="107" t="s">
        <v>349</v>
      </c>
      <c r="B85" s="29" t="s">
        <v>787</v>
      </c>
      <c r="C85" s="31" t="s">
        <v>8</v>
      </c>
      <c r="D85" s="31">
        <f>Д2!D77+Ек!D79+Д!D75+Е!D75</f>
        <v>3.5600000000000005</v>
      </c>
      <c r="E85" s="256">
        <v>800</v>
      </c>
      <c r="F85" s="11"/>
      <c r="G85" s="2">
        <f>ROUND(E85*D85,2)</f>
        <v>2848</v>
      </c>
      <c r="H85" s="2"/>
      <c r="I85" s="11">
        <f t="shared" ref="I85:I94" si="7">G85+H85</f>
        <v>2848</v>
      </c>
      <c r="K85" s="163"/>
      <c r="L85" s="163"/>
      <c r="M85" s="163"/>
      <c r="N85" s="5"/>
    </row>
    <row r="86" spans="1:14" outlineLevel="2" x14ac:dyDescent="0.25">
      <c r="A86" s="84"/>
      <c r="B86" s="11" t="s">
        <v>738</v>
      </c>
      <c r="C86" s="2" t="s">
        <v>8</v>
      </c>
      <c r="D86" s="2">
        <f>D85*1.02</f>
        <v>3.6312000000000006</v>
      </c>
      <c r="E86" s="2"/>
      <c r="F86" s="664">
        <v>4200</v>
      </c>
      <c r="G86" s="2"/>
      <c r="H86" s="2">
        <f>ROUND(D86*F86,2)</f>
        <v>15251.04</v>
      </c>
      <c r="I86" s="11">
        <f t="shared" si="7"/>
        <v>15251.04</v>
      </c>
      <c r="K86" s="163"/>
      <c r="L86" s="163"/>
      <c r="M86" s="163"/>
      <c r="N86" s="5"/>
    </row>
    <row r="87" spans="1:14" outlineLevel="2" x14ac:dyDescent="0.25">
      <c r="A87" s="84"/>
      <c r="B87" s="47" t="s">
        <v>1529</v>
      </c>
      <c r="C87" s="41" t="s">
        <v>15</v>
      </c>
      <c r="D87" s="42">
        <f>Д2!D79+Ек!D81+Д!D77+Е!D77</f>
        <v>151.48000000000002</v>
      </c>
      <c r="E87" s="2"/>
      <c r="F87" s="364">
        <v>42</v>
      </c>
      <c r="G87" s="10"/>
      <c r="H87" s="2">
        <f>ROUND(D87*F87,2)</f>
        <v>6362.16</v>
      </c>
      <c r="I87" s="11">
        <f t="shared" si="7"/>
        <v>6362.16</v>
      </c>
      <c r="K87" s="163"/>
      <c r="L87" s="163"/>
      <c r="M87" s="163"/>
      <c r="N87" s="5"/>
    </row>
    <row r="88" spans="1:14" ht="18.75" customHeight="1" outlineLevel="2" x14ac:dyDescent="0.25">
      <c r="A88" s="107" t="s">
        <v>495</v>
      </c>
      <c r="B88" s="29" t="s">
        <v>1305</v>
      </c>
      <c r="C88" s="2" t="s">
        <v>8</v>
      </c>
      <c r="D88" s="31">
        <f>Д2!D80+Ек!D82+Д!D78+Е!D78</f>
        <v>2.52</v>
      </c>
      <c r="E88" s="256">
        <v>1500</v>
      </c>
      <c r="F88" s="164"/>
      <c r="G88" s="2">
        <f>ROUND(E88*D88,2)</f>
        <v>3780</v>
      </c>
      <c r="H88" s="2"/>
      <c r="I88" s="11">
        <f t="shared" si="7"/>
        <v>3780</v>
      </c>
      <c r="K88" s="161"/>
      <c r="L88" s="161"/>
      <c r="M88" s="161"/>
      <c r="N88" s="5"/>
    </row>
    <row r="89" spans="1:14" outlineLevel="2" x14ac:dyDescent="0.25">
      <c r="A89" s="84"/>
      <c r="B89" s="11" t="s">
        <v>738</v>
      </c>
      <c r="C89" s="2" t="s">
        <v>8</v>
      </c>
      <c r="D89" s="2">
        <f>D88*1.02</f>
        <v>2.5704000000000002</v>
      </c>
      <c r="E89" s="2"/>
      <c r="F89" s="664">
        <v>4200</v>
      </c>
      <c r="G89" s="2"/>
      <c r="H89" s="2">
        <f>ROUND(D89*F89,2)</f>
        <v>10795.68</v>
      </c>
      <c r="I89" s="60">
        <f t="shared" si="7"/>
        <v>10795.68</v>
      </c>
      <c r="K89" s="161"/>
      <c r="L89" s="161"/>
      <c r="M89" s="161"/>
      <c r="N89" s="5"/>
    </row>
    <row r="90" spans="1:14" outlineLevel="2" x14ac:dyDescent="0.25">
      <c r="A90" s="84"/>
      <c r="B90" s="11" t="s">
        <v>737</v>
      </c>
      <c r="C90" s="41" t="s">
        <v>15</v>
      </c>
      <c r="D90" s="42">
        <f>Д2!D82+Ек!D84+Д!D80+Е!D80</f>
        <v>158.42999999999998</v>
      </c>
      <c r="E90" s="2"/>
      <c r="F90" s="364">
        <v>42</v>
      </c>
      <c r="G90" s="10"/>
      <c r="H90" s="2">
        <f>ROUND(D90*F90,2)</f>
        <v>6654.06</v>
      </c>
      <c r="I90" s="11">
        <f t="shared" si="7"/>
        <v>6654.06</v>
      </c>
      <c r="K90" s="161"/>
      <c r="L90" s="161"/>
      <c r="M90" s="161"/>
      <c r="N90" s="5"/>
    </row>
    <row r="91" spans="1:14" ht="31.2" outlineLevel="2" x14ac:dyDescent="0.25">
      <c r="A91" s="84"/>
      <c r="B91" s="29" t="s">
        <v>1352</v>
      </c>
      <c r="C91" s="2" t="s">
        <v>8</v>
      </c>
      <c r="D91" s="31">
        <f>Ек!D85</f>
        <v>0.16800000000000001</v>
      </c>
      <c r="E91" s="256">
        <v>600</v>
      </c>
      <c r="F91" s="164"/>
      <c r="G91" s="2">
        <f>ROUND(E91*D91,2)</f>
        <v>100.8</v>
      </c>
      <c r="H91" s="2"/>
      <c r="I91" s="11">
        <f t="shared" si="7"/>
        <v>100.8</v>
      </c>
      <c r="K91" s="161"/>
      <c r="L91" s="161"/>
      <c r="M91" s="161"/>
      <c r="N91" s="5"/>
    </row>
    <row r="92" spans="1:14" outlineLevel="2" x14ac:dyDescent="0.25">
      <c r="A92" s="84"/>
      <c r="B92" s="11" t="s">
        <v>738</v>
      </c>
      <c r="C92" s="2" t="s">
        <v>8</v>
      </c>
      <c r="D92" s="2">
        <f>D91*1.02</f>
        <v>0.17136000000000001</v>
      </c>
      <c r="E92" s="2"/>
      <c r="F92" s="664">
        <v>4200</v>
      </c>
      <c r="G92" s="2"/>
      <c r="H92" s="2">
        <f>ROUND(D92*F92,2)</f>
        <v>719.71</v>
      </c>
      <c r="I92" s="60">
        <f t="shared" si="7"/>
        <v>719.71</v>
      </c>
      <c r="K92" s="161"/>
      <c r="L92" s="161"/>
      <c r="M92" s="161"/>
      <c r="N92" s="5"/>
    </row>
    <row r="93" spans="1:14" outlineLevel="2" x14ac:dyDescent="0.25">
      <c r="A93" s="84"/>
      <c r="B93" s="11" t="s">
        <v>737</v>
      </c>
      <c r="C93" s="41" t="s">
        <v>15</v>
      </c>
      <c r="D93" s="42">
        <f>Ек!D87</f>
        <v>15.36</v>
      </c>
      <c r="E93" s="2"/>
      <c r="F93" s="364">
        <v>42</v>
      </c>
      <c r="G93" s="10"/>
      <c r="H93" s="2">
        <f>ROUND(D93*F93,2)</f>
        <v>645.12</v>
      </c>
      <c r="I93" s="11">
        <f t="shared" si="7"/>
        <v>645.12</v>
      </c>
      <c r="K93" s="161"/>
      <c r="L93" s="161"/>
      <c r="M93" s="161"/>
      <c r="N93" s="5"/>
    </row>
    <row r="94" spans="1:14" outlineLevel="2" x14ac:dyDescent="0.25">
      <c r="A94" s="107" t="s">
        <v>496</v>
      </c>
      <c r="B94" s="48" t="s">
        <v>740</v>
      </c>
      <c r="C94" s="46" t="s">
        <v>12</v>
      </c>
      <c r="D94" s="50">
        <f>SUM(D95:D107)</f>
        <v>192</v>
      </c>
      <c r="E94" s="275">
        <v>600</v>
      </c>
      <c r="F94" s="43"/>
      <c r="G94" s="2">
        <f>ROUND(E94*D94,2)</f>
        <v>115200</v>
      </c>
      <c r="H94" s="11"/>
      <c r="I94" s="11">
        <f t="shared" si="7"/>
        <v>115200</v>
      </c>
      <c r="K94" s="161"/>
      <c r="L94" s="161"/>
      <c r="M94" s="161"/>
      <c r="N94" s="5"/>
    </row>
    <row r="95" spans="1:14" outlineLevel="2" x14ac:dyDescent="0.25">
      <c r="A95" s="84"/>
      <c r="B95" s="47" t="s">
        <v>751</v>
      </c>
      <c r="C95" s="2" t="s">
        <v>12</v>
      </c>
      <c r="D95" s="2">
        <f>Ек!D89+Е!D82</f>
        <v>38</v>
      </c>
      <c r="E95" s="31"/>
      <c r="F95" s="363">
        <v>15000</v>
      </c>
      <c r="G95" s="2"/>
      <c r="H95" s="2">
        <f t="shared" ref="H95:H107" si="8">ROUND(D95*F95,2)</f>
        <v>570000</v>
      </c>
      <c r="I95" s="60">
        <f t="shared" ref="I95:I107" si="9">G95+H95</f>
        <v>570000</v>
      </c>
      <c r="K95" s="161"/>
      <c r="L95" s="161"/>
      <c r="M95" s="161"/>
      <c r="N95" s="5"/>
    </row>
    <row r="96" spans="1:14" outlineLevel="2" x14ac:dyDescent="0.25">
      <c r="A96" s="84"/>
      <c r="B96" s="47" t="s">
        <v>752</v>
      </c>
      <c r="C96" s="2" t="s">
        <v>12</v>
      </c>
      <c r="D96" s="2">
        <f>Ек!D90+Е!D83</f>
        <v>10</v>
      </c>
      <c r="E96" s="31"/>
      <c r="F96" s="363">
        <v>15000</v>
      </c>
      <c r="G96" s="2"/>
      <c r="H96" s="2">
        <f t="shared" si="8"/>
        <v>150000</v>
      </c>
      <c r="I96" s="60">
        <f t="shared" si="9"/>
        <v>150000</v>
      </c>
      <c r="K96" s="161"/>
      <c r="L96" s="161"/>
      <c r="M96" s="161"/>
      <c r="N96" s="5"/>
    </row>
    <row r="97" spans="1:14" outlineLevel="2" x14ac:dyDescent="0.25">
      <c r="A97" s="84"/>
      <c r="B97" s="47" t="s">
        <v>742</v>
      </c>
      <c r="C97" s="2" t="s">
        <v>12</v>
      </c>
      <c r="D97" s="2">
        <f>Д2!D84+Д!D82</f>
        <v>12</v>
      </c>
      <c r="E97" s="31"/>
      <c r="F97" s="664">
        <v>12796</v>
      </c>
      <c r="G97" s="2"/>
      <c r="H97" s="2">
        <f t="shared" si="8"/>
        <v>153552</v>
      </c>
      <c r="I97" s="60">
        <f t="shared" si="9"/>
        <v>153552</v>
      </c>
      <c r="K97" s="161"/>
      <c r="L97" s="161"/>
      <c r="M97" s="161"/>
      <c r="N97" s="5"/>
    </row>
    <row r="98" spans="1:14" outlineLevel="2" x14ac:dyDescent="0.25">
      <c r="A98" s="84"/>
      <c r="B98" s="47" t="s">
        <v>741</v>
      </c>
      <c r="C98" s="2" t="s">
        <v>12</v>
      </c>
      <c r="D98" s="2">
        <f>Д2!D85+Е!D83</f>
        <v>10</v>
      </c>
      <c r="E98" s="31"/>
      <c r="F98" s="664">
        <v>14406</v>
      </c>
      <c r="G98" s="2"/>
      <c r="H98" s="2">
        <f t="shared" si="8"/>
        <v>144060</v>
      </c>
      <c r="I98" s="60">
        <f t="shared" si="9"/>
        <v>144060</v>
      </c>
      <c r="K98" s="161"/>
      <c r="L98" s="161"/>
      <c r="M98" s="161"/>
      <c r="N98" s="5"/>
    </row>
    <row r="99" spans="1:14" outlineLevel="2" x14ac:dyDescent="0.25">
      <c r="A99" s="84"/>
      <c r="B99" s="47" t="s">
        <v>743</v>
      </c>
      <c r="C99" s="2" t="s">
        <v>12</v>
      </c>
      <c r="D99" s="2">
        <f>Д2!D86+Ек!D91+Д!D84+Е!D84</f>
        <v>68</v>
      </c>
      <c r="E99" s="31"/>
      <c r="F99" s="362">
        <v>9631</v>
      </c>
      <c r="G99" s="2"/>
      <c r="H99" s="2">
        <f t="shared" si="8"/>
        <v>654908</v>
      </c>
      <c r="I99" s="60">
        <f t="shared" si="9"/>
        <v>654908</v>
      </c>
      <c r="K99" s="161"/>
      <c r="L99" s="161"/>
      <c r="M99" s="161"/>
      <c r="N99" s="5"/>
    </row>
    <row r="100" spans="1:14" outlineLevel="2" x14ac:dyDescent="0.25">
      <c r="A100" s="84"/>
      <c r="B100" s="47" t="s">
        <v>744</v>
      </c>
      <c r="C100" s="2" t="s">
        <v>12</v>
      </c>
      <c r="D100" s="2">
        <f>Д2!D87+Ек!D92+Д!D85+Е!D85</f>
        <v>20</v>
      </c>
      <c r="E100" s="31"/>
      <c r="F100" s="362">
        <v>11987</v>
      </c>
      <c r="G100" s="2"/>
      <c r="H100" s="2">
        <f t="shared" si="8"/>
        <v>239740</v>
      </c>
      <c r="I100" s="60">
        <f t="shared" si="9"/>
        <v>239740</v>
      </c>
      <c r="K100" s="161"/>
      <c r="L100" s="161"/>
      <c r="M100" s="161"/>
      <c r="N100" s="5"/>
    </row>
    <row r="101" spans="1:14" outlineLevel="2" x14ac:dyDescent="0.25">
      <c r="A101" s="84"/>
      <c r="B101" s="47" t="s">
        <v>745</v>
      </c>
      <c r="C101" s="2" t="s">
        <v>12</v>
      </c>
      <c r="D101" s="2">
        <f>Д2!D88+Д!D86</f>
        <v>2</v>
      </c>
      <c r="E101" s="31"/>
      <c r="F101" s="664">
        <v>5621</v>
      </c>
      <c r="G101" s="2"/>
      <c r="H101" s="2">
        <f t="shared" si="8"/>
        <v>11242</v>
      </c>
      <c r="I101" s="60">
        <f t="shared" si="9"/>
        <v>11242</v>
      </c>
      <c r="K101" s="161"/>
      <c r="L101" s="161"/>
      <c r="M101" s="161"/>
      <c r="N101" s="5"/>
    </row>
    <row r="102" spans="1:14" outlineLevel="2" x14ac:dyDescent="0.25">
      <c r="A102" s="84"/>
      <c r="B102" s="47" t="s">
        <v>746</v>
      </c>
      <c r="C102" s="2" t="s">
        <v>12</v>
      </c>
      <c r="D102" s="2">
        <f>Д2!D89+Д!D87</f>
        <v>2</v>
      </c>
      <c r="E102" s="31"/>
      <c r="F102" s="666">
        <v>4222</v>
      </c>
      <c r="G102" s="2"/>
      <c r="H102" s="2">
        <f>ROUND(D102*F102,2)</f>
        <v>8444</v>
      </c>
      <c r="I102" s="60">
        <f>G102+H102</f>
        <v>8444</v>
      </c>
      <c r="K102" s="161"/>
      <c r="L102" s="161"/>
      <c r="M102" s="161"/>
      <c r="N102" s="5"/>
    </row>
    <row r="103" spans="1:14" outlineLevel="2" x14ac:dyDescent="0.25">
      <c r="A103" s="84"/>
      <c r="B103" s="47" t="s">
        <v>1519</v>
      </c>
      <c r="C103" s="2" t="s">
        <v>12</v>
      </c>
      <c r="D103" s="2">
        <f>Ек!D93+Е!D86</f>
        <v>4</v>
      </c>
      <c r="E103" s="31"/>
      <c r="F103" s="362">
        <v>4100</v>
      </c>
      <c r="G103" s="2"/>
      <c r="H103" s="2">
        <f t="shared" si="8"/>
        <v>16400</v>
      </c>
      <c r="I103" s="60">
        <f t="shared" si="9"/>
        <v>16400</v>
      </c>
      <c r="K103" s="161"/>
      <c r="L103" s="161"/>
      <c r="M103" s="161"/>
      <c r="N103" s="5"/>
    </row>
    <row r="104" spans="1:14" outlineLevel="2" x14ac:dyDescent="0.25">
      <c r="A104" s="84"/>
      <c r="B104" s="47" t="s">
        <v>1338</v>
      </c>
      <c r="C104" s="2" t="s">
        <v>12</v>
      </c>
      <c r="D104" s="2">
        <f>Ек!D94+Е!D87</f>
        <v>3</v>
      </c>
      <c r="E104" s="31"/>
      <c r="F104" s="363">
        <v>12000</v>
      </c>
      <c r="G104" s="2"/>
      <c r="H104" s="2">
        <f t="shared" si="8"/>
        <v>36000</v>
      </c>
      <c r="I104" s="60">
        <f t="shared" si="9"/>
        <v>36000</v>
      </c>
      <c r="K104" s="161"/>
      <c r="L104" s="161"/>
      <c r="M104" s="161"/>
      <c r="N104" s="5"/>
    </row>
    <row r="105" spans="1:14" outlineLevel="2" x14ac:dyDescent="0.25">
      <c r="A105" s="84"/>
      <c r="B105" s="47" t="s">
        <v>1319</v>
      </c>
      <c r="C105" s="2" t="s">
        <v>12</v>
      </c>
      <c r="D105" s="2">
        <f>Д2!D90+Ек!D95+Е!D88</f>
        <v>6</v>
      </c>
      <c r="E105" s="31"/>
      <c r="F105" s="363">
        <v>15000</v>
      </c>
      <c r="G105" s="2"/>
      <c r="H105" s="2">
        <f t="shared" si="8"/>
        <v>90000</v>
      </c>
      <c r="I105" s="60">
        <f t="shared" si="9"/>
        <v>90000</v>
      </c>
      <c r="K105" s="161"/>
      <c r="L105" s="161"/>
      <c r="M105" s="161"/>
      <c r="N105" s="5"/>
    </row>
    <row r="106" spans="1:14" outlineLevel="2" x14ac:dyDescent="0.25">
      <c r="A106" s="84"/>
      <c r="B106" s="47" t="s">
        <v>1307</v>
      </c>
      <c r="C106" s="2" t="s">
        <v>12</v>
      </c>
      <c r="D106" s="2">
        <f>Д2!D91+Ек!D96+Д!D88+Е!D89</f>
        <v>15</v>
      </c>
      <c r="E106" s="31"/>
      <c r="F106" s="362">
        <v>18060</v>
      </c>
      <c r="G106" s="2"/>
      <c r="H106" s="2">
        <f t="shared" si="8"/>
        <v>270900</v>
      </c>
      <c r="I106" s="60">
        <f t="shared" si="9"/>
        <v>270900</v>
      </c>
      <c r="K106" s="161"/>
      <c r="L106" s="161"/>
      <c r="M106" s="161"/>
      <c r="N106" s="5"/>
    </row>
    <row r="107" spans="1:14" outlineLevel="2" x14ac:dyDescent="0.25">
      <c r="A107" s="84"/>
      <c r="B107" s="47" t="s">
        <v>1320</v>
      </c>
      <c r="C107" s="2" t="s">
        <v>12</v>
      </c>
      <c r="D107" s="2">
        <f>Д2!D92</f>
        <v>2</v>
      </c>
      <c r="E107" s="31"/>
      <c r="F107" s="362">
        <v>20377</v>
      </c>
      <c r="G107" s="2"/>
      <c r="H107" s="2">
        <f t="shared" si="8"/>
        <v>40754</v>
      </c>
      <c r="I107" s="60">
        <f t="shared" si="9"/>
        <v>40754</v>
      </c>
      <c r="K107" s="161"/>
      <c r="L107" s="161"/>
      <c r="M107" s="161"/>
      <c r="N107" s="5"/>
    </row>
    <row r="108" spans="1:14" outlineLevel="2" x14ac:dyDescent="0.25">
      <c r="A108" s="84"/>
      <c r="B108" s="45" t="s">
        <v>480</v>
      </c>
      <c r="C108" s="41" t="s">
        <v>9</v>
      </c>
      <c r="D108" s="722">
        <f>Д2!D93+Ек!D97+Д!D89+Е!D90</f>
        <v>0.36610999999999999</v>
      </c>
      <c r="E108" s="43"/>
      <c r="F108" s="364">
        <v>40000</v>
      </c>
      <c r="G108" s="18"/>
      <c r="H108" s="2">
        <f>ROUND(D108*F108,2)</f>
        <v>14644.4</v>
      </c>
      <c r="I108" s="11">
        <f t="shared" ref="I108:I113" si="10">G108+H108</f>
        <v>14644.4</v>
      </c>
      <c r="K108" s="161"/>
      <c r="L108" s="161"/>
      <c r="M108" s="161"/>
      <c r="N108" s="5"/>
    </row>
    <row r="109" spans="1:14" outlineLevel="2" x14ac:dyDescent="0.25">
      <c r="A109" s="84"/>
      <c r="B109" s="45" t="s">
        <v>198</v>
      </c>
      <c r="C109" s="41" t="s">
        <v>9</v>
      </c>
      <c r="D109" s="42">
        <f>0.11/334.51*D90</f>
        <v>5.2097994080894439E-2</v>
      </c>
      <c r="E109" s="43"/>
      <c r="F109" s="364">
        <f>65*1.1*1000</f>
        <v>71500</v>
      </c>
      <c r="G109" s="2"/>
      <c r="H109" s="2">
        <f>ROUND(D109*F109,2)</f>
        <v>3725.01</v>
      </c>
      <c r="I109" s="11">
        <f t="shared" si="10"/>
        <v>3725.01</v>
      </c>
      <c r="K109" s="161"/>
      <c r="L109" s="161"/>
      <c r="M109" s="161"/>
      <c r="N109" s="5"/>
    </row>
    <row r="110" spans="1:14" outlineLevel="2" x14ac:dyDescent="0.25">
      <c r="A110" s="107" t="s">
        <v>621</v>
      </c>
      <c r="B110" s="49" t="s">
        <v>788</v>
      </c>
      <c r="C110" s="203" t="s">
        <v>8</v>
      </c>
      <c r="D110" s="46">
        <f>Д2!D95+Ек!D99+Д!D91+Е!D92</f>
        <v>6.8599999999999994</v>
      </c>
      <c r="E110" s="353">
        <v>800</v>
      </c>
      <c r="F110" s="139"/>
      <c r="G110" s="2">
        <f>ROUND(E110*D110,2)</f>
        <v>5488</v>
      </c>
      <c r="H110" s="26"/>
      <c r="I110" s="11">
        <f t="shared" si="10"/>
        <v>5488</v>
      </c>
      <c r="K110" s="161"/>
      <c r="L110" s="161"/>
      <c r="M110" s="161"/>
      <c r="N110" s="5"/>
    </row>
    <row r="111" spans="1:14" outlineLevel="2" x14ac:dyDescent="0.25">
      <c r="A111" s="84"/>
      <c r="B111" s="47" t="s">
        <v>366</v>
      </c>
      <c r="C111" s="41" t="s">
        <v>15</v>
      </c>
      <c r="D111" s="42">
        <f>Д2!D96+Ек!D100+Д!D92+Е!D93</f>
        <v>896.65</v>
      </c>
      <c r="E111" s="2"/>
      <c r="F111" s="364">
        <v>34</v>
      </c>
      <c r="G111" s="10"/>
      <c r="H111" s="2">
        <f>ROUND(D111*F111,2)</f>
        <v>30486.1</v>
      </c>
      <c r="I111" s="11">
        <f t="shared" si="10"/>
        <v>30486.1</v>
      </c>
      <c r="K111" s="161"/>
      <c r="L111" s="161"/>
      <c r="M111" s="161"/>
      <c r="N111" s="5"/>
    </row>
    <row r="112" spans="1:14" outlineLevel="2" x14ac:dyDescent="0.25">
      <c r="A112" s="84"/>
      <c r="B112" s="47" t="s">
        <v>1530</v>
      </c>
      <c r="C112" s="41" t="s">
        <v>15</v>
      </c>
      <c r="D112" s="42">
        <f>Д2!D97+Ек!D101+Д!D93+Е!D94</f>
        <v>24.44</v>
      </c>
      <c r="E112" s="2"/>
      <c r="F112" s="364">
        <v>42</v>
      </c>
      <c r="G112" s="10"/>
      <c r="H112" s="2">
        <f>ROUND(D112*F112,2)</f>
        <v>1026.48</v>
      </c>
      <c r="I112" s="11">
        <f t="shared" si="10"/>
        <v>1026.48</v>
      </c>
      <c r="K112" s="161"/>
      <c r="L112" s="161"/>
      <c r="M112" s="161"/>
      <c r="N112" s="5"/>
    </row>
    <row r="113" spans="1:252" outlineLevel="2" x14ac:dyDescent="0.25">
      <c r="A113" s="84"/>
      <c r="B113" s="47" t="s">
        <v>483</v>
      </c>
      <c r="C113" s="41" t="s">
        <v>8</v>
      </c>
      <c r="D113" s="42">
        <f>Д2!D98+Ек!D102+Д!D94+Е!D95</f>
        <v>6.9629000000000003</v>
      </c>
      <c r="E113" s="2"/>
      <c r="F113" s="664">
        <v>4200</v>
      </c>
      <c r="G113" s="31"/>
      <c r="H113" s="2">
        <f>ROUND(D113*F113,2)</f>
        <v>29244.18</v>
      </c>
      <c r="I113" s="11">
        <f t="shared" si="10"/>
        <v>29244.18</v>
      </c>
      <c r="K113" s="161"/>
      <c r="L113" s="161"/>
      <c r="M113" s="161"/>
      <c r="N113" s="5"/>
    </row>
    <row r="114" spans="1:252" hidden="1" outlineLevel="1" x14ac:dyDescent="0.25">
      <c r="A114" s="84"/>
      <c r="B114" s="309"/>
      <c r="C114" s="2"/>
      <c r="D114" s="340"/>
      <c r="E114" s="2"/>
      <c r="F114" s="164"/>
      <c r="G114" s="2"/>
      <c r="H114" s="2"/>
      <c r="I114" s="60"/>
      <c r="K114" s="161"/>
      <c r="L114" s="161"/>
      <c r="M114" s="161"/>
      <c r="N114" s="5"/>
    </row>
    <row r="115" spans="1:252" s="6" customFormat="1" hidden="1" outlineLevel="1" x14ac:dyDescent="0.25">
      <c r="A115" s="269" t="s">
        <v>496</v>
      </c>
      <c r="B115" s="313" t="s">
        <v>27</v>
      </c>
      <c r="C115" s="31" t="s">
        <v>14</v>
      </c>
      <c r="D115" s="306">
        <v>0</v>
      </c>
      <c r="E115" s="256">
        <v>100</v>
      </c>
      <c r="F115" s="11"/>
      <c r="G115" s="2">
        <f>ROUND(E115*D115,2)</f>
        <v>0</v>
      </c>
      <c r="H115" s="2"/>
      <c r="I115" s="11">
        <f t="shared" ref="I115:I120" si="11">G115+H115</f>
        <v>0</v>
      </c>
      <c r="K115" s="161"/>
      <c r="L115" s="161"/>
      <c r="M115" s="161"/>
      <c r="N115" s="5"/>
    </row>
    <row r="116" spans="1:252" ht="31.2" hidden="1" outlineLevel="1" x14ac:dyDescent="0.25">
      <c r="A116" s="86"/>
      <c r="B116" s="309" t="s">
        <v>28</v>
      </c>
      <c r="C116" s="2" t="s">
        <v>8</v>
      </c>
      <c r="D116" s="340">
        <f>ROUND(D115*0.1*1.03,2)</f>
        <v>0</v>
      </c>
      <c r="E116" s="2"/>
      <c r="F116" s="164">
        <v>4100</v>
      </c>
      <c r="G116" s="2"/>
      <c r="H116" s="2">
        <f>ROUND(D116*F116,2)</f>
        <v>0</v>
      </c>
      <c r="I116" s="11">
        <f t="shared" si="11"/>
        <v>0</v>
      </c>
      <c r="K116" s="161"/>
      <c r="L116" s="161"/>
      <c r="M116" s="161"/>
      <c r="N116" s="5"/>
    </row>
    <row r="117" spans="1:252" s="36" customFormat="1" ht="36" hidden="1" customHeight="1" outlineLevel="1" x14ac:dyDescent="0.25">
      <c r="A117" s="261" t="s">
        <v>621</v>
      </c>
      <c r="B117" s="307" t="s">
        <v>209</v>
      </c>
      <c r="C117" s="31" t="s">
        <v>14</v>
      </c>
      <c r="D117" s="306">
        <v>0</v>
      </c>
      <c r="E117" s="256">
        <v>150</v>
      </c>
      <c r="F117" s="11"/>
      <c r="G117" s="2">
        <f>ROUND(E117*D117,2)</f>
        <v>0</v>
      </c>
      <c r="H117" s="2"/>
      <c r="I117" s="11">
        <f t="shared" si="11"/>
        <v>0</v>
      </c>
      <c r="K117" s="161"/>
      <c r="L117" s="161"/>
      <c r="M117" s="161"/>
      <c r="N117" s="5"/>
    </row>
    <row r="118" spans="1:252" hidden="1" outlineLevel="1" x14ac:dyDescent="0.25">
      <c r="A118" s="84"/>
      <c r="B118" s="309" t="s">
        <v>65</v>
      </c>
      <c r="C118" s="2" t="s">
        <v>15</v>
      </c>
      <c r="D118" s="340">
        <f>2.5*D117</f>
        <v>0</v>
      </c>
      <c r="E118" s="2"/>
      <c r="F118" s="361">
        <v>55</v>
      </c>
      <c r="G118" s="2"/>
      <c r="H118" s="2">
        <f>ROUND(D118*F118,2)</f>
        <v>0</v>
      </c>
      <c r="I118" s="11">
        <f t="shared" si="11"/>
        <v>0</v>
      </c>
      <c r="K118" s="161"/>
      <c r="L118" s="161"/>
      <c r="M118" s="161"/>
      <c r="N118" s="5"/>
    </row>
    <row r="119" spans="1:252" hidden="1" outlineLevel="1" x14ac:dyDescent="0.25">
      <c r="A119" s="84"/>
      <c r="B119" s="309" t="s">
        <v>68</v>
      </c>
      <c r="C119" s="2" t="s">
        <v>30</v>
      </c>
      <c r="D119" s="340">
        <f>0.35*D117</f>
        <v>0</v>
      </c>
      <c r="E119" s="2"/>
      <c r="F119" s="361">
        <v>44</v>
      </c>
      <c r="G119" s="2"/>
      <c r="H119" s="2">
        <f>ROUND(D119*F119,2)</f>
        <v>0</v>
      </c>
      <c r="I119" s="11">
        <f t="shared" si="11"/>
        <v>0</v>
      </c>
      <c r="K119" s="161"/>
      <c r="L119" s="161"/>
      <c r="M119" s="161"/>
      <c r="N119" s="5"/>
    </row>
    <row r="120" spans="1:252" s="36" customFormat="1" outlineLevel="1" x14ac:dyDescent="0.25">
      <c r="A120" s="92"/>
      <c r="B120" s="750" t="s">
        <v>1547</v>
      </c>
      <c r="C120" s="744" t="s">
        <v>1548</v>
      </c>
      <c r="D120" s="745">
        <v>66</v>
      </c>
      <c r="E120" s="746">
        <v>1300</v>
      </c>
      <c r="F120" s="747"/>
      <c r="G120" s="2">
        <f>ROUND(E120*D120,2)</f>
        <v>85800</v>
      </c>
      <c r="H120" s="2"/>
      <c r="I120" s="11">
        <f t="shared" si="11"/>
        <v>85800</v>
      </c>
      <c r="K120" s="162"/>
      <c r="L120" s="162"/>
      <c r="M120" s="162"/>
    </row>
    <row r="121" spans="1:252" s="36" customFormat="1" outlineLevel="1" x14ac:dyDescent="0.25">
      <c r="A121" s="92"/>
      <c r="B121" s="748" t="s">
        <v>1543</v>
      </c>
      <c r="C121" s="744"/>
      <c r="D121" s="745"/>
      <c r="E121" s="746"/>
      <c r="F121" s="747"/>
      <c r="G121" s="474">
        <f>SUM(G60:G120)</f>
        <v>233215.27</v>
      </c>
      <c r="H121" s="746"/>
      <c r="I121" s="749">
        <f>G121</f>
        <v>233215.27</v>
      </c>
      <c r="K121" s="162"/>
      <c r="L121" s="162"/>
      <c r="M121" s="162"/>
    </row>
    <row r="122" spans="1:252" s="36" customFormat="1" outlineLevel="1" x14ac:dyDescent="0.25">
      <c r="A122" s="92"/>
      <c r="B122" s="748" t="s">
        <v>1546</v>
      </c>
      <c r="C122" s="744"/>
      <c r="D122" s="745"/>
      <c r="E122" s="746"/>
      <c r="F122" s="747"/>
      <c r="G122" s="474"/>
      <c r="H122" s="473">
        <f>SUM(H60:H119)</f>
        <v>2753856.3334999997</v>
      </c>
      <c r="I122" s="749">
        <f>H122</f>
        <v>2753856.3334999997</v>
      </c>
      <c r="K122" s="162"/>
      <c r="L122" s="162"/>
      <c r="M122" s="162"/>
    </row>
    <row r="123" spans="1:252" s="36" customFormat="1" outlineLevel="1" x14ac:dyDescent="0.25">
      <c r="A123" s="92"/>
      <c r="B123" s="748" t="s">
        <v>1544</v>
      </c>
      <c r="C123" s="744"/>
      <c r="D123" s="745"/>
      <c r="E123" s="746"/>
      <c r="F123" s="747"/>
      <c r="G123" s="474">
        <f>G121*0.25</f>
        <v>58303.817499999997</v>
      </c>
      <c r="H123" s="746"/>
      <c r="I123" s="749">
        <f>G123</f>
        <v>58303.817499999997</v>
      </c>
      <c r="K123" s="162"/>
      <c r="L123" s="162"/>
      <c r="M123" s="162"/>
    </row>
    <row r="124" spans="1:252" s="36" customFormat="1" outlineLevel="1" x14ac:dyDescent="0.25">
      <c r="A124" s="92"/>
      <c r="B124" s="748" t="s">
        <v>1545</v>
      </c>
      <c r="C124" s="744"/>
      <c r="D124" s="745"/>
      <c r="E124" s="746"/>
      <c r="F124" s="747"/>
      <c r="G124" s="474">
        <f>G121*0.05</f>
        <v>11660.763500000001</v>
      </c>
      <c r="H124" s="746"/>
      <c r="I124" s="749">
        <f>G124</f>
        <v>11660.763500000001</v>
      </c>
      <c r="K124" s="162"/>
      <c r="L124" s="162"/>
      <c r="M124" s="162"/>
    </row>
    <row r="125" spans="1:252" s="36" customFormat="1" ht="31.2" x14ac:dyDescent="0.25">
      <c r="A125" s="212"/>
      <c r="B125" s="213" t="s">
        <v>577</v>
      </c>
      <c r="C125" s="222"/>
      <c r="D125" s="215"/>
      <c r="E125" s="216"/>
      <c r="F125" s="217"/>
      <c r="G125" s="216">
        <f>G121+G123+G124</f>
        <v>303179.85099999997</v>
      </c>
      <c r="H125" s="216">
        <f>H122</f>
        <v>2753856.3334999997</v>
      </c>
      <c r="I125" s="215">
        <f>I122+I123+I124+I121</f>
        <v>3057036.1844999995</v>
      </c>
      <c r="J125" s="691"/>
    </row>
    <row r="126" spans="1:252" s="39" customFormat="1" ht="18.600000000000001" customHeight="1" x14ac:dyDescent="0.25">
      <c r="A126" s="287"/>
      <c r="B126" s="58" t="s">
        <v>624</v>
      </c>
      <c r="C126" s="9"/>
      <c r="D126" s="31"/>
      <c r="E126" s="10"/>
      <c r="F126" s="57"/>
      <c r="G126" s="10"/>
      <c r="H126" s="10"/>
      <c r="I126" s="31">
        <f>ROUND(I125/1.18*0.18,2)</f>
        <v>466327.55</v>
      </c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25"/>
      <c r="IH126" s="25"/>
      <c r="II126" s="25"/>
      <c r="IJ126" s="25"/>
      <c r="IK126" s="25"/>
      <c r="IL126" s="25"/>
      <c r="IM126" s="25"/>
      <c r="IN126" s="25"/>
      <c r="IO126" s="25"/>
      <c r="IP126" s="25"/>
      <c r="IQ126" s="25"/>
      <c r="IR126" s="25"/>
    </row>
    <row r="127" spans="1:252" ht="18.75" customHeight="1" x14ac:dyDescent="0.25">
      <c r="A127" s="104"/>
      <c r="B127" s="692" t="s">
        <v>789</v>
      </c>
      <c r="C127" s="105"/>
      <c r="D127" s="105"/>
      <c r="E127" s="105"/>
      <c r="F127" s="138"/>
      <c r="G127" s="105"/>
      <c r="H127" s="105"/>
      <c r="I127" s="106"/>
    </row>
    <row r="128" spans="1:252" ht="33.75" hidden="1" customHeight="1" x14ac:dyDescent="0.25">
      <c r="A128" s="107" t="s">
        <v>219</v>
      </c>
      <c r="B128" s="379" t="s">
        <v>1270</v>
      </c>
      <c r="C128" s="31" t="s">
        <v>8</v>
      </c>
      <c r="D128" s="166">
        <v>0</v>
      </c>
      <c r="E128" s="166">
        <v>1500</v>
      </c>
      <c r="F128" s="11"/>
      <c r="G128" s="2">
        <f>ROUND(E128*D128,2)</f>
        <v>0</v>
      </c>
      <c r="H128" s="2"/>
      <c r="I128" s="11">
        <f>G128+H128</f>
        <v>0</v>
      </c>
      <c r="J128" s="351"/>
      <c r="K128" s="351"/>
    </row>
    <row r="129" spans="1:11" ht="18" hidden="1" customHeight="1" x14ac:dyDescent="0.25">
      <c r="A129" s="332"/>
      <c r="B129" s="368" t="s">
        <v>790</v>
      </c>
      <c r="C129" s="2" t="s">
        <v>8</v>
      </c>
      <c r="D129" s="403">
        <f>D128*1.05</f>
        <v>0</v>
      </c>
      <c r="E129" s="2"/>
      <c r="F129" s="361">
        <v>11.7</v>
      </c>
      <c r="G129" s="2"/>
      <c r="H129" s="2">
        <f>ROUND(D129*F129,2)</f>
        <v>0</v>
      </c>
      <c r="I129" s="11">
        <f>G129+H129</f>
        <v>0</v>
      </c>
    </row>
    <row r="130" spans="1:11" ht="18.75" hidden="1" customHeight="1" x14ac:dyDescent="0.25">
      <c r="A130" s="332"/>
      <c r="B130" s="368" t="s">
        <v>791</v>
      </c>
      <c r="C130" s="2" t="s">
        <v>8</v>
      </c>
      <c r="D130" s="403">
        <f>ROUND(0.23*D128,2)</f>
        <v>0</v>
      </c>
      <c r="E130" s="2"/>
      <c r="F130" s="361">
        <v>2700</v>
      </c>
      <c r="G130" s="2"/>
      <c r="H130" s="2">
        <f>ROUND(D130*F130,2)</f>
        <v>0</v>
      </c>
      <c r="I130" s="11">
        <f>G130+H130</f>
        <v>0</v>
      </c>
    </row>
    <row r="131" spans="1:11" ht="17.25" hidden="1" customHeight="1" outlineLevel="1" x14ac:dyDescent="0.25">
      <c r="A131" s="84"/>
      <c r="B131" s="382" t="s">
        <v>869</v>
      </c>
      <c r="C131" s="2" t="s">
        <v>9</v>
      </c>
      <c r="D131" s="401">
        <v>0</v>
      </c>
      <c r="E131" s="31"/>
      <c r="F131" s="361">
        <v>42000</v>
      </c>
      <c r="G131" s="2"/>
      <c r="H131" s="2">
        <f>ROUND(D131*F131,2)</f>
        <v>0</v>
      </c>
      <c r="I131" s="11">
        <f t="shared" ref="I131:I141" si="12">G131+H131</f>
        <v>0</v>
      </c>
      <c r="K131" s="280"/>
    </row>
    <row r="132" spans="1:11" ht="17.25" hidden="1" customHeight="1" outlineLevel="1" x14ac:dyDescent="0.25">
      <c r="A132" s="84"/>
      <c r="B132" s="382" t="s">
        <v>870</v>
      </c>
      <c r="C132" s="2" t="s">
        <v>9</v>
      </c>
      <c r="D132" s="401">
        <v>0</v>
      </c>
      <c r="E132" s="31"/>
      <c r="F132" s="361">
        <v>42000</v>
      </c>
      <c r="G132" s="2"/>
      <c r="H132" s="2">
        <f>ROUND(D132*F132,2)</f>
        <v>0</v>
      </c>
      <c r="I132" s="11">
        <f t="shared" si="12"/>
        <v>0</v>
      </c>
      <c r="K132" s="280"/>
    </row>
    <row r="133" spans="1:11" ht="17.25" hidden="1" customHeight="1" outlineLevel="1" x14ac:dyDescent="0.25">
      <c r="A133" s="84"/>
      <c r="B133" s="382" t="s">
        <v>868</v>
      </c>
      <c r="C133" s="2" t="s">
        <v>9</v>
      </c>
      <c r="D133" s="401">
        <v>0</v>
      </c>
      <c r="E133" s="31"/>
      <c r="F133" s="361">
        <v>42000</v>
      </c>
      <c r="G133" s="2"/>
      <c r="H133" s="2">
        <f>ROUND(D133*F133,2)</f>
        <v>0</v>
      </c>
      <c r="I133" s="11">
        <f t="shared" si="12"/>
        <v>0</v>
      </c>
      <c r="K133" s="280"/>
    </row>
    <row r="134" spans="1:11" ht="32.25" customHeight="1" outlineLevel="2" x14ac:dyDescent="0.25">
      <c r="A134" s="107" t="s">
        <v>219</v>
      </c>
      <c r="B134" s="29" t="s">
        <v>1285</v>
      </c>
      <c r="C134" s="30" t="s">
        <v>8</v>
      </c>
      <c r="D134" s="31">
        <f>Д2!D108+Ек!D112+Д!D104+Е!D105</f>
        <v>1586.6671670000003</v>
      </c>
      <c r="E134" s="256">
        <v>1600</v>
      </c>
      <c r="F134" s="11"/>
      <c r="G134" s="2">
        <f>ROUND(E134*D134,2)</f>
        <v>2538667.4700000002</v>
      </c>
      <c r="H134" s="2"/>
      <c r="I134" s="11">
        <f>G134+H134</f>
        <v>2538667.4700000002</v>
      </c>
      <c r="K134" s="280"/>
    </row>
    <row r="135" spans="1:11" ht="17.25" customHeight="1" outlineLevel="2" x14ac:dyDescent="0.25">
      <c r="A135" s="84"/>
      <c r="B135" s="11" t="s">
        <v>796</v>
      </c>
      <c r="C135" s="2" t="s">
        <v>12</v>
      </c>
      <c r="D135" s="2">
        <f>D134*306</f>
        <v>485520.15310200007</v>
      </c>
      <c r="E135" s="158"/>
      <c r="F135" s="664">
        <v>8.8000000000000007</v>
      </c>
      <c r="G135" s="2"/>
      <c r="H135" s="2">
        <f>ROUND(D135*F135,2)</f>
        <v>4272577.3499999996</v>
      </c>
      <c r="I135" s="11">
        <f>G135+H135</f>
        <v>4272577.3499999996</v>
      </c>
      <c r="K135" s="280"/>
    </row>
    <row r="136" spans="1:11" ht="17.25" customHeight="1" outlineLevel="2" x14ac:dyDescent="0.25">
      <c r="A136" s="84"/>
      <c r="B136" s="11" t="s">
        <v>797</v>
      </c>
      <c r="C136" s="2" t="s">
        <v>8</v>
      </c>
      <c r="D136" s="2">
        <f>ROUND(0.23*D134,2)</f>
        <v>364.93</v>
      </c>
      <c r="E136" s="158"/>
      <c r="F136" s="361">
        <v>2600</v>
      </c>
      <c r="G136" s="2"/>
      <c r="H136" s="2">
        <f>ROUND(D136*F136,2)</f>
        <v>948818</v>
      </c>
      <c r="I136" s="11">
        <f>G136+H136</f>
        <v>948818</v>
      </c>
      <c r="K136" s="280"/>
    </row>
    <row r="137" spans="1:11" ht="17.25" customHeight="1" outlineLevel="2" x14ac:dyDescent="0.25">
      <c r="A137" s="84"/>
      <c r="B137" s="11" t="s">
        <v>862</v>
      </c>
      <c r="C137" s="2" t="s">
        <v>9</v>
      </c>
      <c r="D137" s="2">
        <v>14.6</v>
      </c>
      <c r="E137" s="158"/>
      <c r="F137" s="361">
        <v>42000</v>
      </c>
      <c r="G137" s="2"/>
      <c r="H137" s="2">
        <f>ROUND(D137*F137,2)</f>
        <v>613200</v>
      </c>
      <c r="I137" s="11">
        <f>G137+H137</f>
        <v>613200</v>
      </c>
      <c r="K137" s="280"/>
    </row>
    <row r="138" spans="1:11" ht="33.75" customHeight="1" outlineLevel="2" x14ac:dyDescent="0.25">
      <c r="A138" s="107" t="s">
        <v>498</v>
      </c>
      <c r="B138" s="29" t="s">
        <v>963</v>
      </c>
      <c r="C138" s="30" t="s">
        <v>8</v>
      </c>
      <c r="D138" s="31">
        <f>кладка!N51</f>
        <v>179.6014725</v>
      </c>
      <c r="E138" s="256">
        <v>1600</v>
      </c>
      <c r="F138" s="11"/>
      <c r="G138" s="2">
        <f>ROUND(E138*D138,2)</f>
        <v>287362.36</v>
      </c>
      <c r="H138" s="2"/>
      <c r="I138" s="11">
        <f t="shared" si="12"/>
        <v>287362.36</v>
      </c>
      <c r="K138" s="280"/>
    </row>
    <row r="139" spans="1:11" ht="33.75" customHeight="1" outlineLevel="2" x14ac:dyDescent="0.25">
      <c r="A139" s="84"/>
      <c r="B139" s="11" t="s">
        <v>793</v>
      </c>
      <c r="C139" s="2" t="s">
        <v>12</v>
      </c>
      <c r="D139" s="2">
        <f>D138*394</f>
        <v>70762.980165000001</v>
      </c>
      <c r="E139" s="158"/>
      <c r="F139" s="664">
        <v>10.75</v>
      </c>
      <c r="G139" s="2"/>
      <c r="H139" s="2">
        <f>ROUND(D139*F139,2)</f>
        <v>760702.04</v>
      </c>
      <c r="I139" s="11">
        <f t="shared" si="12"/>
        <v>760702.04</v>
      </c>
      <c r="K139" s="280"/>
    </row>
    <row r="140" spans="1:11" ht="15" customHeight="1" outlineLevel="2" x14ac:dyDescent="0.25">
      <c r="A140" s="84"/>
      <c r="B140" s="11" t="s">
        <v>797</v>
      </c>
      <c r="C140" s="2" t="s">
        <v>8</v>
      </c>
      <c r="D140" s="2">
        <f>ROUND(0.23*D138,2)</f>
        <v>41.31</v>
      </c>
      <c r="E140" s="158"/>
      <c r="F140" s="361">
        <v>2600</v>
      </c>
      <c r="G140" s="2"/>
      <c r="H140" s="2">
        <f>ROUND(D140*F140,2)</f>
        <v>107406</v>
      </c>
      <c r="I140" s="11">
        <f t="shared" si="12"/>
        <v>107406</v>
      </c>
      <c r="K140" s="280"/>
    </row>
    <row r="141" spans="1:11" ht="16.5" hidden="1" customHeight="1" outlineLevel="2" x14ac:dyDescent="0.25">
      <c r="A141" s="84"/>
      <c r="B141" s="11" t="s">
        <v>794</v>
      </c>
      <c r="C141" s="2" t="s">
        <v>8</v>
      </c>
      <c r="D141" s="2">
        <v>0</v>
      </c>
      <c r="E141" s="158"/>
      <c r="F141" s="664">
        <v>3196</v>
      </c>
      <c r="G141" s="2"/>
      <c r="H141" s="2">
        <f>ROUND(D141*F141,2)</f>
        <v>0</v>
      </c>
      <c r="I141" s="11">
        <f t="shared" si="12"/>
        <v>0</v>
      </c>
      <c r="K141" s="280"/>
    </row>
    <row r="142" spans="1:11" ht="15" hidden="1" customHeight="1" outlineLevel="2" x14ac:dyDescent="0.25">
      <c r="A142" s="107" t="s">
        <v>501</v>
      </c>
      <c r="B142" s="29" t="s">
        <v>964</v>
      </c>
      <c r="C142" s="30" t="s">
        <v>8</v>
      </c>
      <c r="D142" s="31">
        <v>0</v>
      </c>
      <c r="E142" s="166">
        <v>1500</v>
      </c>
      <c r="F142" s="11"/>
      <c r="G142" s="2">
        <f>ROUND(E142*D142,2)</f>
        <v>0</v>
      </c>
      <c r="H142" s="2"/>
      <c r="I142" s="11">
        <f t="shared" ref="I142:I147" si="13">G142+H142</f>
        <v>0</v>
      </c>
      <c r="K142" s="280"/>
    </row>
    <row r="143" spans="1:11" ht="15" hidden="1" customHeight="1" outlineLevel="2" x14ac:dyDescent="0.25">
      <c r="A143" s="84"/>
      <c r="B143" s="11" t="s">
        <v>796</v>
      </c>
      <c r="C143" s="2" t="s">
        <v>12</v>
      </c>
      <c r="D143" s="2">
        <f>D142*400</f>
        <v>0</v>
      </c>
      <c r="E143" s="158"/>
      <c r="F143" s="361">
        <v>11.7</v>
      </c>
      <c r="G143" s="2"/>
      <c r="H143" s="2">
        <f>ROUND(D143*F143,2)</f>
        <v>0</v>
      </c>
      <c r="I143" s="11">
        <f t="shared" si="13"/>
        <v>0</v>
      </c>
      <c r="K143" s="280"/>
    </row>
    <row r="144" spans="1:11" ht="15" hidden="1" customHeight="1" outlineLevel="2" x14ac:dyDescent="0.25">
      <c r="A144" s="84"/>
      <c r="B144" s="11" t="s">
        <v>756</v>
      </c>
      <c r="C144" s="2" t="s">
        <v>8</v>
      </c>
      <c r="D144" s="2">
        <f>ROUND(0.23*D142,2)</f>
        <v>0</v>
      </c>
      <c r="E144" s="158"/>
      <c r="F144" s="361">
        <v>2700</v>
      </c>
      <c r="G144" s="2"/>
      <c r="H144" s="2">
        <f>ROUND(D144*F144,2)</f>
        <v>0</v>
      </c>
      <c r="I144" s="11">
        <f t="shared" si="13"/>
        <v>0</v>
      </c>
      <c r="K144" s="280"/>
    </row>
    <row r="145" spans="1:12" ht="18.899999999999999" hidden="1" customHeight="1" outlineLevel="2" x14ac:dyDescent="0.25">
      <c r="A145" s="107" t="s">
        <v>502</v>
      </c>
      <c r="B145" s="29" t="s">
        <v>795</v>
      </c>
      <c r="C145" s="30" t="s">
        <v>8</v>
      </c>
      <c r="D145" s="31">
        <v>0</v>
      </c>
      <c r="E145" s="166">
        <v>1500</v>
      </c>
      <c r="F145" s="11"/>
      <c r="G145" s="2">
        <f>ROUND(E145*D145,2)</f>
        <v>0</v>
      </c>
      <c r="H145" s="2"/>
      <c r="I145" s="11">
        <f t="shared" si="13"/>
        <v>0</v>
      </c>
      <c r="K145" s="280"/>
    </row>
    <row r="146" spans="1:12" ht="15.75" hidden="1" customHeight="1" outlineLevel="2" x14ac:dyDescent="0.25">
      <c r="A146" s="84"/>
      <c r="B146" s="11" t="s">
        <v>796</v>
      </c>
      <c r="C146" s="2" t="s">
        <v>12</v>
      </c>
      <c r="D146" s="2">
        <f>D145*400</f>
        <v>0</v>
      </c>
      <c r="E146" s="158"/>
      <c r="F146" s="361">
        <v>11.7</v>
      </c>
      <c r="G146" s="2"/>
      <c r="H146" s="2">
        <f>ROUND(D146*F146,2)</f>
        <v>0</v>
      </c>
      <c r="I146" s="11">
        <f t="shared" si="13"/>
        <v>0</v>
      </c>
      <c r="K146" s="280"/>
    </row>
    <row r="147" spans="1:12" ht="15" hidden="1" customHeight="1" outlineLevel="2" x14ac:dyDescent="0.25">
      <c r="A147" s="84"/>
      <c r="B147" s="11" t="s">
        <v>756</v>
      </c>
      <c r="C147" s="2" t="s">
        <v>8</v>
      </c>
      <c r="D147" s="2">
        <f>ROUND(0.23*D145,2)</f>
        <v>0</v>
      </c>
      <c r="E147" s="158"/>
      <c r="F147" s="361">
        <v>2700</v>
      </c>
      <c r="G147" s="2"/>
      <c r="H147" s="2">
        <f>ROUND(D147*F147,2)</f>
        <v>0</v>
      </c>
      <c r="I147" s="11">
        <f t="shared" si="13"/>
        <v>0</v>
      </c>
      <c r="K147" s="280"/>
    </row>
    <row r="148" spans="1:12" ht="31.2" outlineLevel="2" x14ac:dyDescent="0.25">
      <c r="A148" s="107" t="s">
        <v>499</v>
      </c>
      <c r="B148" s="29" t="s">
        <v>798</v>
      </c>
      <c r="C148" s="30" t="s">
        <v>8</v>
      </c>
      <c r="D148" s="31">
        <f>Д2!D122+Ек!D126+Д!D117+Е!D119</f>
        <v>70.625047999999964</v>
      </c>
      <c r="E148" s="256">
        <v>1600</v>
      </c>
      <c r="F148" s="11"/>
      <c r="G148" s="2">
        <f>ROUND(E148*D148,2)</f>
        <v>113000.08</v>
      </c>
      <c r="H148" s="2"/>
      <c r="I148" s="11">
        <f t="shared" ref="I148:I153" si="14">G148+H148</f>
        <v>113000.08</v>
      </c>
      <c r="K148" s="5"/>
      <c r="L148" s="132"/>
    </row>
    <row r="149" spans="1:12" s="17" customFormat="1" ht="31.2" outlineLevel="2" x14ac:dyDescent="0.25">
      <c r="A149" s="86"/>
      <c r="B149" s="11" t="s">
        <v>799</v>
      </c>
      <c r="C149" s="2" t="s">
        <v>12</v>
      </c>
      <c r="D149" s="2">
        <f>D148*394</f>
        <v>27826.268911999985</v>
      </c>
      <c r="E149" s="2"/>
      <c r="F149" s="664">
        <v>10.75</v>
      </c>
      <c r="G149" s="2"/>
      <c r="H149" s="2">
        <f>ROUND(D149*F149,2)</f>
        <v>299132.39</v>
      </c>
      <c r="I149" s="11">
        <f t="shared" si="14"/>
        <v>299132.39</v>
      </c>
    </row>
    <row r="150" spans="1:12" s="6" customFormat="1" outlineLevel="2" x14ac:dyDescent="0.25">
      <c r="A150" s="88"/>
      <c r="B150" s="11" t="s">
        <v>800</v>
      </c>
      <c r="C150" s="2" t="s">
        <v>8</v>
      </c>
      <c r="D150" s="2">
        <f>ROUND(0.23*D148,2)</f>
        <v>16.239999999999998</v>
      </c>
      <c r="E150" s="2"/>
      <c r="F150" s="361">
        <v>2500</v>
      </c>
      <c r="G150" s="2"/>
      <c r="H150" s="2">
        <f>ROUND(D150*F150,2)</f>
        <v>40600</v>
      </c>
      <c r="I150" s="11">
        <f t="shared" si="14"/>
        <v>40600</v>
      </c>
      <c r="J150" s="693"/>
    </row>
    <row r="151" spans="1:12" s="6" customFormat="1" outlineLevel="2" x14ac:dyDescent="0.25">
      <c r="A151" s="83"/>
      <c r="B151" s="11" t="s">
        <v>794</v>
      </c>
      <c r="C151" s="2" t="s">
        <v>8</v>
      </c>
      <c r="D151" s="2">
        <f>Д2!D125+Ек!D129+Д!D120+Е!D122</f>
        <v>69.262199999999964</v>
      </c>
      <c r="E151" s="2"/>
      <c r="F151" s="664">
        <v>3196</v>
      </c>
      <c r="G151" s="2"/>
      <c r="H151" s="2">
        <f>ROUND(D151*F151,2)</f>
        <v>221361.99</v>
      </c>
      <c r="I151" s="11">
        <f t="shared" si="14"/>
        <v>221361.99</v>
      </c>
      <c r="J151" s="693"/>
    </row>
    <row r="152" spans="1:12" s="6" customFormat="1" outlineLevel="2" x14ac:dyDescent="0.25">
      <c r="A152" s="107" t="s">
        <v>500</v>
      </c>
      <c r="B152" s="205" t="s">
        <v>16</v>
      </c>
      <c r="C152" s="31" t="s">
        <v>12</v>
      </c>
      <c r="D152" s="160">
        <f>SUM(D153:D169)</f>
        <v>561</v>
      </c>
      <c r="E152" s="256">
        <v>100</v>
      </c>
      <c r="F152" s="11"/>
      <c r="G152" s="2">
        <f>ROUND(E152*D152,2)</f>
        <v>56100</v>
      </c>
      <c r="H152" s="2"/>
      <c r="I152" s="11">
        <f t="shared" si="14"/>
        <v>56100</v>
      </c>
      <c r="J152" s="693"/>
    </row>
    <row r="153" spans="1:12" s="6" customFormat="1" outlineLevel="2" x14ac:dyDescent="0.25">
      <c r="A153" s="83"/>
      <c r="B153" s="33" t="s">
        <v>855</v>
      </c>
      <c r="C153" s="2" t="s">
        <v>12</v>
      </c>
      <c r="D153" s="64">
        <f>Д2!D127+Ек!D131+Д!D122+Е!D124</f>
        <v>116</v>
      </c>
      <c r="E153" s="2"/>
      <c r="F153" s="664">
        <v>2147</v>
      </c>
      <c r="G153" s="2"/>
      <c r="H153" s="2">
        <f>ROUND(D153*F153,2)</f>
        <v>249052</v>
      </c>
      <c r="I153" s="11">
        <f t="shared" si="14"/>
        <v>249052</v>
      </c>
      <c r="J153" s="693"/>
    </row>
    <row r="154" spans="1:12" s="6" customFormat="1" outlineLevel="2" x14ac:dyDescent="0.25">
      <c r="A154" s="83"/>
      <c r="B154" s="33" t="s">
        <v>857</v>
      </c>
      <c r="C154" s="2" t="s">
        <v>12</v>
      </c>
      <c r="D154" s="64">
        <f>Д2!D128+Ек!D132+Е!D125</f>
        <v>30</v>
      </c>
      <c r="E154" s="2"/>
      <c r="F154" s="664">
        <v>1415</v>
      </c>
      <c r="G154" s="2"/>
      <c r="H154" s="2">
        <f t="shared" ref="H154:H172" si="15">ROUND(D154*F154,2)</f>
        <v>42450</v>
      </c>
      <c r="I154" s="11">
        <f t="shared" ref="I154:I188" si="16">G154+H154</f>
        <v>42450</v>
      </c>
      <c r="J154" s="693"/>
    </row>
    <row r="155" spans="1:12" s="6" customFormat="1" outlineLevel="2" x14ac:dyDescent="0.25">
      <c r="A155" s="83"/>
      <c r="B155" s="33" t="s">
        <v>871</v>
      </c>
      <c r="C155" s="2" t="s">
        <v>12</v>
      </c>
      <c r="D155" s="64">
        <f>Ек!D133+Д!D123+Е!D126</f>
        <v>43</v>
      </c>
      <c r="E155" s="2"/>
      <c r="F155" s="164">
        <v>2500</v>
      </c>
      <c r="G155" s="2"/>
      <c r="H155" s="2">
        <f t="shared" si="15"/>
        <v>107500</v>
      </c>
      <c r="I155" s="11">
        <f t="shared" si="16"/>
        <v>107500</v>
      </c>
      <c r="J155" s="693"/>
    </row>
    <row r="156" spans="1:12" s="6" customFormat="1" outlineLevel="2" x14ac:dyDescent="0.25">
      <c r="A156" s="83"/>
      <c r="B156" s="33" t="s">
        <v>858</v>
      </c>
      <c r="C156" s="2" t="s">
        <v>12</v>
      </c>
      <c r="D156" s="64">
        <f>Ек!D134+Е!D127</f>
        <v>11</v>
      </c>
      <c r="E156" s="2"/>
      <c r="F156" s="164">
        <v>1900</v>
      </c>
      <c r="G156" s="2"/>
      <c r="H156" s="2">
        <f t="shared" si="15"/>
        <v>20900</v>
      </c>
      <c r="I156" s="11">
        <f t="shared" si="16"/>
        <v>20900</v>
      </c>
      <c r="J156" s="693"/>
    </row>
    <row r="157" spans="1:12" s="6" customFormat="1" outlineLevel="2" x14ac:dyDescent="0.25">
      <c r="A157" s="83"/>
      <c r="B157" s="33" t="s">
        <v>859</v>
      </c>
      <c r="C157" s="2" t="s">
        <v>12</v>
      </c>
      <c r="D157" s="64">
        <f>Д2!D129+Ек!D135</f>
        <v>18</v>
      </c>
      <c r="E157" s="2"/>
      <c r="F157" s="664">
        <v>1317</v>
      </c>
      <c r="G157" s="2"/>
      <c r="H157" s="2">
        <f t="shared" si="15"/>
        <v>23706</v>
      </c>
      <c r="I157" s="11">
        <f t="shared" si="16"/>
        <v>23706</v>
      </c>
      <c r="J157" s="693"/>
    </row>
    <row r="158" spans="1:12" s="6" customFormat="1" outlineLevel="2" x14ac:dyDescent="0.25">
      <c r="A158" s="83"/>
      <c r="B158" s="11" t="s">
        <v>872</v>
      </c>
      <c r="C158" s="2" t="s">
        <v>12</v>
      </c>
      <c r="D158" s="42">
        <f>Д2!D130+Ек!D136+Д!D124+Е!D128</f>
        <v>177</v>
      </c>
      <c r="E158" s="2"/>
      <c r="F158" s="664">
        <v>495</v>
      </c>
      <c r="G158" s="2"/>
      <c r="H158" s="2">
        <f t="shared" si="15"/>
        <v>87615</v>
      </c>
      <c r="I158" s="11">
        <f t="shared" si="16"/>
        <v>87615</v>
      </c>
      <c r="J158" s="693"/>
    </row>
    <row r="159" spans="1:12" s="6" customFormat="1" outlineLevel="2" x14ac:dyDescent="0.25">
      <c r="A159" s="83"/>
      <c r="B159" s="11" t="s">
        <v>754</v>
      </c>
      <c r="C159" s="2" t="s">
        <v>12</v>
      </c>
      <c r="D159" s="42">
        <f>Д!D126</f>
        <v>2</v>
      </c>
      <c r="E159" s="2"/>
      <c r="F159" s="164">
        <v>300</v>
      </c>
      <c r="G159" s="2"/>
      <c r="H159" s="2">
        <f>ROUND(D159*F159,2)</f>
        <v>600</v>
      </c>
      <c r="I159" s="11">
        <f>G159+H159</f>
        <v>600</v>
      </c>
      <c r="J159" s="693"/>
    </row>
    <row r="160" spans="1:12" s="6" customFormat="1" outlineLevel="2" x14ac:dyDescent="0.25">
      <c r="A160" s="83"/>
      <c r="B160" s="11" t="s">
        <v>873</v>
      </c>
      <c r="C160" s="2" t="s">
        <v>12</v>
      </c>
      <c r="D160" s="42">
        <f>Д2!D131+Д!D125</f>
        <v>10</v>
      </c>
      <c r="E160" s="2"/>
      <c r="F160" s="664">
        <v>310</v>
      </c>
      <c r="G160" s="2"/>
      <c r="H160" s="2">
        <f t="shared" si="15"/>
        <v>3100</v>
      </c>
      <c r="I160" s="11">
        <f t="shared" si="16"/>
        <v>3100</v>
      </c>
      <c r="J160" s="693"/>
    </row>
    <row r="161" spans="1:11" s="6" customFormat="1" outlineLevel="2" x14ac:dyDescent="0.25">
      <c r="A161" s="83"/>
      <c r="B161" s="11" t="s">
        <v>1394</v>
      </c>
      <c r="C161" s="2" t="s">
        <v>12</v>
      </c>
      <c r="D161" s="42">
        <f>Ек!D137</f>
        <v>2</v>
      </c>
      <c r="E161" s="2"/>
      <c r="F161" s="164">
        <v>280</v>
      </c>
      <c r="G161" s="2"/>
      <c r="H161" s="2">
        <f t="shared" si="15"/>
        <v>560</v>
      </c>
      <c r="I161" s="11">
        <f t="shared" si="16"/>
        <v>560</v>
      </c>
      <c r="J161" s="693"/>
    </row>
    <row r="162" spans="1:11" s="6" customFormat="1" outlineLevel="2" x14ac:dyDescent="0.25">
      <c r="A162" s="83"/>
      <c r="B162" s="45" t="s">
        <v>876</v>
      </c>
      <c r="C162" s="2" t="s">
        <v>12</v>
      </c>
      <c r="D162" s="42">
        <f>Д2!D132+Ек!D138+Е!D129</f>
        <v>56</v>
      </c>
      <c r="E162" s="2"/>
      <c r="F162" s="664">
        <v>631</v>
      </c>
      <c r="G162" s="2"/>
      <c r="H162" s="2">
        <f t="shared" si="15"/>
        <v>35336</v>
      </c>
      <c r="I162" s="11">
        <f t="shared" si="16"/>
        <v>35336</v>
      </c>
      <c r="J162" s="693"/>
    </row>
    <row r="163" spans="1:11" s="6" customFormat="1" outlineLevel="2" x14ac:dyDescent="0.25">
      <c r="A163" s="83"/>
      <c r="B163" s="45" t="s">
        <v>361</v>
      </c>
      <c r="C163" s="2" t="s">
        <v>12</v>
      </c>
      <c r="D163" s="42">
        <f>Ек!D139</f>
        <v>4</v>
      </c>
      <c r="E163" s="2"/>
      <c r="F163" s="164">
        <v>300</v>
      </c>
      <c r="G163" s="2"/>
      <c r="H163" s="2">
        <f t="shared" si="15"/>
        <v>1200</v>
      </c>
      <c r="I163" s="11">
        <f t="shared" si="16"/>
        <v>1200</v>
      </c>
      <c r="J163" s="693"/>
    </row>
    <row r="164" spans="1:11" s="6" customFormat="1" outlineLevel="2" x14ac:dyDescent="0.25">
      <c r="A164" s="83"/>
      <c r="B164" s="45" t="s">
        <v>880</v>
      </c>
      <c r="C164" s="2" t="s">
        <v>12</v>
      </c>
      <c r="D164" s="42">
        <f>Д2!D133+Ек!D140+Д!D127+Е!D131</f>
        <v>34</v>
      </c>
      <c r="E164" s="2"/>
      <c r="F164" s="664">
        <v>386</v>
      </c>
      <c r="G164" s="2"/>
      <c r="H164" s="2">
        <f t="shared" si="15"/>
        <v>13124</v>
      </c>
      <c r="I164" s="11">
        <f t="shared" si="16"/>
        <v>13124</v>
      </c>
      <c r="J164" s="693"/>
    </row>
    <row r="165" spans="1:11" s="6" customFormat="1" outlineLevel="2" x14ac:dyDescent="0.25">
      <c r="A165" s="83"/>
      <c r="B165" s="45" t="s">
        <v>1395</v>
      </c>
      <c r="C165" s="2" t="s">
        <v>12</v>
      </c>
      <c r="D165" s="42">
        <f>Ек!D141</f>
        <v>2</v>
      </c>
      <c r="E165" s="2"/>
      <c r="F165" s="164">
        <v>800</v>
      </c>
      <c r="G165" s="2"/>
      <c r="H165" s="2">
        <f t="shared" si="15"/>
        <v>1600</v>
      </c>
      <c r="I165" s="11">
        <f t="shared" si="16"/>
        <v>1600</v>
      </c>
      <c r="J165" s="693"/>
    </row>
    <row r="166" spans="1:11" s="6" customFormat="1" outlineLevel="2" x14ac:dyDescent="0.25">
      <c r="A166" s="83"/>
      <c r="B166" s="45" t="s">
        <v>1396</v>
      </c>
      <c r="C166" s="2" t="s">
        <v>12</v>
      </c>
      <c r="D166" s="42">
        <f>Ек!D142+Е!D130</f>
        <v>10</v>
      </c>
      <c r="E166" s="2"/>
      <c r="F166" s="164">
        <v>2000</v>
      </c>
      <c r="G166" s="2"/>
      <c r="H166" s="2">
        <f>ROUND(D166*F166,2)</f>
        <v>20000</v>
      </c>
      <c r="I166" s="11">
        <f>G166+H166</f>
        <v>20000</v>
      </c>
      <c r="J166" s="693"/>
    </row>
    <row r="167" spans="1:11" s="6" customFormat="1" outlineLevel="2" x14ac:dyDescent="0.25">
      <c r="A167" s="83"/>
      <c r="B167" s="45" t="s">
        <v>1355</v>
      </c>
      <c r="C167" s="2" t="s">
        <v>12</v>
      </c>
      <c r="D167" s="42">
        <f>Ек!D143+Е!D132</f>
        <v>6</v>
      </c>
      <c r="E167" s="2"/>
      <c r="F167" s="164">
        <v>1000</v>
      </c>
      <c r="G167" s="2"/>
      <c r="H167" s="2">
        <f>ROUND(D167*F167,2)</f>
        <v>6000</v>
      </c>
      <c r="I167" s="11">
        <f>G167+H167</f>
        <v>6000</v>
      </c>
      <c r="J167" s="693"/>
    </row>
    <row r="168" spans="1:11" s="6" customFormat="1" outlineLevel="2" x14ac:dyDescent="0.25">
      <c r="A168" s="83"/>
      <c r="B168" s="45" t="s">
        <v>861</v>
      </c>
      <c r="C168" s="2" t="s">
        <v>12</v>
      </c>
      <c r="D168" s="42">
        <f>Д2!D134+Д!D128</f>
        <v>4</v>
      </c>
      <c r="E168" s="2"/>
      <c r="F168" s="664">
        <v>2139</v>
      </c>
      <c r="G168" s="2"/>
      <c r="H168" s="2">
        <f t="shared" si="15"/>
        <v>8556</v>
      </c>
      <c r="I168" s="11">
        <f t="shared" si="16"/>
        <v>8556</v>
      </c>
      <c r="J168" s="693"/>
    </row>
    <row r="169" spans="1:11" s="6" customFormat="1" outlineLevel="2" x14ac:dyDescent="0.25">
      <c r="A169" s="83"/>
      <c r="B169" s="45" t="s">
        <v>882</v>
      </c>
      <c r="C169" s="41" t="s">
        <v>12</v>
      </c>
      <c r="D169" s="42">
        <f>Д2!D135+Ек!D144+Д!D129+Е!D133</f>
        <v>36</v>
      </c>
      <c r="E169" s="2"/>
      <c r="F169" s="361">
        <v>454</v>
      </c>
      <c r="G169" s="2"/>
      <c r="H169" s="2">
        <f t="shared" si="15"/>
        <v>16344</v>
      </c>
      <c r="I169" s="11">
        <f t="shared" si="16"/>
        <v>16344</v>
      </c>
      <c r="J169" s="693"/>
    </row>
    <row r="170" spans="1:11" s="6" customFormat="1" outlineLevel="2" x14ac:dyDescent="0.25">
      <c r="A170" s="83"/>
      <c r="B170" s="45" t="s">
        <v>875</v>
      </c>
      <c r="C170" s="41" t="s">
        <v>15</v>
      </c>
      <c r="D170" s="42">
        <f>Д2!D136+Ек!D145+Д!D130+Е!D134</f>
        <v>856.06</v>
      </c>
      <c r="E170" s="2"/>
      <c r="F170" s="364">
        <v>36</v>
      </c>
      <c r="G170" s="2"/>
      <c r="H170" s="2">
        <f t="shared" si="15"/>
        <v>30818.16</v>
      </c>
      <c r="I170" s="11">
        <f t="shared" si="16"/>
        <v>30818.16</v>
      </c>
      <c r="J170" s="693"/>
    </row>
    <row r="171" spans="1:11" s="6" customFormat="1" outlineLevel="2" x14ac:dyDescent="0.25">
      <c r="A171" s="83"/>
      <c r="B171" s="45" t="s">
        <v>368</v>
      </c>
      <c r="C171" s="41" t="s">
        <v>15</v>
      </c>
      <c r="D171" s="50">
        <f>Д2!D137+Д2!D138+Ек!D146+Ек!D147+Ек!D148+Д!D131+Д!D132+Е!D135+Е!D136</f>
        <v>134.74</v>
      </c>
      <c r="E171" s="351"/>
      <c r="F171" s="364">
        <v>33</v>
      </c>
      <c r="G171" s="2"/>
      <c r="H171" s="2">
        <f>ROUND(D171*F171,2)</f>
        <v>4446.42</v>
      </c>
      <c r="I171" s="11">
        <f>G171+H171</f>
        <v>4446.42</v>
      </c>
      <c r="J171" s="693"/>
      <c r="K171" s="5"/>
    </row>
    <row r="172" spans="1:11" s="6" customFormat="1" outlineLevel="2" x14ac:dyDescent="0.25">
      <c r="A172" s="76"/>
      <c r="B172" s="45" t="s">
        <v>1520</v>
      </c>
      <c r="C172" s="41" t="s">
        <v>15</v>
      </c>
      <c r="D172" s="42">
        <f>Д2!D139+Ек!D149+Д!D133+Е!D137</f>
        <v>1140.3499999999999</v>
      </c>
      <c r="E172" s="2"/>
      <c r="F172" s="364">
        <v>33</v>
      </c>
      <c r="G172" s="2"/>
      <c r="H172" s="2">
        <f t="shared" si="15"/>
        <v>37631.550000000003</v>
      </c>
      <c r="I172" s="11">
        <f t="shared" si="16"/>
        <v>37631.550000000003</v>
      </c>
      <c r="J172" s="693"/>
      <c r="K172" s="5"/>
    </row>
    <row r="173" spans="1:11" s="6" customFormat="1" outlineLevel="2" x14ac:dyDescent="0.25">
      <c r="A173" s="107" t="s">
        <v>501</v>
      </c>
      <c r="B173" s="29" t="s">
        <v>965</v>
      </c>
      <c r="C173" s="30" t="s">
        <v>8</v>
      </c>
      <c r="D173" s="31">
        <f>Д2!D140+Ек!D150+Д!D134+Е!D138</f>
        <v>197.4</v>
      </c>
      <c r="E173" s="256">
        <v>1600</v>
      </c>
      <c r="F173" s="11"/>
      <c r="G173" s="2">
        <f>ROUND(E173*D173,2)</f>
        <v>315840</v>
      </c>
      <c r="H173" s="2"/>
      <c r="I173" s="11">
        <f t="shared" si="16"/>
        <v>315840</v>
      </c>
      <c r="J173" s="693"/>
      <c r="K173" s="5"/>
    </row>
    <row r="174" spans="1:11" s="6" customFormat="1" outlineLevel="2" x14ac:dyDescent="0.25">
      <c r="A174" s="76"/>
      <c r="B174" s="11" t="s">
        <v>966</v>
      </c>
      <c r="C174" s="2" t="s">
        <v>8</v>
      </c>
      <c r="D174" s="64">
        <f>D173*1.05</f>
        <v>207.27</v>
      </c>
      <c r="E174" s="2"/>
      <c r="F174" s="361">
        <v>3450</v>
      </c>
      <c r="G174" s="2"/>
      <c r="H174" s="2">
        <f>ROUND(D174*F174,2)</f>
        <v>715081.5</v>
      </c>
      <c r="I174" s="11">
        <f t="shared" si="16"/>
        <v>715081.5</v>
      </c>
      <c r="J174" s="693"/>
      <c r="K174" s="5"/>
    </row>
    <row r="175" spans="1:11" s="6" customFormat="1" outlineLevel="2" x14ac:dyDescent="0.25">
      <c r="A175" s="76"/>
      <c r="B175" s="11" t="s">
        <v>756</v>
      </c>
      <c r="C175" s="2" t="s">
        <v>8</v>
      </c>
      <c r="D175" s="2">
        <f>ROUND(0.23*D173,2)</f>
        <v>45.4</v>
      </c>
      <c r="E175" s="2"/>
      <c r="F175" s="361">
        <v>2500</v>
      </c>
      <c r="G175" s="2"/>
      <c r="H175" s="2">
        <f>ROUND(D175*F175,2)</f>
        <v>113500</v>
      </c>
      <c r="I175" s="11">
        <f t="shared" si="16"/>
        <v>113500</v>
      </c>
      <c r="J175" s="693"/>
      <c r="K175" s="5"/>
    </row>
    <row r="176" spans="1:11" s="6" customFormat="1" ht="32.25" customHeight="1" outlineLevel="2" x14ac:dyDescent="0.25">
      <c r="A176" s="107" t="s">
        <v>502</v>
      </c>
      <c r="B176" s="29" t="s">
        <v>645</v>
      </c>
      <c r="C176" s="174" t="s">
        <v>14</v>
      </c>
      <c r="D176" s="31">
        <f>Д2!D143+Ек!D153+Д!D137+Е!D141</f>
        <v>1501</v>
      </c>
      <c r="E176" s="256">
        <v>500</v>
      </c>
      <c r="F176" s="11"/>
      <c r="G176" s="2">
        <f>ROUND(E176*D176,2)</f>
        <v>750500</v>
      </c>
      <c r="H176" s="2"/>
      <c r="I176" s="11">
        <f t="shared" si="16"/>
        <v>750500</v>
      </c>
      <c r="J176" s="693"/>
      <c r="K176" s="5"/>
    </row>
    <row r="177" spans="1:11" s="6" customFormat="1" ht="31.2" outlineLevel="2" x14ac:dyDescent="0.25">
      <c r="A177" s="76"/>
      <c r="B177" s="11" t="s">
        <v>968</v>
      </c>
      <c r="C177" s="2" t="s">
        <v>12</v>
      </c>
      <c r="D177" s="2">
        <f>D176*3</f>
        <v>4503</v>
      </c>
      <c r="E177" s="2"/>
      <c r="F177" s="664">
        <v>129</v>
      </c>
      <c r="G177" s="2"/>
      <c r="H177" s="2">
        <f>ROUND(D177*F177,2)</f>
        <v>580887</v>
      </c>
      <c r="I177" s="11">
        <f t="shared" si="16"/>
        <v>580887</v>
      </c>
      <c r="J177" s="693"/>
      <c r="K177" s="5"/>
    </row>
    <row r="178" spans="1:11" s="6" customFormat="1" outlineLevel="2" x14ac:dyDescent="0.25">
      <c r="A178" s="76"/>
      <c r="B178" s="11" t="s">
        <v>642</v>
      </c>
      <c r="C178" s="2" t="s">
        <v>12</v>
      </c>
      <c r="D178" s="2">
        <f>D176*0.75</f>
        <v>1125.75</v>
      </c>
      <c r="E178" s="2"/>
      <c r="F178" s="164">
        <v>2.79</v>
      </c>
      <c r="G178" s="2"/>
      <c r="H178" s="2">
        <f>ROUND(D178*F178,2)</f>
        <v>3140.84</v>
      </c>
      <c r="I178" s="11">
        <f t="shared" si="16"/>
        <v>3140.84</v>
      </c>
      <c r="J178" s="693"/>
      <c r="K178" s="5"/>
    </row>
    <row r="179" spans="1:11" s="6" customFormat="1" ht="15.75" customHeight="1" outlineLevel="2" x14ac:dyDescent="0.25">
      <c r="A179" s="76"/>
      <c r="B179" s="11" t="s">
        <v>644</v>
      </c>
      <c r="C179" s="2" t="s">
        <v>643</v>
      </c>
      <c r="D179" s="2">
        <f>D176*0.026</f>
        <v>39.025999999999996</v>
      </c>
      <c r="E179" s="2"/>
      <c r="F179" s="164">
        <v>110</v>
      </c>
      <c r="G179" s="2"/>
      <c r="H179" s="2">
        <f>ROUND(D179*F179,2)</f>
        <v>4292.8599999999997</v>
      </c>
      <c r="I179" s="11">
        <f t="shared" si="16"/>
        <v>4292.8599999999997</v>
      </c>
      <c r="J179" s="693"/>
      <c r="K179" s="5"/>
    </row>
    <row r="180" spans="1:11" s="6" customFormat="1" outlineLevel="2" x14ac:dyDescent="0.25">
      <c r="B180" s="11" t="s">
        <v>967</v>
      </c>
      <c r="C180" s="2" t="s">
        <v>15</v>
      </c>
      <c r="D180" s="2">
        <f>D176*2</f>
        <v>3002</v>
      </c>
      <c r="E180" s="2"/>
      <c r="F180" s="164">
        <v>8.9700000000000006</v>
      </c>
      <c r="G180" s="2"/>
      <c r="H180" s="2">
        <f>ROUND(D180*F180,2)</f>
        <v>26927.94</v>
      </c>
      <c r="I180" s="11">
        <f t="shared" si="16"/>
        <v>26927.94</v>
      </c>
      <c r="J180" s="693"/>
      <c r="K180" s="5"/>
    </row>
    <row r="181" spans="1:11" s="6" customFormat="1" ht="31.2" outlineLevel="2" x14ac:dyDescent="0.25">
      <c r="A181" s="107" t="s">
        <v>503</v>
      </c>
      <c r="B181" s="29" t="s">
        <v>646</v>
      </c>
      <c r="C181" s="174" t="s">
        <v>14</v>
      </c>
      <c r="D181" s="31">
        <f>Д2!D148+Ек!D158+Д!D142+Е!D146</f>
        <v>849</v>
      </c>
      <c r="E181" s="256">
        <v>500</v>
      </c>
      <c r="F181" s="164"/>
      <c r="G181" s="2">
        <f>ROUND(E181*D181,2)</f>
        <v>424500</v>
      </c>
      <c r="H181" s="2"/>
      <c r="I181" s="11">
        <f t="shared" si="16"/>
        <v>424500</v>
      </c>
      <c r="J181" s="693"/>
      <c r="K181" s="5"/>
    </row>
    <row r="182" spans="1:11" s="6" customFormat="1" ht="31.2" outlineLevel="2" x14ac:dyDescent="0.25">
      <c r="A182" s="76"/>
      <c r="B182" s="11" t="s">
        <v>647</v>
      </c>
      <c r="C182" s="2" t="s">
        <v>12</v>
      </c>
      <c r="D182" s="2">
        <f>D181*3</f>
        <v>2547</v>
      </c>
      <c r="E182" s="2"/>
      <c r="F182" s="664">
        <v>150</v>
      </c>
      <c r="G182" s="2"/>
      <c r="H182" s="2">
        <f>ROUND(D182*F182,2)</f>
        <v>382050</v>
      </c>
      <c r="I182" s="11">
        <f t="shared" si="16"/>
        <v>382050</v>
      </c>
      <c r="J182" s="693"/>
      <c r="K182" s="5"/>
    </row>
    <row r="183" spans="1:11" s="6" customFormat="1" outlineLevel="2" x14ac:dyDescent="0.25">
      <c r="A183" s="76"/>
      <c r="B183" s="11" t="s">
        <v>642</v>
      </c>
      <c r="C183" s="2" t="s">
        <v>12</v>
      </c>
      <c r="D183" s="2">
        <f>D181*0.75</f>
        <v>636.75</v>
      </c>
      <c r="E183" s="2"/>
      <c r="F183" s="164">
        <v>2.79</v>
      </c>
      <c r="G183" s="2"/>
      <c r="H183" s="2">
        <f>ROUND(D183*F183,2)</f>
        <v>1776.53</v>
      </c>
      <c r="I183" s="11">
        <f t="shared" si="16"/>
        <v>1776.53</v>
      </c>
      <c r="J183" s="693"/>
      <c r="K183" s="5"/>
    </row>
    <row r="184" spans="1:11" s="6" customFormat="1" ht="31.2" outlineLevel="2" x14ac:dyDescent="0.25">
      <c r="A184" s="76"/>
      <c r="B184" s="11" t="s">
        <v>644</v>
      </c>
      <c r="C184" s="2" t="s">
        <v>643</v>
      </c>
      <c r="D184" s="2">
        <f>D181*0.026</f>
        <v>22.073999999999998</v>
      </c>
      <c r="E184" s="2"/>
      <c r="F184" s="164">
        <v>110</v>
      </c>
      <c r="G184" s="2"/>
      <c r="H184" s="2">
        <f>ROUND(D184*F184,2)</f>
        <v>2428.14</v>
      </c>
      <c r="I184" s="11">
        <f t="shared" si="16"/>
        <v>2428.14</v>
      </c>
      <c r="J184" s="693"/>
      <c r="K184" s="5"/>
    </row>
    <row r="185" spans="1:11" s="6" customFormat="1" outlineLevel="2" x14ac:dyDescent="0.25">
      <c r="A185" s="76"/>
      <c r="B185" s="11" t="s">
        <v>967</v>
      </c>
      <c r="C185" s="2" t="s">
        <v>15</v>
      </c>
      <c r="D185" s="2">
        <f>D181*2</f>
        <v>1698</v>
      </c>
      <c r="E185" s="2"/>
      <c r="F185" s="164">
        <v>8.9700000000000006</v>
      </c>
      <c r="G185" s="2"/>
      <c r="H185" s="2">
        <f>ROUND(D185*F185,2)</f>
        <v>15231.06</v>
      </c>
      <c r="I185" s="11">
        <f t="shared" si="16"/>
        <v>15231.06</v>
      </c>
      <c r="J185" s="693"/>
      <c r="K185" s="5"/>
    </row>
    <row r="186" spans="1:11" s="6" customFormat="1" outlineLevel="2" x14ac:dyDescent="0.25">
      <c r="A186" s="107" t="s">
        <v>978</v>
      </c>
      <c r="B186" s="29" t="s">
        <v>367</v>
      </c>
      <c r="C186" s="30" t="s">
        <v>8</v>
      </c>
      <c r="D186" s="31">
        <f>Ек!D163+Е!D151</f>
        <v>4.84</v>
      </c>
      <c r="E186" s="256">
        <v>1600</v>
      </c>
      <c r="F186" s="11"/>
      <c r="G186" s="2">
        <f>ROUND(E186*D186,2)</f>
        <v>7744</v>
      </c>
      <c r="H186" s="2"/>
      <c r="I186" s="11">
        <f t="shared" si="16"/>
        <v>7744</v>
      </c>
      <c r="J186" s="693"/>
      <c r="K186" s="5"/>
    </row>
    <row r="187" spans="1:11" s="6" customFormat="1" outlineLevel="2" x14ac:dyDescent="0.25">
      <c r="A187" s="76"/>
      <c r="B187" s="11" t="s">
        <v>966</v>
      </c>
      <c r="C187" s="2" t="s">
        <v>8</v>
      </c>
      <c r="D187" s="64">
        <f>D186*1.05</f>
        <v>5.0819999999999999</v>
      </c>
      <c r="E187" s="2"/>
      <c r="F187" s="361">
        <v>3450</v>
      </c>
      <c r="G187" s="2"/>
      <c r="H187" s="2">
        <f>ROUND(D187*F187,2)</f>
        <v>17532.900000000001</v>
      </c>
      <c r="I187" s="11">
        <f t="shared" si="16"/>
        <v>17532.900000000001</v>
      </c>
      <c r="J187" s="693"/>
      <c r="K187" s="5"/>
    </row>
    <row r="188" spans="1:11" s="6" customFormat="1" outlineLevel="2" x14ac:dyDescent="0.25">
      <c r="A188" s="76"/>
      <c r="B188" s="11" t="s">
        <v>756</v>
      </c>
      <c r="C188" s="2" t="s">
        <v>8</v>
      </c>
      <c r="D188" s="2">
        <f>ROUND(0.23*D186,2)</f>
        <v>1.1100000000000001</v>
      </c>
      <c r="E188" s="2"/>
      <c r="F188" s="361">
        <v>2500</v>
      </c>
      <c r="G188" s="2"/>
      <c r="H188" s="2">
        <f>ROUND(D188*F188,2)</f>
        <v>2775</v>
      </c>
      <c r="I188" s="11">
        <f t="shared" si="16"/>
        <v>2775</v>
      </c>
      <c r="J188" s="693"/>
      <c r="K188" s="5"/>
    </row>
    <row r="189" spans="1:11" s="6" customFormat="1" hidden="1" outlineLevel="1" x14ac:dyDescent="0.25">
      <c r="A189" s="287" t="s">
        <v>504</v>
      </c>
      <c r="B189" s="330" t="s">
        <v>376</v>
      </c>
      <c r="C189" s="46" t="s">
        <v>9</v>
      </c>
      <c r="D189" s="336">
        <v>0</v>
      </c>
      <c r="E189" s="256">
        <v>15000</v>
      </c>
      <c r="F189" s="56"/>
      <c r="G189" s="2">
        <f>ROUND(E189*D189,2)</f>
        <v>0</v>
      </c>
      <c r="H189" s="11"/>
      <c r="I189" s="11">
        <f>G189+H189</f>
        <v>0</v>
      </c>
    </row>
    <row r="190" spans="1:11" s="6" customFormat="1" hidden="1" outlineLevel="1" x14ac:dyDescent="0.25">
      <c r="A190" s="265"/>
      <c r="B190" s="335" t="s">
        <v>377</v>
      </c>
      <c r="C190" s="41" t="s">
        <v>9</v>
      </c>
      <c r="D190" s="324">
        <v>0</v>
      </c>
      <c r="E190" s="31"/>
      <c r="F190" s="164">
        <v>32000</v>
      </c>
      <c r="G190" s="10"/>
      <c r="H190" s="2">
        <f>ROUND(D190*F190,2)</f>
        <v>0</v>
      </c>
      <c r="I190" s="11">
        <f>G190+H190</f>
        <v>0</v>
      </c>
    </row>
    <row r="191" spans="1:11" s="6" customFormat="1" hidden="1" outlineLevel="1" x14ac:dyDescent="0.25">
      <c r="A191" s="265"/>
      <c r="B191" s="335" t="s">
        <v>378</v>
      </c>
      <c r="C191" s="41" t="s">
        <v>9</v>
      </c>
      <c r="D191" s="324">
        <v>0</v>
      </c>
      <c r="E191" s="31"/>
      <c r="F191" s="164">
        <v>32000</v>
      </c>
      <c r="G191" s="10"/>
      <c r="H191" s="2">
        <f>ROUND(D191*F191,2)</f>
        <v>0</v>
      </c>
      <c r="I191" s="11">
        <f>G191+H191</f>
        <v>0</v>
      </c>
    </row>
    <row r="192" spans="1:11" s="6" customFormat="1" hidden="1" outlineLevel="1" x14ac:dyDescent="0.25">
      <c r="A192" s="265"/>
      <c r="B192" s="335" t="s">
        <v>379</v>
      </c>
      <c r="C192" s="41" t="s">
        <v>9</v>
      </c>
      <c r="D192" s="324">
        <v>0</v>
      </c>
      <c r="E192" s="31"/>
      <c r="F192" s="164">
        <v>32000</v>
      </c>
      <c r="G192" s="10"/>
      <c r="H192" s="2">
        <f>ROUND(D192*F192,2)</f>
        <v>0</v>
      </c>
      <c r="I192" s="11">
        <f>G192+H192</f>
        <v>0</v>
      </c>
    </row>
    <row r="193" spans="1:13" s="36" customFormat="1" outlineLevel="1" x14ac:dyDescent="0.25">
      <c r="A193" s="92"/>
      <c r="B193" s="750" t="s">
        <v>1547</v>
      </c>
      <c r="C193" s="744" t="s">
        <v>1548</v>
      </c>
      <c r="D193" s="745">
        <f>2*3*8*24</f>
        <v>1152</v>
      </c>
      <c r="E193" s="746">
        <v>1300</v>
      </c>
      <c r="F193" s="747"/>
      <c r="G193" s="2">
        <f>ROUND(E193*D193,2)</f>
        <v>1497600</v>
      </c>
      <c r="H193" s="2"/>
      <c r="I193" s="11">
        <f>G193+H193</f>
        <v>1497600</v>
      </c>
      <c r="K193" s="162"/>
      <c r="L193" s="162"/>
      <c r="M193" s="162"/>
    </row>
    <row r="194" spans="1:13" s="36" customFormat="1" outlineLevel="1" x14ac:dyDescent="0.25">
      <c r="A194" s="92"/>
      <c r="B194" s="748" t="s">
        <v>1543</v>
      </c>
      <c r="C194" s="744"/>
      <c r="D194" s="745"/>
      <c r="E194" s="746"/>
      <c r="F194" s="747"/>
      <c r="G194" s="474">
        <f>SUM(G133:G193)</f>
        <v>5991313.9100000001</v>
      </c>
      <c r="H194" s="746"/>
      <c r="I194" s="749">
        <f>G194</f>
        <v>5991313.9100000001</v>
      </c>
      <c r="K194" s="162"/>
      <c r="L194" s="162"/>
      <c r="M194" s="162"/>
    </row>
    <row r="195" spans="1:13" s="36" customFormat="1" outlineLevel="1" x14ac:dyDescent="0.25">
      <c r="A195" s="92"/>
      <c r="B195" s="748" t="s">
        <v>1546</v>
      </c>
      <c r="C195" s="744"/>
      <c r="D195" s="745"/>
      <c r="E195" s="746"/>
      <c r="F195" s="747"/>
      <c r="G195" s="474"/>
      <c r="H195" s="473">
        <f>SUM(H133:H192)</f>
        <v>9839960.6699999981</v>
      </c>
      <c r="I195" s="749">
        <f>H195</f>
        <v>9839960.6699999981</v>
      </c>
      <c r="K195" s="162"/>
      <c r="L195" s="162"/>
      <c r="M195" s="162"/>
    </row>
    <row r="196" spans="1:13" s="36" customFormat="1" outlineLevel="1" x14ac:dyDescent="0.25">
      <c r="A196" s="92"/>
      <c r="B196" s="748" t="s">
        <v>1544</v>
      </c>
      <c r="C196" s="744"/>
      <c r="D196" s="745"/>
      <c r="E196" s="746"/>
      <c r="F196" s="747"/>
      <c r="G196" s="474">
        <f>G194*0.25</f>
        <v>1497828.4775</v>
      </c>
      <c r="H196" s="746"/>
      <c r="I196" s="749">
        <f>G196</f>
        <v>1497828.4775</v>
      </c>
      <c r="K196" s="162"/>
      <c r="L196" s="162"/>
      <c r="M196" s="162"/>
    </row>
    <row r="197" spans="1:13" s="36" customFormat="1" outlineLevel="1" x14ac:dyDescent="0.25">
      <c r="A197" s="92"/>
      <c r="B197" s="748" t="s">
        <v>1545</v>
      </c>
      <c r="C197" s="744"/>
      <c r="D197" s="745"/>
      <c r="E197" s="746"/>
      <c r="F197" s="747"/>
      <c r="G197" s="474">
        <f>G194*0.05</f>
        <v>299565.69550000003</v>
      </c>
      <c r="H197" s="746"/>
      <c r="I197" s="749">
        <f>G197</f>
        <v>299565.69550000003</v>
      </c>
      <c r="K197" s="162"/>
      <c r="L197" s="162"/>
      <c r="M197" s="162"/>
    </row>
    <row r="198" spans="1:13" ht="24" customHeight="1" x14ac:dyDescent="0.25">
      <c r="A198" s="223"/>
      <c r="B198" s="224" t="s">
        <v>801</v>
      </c>
      <c r="C198" s="225"/>
      <c r="D198" s="226"/>
      <c r="E198" s="227"/>
      <c r="F198" s="228"/>
      <c r="G198" s="227">
        <f>G194+G196+G197</f>
        <v>7788708.0830000006</v>
      </c>
      <c r="H198" s="227">
        <f>H195</f>
        <v>9839960.6699999981</v>
      </c>
      <c r="I198" s="230">
        <f>I194+I195+I196+I197</f>
        <v>17628668.752999999</v>
      </c>
      <c r="J198" s="693"/>
      <c r="K198" s="133"/>
    </row>
    <row r="199" spans="1:13" s="5" customFormat="1" ht="15.6" customHeight="1" x14ac:dyDescent="0.25">
      <c r="A199" s="89"/>
      <c r="B199" s="58" t="s">
        <v>624</v>
      </c>
      <c r="C199" s="9"/>
      <c r="D199" s="31"/>
      <c r="E199" s="10"/>
      <c r="F199" s="57"/>
      <c r="G199" s="10"/>
      <c r="H199" s="10"/>
      <c r="I199" s="31">
        <f>ROUND(I198/1.18*0.18,2)</f>
        <v>2689118.96</v>
      </c>
    </row>
    <row r="200" spans="1:13" s="5" customFormat="1" ht="21" customHeight="1" x14ac:dyDescent="0.25">
      <c r="A200" s="108"/>
      <c r="B200" s="692" t="s">
        <v>802</v>
      </c>
      <c r="C200" s="105"/>
      <c r="D200" s="105"/>
      <c r="E200" s="105"/>
      <c r="F200" s="138"/>
      <c r="G200" s="105"/>
      <c r="H200" s="105"/>
      <c r="I200" s="106"/>
    </row>
    <row r="201" spans="1:13" s="5" customFormat="1" ht="15.6" customHeight="1" outlineLevel="1" x14ac:dyDescent="0.25">
      <c r="A201" s="107" t="s">
        <v>223</v>
      </c>
      <c r="B201" s="48" t="s">
        <v>740</v>
      </c>
      <c r="C201" s="46" t="s">
        <v>12</v>
      </c>
      <c r="D201" s="50">
        <f>SUM(D202:D218)</f>
        <v>586</v>
      </c>
      <c r="E201" s="275">
        <v>600</v>
      </c>
      <c r="F201" s="43"/>
      <c r="G201" s="2">
        <f>ROUND(E201*D201,2)</f>
        <v>351600</v>
      </c>
      <c r="H201" s="11"/>
      <c r="I201" s="11">
        <f>G201+H201</f>
        <v>351600</v>
      </c>
    </row>
    <row r="202" spans="1:13" s="5" customFormat="1" ht="15.6" customHeight="1" outlineLevel="1" x14ac:dyDescent="0.25">
      <c r="A202" s="84"/>
      <c r="B202" s="47" t="s">
        <v>751</v>
      </c>
      <c r="C202" s="2" t="s">
        <v>12</v>
      </c>
      <c r="D202" s="42">
        <f>Ек!D174+Е!D162</f>
        <v>102</v>
      </c>
      <c r="E202" s="31"/>
      <c r="F202" s="363">
        <v>15000</v>
      </c>
      <c r="G202" s="2"/>
      <c r="H202" s="2">
        <f t="shared" ref="H202:H218" si="17">ROUND(D202*F202,2)</f>
        <v>1530000</v>
      </c>
      <c r="I202" s="60">
        <f t="shared" ref="I202:I218" si="18">G202+H202</f>
        <v>1530000</v>
      </c>
    </row>
    <row r="203" spans="1:13" s="5" customFormat="1" ht="15.6" customHeight="1" outlineLevel="1" x14ac:dyDescent="0.25">
      <c r="A203" s="84"/>
      <c r="B203" s="47" t="s">
        <v>887</v>
      </c>
      <c r="C203" s="2" t="s">
        <v>12</v>
      </c>
      <c r="D203" s="42">
        <f>Ек!D175+Е!D163</f>
        <v>42</v>
      </c>
      <c r="E203" s="31"/>
      <c r="F203" s="363">
        <v>15000</v>
      </c>
      <c r="G203" s="2"/>
      <c r="H203" s="2">
        <f t="shared" si="17"/>
        <v>630000</v>
      </c>
      <c r="I203" s="60">
        <f t="shared" si="18"/>
        <v>630000</v>
      </c>
    </row>
    <row r="204" spans="1:13" s="5" customFormat="1" ht="15.6" customHeight="1" outlineLevel="1" x14ac:dyDescent="0.25">
      <c r="A204" s="84"/>
      <c r="B204" s="47" t="s">
        <v>742</v>
      </c>
      <c r="C204" s="2" t="s">
        <v>12</v>
      </c>
      <c r="D204" s="42">
        <f>Д2!D165+Д!D159</f>
        <v>63</v>
      </c>
      <c r="E204" s="31"/>
      <c r="F204" s="664">
        <v>12796</v>
      </c>
      <c r="G204" s="2"/>
      <c r="H204" s="2">
        <f t="shared" si="17"/>
        <v>806148</v>
      </c>
      <c r="I204" s="60">
        <f t="shared" si="18"/>
        <v>806148</v>
      </c>
    </row>
    <row r="205" spans="1:13" s="5" customFormat="1" ht="15.6" customHeight="1" outlineLevel="1" x14ac:dyDescent="0.25">
      <c r="A205" s="84"/>
      <c r="B205" s="47" t="s">
        <v>892</v>
      </c>
      <c r="C205" s="2" t="s">
        <v>12</v>
      </c>
      <c r="D205" s="42">
        <f>Д2!D166+Д!D160</f>
        <v>15</v>
      </c>
      <c r="E205" s="31"/>
      <c r="F205" s="664">
        <v>10346.25</v>
      </c>
      <c r="G205" s="2"/>
      <c r="H205" s="2">
        <f t="shared" si="17"/>
        <v>155193.75</v>
      </c>
      <c r="I205" s="60">
        <f t="shared" si="18"/>
        <v>155193.75</v>
      </c>
    </row>
    <row r="206" spans="1:13" s="5" customFormat="1" ht="15.6" customHeight="1" outlineLevel="1" x14ac:dyDescent="0.25">
      <c r="A206" s="84"/>
      <c r="B206" s="47" t="s">
        <v>888</v>
      </c>
      <c r="C206" s="2" t="s">
        <v>12</v>
      </c>
      <c r="D206" s="42">
        <f>Д2!D161+Д!D155</f>
        <v>21</v>
      </c>
      <c r="E206" s="31"/>
      <c r="F206" s="362">
        <v>9478.9</v>
      </c>
      <c r="G206" s="2"/>
      <c r="H206" s="2">
        <f t="shared" si="17"/>
        <v>199056.9</v>
      </c>
      <c r="I206" s="60">
        <f t="shared" si="18"/>
        <v>199056.9</v>
      </c>
    </row>
    <row r="207" spans="1:13" s="5" customFormat="1" ht="15.6" customHeight="1" outlineLevel="1" x14ac:dyDescent="0.25">
      <c r="A207" s="84"/>
      <c r="B207" s="47" t="s">
        <v>889</v>
      </c>
      <c r="C207" s="2" t="s">
        <v>12</v>
      </c>
      <c r="D207" s="42">
        <f>Д2!D162+Ек!D176+Д!D156+Е!D164</f>
        <v>213</v>
      </c>
      <c r="E207" s="31"/>
      <c r="F207" s="362">
        <v>9631</v>
      </c>
      <c r="G207" s="2"/>
      <c r="H207" s="2">
        <f t="shared" si="17"/>
        <v>2051403</v>
      </c>
      <c r="I207" s="60">
        <f t="shared" si="18"/>
        <v>2051403</v>
      </c>
    </row>
    <row r="208" spans="1:13" s="5" customFormat="1" ht="15.6" customHeight="1" outlineLevel="1" x14ac:dyDescent="0.25">
      <c r="A208" s="84"/>
      <c r="B208" s="47" t="s">
        <v>744</v>
      </c>
      <c r="C208" s="2" t="s">
        <v>12</v>
      </c>
      <c r="D208" s="42">
        <f>Ек!D177+Е!D165</f>
        <v>24</v>
      </c>
      <c r="E208" s="31"/>
      <c r="F208" s="362">
        <v>11987</v>
      </c>
      <c r="G208" s="2"/>
      <c r="H208" s="2">
        <f t="shared" si="17"/>
        <v>287688</v>
      </c>
      <c r="I208" s="60">
        <f t="shared" si="18"/>
        <v>287688</v>
      </c>
    </row>
    <row r="209" spans="1:9" s="5" customFormat="1" ht="15.6" customHeight="1" outlineLevel="1" x14ac:dyDescent="0.25">
      <c r="A209" s="84"/>
      <c r="B209" s="47" t="s">
        <v>1371</v>
      </c>
      <c r="C209" s="2" t="s">
        <v>12</v>
      </c>
      <c r="D209" s="42">
        <f>Д2!D163+Д!D157</f>
        <v>4</v>
      </c>
      <c r="E209" s="31"/>
      <c r="F209" s="664">
        <v>5615</v>
      </c>
      <c r="G209" s="2"/>
      <c r="H209" s="2">
        <f t="shared" si="17"/>
        <v>22460</v>
      </c>
      <c r="I209" s="60">
        <f t="shared" si="18"/>
        <v>22460</v>
      </c>
    </row>
    <row r="210" spans="1:9" s="5" customFormat="1" ht="15.6" customHeight="1" outlineLevel="1" x14ac:dyDescent="0.25">
      <c r="A210" s="84"/>
      <c r="B210" s="47" t="s">
        <v>890</v>
      </c>
      <c r="C210" s="2" t="s">
        <v>12</v>
      </c>
      <c r="D210" s="42">
        <f>Д2!D164+Д!D158</f>
        <v>14</v>
      </c>
      <c r="E210" s="31"/>
      <c r="F210" s="664">
        <v>4445</v>
      </c>
      <c r="G210" s="2"/>
      <c r="H210" s="2">
        <f t="shared" si="17"/>
        <v>62230</v>
      </c>
      <c r="I210" s="60">
        <f t="shared" si="18"/>
        <v>62230</v>
      </c>
    </row>
    <row r="211" spans="1:9" s="5" customFormat="1" ht="15.6" customHeight="1" outlineLevel="1" x14ac:dyDescent="0.25">
      <c r="A211" s="84"/>
      <c r="B211" s="47" t="s">
        <v>893</v>
      </c>
      <c r="C211" s="2" t="s">
        <v>12</v>
      </c>
      <c r="D211" s="42">
        <f>Д2!D167+Д!D161</f>
        <v>6</v>
      </c>
      <c r="E211" s="31"/>
      <c r="F211" s="664">
        <v>4457</v>
      </c>
      <c r="G211" s="2"/>
      <c r="H211" s="2">
        <f t="shared" si="17"/>
        <v>26742</v>
      </c>
      <c r="I211" s="60">
        <f t="shared" si="18"/>
        <v>26742</v>
      </c>
    </row>
    <row r="212" spans="1:9" s="5" customFormat="1" ht="15.6" customHeight="1" outlineLevel="1" x14ac:dyDescent="0.25">
      <c r="A212" s="84"/>
      <c r="B212" s="47" t="s">
        <v>1337</v>
      </c>
      <c r="C212" s="2" t="s">
        <v>12</v>
      </c>
      <c r="D212" s="42">
        <f>Ек!D178+Е!D166</f>
        <v>14</v>
      </c>
      <c r="E212" s="31"/>
      <c r="F212" s="363">
        <v>4100</v>
      </c>
      <c r="G212" s="2"/>
      <c r="H212" s="2">
        <f t="shared" si="17"/>
        <v>57400</v>
      </c>
      <c r="I212" s="60">
        <f t="shared" si="18"/>
        <v>57400</v>
      </c>
    </row>
    <row r="213" spans="1:9" s="5" customFormat="1" ht="15.6" customHeight="1" outlineLevel="1" x14ac:dyDescent="0.25">
      <c r="A213" s="84"/>
      <c r="B213" s="47" t="s">
        <v>1306</v>
      </c>
      <c r="C213" s="2" t="s">
        <v>12</v>
      </c>
      <c r="D213" s="42">
        <f>Ек!D179+Е!D167</f>
        <v>8</v>
      </c>
      <c r="E213" s="31"/>
      <c r="F213" s="664">
        <v>5621</v>
      </c>
      <c r="G213" s="2"/>
      <c r="H213" s="2">
        <f t="shared" si="17"/>
        <v>44968</v>
      </c>
      <c r="I213" s="60">
        <f t="shared" si="18"/>
        <v>44968</v>
      </c>
    </row>
    <row r="214" spans="1:9" s="5" customFormat="1" ht="15.6" customHeight="1" outlineLevel="1" x14ac:dyDescent="0.25">
      <c r="A214" s="89"/>
      <c r="B214" s="47" t="s">
        <v>747</v>
      </c>
      <c r="C214" s="2" t="s">
        <v>12</v>
      </c>
      <c r="D214" s="42">
        <f>Д2!D168+Ек!D180+Е!D170</f>
        <v>28</v>
      </c>
      <c r="E214" s="31"/>
      <c r="F214" s="362">
        <v>10206.120000000001</v>
      </c>
      <c r="G214" s="2"/>
      <c r="H214" s="2">
        <f t="shared" si="17"/>
        <v>285771.36</v>
      </c>
      <c r="I214" s="60">
        <f t="shared" si="18"/>
        <v>285771.36</v>
      </c>
    </row>
    <row r="215" spans="1:9" s="5" customFormat="1" ht="15.6" customHeight="1" outlineLevel="1" x14ac:dyDescent="0.25">
      <c r="A215" s="89"/>
      <c r="B215" s="47" t="s">
        <v>749</v>
      </c>
      <c r="C215" s="2" t="s">
        <v>12</v>
      </c>
      <c r="D215" s="42">
        <f>Ек!D181+Е!D168</f>
        <v>8</v>
      </c>
      <c r="E215" s="31"/>
      <c r="F215" s="362">
        <v>14953.2</v>
      </c>
      <c r="G215" s="2"/>
      <c r="H215" s="2">
        <f t="shared" si="17"/>
        <v>119625.60000000001</v>
      </c>
      <c r="I215" s="60">
        <f t="shared" si="18"/>
        <v>119625.60000000001</v>
      </c>
    </row>
    <row r="216" spans="1:9" s="5" customFormat="1" ht="15.6" customHeight="1" outlineLevel="1" x14ac:dyDescent="0.25">
      <c r="A216" s="89"/>
      <c r="B216" s="47" t="s">
        <v>750</v>
      </c>
      <c r="C216" s="2" t="s">
        <v>12</v>
      </c>
      <c r="D216" s="42">
        <f>Д2!D170+Ек!D182+Е!D169</f>
        <v>12</v>
      </c>
      <c r="E216" s="31"/>
      <c r="F216" s="362">
        <v>10358.1</v>
      </c>
      <c r="G216" s="2"/>
      <c r="H216" s="2">
        <f t="shared" si="17"/>
        <v>124297.2</v>
      </c>
      <c r="I216" s="60">
        <f t="shared" si="18"/>
        <v>124297.2</v>
      </c>
    </row>
    <row r="217" spans="1:9" s="5" customFormat="1" ht="15.6" customHeight="1" outlineLevel="1" x14ac:dyDescent="0.25">
      <c r="A217" s="89"/>
      <c r="B217" s="47" t="s">
        <v>748</v>
      </c>
      <c r="C217" s="2" t="s">
        <v>12</v>
      </c>
      <c r="D217" s="42">
        <f>Д2!D169</f>
        <v>4</v>
      </c>
      <c r="E217" s="31"/>
      <c r="F217" s="363">
        <v>10500</v>
      </c>
      <c r="G217" s="2"/>
      <c r="H217" s="2">
        <f t="shared" si="17"/>
        <v>42000</v>
      </c>
      <c r="I217" s="60">
        <f t="shared" si="18"/>
        <v>42000</v>
      </c>
    </row>
    <row r="218" spans="1:9" s="5" customFormat="1" ht="15.6" customHeight="1" outlineLevel="1" x14ac:dyDescent="0.25">
      <c r="A218" s="89"/>
      <c r="B218" s="47" t="s">
        <v>1403</v>
      </c>
      <c r="C218" s="2" t="s">
        <v>12</v>
      </c>
      <c r="D218" s="42">
        <f>Д!D162</f>
        <v>8</v>
      </c>
      <c r="E218" s="31"/>
      <c r="F218" s="362">
        <v>14953.2</v>
      </c>
      <c r="G218" s="2"/>
      <c r="H218" s="2">
        <f t="shared" si="17"/>
        <v>119625.60000000001</v>
      </c>
      <c r="I218" s="60">
        <f t="shared" si="18"/>
        <v>119625.60000000001</v>
      </c>
    </row>
    <row r="219" spans="1:9" s="5" customFormat="1" ht="15.75" customHeight="1" outlineLevel="1" x14ac:dyDescent="0.25">
      <c r="A219" s="89"/>
      <c r="B219" s="47" t="s">
        <v>902</v>
      </c>
      <c r="C219" s="41" t="s">
        <v>9</v>
      </c>
      <c r="D219" s="42">
        <f>Д2!D171+Ек!D183+Д!D163+Е!D171</f>
        <v>3.5432200000000007</v>
      </c>
      <c r="E219" s="43"/>
      <c r="F219" s="364">
        <v>33000</v>
      </c>
      <c r="G219" s="18"/>
      <c r="H219" s="2">
        <f>ROUND(D219*F219,2)</f>
        <v>116926.26</v>
      </c>
      <c r="I219" s="11">
        <f t="shared" ref="I219:I224" si="19">G219+H219</f>
        <v>116926.26</v>
      </c>
    </row>
    <row r="220" spans="1:9" s="5" customFormat="1" ht="15.6" customHeight="1" outlineLevel="1" x14ac:dyDescent="0.25">
      <c r="A220" s="89"/>
      <c r="B220" s="47" t="s">
        <v>901</v>
      </c>
      <c r="C220" s="41" t="s">
        <v>15</v>
      </c>
      <c r="D220" s="42">
        <f>Д2!D172+Ек!D184+Д!D164+Е!D172</f>
        <v>136.72999999999999</v>
      </c>
      <c r="E220" s="43"/>
      <c r="F220" s="364">
        <v>33</v>
      </c>
      <c r="G220" s="18"/>
      <c r="H220" s="2">
        <f>ROUND(D220*F220,2)</f>
        <v>4512.09</v>
      </c>
      <c r="I220" s="11">
        <f t="shared" si="19"/>
        <v>4512.09</v>
      </c>
    </row>
    <row r="221" spans="1:9" s="5" customFormat="1" ht="15.6" customHeight="1" outlineLevel="1" x14ac:dyDescent="0.25">
      <c r="A221" s="89"/>
      <c r="B221" s="47" t="s">
        <v>875</v>
      </c>
      <c r="C221" s="41" t="s">
        <v>15</v>
      </c>
      <c r="D221" s="42">
        <f>Д2!D173+Е!D173</f>
        <v>24.36</v>
      </c>
      <c r="E221" s="43"/>
      <c r="F221" s="364">
        <v>36</v>
      </c>
      <c r="G221" s="18"/>
      <c r="H221" s="2">
        <f>ROUND(D221*F221,2)</f>
        <v>876.96</v>
      </c>
      <c r="I221" s="11">
        <f t="shared" si="19"/>
        <v>876.96</v>
      </c>
    </row>
    <row r="222" spans="1:9" s="5" customFormat="1" ht="15.6" customHeight="1" outlineLevel="1" x14ac:dyDescent="0.25">
      <c r="A222" s="107" t="s">
        <v>224</v>
      </c>
      <c r="B222" s="49" t="s">
        <v>788</v>
      </c>
      <c r="C222" s="203" t="s">
        <v>8</v>
      </c>
      <c r="D222" s="46">
        <f>Д2!D174+Ек!D185+Д!D165+Е!D174</f>
        <v>30.200000000000003</v>
      </c>
      <c r="E222" s="353">
        <v>800</v>
      </c>
      <c r="F222" s="139"/>
      <c r="G222" s="2">
        <f>ROUND(E222*D222,2)</f>
        <v>24160</v>
      </c>
      <c r="H222" s="26"/>
      <c r="I222" s="11">
        <f t="shared" si="19"/>
        <v>24160</v>
      </c>
    </row>
    <row r="223" spans="1:9" s="5" customFormat="1" ht="15.6" customHeight="1" outlineLevel="1" x14ac:dyDescent="0.25">
      <c r="A223" s="89"/>
      <c r="B223" s="47" t="s">
        <v>366</v>
      </c>
      <c r="C223" s="41" t="s">
        <v>9</v>
      </c>
      <c r="D223" s="42">
        <f>Д2!D175+Ек!D186+Д!D166+Е!D175</f>
        <v>5.43384</v>
      </c>
      <c r="E223" s="2"/>
      <c r="F223" s="364">
        <v>34000</v>
      </c>
      <c r="G223" s="10"/>
      <c r="H223" s="2">
        <f>ROUND(D223*F223,2)</f>
        <v>184750.56</v>
      </c>
      <c r="I223" s="11">
        <f t="shared" si="19"/>
        <v>184750.56</v>
      </c>
    </row>
    <row r="224" spans="1:9" s="5" customFormat="1" ht="15.6" customHeight="1" outlineLevel="1" x14ac:dyDescent="0.25">
      <c r="A224" s="89"/>
      <c r="B224" s="47" t="s">
        <v>483</v>
      </c>
      <c r="C224" s="41" t="s">
        <v>8</v>
      </c>
      <c r="D224" s="42">
        <f>D222*1.015</f>
        <v>30.652999999999999</v>
      </c>
      <c r="E224" s="2"/>
      <c r="F224" s="664">
        <v>4200</v>
      </c>
      <c r="G224" s="31"/>
      <c r="H224" s="2">
        <f>ROUND(D224*F224,2)</f>
        <v>128742.6</v>
      </c>
      <c r="I224" s="11">
        <f t="shared" si="19"/>
        <v>128742.6</v>
      </c>
    </row>
    <row r="225" spans="1:13" s="36" customFormat="1" outlineLevel="1" x14ac:dyDescent="0.25">
      <c r="A225" s="92"/>
      <c r="B225" s="750" t="s">
        <v>1547</v>
      </c>
      <c r="C225" s="744" t="s">
        <v>1548</v>
      </c>
      <c r="D225" s="745">
        <v>124</v>
      </c>
      <c r="E225" s="746">
        <v>1400</v>
      </c>
      <c r="F225" s="747"/>
      <c r="G225" s="2">
        <f>ROUND(E225*D225,2)</f>
        <v>173600</v>
      </c>
      <c r="H225" s="2"/>
      <c r="I225" s="11">
        <f>G225+H225</f>
        <v>173600</v>
      </c>
      <c r="K225" s="162"/>
      <c r="L225" s="162"/>
      <c r="M225" s="162"/>
    </row>
    <row r="226" spans="1:13" s="36" customFormat="1" outlineLevel="1" x14ac:dyDescent="0.25">
      <c r="A226" s="92"/>
      <c r="B226" s="748" t="s">
        <v>1543</v>
      </c>
      <c r="C226" s="744"/>
      <c r="D226" s="745"/>
      <c r="E226" s="746"/>
      <c r="F226" s="747"/>
      <c r="G226" s="474">
        <f>SUM(G201:G225)</f>
        <v>549360</v>
      </c>
      <c r="H226" s="746"/>
      <c r="I226" s="749">
        <f>G226</f>
        <v>549360</v>
      </c>
      <c r="K226" s="162"/>
      <c r="L226" s="162"/>
      <c r="M226" s="162"/>
    </row>
    <row r="227" spans="1:13" s="36" customFormat="1" outlineLevel="1" x14ac:dyDescent="0.25">
      <c r="A227" s="92"/>
      <c r="B227" s="748" t="s">
        <v>1546</v>
      </c>
      <c r="C227" s="744"/>
      <c r="D227" s="745"/>
      <c r="E227" s="746"/>
      <c r="F227" s="747"/>
      <c r="G227" s="474"/>
      <c r="H227" s="473">
        <f>SUM(H201:H224)</f>
        <v>7000417.879999999</v>
      </c>
      <c r="I227" s="749">
        <f>H227</f>
        <v>7000417.879999999</v>
      </c>
      <c r="K227" s="162"/>
      <c r="L227" s="162"/>
      <c r="M227" s="162"/>
    </row>
    <row r="228" spans="1:13" s="36" customFormat="1" outlineLevel="1" x14ac:dyDescent="0.25">
      <c r="A228" s="92"/>
      <c r="B228" s="748" t="s">
        <v>1544</v>
      </c>
      <c r="C228" s="744"/>
      <c r="D228" s="745"/>
      <c r="E228" s="746"/>
      <c r="F228" s="747"/>
      <c r="G228" s="474">
        <f>G226*0.25</f>
        <v>137340</v>
      </c>
      <c r="H228" s="746"/>
      <c r="I228" s="749">
        <f>G228</f>
        <v>137340</v>
      </c>
      <c r="K228" s="162"/>
      <c r="L228" s="162"/>
      <c r="M228" s="162"/>
    </row>
    <row r="229" spans="1:13" s="36" customFormat="1" outlineLevel="1" x14ac:dyDescent="0.25">
      <c r="A229" s="92"/>
      <c r="B229" s="748" t="s">
        <v>1545</v>
      </c>
      <c r="C229" s="744"/>
      <c r="D229" s="745"/>
      <c r="E229" s="746"/>
      <c r="F229" s="747"/>
      <c r="G229" s="474">
        <f>G226*0.05</f>
        <v>27468</v>
      </c>
      <c r="H229" s="746"/>
      <c r="I229" s="749">
        <f>G229</f>
        <v>27468</v>
      </c>
      <c r="K229" s="162"/>
      <c r="L229" s="162"/>
      <c r="M229" s="162"/>
    </row>
    <row r="230" spans="1:13" s="5" customFormat="1" ht="36" customHeight="1" x14ac:dyDescent="0.25">
      <c r="A230" s="223"/>
      <c r="B230" s="232" t="s">
        <v>803</v>
      </c>
      <c r="C230" s="225"/>
      <c r="D230" s="239"/>
      <c r="E230" s="230"/>
      <c r="F230" s="240"/>
      <c r="G230" s="230">
        <f>G226+G228+G229</f>
        <v>714168</v>
      </c>
      <c r="H230" s="230">
        <f>H227</f>
        <v>7000417.879999999</v>
      </c>
      <c r="I230" s="230">
        <f>I227+I226+I228+I229</f>
        <v>7714585.879999999</v>
      </c>
      <c r="J230" s="691"/>
    </row>
    <row r="231" spans="1:13" s="5" customFormat="1" ht="15.6" customHeight="1" x14ac:dyDescent="0.25">
      <c r="A231" s="90"/>
      <c r="B231" s="58" t="s">
        <v>624</v>
      </c>
      <c r="C231" s="9"/>
      <c r="D231" s="31"/>
      <c r="E231" s="10"/>
      <c r="F231" s="57"/>
      <c r="G231" s="10"/>
      <c r="H231" s="10"/>
      <c r="I231" s="31">
        <f>ROUND(I230/1.18*0.18,2)</f>
        <v>1176801.24</v>
      </c>
    </row>
    <row r="232" spans="1:13" s="5" customFormat="1" ht="21" customHeight="1" x14ac:dyDescent="0.25">
      <c r="A232" s="108"/>
      <c r="B232" s="378" t="s">
        <v>810</v>
      </c>
      <c r="C232" s="105"/>
      <c r="D232" s="105"/>
      <c r="E232" s="105"/>
      <c r="F232" s="138"/>
      <c r="G232" s="105"/>
      <c r="H232" s="105"/>
      <c r="I232" s="106"/>
    </row>
    <row r="233" spans="1:13" s="5" customFormat="1" ht="15.6" customHeight="1" outlineLevel="1" x14ac:dyDescent="0.25">
      <c r="A233" s="107" t="s">
        <v>979</v>
      </c>
      <c r="B233" s="49" t="s">
        <v>384</v>
      </c>
      <c r="C233" s="203" t="s">
        <v>12</v>
      </c>
      <c r="D233" s="42">
        <f>D234</f>
        <v>150</v>
      </c>
      <c r="E233" s="353">
        <v>100</v>
      </c>
      <c r="F233" s="139"/>
      <c r="G233" s="2">
        <f>ROUND(E233*D233,2)</f>
        <v>15000</v>
      </c>
      <c r="H233" s="26"/>
      <c r="I233" s="11">
        <f t="shared" ref="I233:I238" si="20">G233+H233</f>
        <v>15000</v>
      </c>
    </row>
    <row r="234" spans="1:13" s="5" customFormat="1" ht="15.6" customHeight="1" outlineLevel="1" x14ac:dyDescent="0.25">
      <c r="A234" s="391"/>
      <c r="B234" s="47" t="s">
        <v>1375</v>
      </c>
      <c r="C234" s="41" t="s">
        <v>12</v>
      </c>
      <c r="D234" s="42">
        <f>Д2!D182+Ек!D193+Д!D173+Е!D182</f>
        <v>150</v>
      </c>
      <c r="E234" s="282"/>
      <c r="F234" s="668">
        <v>784</v>
      </c>
      <c r="G234" s="10"/>
      <c r="H234" s="2">
        <f>ROUND(D234*F234,2)</f>
        <v>117600</v>
      </c>
      <c r="I234" s="11">
        <f t="shared" si="20"/>
        <v>117600</v>
      </c>
    </row>
    <row r="235" spans="1:13" s="5" customFormat="1" ht="15.6" customHeight="1" outlineLevel="1" x14ac:dyDescent="0.25">
      <c r="A235" s="391"/>
      <c r="B235" s="47" t="s">
        <v>804</v>
      </c>
      <c r="C235" s="41" t="s">
        <v>8</v>
      </c>
      <c r="D235" s="42">
        <f>Д2!D183+Д!D174</f>
        <v>0.12075</v>
      </c>
      <c r="E235" s="390"/>
      <c r="F235" s="664">
        <v>4200</v>
      </c>
      <c r="G235" s="31"/>
      <c r="H235" s="2">
        <f>ROUND(D235*F235,2)</f>
        <v>507.15</v>
      </c>
      <c r="I235" s="11">
        <f t="shared" si="20"/>
        <v>507.15</v>
      </c>
    </row>
    <row r="236" spans="1:13" s="5" customFormat="1" ht="15.6" customHeight="1" outlineLevel="1" x14ac:dyDescent="0.25">
      <c r="A236" s="107" t="s">
        <v>980</v>
      </c>
      <c r="B236" s="49" t="s">
        <v>824</v>
      </c>
      <c r="C236" s="203" t="s">
        <v>9</v>
      </c>
      <c r="D236" s="733">
        <f>D237</f>
        <v>1.7501199999999999</v>
      </c>
      <c r="E236" s="353">
        <v>30000</v>
      </c>
      <c r="F236" s="139"/>
      <c r="G236" s="2">
        <f>ROUND(E236*D236,2)</f>
        <v>52503.6</v>
      </c>
      <c r="H236" s="26"/>
      <c r="I236" s="11">
        <f t="shared" si="20"/>
        <v>52503.6</v>
      </c>
    </row>
    <row r="237" spans="1:13" s="5" customFormat="1" ht="15.6" customHeight="1" outlineLevel="1" x14ac:dyDescent="0.25">
      <c r="A237" s="391"/>
      <c r="B237" s="47" t="s">
        <v>1376</v>
      </c>
      <c r="C237" s="41" t="s">
        <v>9</v>
      </c>
      <c r="D237" s="42">
        <f>Д2!D185+Ек!D195+Д!D176+Е!D184</f>
        <v>1.7501199999999999</v>
      </c>
      <c r="E237" s="282"/>
      <c r="F237" s="364">
        <v>40000</v>
      </c>
      <c r="G237" s="10"/>
      <c r="H237" s="2">
        <f>ROUND(D237*F237,2)</f>
        <v>70004.800000000003</v>
      </c>
      <c r="I237" s="11">
        <f t="shared" si="20"/>
        <v>70004.800000000003</v>
      </c>
    </row>
    <row r="238" spans="1:13" s="5" customFormat="1" ht="15.6" customHeight="1" outlineLevel="1" x14ac:dyDescent="0.3">
      <c r="A238" s="107" t="s">
        <v>981</v>
      </c>
      <c r="B238" s="49" t="s">
        <v>903</v>
      </c>
      <c r="C238" s="41" t="s">
        <v>12</v>
      </c>
      <c r="D238" s="31">
        <f>Д2!D186+Ек!D196+Д!D177+Е!D185</f>
        <v>16</v>
      </c>
      <c r="E238" s="353">
        <v>600</v>
      </c>
      <c r="F238" s="392"/>
      <c r="G238" s="2">
        <f>D238*E238</f>
        <v>9600</v>
      </c>
      <c r="H238" s="2"/>
      <c r="I238" s="11">
        <f t="shared" si="20"/>
        <v>9600</v>
      </c>
    </row>
    <row r="239" spans="1:13" s="5" customFormat="1" ht="15.6" customHeight="1" outlineLevel="1" x14ac:dyDescent="0.25">
      <c r="A239" s="391"/>
      <c r="B239" s="47" t="s">
        <v>1524</v>
      </c>
      <c r="C239" s="41" t="s">
        <v>9</v>
      </c>
      <c r="D239" s="2">
        <f>Д2!D187+Д2!D188+Ек!D197+Д!D178+Д!D179+Е!D186</f>
        <v>1.2767540000000002</v>
      </c>
      <c r="E239" s="353"/>
      <c r="F239" s="364">
        <v>42000</v>
      </c>
      <c r="G239" s="2"/>
      <c r="H239" s="2">
        <f>D239*F239</f>
        <v>53623.668000000005</v>
      </c>
      <c r="I239" s="11">
        <f>H239</f>
        <v>53623.668000000005</v>
      </c>
    </row>
    <row r="240" spans="1:13" s="5" customFormat="1" ht="15.6" customHeight="1" outlineLevel="1" x14ac:dyDescent="0.25">
      <c r="A240" s="107" t="s">
        <v>982</v>
      </c>
      <c r="B240" s="49" t="s">
        <v>788</v>
      </c>
      <c r="C240" s="41" t="s">
        <v>8</v>
      </c>
      <c r="D240" s="2">
        <f>Ек!D198+Е!D187</f>
        <v>0.19600000000000001</v>
      </c>
      <c r="E240" s="353">
        <v>500</v>
      </c>
      <c r="F240" s="363"/>
      <c r="G240" s="2">
        <f>E240*D240</f>
        <v>98</v>
      </c>
      <c r="H240" s="2"/>
      <c r="I240" s="11">
        <f>G240</f>
        <v>98</v>
      </c>
    </row>
    <row r="241" spans="1:13" s="5" customFormat="1" ht="15.6" customHeight="1" outlineLevel="1" x14ac:dyDescent="0.25">
      <c r="A241" s="391"/>
      <c r="B241" s="47" t="s">
        <v>804</v>
      </c>
      <c r="C241" s="41" t="s">
        <v>8</v>
      </c>
      <c r="D241" s="42">
        <f>D240*1.015</f>
        <v>0.19893999999999998</v>
      </c>
      <c r="E241" s="353"/>
      <c r="F241" s="664">
        <v>4200</v>
      </c>
      <c r="G241" s="31"/>
      <c r="H241" s="2">
        <f>ROUND(D241*F241,2)</f>
        <v>835.55</v>
      </c>
      <c r="I241" s="11">
        <f>G241+H241</f>
        <v>835.55</v>
      </c>
    </row>
    <row r="242" spans="1:13" s="5" customFormat="1" ht="15.6" customHeight="1" outlineLevel="1" x14ac:dyDescent="0.25">
      <c r="A242" s="391"/>
      <c r="B242" s="47" t="s">
        <v>998</v>
      </c>
      <c r="C242" s="41" t="s">
        <v>15</v>
      </c>
      <c r="D242" s="2">
        <f>Ек!D200+Е!D189</f>
        <v>42.52</v>
      </c>
      <c r="E242" s="353"/>
      <c r="F242" s="364">
        <v>34</v>
      </c>
      <c r="G242" s="2"/>
      <c r="H242" s="2">
        <f>F242*D242</f>
        <v>1445.68</v>
      </c>
      <c r="I242" s="11">
        <f>H242</f>
        <v>1445.68</v>
      </c>
    </row>
    <row r="243" spans="1:13" s="5" customFormat="1" ht="15.6" customHeight="1" outlineLevel="1" x14ac:dyDescent="0.25">
      <c r="A243" s="107" t="s">
        <v>983</v>
      </c>
      <c r="B243" s="49" t="s">
        <v>805</v>
      </c>
      <c r="C243" s="41" t="s">
        <v>12</v>
      </c>
      <c r="D243" s="2">
        <f>Д2!D189+Ек!D201+Д!D180+Е!D190</f>
        <v>20</v>
      </c>
      <c r="E243" s="353">
        <v>3000</v>
      </c>
      <c r="F243" s="363"/>
      <c r="G243" s="2">
        <f>D243*E243</f>
        <v>60000</v>
      </c>
      <c r="H243" s="2"/>
      <c r="I243" s="11">
        <f>G243</f>
        <v>60000</v>
      </c>
    </row>
    <row r="244" spans="1:13" s="5" customFormat="1" ht="15.6" customHeight="1" outlineLevel="1" x14ac:dyDescent="0.25">
      <c r="A244" s="391"/>
      <c r="B244" s="47" t="s">
        <v>904</v>
      </c>
      <c r="C244" s="41" t="s">
        <v>9</v>
      </c>
      <c r="D244" s="2">
        <f>Ек!D202+Е!D191</f>
        <v>0.15519999999999998</v>
      </c>
      <c r="E244" s="353"/>
      <c r="F244" s="363">
        <v>40000</v>
      </c>
      <c r="G244" s="2"/>
      <c r="H244" s="2">
        <f>F244*D244</f>
        <v>6207.9999999999991</v>
      </c>
      <c r="I244" s="11">
        <f>H244</f>
        <v>6207.9999999999991</v>
      </c>
    </row>
    <row r="245" spans="1:13" s="5" customFormat="1" ht="15.6" customHeight="1" outlineLevel="1" x14ac:dyDescent="0.25">
      <c r="A245" s="391"/>
      <c r="B245" s="47" t="s">
        <v>1380</v>
      </c>
      <c r="C245" s="41" t="s">
        <v>9</v>
      </c>
      <c r="D245" s="2">
        <f>Д2!D190+Ек!D203+Д!D181+Е!D192</f>
        <v>0.48120000000000002</v>
      </c>
      <c r="E245" s="353"/>
      <c r="F245" s="363">
        <v>40000</v>
      </c>
      <c r="G245" s="2"/>
      <c r="H245" s="2">
        <f>F245*D245</f>
        <v>19248</v>
      </c>
      <c r="I245" s="11">
        <f>H245</f>
        <v>19248</v>
      </c>
    </row>
    <row r="246" spans="1:13" s="5" customFormat="1" ht="15.6" customHeight="1" outlineLevel="1" x14ac:dyDescent="0.25">
      <c r="A246" s="391"/>
      <c r="B246" s="47" t="s">
        <v>806</v>
      </c>
      <c r="C246" s="41" t="s">
        <v>9</v>
      </c>
      <c r="D246" s="2">
        <f>Д2!D191+Ек!D204+Д!D182+Е!D193</f>
        <v>8.4400000000000003E-2</v>
      </c>
      <c r="E246" s="353"/>
      <c r="F246" s="363">
        <v>40000</v>
      </c>
      <c r="G246" s="2"/>
      <c r="H246" s="2">
        <f>F246*D246</f>
        <v>3376</v>
      </c>
      <c r="I246" s="11">
        <f>H246</f>
        <v>3376</v>
      </c>
    </row>
    <row r="247" spans="1:13" s="5" customFormat="1" ht="15.6" customHeight="1" outlineLevel="1" x14ac:dyDescent="0.25">
      <c r="A247" s="107" t="s">
        <v>1405</v>
      </c>
      <c r="B247" s="49" t="s">
        <v>1398</v>
      </c>
      <c r="C247" s="41" t="s">
        <v>12</v>
      </c>
      <c r="D247" s="2">
        <f>Ек!D205+Е!D194</f>
        <v>2</v>
      </c>
      <c r="E247" s="353">
        <v>1500</v>
      </c>
      <c r="F247" s="363"/>
      <c r="G247" s="2">
        <f>E247*D247</f>
        <v>3000</v>
      </c>
      <c r="H247" s="2"/>
      <c r="I247" s="11">
        <f>G247</f>
        <v>3000</v>
      </c>
    </row>
    <row r="248" spans="1:13" s="5" customFormat="1" ht="15.6" customHeight="1" outlineLevel="1" x14ac:dyDescent="0.25">
      <c r="A248" s="391"/>
      <c r="B248" s="47" t="s">
        <v>91</v>
      </c>
      <c r="C248" s="41" t="s">
        <v>9</v>
      </c>
      <c r="D248" s="42">
        <f>Ек!D206+Е!D195</f>
        <v>0.108</v>
      </c>
      <c r="E248" s="282"/>
      <c r="F248" s="364">
        <v>40000</v>
      </c>
      <c r="G248" s="10"/>
      <c r="H248" s="2">
        <f>ROUND(D248*F248,2)</f>
        <v>4320</v>
      </c>
      <c r="I248" s="11">
        <f>G248+H248</f>
        <v>4320</v>
      </c>
    </row>
    <row r="249" spans="1:13" s="5" customFormat="1" ht="15.6" customHeight="1" outlineLevel="1" x14ac:dyDescent="0.3">
      <c r="A249" s="107" t="s">
        <v>1406</v>
      </c>
      <c r="B249" s="49" t="s">
        <v>807</v>
      </c>
      <c r="C249" s="41" t="s">
        <v>14</v>
      </c>
      <c r="D249" s="31">
        <f>(D237+D244+D245+D246+D248+D239)*27</f>
        <v>104.10319800000002</v>
      </c>
      <c r="E249" s="256">
        <v>150</v>
      </c>
      <c r="F249" s="484"/>
      <c r="G249" s="2">
        <f>D249*E249</f>
        <v>15615.479700000004</v>
      </c>
      <c r="H249" s="484"/>
      <c r="I249" s="11">
        <f>G249</f>
        <v>15615.479700000004</v>
      </c>
    </row>
    <row r="250" spans="1:13" s="5" customFormat="1" ht="15.6" customHeight="1" outlineLevel="1" x14ac:dyDescent="0.3">
      <c r="A250" s="391"/>
      <c r="B250" s="47" t="s">
        <v>1166</v>
      </c>
      <c r="C250" s="41" t="s">
        <v>15</v>
      </c>
      <c r="D250" s="2">
        <f>D249*0.2</f>
        <v>20.820639600000007</v>
      </c>
      <c r="E250" s="484"/>
      <c r="F250" s="362">
        <v>85</v>
      </c>
      <c r="G250" s="484"/>
      <c r="H250" s="2">
        <f>F250*D250</f>
        <v>1769.7543660000006</v>
      </c>
      <c r="I250" s="11">
        <f>H250</f>
        <v>1769.7543660000006</v>
      </c>
    </row>
    <row r="251" spans="1:13" s="5" customFormat="1" ht="15.6" customHeight="1" outlineLevel="1" x14ac:dyDescent="0.3">
      <c r="A251" s="391"/>
      <c r="B251" s="47" t="s">
        <v>1162</v>
      </c>
      <c r="C251" s="41" t="s">
        <v>15</v>
      </c>
      <c r="D251" s="2">
        <f>D249*0.3</f>
        <v>31.230959400000003</v>
      </c>
      <c r="E251" s="484"/>
      <c r="F251" s="362">
        <v>115</v>
      </c>
      <c r="G251" s="484"/>
      <c r="H251" s="2">
        <f>F251*D251</f>
        <v>3591.5603310000006</v>
      </c>
      <c r="I251" s="11">
        <f>H251</f>
        <v>3591.5603310000006</v>
      </c>
    </row>
    <row r="252" spans="1:13" s="36" customFormat="1" outlineLevel="1" x14ac:dyDescent="0.25">
      <c r="A252" s="92"/>
      <c r="B252" s="748" t="s">
        <v>1543</v>
      </c>
      <c r="C252" s="744"/>
      <c r="D252" s="745"/>
      <c r="E252" s="746"/>
      <c r="F252" s="747"/>
      <c r="G252" s="474">
        <f>SUM(G233:G251)</f>
        <v>155817.0797</v>
      </c>
      <c r="H252" s="746"/>
      <c r="I252" s="749">
        <f>G252</f>
        <v>155817.0797</v>
      </c>
      <c r="K252" s="162"/>
      <c r="L252" s="162"/>
      <c r="M252" s="162"/>
    </row>
    <row r="253" spans="1:13" s="36" customFormat="1" outlineLevel="1" x14ac:dyDescent="0.25">
      <c r="A253" s="92"/>
      <c r="B253" s="748" t="s">
        <v>1546</v>
      </c>
      <c r="C253" s="744"/>
      <c r="D253" s="745"/>
      <c r="E253" s="746"/>
      <c r="F253" s="747"/>
      <c r="G253" s="474"/>
      <c r="H253" s="473">
        <f>SUM(H233:H251)</f>
        <v>282530.16269700002</v>
      </c>
      <c r="I253" s="749">
        <f>H253</f>
        <v>282530.16269700002</v>
      </c>
      <c r="K253" s="162"/>
      <c r="L253" s="162"/>
      <c r="M253" s="162"/>
    </row>
    <row r="254" spans="1:13" s="36" customFormat="1" outlineLevel="1" x14ac:dyDescent="0.25">
      <c r="A254" s="92"/>
      <c r="B254" s="748" t="s">
        <v>1544</v>
      </c>
      <c r="C254" s="744"/>
      <c r="D254" s="745"/>
      <c r="E254" s="746"/>
      <c r="F254" s="747"/>
      <c r="G254" s="474">
        <f>G252*0.25</f>
        <v>38954.269925000001</v>
      </c>
      <c r="H254" s="746"/>
      <c r="I254" s="749">
        <f>G254</f>
        <v>38954.269925000001</v>
      </c>
      <c r="K254" s="162"/>
      <c r="L254" s="162"/>
      <c r="M254" s="162"/>
    </row>
    <row r="255" spans="1:13" s="36" customFormat="1" outlineLevel="1" x14ac:dyDescent="0.25">
      <c r="A255" s="92"/>
      <c r="B255" s="748" t="s">
        <v>1545</v>
      </c>
      <c r="C255" s="744"/>
      <c r="D255" s="745"/>
      <c r="E255" s="746"/>
      <c r="F255" s="747"/>
      <c r="G255" s="474">
        <f>G252*0.05</f>
        <v>7790.8539850000006</v>
      </c>
      <c r="H255" s="746"/>
      <c r="I255" s="749">
        <f>G255</f>
        <v>7790.8539850000006</v>
      </c>
      <c r="K255" s="162"/>
      <c r="L255" s="162"/>
      <c r="M255" s="162"/>
    </row>
    <row r="256" spans="1:13" s="5" customFormat="1" ht="15.6" customHeight="1" x14ac:dyDescent="0.25">
      <c r="A256" s="391"/>
      <c r="B256" s="232" t="s">
        <v>811</v>
      </c>
      <c r="C256" s="225"/>
      <c r="D256" s="239"/>
      <c r="E256" s="230"/>
      <c r="F256" s="240"/>
      <c r="G256" s="230">
        <f>G252+G254+G255</f>
        <v>202562.20361</v>
      </c>
      <c r="H256" s="230">
        <f>H253</f>
        <v>282530.16269700002</v>
      </c>
      <c r="I256" s="230">
        <f>I252+I253+I254+I255</f>
        <v>485092.36630699999</v>
      </c>
      <c r="J256" s="691"/>
    </row>
    <row r="257" spans="1:9" s="5" customFormat="1" ht="15.6" customHeight="1" x14ac:dyDescent="0.25">
      <c r="A257" s="391"/>
      <c r="B257" s="58" t="s">
        <v>624</v>
      </c>
      <c r="C257" s="9"/>
      <c r="D257" s="31"/>
      <c r="E257" s="10"/>
      <c r="F257" s="57"/>
      <c r="G257" s="10"/>
      <c r="H257" s="10"/>
      <c r="I257" s="31">
        <f>ROUND(I256/1.18*0.18,2)</f>
        <v>73997.14</v>
      </c>
    </row>
    <row r="258" spans="1:9" s="5" customFormat="1" ht="21" hidden="1" customHeight="1" x14ac:dyDescent="0.25">
      <c r="A258" s="108"/>
      <c r="B258" s="378" t="s">
        <v>812</v>
      </c>
      <c r="C258" s="105"/>
      <c r="D258" s="105"/>
      <c r="E258" s="105"/>
      <c r="F258" s="138"/>
      <c r="G258" s="105"/>
      <c r="H258" s="105"/>
      <c r="I258" s="106"/>
    </row>
    <row r="259" spans="1:9" s="5" customFormat="1" ht="15.6" hidden="1" customHeight="1" x14ac:dyDescent="0.25">
      <c r="A259" s="391"/>
      <c r="B259" s="383" t="s">
        <v>813</v>
      </c>
      <c r="C259" s="41" t="s">
        <v>12</v>
      </c>
      <c r="D259" s="282">
        <v>0</v>
      </c>
      <c r="E259" s="390">
        <v>500</v>
      </c>
      <c r="F259" s="363">
        <v>24000</v>
      </c>
      <c r="G259" s="2">
        <f>D259*E259</f>
        <v>0</v>
      </c>
      <c r="H259" s="2">
        <f>D259*F259</f>
        <v>0</v>
      </c>
      <c r="I259" s="11">
        <f>H259+G259</f>
        <v>0</v>
      </c>
    </row>
    <row r="260" spans="1:9" s="5" customFormat="1" ht="15.6" hidden="1" customHeight="1" x14ac:dyDescent="0.25">
      <c r="A260" s="391"/>
      <c r="B260" s="383" t="s">
        <v>814</v>
      </c>
      <c r="C260" s="41" t="s">
        <v>8</v>
      </c>
      <c r="D260" s="282">
        <v>0</v>
      </c>
      <c r="E260" s="390">
        <v>2500</v>
      </c>
      <c r="F260" s="363"/>
      <c r="G260" s="2">
        <f>D260*E260</f>
        <v>0</v>
      </c>
      <c r="H260" s="2"/>
      <c r="I260" s="11">
        <f>G260</f>
        <v>0</v>
      </c>
    </row>
    <row r="261" spans="1:9" s="5" customFormat="1" ht="15.6" hidden="1" customHeight="1" x14ac:dyDescent="0.3">
      <c r="A261" s="391"/>
      <c r="B261" s="394" t="s">
        <v>815</v>
      </c>
      <c r="C261" s="41" t="s">
        <v>8</v>
      </c>
      <c r="D261" s="282">
        <f>D260*1.05</f>
        <v>0</v>
      </c>
      <c r="E261" s="390"/>
      <c r="F261" s="363">
        <f>F110</f>
        <v>0</v>
      </c>
      <c r="G261" s="2"/>
      <c r="H261" s="2">
        <f>F261*D261</f>
        <v>0</v>
      </c>
      <c r="I261" s="11">
        <f>G261+H261</f>
        <v>0</v>
      </c>
    </row>
    <row r="262" spans="1:9" s="5" customFormat="1" ht="15.6" hidden="1" customHeight="1" x14ac:dyDescent="0.3">
      <c r="A262" s="391"/>
      <c r="B262" s="395" t="s">
        <v>816</v>
      </c>
      <c r="C262" s="41" t="s">
        <v>9</v>
      </c>
      <c r="D262" s="282">
        <v>0</v>
      </c>
      <c r="E262" s="390"/>
      <c r="F262" s="363">
        <v>31000</v>
      </c>
      <c r="G262" s="2"/>
      <c r="H262" s="2">
        <f>F262*D262</f>
        <v>0</v>
      </c>
      <c r="I262" s="11">
        <f>G262+H262</f>
        <v>0</v>
      </c>
    </row>
    <row r="263" spans="1:9" s="5" customFormat="1" ht="15.6" hidden="1" customHeight="1" x14ac:dyDescent="0.3">
      <c r="A263" s="391"/>
      <c r="B263" s="395" t="s">
        <v>817</v>
      </c>
      <c r="C263" s="41" t="s">
        <v>9</v>
      </c>
      <c r="D263" s="282">
        <v>0</v>
      </c>
      <c r="E263" s="390"/>
      <c r="F263" s="363">
        <v>31000</v>
      </c>
      <c r="G263" s="2"/>
      <c r="H263" s="2">
        <f>F263*D263</f>
        <v>0</v>
      </c>
      <c r="I263" s="11">
        <f>G263+H263</f>
        <v>0</v>
      </c>
    </row>
    <row r="264" spans="1:9" s="5" customFormat="1" ht="15.6" hidden="1" customHeight="1" x14ac:dyDescent="0.3">
      <c r="A264" s="391"/>
      <c r="B264" s="396" t="s">
        <v>818</v>
      </c>
      <c r="C264" s="41" t="s">
        <v>9</v>
      </c>
      <c r="D264" s="282">
        <v>0</v>
      </c>
      <c r="E264" s="390"/>
      <c r="F264" s="363">
        <v>31000</v>
      </c>
      <c r="G264" s="2"/>
      <c r="H264" s="2">
        <f>F264*D264</f>
        <v>0</v>
      </c>
      <c r="I264" s="11">
        <f>G264+H264</f>
        <v>0</v>
      </c>
    </row>
    <row r="265" spans="1:9" s="5" customFormat="1" ht="15.6" hidden="1" customHeight="1" x14ac:dyDescent="0.25">
      <c r="A265" s="391"/>
      <c r="B265" s="383" t="s">
        <v>819</v>
      </c>
      <c r="C265" s="41" t="s">
        <v>853</v>
      </c>
      <c r="D265" s="282">
        <v>0</v>
      </c>
      <c r="E265" s="390">
        <v>25000</v>
      </c>
      <c r="F265" s="363"/>
      <c r="G265" s="2">
        <f>D265*E265</f>
        <v>0</v>
      </c>
      <c r="H265" s="2">
        <f>D265*F265</f>
        <v>0</v>
      </c>
      <c r="I265" s="11">
        <f>H265+G265</f>
        <v>0</v>
      </c>
    </row>
    <row r="266" spans="1:9" s="5" customFormat="1" ht="15.6" hidden="1" customHeight="1" x14ac:dyDescent="0.3">
      <c r="A266" s="391"/>
      <c r="B266" s="393" t="s">
        <v>820</v>
      </c>
      <c r="C266" s="41" t="s">
        <v>853</v>
      </c>
      <c r="D266" s="282">
        <v>0</v>
      </c>
      <c r="E266" s="390"/>
      <c r="F266" s="363">
        <v>33000</v>
      </c>
      <c r="G266" s="2"/>
      <c r="H266" s="2">
        <f>D266*F266</f>
        <v>0</v>
      </c>
      <c r="I266" s="11">
        <f>H266</f>
        <v>0</v>
      </c>
    </row>
    <row r="267" spans="1:9" s="5" customFormat="1" ht="15.6" hidden="1" customHeight="1" x14ac:dyDescent="0.3">
      <c r="A267" s="391"/>
      <c r="B267" s="393" t="s">
        <v>821</v>
      </c>
      <c r="C267" s="41" t="s">
        <v>853</v>
      </c>
      <c r="D267" s="282">
        <v>0</v>
      </c>
      <c r="E267" s="390"/>
      <c r="F267" s="363">
        <v>33000</v>
      </c>
      <c r="G267" s="2"/>
      <c r="H267" s="2">
        <f>D267*F267</f>
        <v>0</v>
      </c>
      <c r="I267" s="11">
        <f>H267</f>
        <v>0</v>
      </c>
    </row>
    <row r="268" spans="1:9" s="5" customFormat="1" ht="15.6" hidden="1" customHeight="1" x14ac:dyDescent="0.3">
      <c r="A268" s="391"/>
      <c r="B268" s="393" t="s">
        <v>822</v>
      </c>
      <c r="C268" s="41" t="s">
        <v>14</v>
      </c>
      <c r="D268" s="282">
        <v>0</v>
      </c>
      <c r="E268" s="390"/>
      <c r="F268" s="363">
        <v>250</v>
      </c>
      <c r="G268" s="2"/>
      <c r="H268" s="2">
        <f>D268*F268</f>
        <v>0</v>
      </c>
      <c r="I268" s="11">
        <f>H268</f>
        <v>0</v>
      </c>
    </row>
    <row r="269" spans="1:9" s="5" customFormat="1" ht="15.6" hidden="1" customHeight="1" x14ac:dyDescent="0.3">
      <c r="A269" s="391"/>
      <c r="B269" s="397" t="s">
        <v>823</v>
      </c>
      <c r="C269" s="41"/>
      <c r="D269" s="282"/>
      <c r="E269" s="390"/>
      <c r="F269" s="363"/>
      <c r="G269" s="2"/>
      <c r="H269" s="2"/>
      <c r="I269" s="11"/>
    </row>
    <row r="270" spans="1:9" s="5" customFormat="1" ht="15.6" hidden="1" customHeight="1" x14ac:dyDescent="0.25">
      <c r="A270" s="391"/>
      <c r="B270" s="383" t="s">
        <v>824</v>
      </c>
      <c r="C270" s="41" t="s">
        <v>853</v>
      </c>
      <c r="D270" s="282">
        <v>0</v>
      </c>
      <c r="E270" s="390">
        <v>25000</v>
      </c>
      <c r="F270" s="363"/>
      <c r="G270" s="2">
        <f>D270*E270</f>
        <v>0</v>
      </c>
      <c r="H270" s="2">
        <f t="shared" ref="H270:H279" si="21">D270*F270</f>
        <v>0</v>
      </c>
      <c r="I270" s="11">
        <f>H270+G270</f>
        <v>0</v>
      </c>
    </row>
    <row r="271" spans="1:9" s="5" customFormat="1" ht="15.6" hidden="1" customHeight="1" x14ac:dyDescent="0.3">
      <c r="A271" s="391"/>
      <c r="B271" s="393" t="s">
        <v>825</v>
      </c>
      <c r="C271" s="41" t="s">
        <v>853</v>
      </c>
      <c r="D271" s="282">
        <v>0</v>
      </c>
      <c r="E271" s="390"/>
      <c r="F271" s="363">
        <v>33000</v>
      </c>
      <c r="G271" s="2"/>
      <c r="H271" s="2">
        <f t="shared" si="21"/>
        <v>0</v>
      </c>
      <c r="I271" s="11">
        <f>H271</f>
        <v>0</v>
      </c>
    </row>
    <row r="272" spans="1:9" s="5" customFormat="1" ht="15.6" hidden="1" customHeight="1" x14ac:dyDescent="0.3">
      <c r="A272" s="391"/>
      <c r="B272" s="393" t="s">
        <v>826</v>
      </c>
      <c r="C272" s="41" t="s">
        <v>853</v>
      </c>
      <c r="D272" s="282">
        <v>0</v>
      </c>
      <c r="E272" s="390"/>
      <c r="F272" s="363">
        <v>33000</v>
      </c>
      <c r="G272" s="2"/>
      <c r="H272" s="2">
        <f t="shared" si="21"/>
        <v>0</v>
      </c>
      <c r="I272" s="11">
        <f t="shared" ref="I272:I279" si="22">H272</f>
        <v>0</v>
      </c>
    </row>
    <row r="273" spans="1:9" s="5" customFormat="1" ht="15.6" hidden="1" customHeight="1" x14ac:dyDescent="0.3">
      <c r="A273" s="391"/>
      <c r="B273" s="393" t="s">
        <v>827</v>
      </c>
      <c r="C273" s="41" t="s">
        <v>853</v>
      </c>
      <c r="D273" s="282">
        <v>0</v>
      </c>
      <c r="E273" s="390"/>
      <c r="F273" s="363">
        <v>33000</v>
      </c>
      <c r="G273" s="2"/>
      <c r="H273" s="2">
        <f t="shared" si="21"/>
        <v>0</v>
      </c>
      <c r="I273" s="11">
        <f>H273</f>
        <v>0</v>
      </c>
    </row>
    <row r="274" spans="1:9" s="5" customFormat="1" ht="15.6" hidden="1" customHeight="1" x14ac:dyDescent="0.3">
      <c r="A274" s="391"/>
      <c r="B274" s="393" t="s">
        <v>828</v>
      </c>
      <c r="C274" s="41" t="s">
        <v>853</v>
      </c>
      <c r="D274" s="282">
        <v>0</v>
      </c>
      <c r="E274" s="390"/>
      <c r="F274" s="363">
        <v>33000</v>
      </c>
      <c r="G274" s="2"/>
      <c r="H274" s="2">
        <f t="shared" si="21"/>
        <v>0</v>
      </c>
      <c r="I274" s="11">
        <f t="shared" si="22"/>
        <v>0</v>
      </c>
    </row>
    <row r="275" spans="1:9" s="5" customFormat="1" ht="15.6" hidden="1" customHeight="1" x14ac:dyDescent="0.3">
      <c r="A275" s="391"/>
      <c r="B275" s="393" t="s">
        <v>822</v>
      </c>
      <c r="C275" s="41" t="s">
        <v>14</v>
      </c>
      <c r="D275" s="282">
        <v>0</v>
      </c>
      <c r="E275" s="390"/>
      <c r="F275" s="363">
        <v>250</v>
      </c>
      <c r="G275" s="2"/>
      <c r="H275" s="2">
        <f t="shared" si="21"/>
        <v>0</v>
      </c>
      <c r="I275" s="11">
        <f t="shared" si="22"/>
        <v>0</v>
      </c>
    </row>
    <row r="276" spans="1:9" s="5" customFormat="1" ht="15.6" hidden="1" customHeight="1" x14ac:dyDescent="0.3">
      <c r="A276" s="391"/>
      <c r="B276" s="393" t="s">
        <v>829</v>
      </c>
      <c r="C276" s="41" t="s">
        <v>14</v>
      </c>
      <c r="D276" s="282">
        <v>0</v>
      </c>
      <c r="E276" s="390"/>
      <c r="F276" s="363">
        <v>250</v>
      </c>
      <c r="G276" s="2"/>
      <c r="H276" s="2">
        <f t="shared" si="21"/>
        <v>0</v>
      </c>
      <c r="I276" s="11">
        <f t="shared" si="22"/>
        <v>0</v>
      </c>
    </row>
    <row r="277" spans="1:9" s="5" customFormat="1" ht="15.6" hidden="1" customHeight="1" x14ac:dyDescent="0.3">
      <c r="A277" s="391"/>
      <c r="B277" s="393" t="s">
        <v>830</v>
      </c>
      <c r="C277" s="41" t="s">
        <v>14</v>
      </c>
      <c r="D277" s="282">
        <v>0</v>
      </c>
      <c r="E277" s="390"/>
      <c r="F277" s="363">
        <v>250</v>
      </c>
      <c r="G277" s="2"/>
      <c r="H277" s="2">
        <f t="shared" si="21"/>
        <v>0</v>
      </c>
      <c r="I277" s="11">
        <f t="shared" si="22"/>
        <v>0</v>
      </c>
    </row>
    <row r="278" spans="1:9" s="5" customFormat="1" ht="15.6" hidden="1" customHeight="1" x14ac:dyDescent="0.3">
      <c r="A278" s="391"/>
      <c r="B278" s="393" t="s">
        <v>831</v>
      </c>
      <c r="C278" s="41" t="s">
        <v>12</v>
      </c>
      <c r="D278" s="282">
        <v>0</v>
      </c>
      <c r="E278" s="390"/>
      <c r="F278" s="363">
        <v>250</v>
      </c>
      <c r="G278" s="2"/>
      <c r="H278" s="2">
        <f t="shared" si="21"/>
        <v>0</v>
      </c>
      <c r="I278" s="11">
        <f t="shared" si="22"/>
        <v>0</v>
      </c>
    </row>
    <row r="279" spans="1:9" s="5" customFormat="1" ht="15.6" hidden="1" customHeight="1" x14ac:dyDescent="0.3">
      <c r="A279" s="391"/>
      <c r="B279" s="393" t="s">
        <v>832</v>
      </c>
      <c r="C279" s="41" t="s">
        <v>14</v>
      </c>
      <c r="D279" s="282">
        <v>0</v>
      </c>
      <c r="E279" s="390"/>
      <c r="F279" s="363">
        <v>200</v>
      </c>
      <c r="G279" s="2"/>
      <c r="H279" s="2">
        <f t="shared" si="21"/>
        <v>0</v>
      </c>
      <c r="I279" s="11">
        <f t="shared" si="22"/>
        <v>0</v>
      </c>
    </row>
    <row r="280" spans="1:9" s="5" customFormat="1" ht="15.6" hidden="1" customHeight="1" x14ac:dyDescent="0.25">
      <c r="A280" s="391"/>
      <c r="B280" s="383" t="s">
        <v>807</v>
      </c>
      <c r="C280" s="41" t="s">
        <v>14</v>
      </c>
      <c r="D280" s="282">
        <f>(D265+D270)*27</f>
        <v>0</v>
      </c>
      <c r="E280" s="390">
        <v>150</v>
      </c>
      <c r="F280" s="363"/>
      <c r="G280" s="2">
        <f>D280*E280</f>
        <v>0</v>
      </c>
      <c r="H280" s="2"/>
      <c r="I280" s="11">
        <f>G280</f>
        <v>0</v>
      </c>
    </row>
    <row r="281" spans="1:9" s="5" customFormat="1" ht="15.6" hidden="1" customHeight="1" x14ac:dyDescent="0.3">
      <c r="A281" s="391"/>
      <c r="B281" s="393" t="s">
        <v>808</v>
      </c>
      <c r="C281" s="41" t="s">
        <v>15</v>
      </c>
      <c r="D281" s="282">
        <f>D280*0.2</f>
        <v>0</v>
      </c>
      <c r="E281" s="390"/>
      <c r="F281" s="363">
        <v>85</v>
      </c>
      <c r="G281" s="2"/>
      <c r="H281" s="2">
        <f>F281*D281</f>
        <v>0</v>
      </c>
      <c r="I281" s="11">
        <f>H281</f>
        <v>0</v>
      </c>
    </row>
    <row r="282" spans="1:9" s="5" customFormat="1" ht="15.6" hidden="1" customHeight="1" x14ac:dyDescent="0.3">
      <c r="A282" s="391"/>
      <c r="B282" s="393" t="s">
        <v>809</v>
      </c>
      <c r="C282" s="41" t="s">
        <v>15</v>
      </c>
      <c r="D282" s="282">
        <f>D280*0.3</f>
        <v>0</v>
      </c>
      <c r="E282" s="390"/>
      <c r="F282" s="363">
        <v>115</v>
      </c>
      <c r="G282" s="2"/>
      <c r="H282" s="2">
        <f>F282*D282</f>
        <v>0</v>
      </c>
      <c r="I282" s="11">
        <f>H282</f>
        <v>0</v>
      </c>
    </row>
    <row r="283" spans="1:9" s="5" customFormat="1" ht="15.6" hidden="1" customHeight="1" x14ac:dyDescent="0.3">
      <c r="A283" s="391"/>
      <c r="B283" s="398" t="s">
        <v>833</v>
      </c>
      <c r="C283" s="41"/>
      <c r="D283" s="282"/>
      <c r="E283" s="390"/>
      <c r="F283" s="363"/>
      <c r="G283" s="2"/>
      <c r="H283" s="2"/>
      <c r="I283" s="11"/>
    </row>
    <row r="284" spans="1:9" s="5" customFormat="1" ht="15.6" hidden="1" customHeight="1" x14ac:dyDescent="0.25">
      <c r="A284" s="391"/>
      <c r="B284" s="383" t="s">
        <v>824</v>
      </c>
      <c r="C284" s="41" t="s">
        <v>853</v>
      </c>
      <c r="D284" s="282">
        <v>0</v>
      </c>
      <c r="E284" s="390">
        <v>25000</v>
      </c>
      <c r="F284" s="363"/>
      <c r="G284" s="2">
        <f>D284*E284</f>
        <v>0</v>
      </c>
      <c r="H284" s="2">
        <f t="shared" ref="H284:H297" si="23">D284*F284</f>
        <v>0</v>
      </c>
      <c r="I284" s="11">
        <f t="shared" ref="I284:I298" si="24">H284+G284</f>
        <v>0</v>
      </c>
    </row>
    <row r="285" spans="1:9" s="5" customFormat="1" ht="15.6" hidden="1" customHeight="1" x14ac:dyDescent="0.3">
      <c r="A285" s="391"/>
      <c r="B285" s="399" t="s">
        <v>834</v>
      </c>
      <c r="C285" s="41" t="s">
        <v>853</v>
      </c>
      <c r="D285" s="282">
        <v>0</v>
      </c>
      <c r="E285" s="390"/>
      <c r="F285" s="363">
        <v>33000</v>
      </c>
      <c r="G285" s="2"/>
      <c r="H285" s="2">
        <f t="shared" si="23"/>
        <v>0</v>
      </c>
      <c r="I285" s="11">
        <f t="shared" si="24"/>
        <v>0</v>
      </c>
    </row>
    <row r="286" spans="1:9" s="5" customFormat="1" ht="15.6" hidden="1" customHeight="1" x14ac:dyDescent="0.3">
      <c r="A286" s="391"/>
      <c r="B286" s="400" t="s">
        <v>835</v>
      </c>
      <c r="C286" s="41" t="s">
        <v>853</v>
      </c>
      <c r="D286" s="282">
        <v>0</v>
      </c>
      <c r="E286" s="390"/>
      <c r="F286" s="363">
        <v>33000</v>
      </c>
      <c r="G286" s="2"/>
      <c r="H286" s="2">
        <f t="shared" si="23"/>
        <v>0</v>
      </c>
      <c r="I286" s="11">
        <f t="shared" si="24"/>
        <v>0</v>
      </c>
    </row>
    <row r="287" spans="1:9" s="5" customFormat="1" ht="15.6" hidden="1" customHeight="1" x14ac:dyDescent="0.3">
      <c r="A287" s="391"/>
      <c r="B287" s="400" t="s">
        <v>836</v>
      </c>
      <c r="C287" s="41" t="s">
        <v>853</v>
      </c>
      <c r="D287" s="282">
        <v>0</v>
      </c>
      <c r="E287" s="390"/>
      <c r="F287" s="363">
        <v>33000</v>
      </c>
      <c r="G287" s="2"/>
      <c r="H287" s="2">
        <f t="shared" si="23"/>
        <v>0</v>
      </c>
      <c r="I287" s="11">
        <f t="shared" si="24"/>
        <v>0</v>
      </c>
    </row>
    <row r="288" spans="1:9" s="5" customFormat="1" ht="15.6" hidden="1" customHeight="1" x14ac:dyDescent="0.3">
      <c r="A288" s="391"/>
      <c r="B288" s="400" t="s">
        <v>837</v>
      </c>
      <c r="C288" s="41" t="s">
        <v>853</v>
      </c>
      <c r="D288" s="282">
        <v>0</v>
      </c>
      <c r="E288" s="390"/>
      <c r="F288" s="363">
        <v>33000</v>
      </c>
      <c r="G288" s="2"/>
      <c r="H288" s="2">
        <f t="shared" si="23"/>
        <v>0</v>
      </c>
      <c r="I288" s="11">
        <f t="shared" si="24"/>
        <v>0</v>
      </c>
    </row>
    <row r="289" spans="1:9" s="5" customFormat="1" ht="15.6" hidden="1" customHeight="1" x14ac:dyDescent="0.3">
      <c r="A289" s="391"/>
      <c r="B289" s="400" t="s">
        <v>838</v>
      </c>
      <c r="C289" s="41" t="s">
        <v>853</v>
      </c>
      <c r="D289" s="282">
        <v>0</v>
      </c>
      <c r="E289" s="390"/>
      <c r="F289" s="363">
        <v>33000</v>
      </c>
      <c r="G289" s="2"/>
      <c r="H289" s="2">
        <f t="shared" si="23"/>
        <v>0</v>
      </c>
      <c r="I289" s="11">
        <f t="shared" si="24"/>
        <v>0</v>
      </c>
    </row>
    <row r="290" spans="1:9" s="5" customFormat="1" ht="15.6" hidden="1" customHeight="1" x14ac:dyDescent="0.3">
      <c r="A290" s="391"/>
      <c r="B290" s="400" t="s">
        <v>839</v>
      </c>
      <c r="C290" s="41" t="s">
        <v>853</v>
      </c>
      <c r="D290" s="282">
        <v>0</v>
      </c>
      <c r="E290" s="390"/>
      <c r="F290" s="363">
        <v>33000</v>
      </c>
      <c r="G290" s="2"/>
      <c r="H290" s="2">
        <f t="shared" si="23"/>
        <v>0</v>
      </c>
      <c r="I290" s="11">
        <f t="shared" si="24"/>
        <v>0</v>
      </c>
    </row>
    <row r="291" spans="1:9" s="5" customFormat="1" ht="15.6" hidden="1" customHeight="1" x14ac:dyDescent="0.3">
      <c r="A291" s="391"/>
      <c r="B291" s="400" t="s">
        <v>840</v>
      </c>
      <c r="C291" s="41" t="s">
        <v>853</v>
      </c>
      <c r="D291" s="282">
        <v>0</v>
      </c>
      <c r="E291" s="390"/>
      <c r="F291" s="363">
        <v>33000</v>
      </c>
      <c r="G291" s="2"/>
      <c r="H291" s="2">
        <f t="shared" si="23"/>
        <v>0</v>
      </c>
      <c r="I291" s="11">
        <f t="shared" si="24"/>
        <v>0</v>
      </c>
    </row>
    <row r="292" spans="1:9" s="5" customFormat="1" ht="15.6" hidden="1" customHeight="1" x14ac:dyDescent="0.3">
      <c r="A292" s="391"/>
      <c r="B292" s="400" t="s">
        <v>841</v>
      </c>
      <c r="C292" s="41" t="s">
        <v>853</v>
      </c>
      <c r="D292" s="282">
        <v>0</v>
      </c>
      <c r="E292" s="390"/>
      <c r="F292" s="363">
        <v>33000</v>
      </c>
      <c r="G292" s="2"/>
      <c r="H292" s="2">
        <f t="shared" si="23"/>
        <v>0</v>
      </c>
      <c r="I292" s="11">
        <f t="shared" si="24"/>
        <v>0</v>
      </c>
    </row>
    <row r="293" spans="1:9" s="5" customFormat="1" ht="15.6" hidden="1" customHeight="1" x14ac:dyDescent="0.3">
      <c r="A293" s="391"/>
      <c r="B293" s="400" t="s">
        <v>842</v>
      </c>
      <c r="C293" s="41" t="s">
        <v>853</v>
      </c>
      <c r="D293" s="282">
        <v>0</v>
      </c>
      <c r="E293" s="390"/>
      <c r="F293" s="363">
        <v>33000</v>
      </c>
      <c r="G293" s="2"/>
      <c r="H293" s="2">
        <f t="shared" si="23"/>
        <v>0</v>
      </c>
      <c r="I293" s="11">
        <f t="shared" si="24"/>
        <v>0</v>
      </c>
    </row>
    <row r="294" spans="1:9" s="5" customFormat="1" ht="15.6" hidden="1" customHeight="1" x14ac:dyDescent="0.3">
      <c r="A294" s="391"/>
      <c r="B294" s="400" t="s">
        <v>843</v>
      </c>
      <c r="C294" s="41" t="s">
        <v>853</v>
      </c>
      <c r="D294" s="282">
        <v>0</v>
      </c>
      <c r="E294" s="390"/>
      <c r="F294" s="363">
        <v>31000</v>
      </c>
      <c r="G294" s="2"/>
      <c r="H294" s="2">
        <f t="shared" si="23"/>
        <v>0</v>
      </c>
      <c r="I294" s="11">
        <f t="shared" si="24"/>
        <v>0</v>
      </c>
    </row>
    <row r="295" spans="1:9" s="5" customFormat="1" ht="15.6" hidden="1" customHeight="1" x14ac:dyDescent="0.3">
      <c r="A295" s="391"/>
      <c r="B295" s="400" t="s">
        <v>844</v>
      </c>
      <c r="C295" s="41" t="s">
        <v>853</v>
      </c>
      <c r="D295" s="282">
        <v>0</v>
      </c>
      <c r="E295" s="390"/>
      <c r="F295" s="363">
        <v>33000</v>
      </c>
      <c r="G295" s="2"/>
      <c r="H295" s="2">
        <f t="shared" si="23"/>
        <v>0</v>
      </c>
      <c r="I295" s="11">
        <f t="shared" si="24"/>
        <v>0</v>
      </c>
    </row>
    <row r="296" spans="1:9" s="5" customFormat="1" ht="15.6" hidden="1" customHeight="1" x14ac:dyDescent="0.3">
      <c r="A296" s="391"/>
      <c r="B296" s="393" t="s">
        <v>845</v>
      </c>
      <c r="C296" s="41" t="s">
        <v>14</v>
      </c>
      <c r="D296" s="282">
        <v>0</v>
      </c>
      <c r="E296" s="390"/>
      <c r="F296" s="363">
        <v>250</v>
      </c>
      <c r="G296" s="2"/>
      <c r="H296" s="2">
        <f t="shared" si="23"/>
        <v>0</v>
      </c>
      <c r="I296" s="11">
        <f t="shared" si="24"/>
        <v>0</v>
      </c>
    </row>
    <row r="297" spans="1:9" s="5" customFormat="1" ht="15.6" hidden="1" customHeight="1" x14ac:dyDescent="0.3">
      <c r="A297" s="391"/>
      <c r="B297" s="393" t="s">
        <v>846</v>
      </c>
      <c r="C297" s="41" t="s">
        <v>14</v>
      </c>
      <c r="D297" s="282">
        <v>0</v>
      </c>
      <c r="E297" s="390"/>
      <c r="F297" s="363">
        <v>250</v>
      </c>
      <c r="G297" s="2"/>
      <c r="H297" s="2">
        <f t="shared" si="23"/>
        <v>0</v>
      </c>
      <c r="I297" s="11">
        <f t="shared" si="24"/>
        <v>0</v>
      </c>
    </row>
    <row r="298" spans="1:9" s="5" customFormat="1" ht="15.6" hidden="1" customHeight="1" x14ac:dyDescent="0.3">
      <c r="A298" s="391"/>
      <c r="B298" s="393" t="s">
        <v>847</v>
      </c>
      <c r="C298" s="41"/>
      <c r="D298" s="282"/>
      <c r="E298" s="390"/>
      <c r="F298" s="363"/>
      <c r="G298" s="2"/>
      <c r="H298" s="2">
        <v>0</v>
      </c>
      <c r="I298" s="11">
        <f t="shared" si="24"/>
        <v>0</v>
      </c>
    </row>
    <row r="299" spans="1:9" s="5" customFormat="1" ht="15.6" hidden="1" customHeight="1" x14ac:dyDescent="0.25">
      <c r="A299" s="391"/>
      <c r="B299" s="383" t="s">
        <v>848</v>
      </c>
      <c r="C299" s="41" t="s">
        <v>8</v>
      </c>
      <c r="D299" s="282">
        <v>0</v>
      </c>
      <c r="E299" s="390">
        <v>2500</v>
      </c>
      <c r="F299" s="363"/>
      <c r="G299" s="2">
        <f>D299*E299</f>
        <v>0</v>
      </c>
      <c r="H299" s="2"/>
      <c r="I299" s="11">
        <f>G299</f>
        <v>0</v>
      </c>
    </row>
    <row r="300" spans="1:9" s="5" customFormat="1" ht="15.6" hidden="1" customHeight="1" x14ac:dyDescent="0.3">
      <c r="A300" s="391"/>
      <c r="B300" s="393" t="s">
        <v>849</v>
      </c>
      <c r="C300" s="41" t="s">
        <v>8</v>
      </c>
      <c r="D300" s="282">
        <v>0</v>
      </c>
      <c r="E300" s="390"/>
      <c r="F300" s="363">
        <v>4975</v>
      </c>
      <c r="G300" s="2"/>
      <c r="H300" s="2">
        <f>F300*D300</f>
        <v>0</v>
      </c>
      <c r="I300" s="11">
        <f>H300</f>
        <v>0</v>
      </c>
    </row>
    <row r="301" spans="1:9" s="5" customFormat="1" ht="15.6" hidden="1" customHeight="1" x14ac:dyDescent="0.3">
      <c r="A301" s="391"/>
      <c r="B301" s="393" t="s">
        <v>850</v>
      </c>
      <c r="C301" s="41" t="s">
        <v>8</v>
      </c>
      <c r="D301" s="282">
        <v>0</v>
      </c>
      <c r="E301" s="390"/>
      <c r="F301" s="363">
        <f>F212</f>
        <v>4100</v>
      </c>
      <c r="G301" s="2"/>
      <c r="H301" s="2">
        <f>F301*D301</f>
        <v>0</v>
      </c>
      <c r="I301" s="11">
        <f>H301</f>
        <v>0</v>
      </c>
    </row>
    <row r="302" spans="1:9" s="5" customFormat="1" ht="15.6" hidden="1" customHeight="1" x14ac:dyDescent="0.3">
      <c r="A302" s="391"/>
      <c r="B302" s="393" t="s">
        <v>851</v>
      </c>
      <c r="C302" s="41" t="s">
        <v>853</v>
      </c>
      <c r="D302" s="282">
        <v>0</v>
      </c>
      <c r="E302" s="390"/>
      <c r="F302" s="363">
        <v>42000</v>
      </c>
      <c r="G302" s="2"/>
      <c r="H302" s="2">
        <f>F302*D302</f>
        <v>0</v>
      </c>
      <c r="I302" s="11">
        <f>H302</f>
        <v>0</v>
      </c>
    </row>
    <row r="303" spans="1:9" s="5" customFormat="1" ht="15.6" hidden="1" customHeight="1" x14ac:dyDescent="0.3">
      <c r="A303" s="391"/>
      <c r="B303" s="393" t="s">
        <v>852</v>
      </c>
      <c r="C303" s="41" t="s">
        <v>853</v>
      </c>
      <c r="D303" s="282">
        <v>0</v>
      </c>
      <c r="E303" s="390"/>
      <c r="F303" s="363">
        <v>35000</v>
      </c>
      <c r="G303" s="2"/>
      <c r="H303" s="2">
        <f>F303*D303</f>
        <v>0</v>
      </c>
      <c r="I303" s="11">
        <f>H303</f>
        <v>0</v>
      </c>
    </row>
    <row r="304" spans="1:9" s="5" customFormat="1" ht="15.6" hidden="1" customHeight="1" x14ac:dyDescent="0.25">
      <c r="A304" s="391"/>
      <c r="B304" s="383" t="s">
        <v>807</v>
      </c>
      <c r="C304" s="41" t="s">
        <v>14</v>
      </c>
      <c r="D304" s="282">
        <f>D284*27</f>
        <v>0</v>
      </c>
      <c r="E304" s="390">
        <v>150</v>
      </c>
      <c r="F304" s="363"/>
      <c r="G304" s="2">
        <f>D304*E304</f>
        <v>0</v>
      </c>
      <c r="H304" s="2"/>
      <c r="I304" s="11">
        <f>G304</f>
        <v>0</v>
      </c>
    </row>
    <row r="305" spans="1:9" s="5" customFormat="1" ht="15.6" hidden="1" customHeight="1" x14ac:dyDescent="0.3">
      <c r="A305" s="391"/>
      <c r="B305" s="393" t="s">
        <v>808</v>
      </c>
      <c r="C305" s="41" t="s">
        <v>15</v>
      </c>
      <c r="D305" s="282">
        <f>D304*0.2</f>
        <v>0</v>
      </c>
      <c r="E305" s="390"/>
      <c r="F305" s="363">
        <v>85</v>
      </c>
      <c r="G305" s="2"/>
      <c r="H305" s="2">
        <f>F305*D305</f>
        <v>0</v>
      </c>
      <c r="I305" s="11">
        <f>H305</f>
        <v>0</v>
      </c>
    </row>
    <row r="306" spans="1:9" s="5" customFormat="1" ht="15.6" hidden="1" customHeight="1" x14ac:dyDescent="0.3">
      <c r="A306" s="391"/>
      <c r="B306" s="393" t="s">
        <v>809</v>
      </c>
      <c r="C306" s="41" t="s">
        <v>15</v>
      </c>
      <c r="D306" s="282">
        <f>D304*0.3</f>
        <v>0</v>
      </c>
      <c r="E306" s="390"/>
      <c r="F306" s="363">
        <v>115</v>
      </c>
      <c r="G306" s="2"/>
      <c r="H306" s="2">
        <f>F306*D306</f>
        <v>0</v>
      </c>
      <c r="I306" s="11">
        <f>H306</f>
        <v>0</v>
      </c>
    </row>
    <row r="307" spans="1:9" s="5" customFormat="1" ht="15.6" hidden="1" customHeight="1" x14ac:dyDescent="0.25">
      <c r="A307" s="391"/>
      <c r="B307" s="232" t="s">
        <v>854</v>
      </c>
      <c r="C307" s="225"/>
      <c r="D307" s="239"/>
      <c r="E307" s="230"/>
      <c r="F307" s="240"/>
      <c r="G307" s="230">
        <f>SUM(G259:G306)</f>
        <v>0</v>
      </c>
      <c r="H307" s="230">
        <f>SUM(H259:H306)</f>
        <v>0</v>
      </c>
      <c r="I307" s="230">
        <f>ROUND(SUM(I259:I306),2)</f>
        <v>0</v>
      </c>
    </row>
    <row r="308" spans="1:9" s="5" customFormat="1" ht="15.6" hidden="1" customHeight="1" x14ac:dyDescent="0.25">
      <c r="A308" s="391"/>
      <c r="B308" s="58" t="s">
        <v>624</v>
      </c>
      <c r="C308" s="9"/>
      <c r="D308" s="31"/>
      <c r="E308" s="10"/>
      <c r="F308" s="57"/>
      <c r="G308" s="10"/>
      <c r="H308" s="10"/>
      <c r="I308" s="31">
        <f>ROUND(I307/1.18*0.18,2)</f>
        <v>0</v>
      </c>
    </row>
    <row r="309" spans="1:9" s="5" customFormat="1" ht="23.25" customHeight="1" x14ac:dyDescent="0.25">
      <c r="A309" s="439"/>
      <c r="B309" s="694" t="s">
        <v>812</v>
      </c>
      <c r="C309" s="439"/>
      <c r="D309" s="439"/>
      <c r="E309" s="439"/>
      <c r="F309" s="439"/>
      <c r="G309" s="439"/>
      <c r="H309" s="439"/>
      <c r="I309" s="439"/>
    </row>
    <row r="310" spans="1:9" s="5" customFormat="1" ht="15.6" customHeight="1" outlineLevel="1" x14ac:dyDescent="0.25">
      <c r="A310" s="107" t="s">
        <v>313</v>
      </c>
      <c r="B310" s="49" t="s">
        <v>1163</v>
      </c>
      <c r="C310" s="46" t="s">
        <v>9</v>
      </c>
      <c r="D310" s="31">
        <f>Д2!D249+Ек!D264+Д!D240+Е!D253</f>
        <v>13.648199999999999</v>
      </c>
      <c r="E310" s="256">
        <v>30000</v>
      </c>
      <c r="F310" s="56"/>
      <c r="G310" s="2">
        <f>ROUND(E310*D310,2)</f>
        <v>409446</v>
      </c>
      <c r="H310" s="11"/>
      <c r="I310" s="11">
        <f>G310+H310</f>
        <v>409446</v>
      </c>
    </row>
    <row r="311" spans="1:9" s="5" customFormat="1" ht="15.6" customHeight="1" outlineLevel="1" x14ac:dyDescent="0.25">
      <c r="A311" s="90"/>
      <c r="B311" s="47" t="s">
        <v>1443</v>
      </c>
      <c r="C311" s="41" t="s">
        <v>9</v>
      </c>
      <c r="D311" s="2">
        <f>Д2!D250+Ек!D265+Д!D241+Е!D254</f>
        <v>13.648199999999999</v>
      </c>
      <c r="E311" s="166"/>
      <c r="F311" s="362">
        <v>40000</v>
      </c>
      <c r="G311" s="2"/>
      <c r="H311" s="2">
        <f>F311*D311</f>
        <v>545928</v>
      </c>
      <c r="I311" s="11">
        <f>H311</f>
        <v>545928</v>
      </c>
    </row>
    <row r="312" spans="1:9" s="5" customFormat="1" ht="15.6" customHeight="1" outlineLevel="1" x14ac:dyDescent="0.25">
      <c r="A312" s="90"/>
      <c r="B312" s="47" t="s">
        <v>1161</v>
      </c>
      <c r="C312" s="41" t="s">
        <v>14</v>
      </c>
      <c r="D312" s="2">
        <f>Д2!D251+Ек!D266+Д!D242+Е!D255</f>
        <v>508.37</v>
      </c>
      <c r="E312" s="166"/>
      <c r="F312" s="362">
        <v>280</v>
      </c>
      <c r="G312" s="2"/>
      <c r="H312" s="2">
        <f>F312*D312</f>
        <v>142343.6</v>
      </c>
      <c r="I312" s="11">
        <f>H312</f>
        <v>142343.6</v>
      </c>
    </row>
    <row r="313" spans="1:9" s="5" customFormat="1" ht="15.6" customHeight="1" outlineLevel="1" x14ac:dyDescent="0.25">
      <c r="A313" s="107" t="s">
        <v>314</v>
      </c>
      <c r="B313" s="49" t="s">
        <v>1176</v>
      </c>
      <c r="C313" s="46" t="s">
        <v>9</v>
      </c>
      <c r="D313" s="31">
        <f>D314</f>
        <v>2.1160999999999999</v>
      </c>
      <c r="E313" s="256">
        <v>40000</v>
      </c>
      <c r="F313" s="56"/>
      <c r="G313" s="2">
        <f>ROUND(E313*D313,2)</f>
        <v>84644</v>
      </c>
      <c r="H313" s="11"/>
      <c r="I313" s="11">
        <f>G313+H313</f>
        <v>84644</v>
      </c>
    </row>
    <row r="314" spans="1:9" s="5" customFormat="1" ht="15.6" customHeight="1" outlineLevel="1" x14ac:dyDescent="0.25">
      <c r="A314" s="90"/>
      <c r="B314" s="732" t="s">
        <v>1443</v>
      </c>
      <c r="C314" s="41" t="s">
        <v>9</v>
      </c>
      <c r="D314" s="2">
        <f>Д2!D253+Ек!D268+Д!D244+Е!D257</f>
        <v>2.1160999999999999</v>
      </c>
      <c r="E314" s="166"/>
      <c r="F314" s="362">
        <v>33000</v>
      </c>
      <c r="G314" s="2"/>
      <c r="H314" s="2">
        <f>F314*D314</f>
        <v>69831.3</v>
      </c>
      <c r="I314" s="11">
        <f>H314</f>
        <v>69831.3</v>
      </c>
    </row>
    <row r="315" spans="1:9" s="5" customFormat="1" ht="15.6" customHeight="1" outlineLevel="1" x14ac:dyDescent="0.25">
      <c r="A315" s="107" t="s">
        <v>347</v>
      </c>
      <c r="B315" s="49" t="s">
        <v>1444</v>
      </c>
      <c r="C315" s="46" t="s">
        <v>12</v>
      </c>
      <c r="D315" s="31">
        <f>Д2!D254+Ек!D269+Д!D245+Е!D258</f>
        <v>33</v>
      </c>
      <c r="E315" s="256">
        <v>4000</v>
      </c>
      <c r="F315" s="56"/>
      <c r="G315" s="2">
        <f>ROUND(E315*D315,2)</f>
        <v>132000</v>
      </c>
      <c r="H315" s="11"/>
      <c r="I315" s="11">
        <f>G315+H315</f>
        <v>132000</v>
      </c>
    </row>
    <row r="316" spans="1:9" s="5" customFormat="1" ht="15.6" customHeight="1" outlineLevel="1" x14ac:dyDescent="0.25">
      <c r="A316" s="90"/>
      <c r="B316" s="47" t="s">
        <v>1451</v>
      </c>
      <c r="C316" s="41" t="s">
        <v>14</v>
      </c>
      <c r="D316" s="2">
        <f>Д2!D255+Ек!D270+Д!D246+Е!D259</f>
        <v>246.81999999999996</v>
      </c>
      <c r="E316" s="166"/>
      <c r="F316" s="362">
        <v>280</v>
      </c>
      <c r="G316" s="2"/>
      <c r="H316" s="2">
        <f>F316*D316</f>
        <v>69109.599999999991</v>
      </c>
      <c r="I316" s="11">
        <f>H316</f>
        <v>69109.599999999991</v>
      </c>
    </row>
    <row r="317" spans="1:9" s="5" customFormat="1" ht="15.6" customHeight="1" outlineLevel="1" x14ac:dyDescent="0.25">
      <c r="A317" s="90"/>
      <c r="B317" s="47" t="s">
        <v>1117</v>
      </c>
      <c r="C317" s="41" t="s">
        <v>12</v>
      </c>
      <c r="D317" s="2">
        <f>Д2!D256+Ек!D271+Д!D247+Е!D260</f>
        <v>28</v>
      </c>
      <c r="E317" s="10"/>
      <c r="F317" s="362">
        <v>1200</v>
      </c>
      <c r="G317" s="2"/>
      <c r="H317" s="2">
        <f>F317*D317</f>
        <v>33600</v>
      </c>
      <c r="I317" s="11">
        <f>H317</f>
        <v>33600</v>
      </c>
    </row>
    <row r="318" spans="1:9" s="5" customFormat="1" ht="15.6" customHeight="1" outlineLevel="1" x14ac:dyDescent="0.25">
      <c r="A318" s="90"/>
      <c r="B318" s="47" t="s">
        <v>1118</v>
      </c>
      <c r="C318" s="41" t="s">
        <v>14</v>
      </c>
      <c r="D318" s="2">
        <f>Д2!D257+Ек!D272+Д!D248+Е!D261</f>
        <v>39.81</v>
      </c>
      <c r="E318" s="10"/>
      <c r="F318" s="362">
        <v>250</v>
      </c>
      <c r="G318" s="2"/>
      <c r="H318" s="2">
        <f>F318*D318</f>
        <v>9952.5</v>
      </c>
      <c r="I318" s="11">
        <f>H318</f>
        <v>9952.5</v>
      </c>
    </row>
    <row r="319" spans="1:9" s="5" customFormat="1" ht="15.6" customHeight="1" outlineLevel="1" x14ac:dyDescent="0.3">
      <c r="A319" s="107" t="s">
        <v>1452</v>
      </c>
      <c r="B319" s="49" t="s">
        <v>807</v>
      </c>
      <c r="C319" s="41" t="s">
        <v>14</v>
      </c>
      <c r="D319" s="2">
        <f>D310*27+D313*27</f>
        <v>425.6361</v>
      </c>
      <c r="E319" s="256">
        <v>150</v>
      </c>
      <c r="F319" s="484"/>
      <c r="G319" s="2">
        <f>D319*E319</f>
        <v>63845.415000000001</v>
      </c>
      <c r="H319" s="484"/>
      <c r="I319" s="11">
        <f>G319</f>
        <v>63845.415000000001</v>
      </c>
    </row>
    <row r="320" spans="1:9" s="5" customFormat="1" ht="15.6" customHeight="1" outlineLevel="1" x14ac:dyDescent="0.3">
      <c r="A320" s="90"/>
      <c r="B320" s="47" t="s">
        <v>1166</v>
      </c>
      <c r="C320" s="41" t="s">
        <v>15</v>
      </c>
      <c r="D320" s="2">
        <f>D319*0.2</f>
        <v>85.127220000000008</v>
      </c>
      <c r="E320" s="484"/>
      <c r="F320" s="362">
        <v>85</v>
      </c>
      <c r="G320" s="484"/>
      <c r="H320" s="2">
        <f>F320*D320</f>
        <v>7235.8137000000006</v>
      </c>
      <c r="I320" s="11">
        <f>H320</f>
        <v>7235.8137000000006</v>
      </c>
    </row>
    <row r="321" spans="1:10" s="5" customFormat="1" ht="15.6" customHeight="1" outlineLevel="1" x14ac:dyDescent="0.3">
      <c r="A321" s="90"/>
      <c r="B321" s="47" t="s">
        <v>1162</v>
      </c>
      <c r="C321" s="41" t="s">
        <v>15</v>
      </c>
      <c r="D321" s="2">
        <f>D319*0.3</f>
        <v>127.69082999999999</v>
      </c>
      <c r="E321" s="484"/>
      <c r="F321" s="362">
        <v>115</v>
      </c>
      <c r="G321" s="484"/>
      <c r="H321" s="2">
        <f>F321*D321</f>
        <v>14684.445449999999</v>
      </c>
      <c r="I321" s="11">
        <f>H321</f>
        <v>14684.445449999999</v>
      </c>
    </row>
    <row r="322" spans="1:10" s="5" customFormat="1" ht="15.6" customHeight="1" x14ac:dyDescent="0.25">
      <c r="A322" s="90"/>
      <c r="B322" s="232" t="s">
        <v>854</v>
      </c>
      <c r="C322" s="225"/>
      <c r="D322" s="239"/>
      <c r="E322" s="230"/>
      <c r="F322" s="240"/>
      <c r="G322" s="230">
        <f>SUM(G310:G321)</f>
        <v>689935.41500000004</v>
      </c>
      <c r="H322" s="230">
        <f>SUM(H310:H321)</f>
        <v>892685.25915000006</v>
      </c>
      <c r="I322" s="230">
        <f>ROUND(SUM(I310:I321),2)</f>
        <v>1582620.67</v>
      </c>
      <c r="J322" s="691"/>
    </row>
    <row r="323" spans="1:10" s="5" customFormat="1" ht="15.6" customHeight="1" x14ac:dyDescent="0.25">
      <c r="A323" s="90"/>
      <c r="B323" s="58" t="s">
        <v>624</v>
      </c>
      <c r="C323" s="9"/>
      <c r="D323" s="31"/>
      <c r="E323" s="10"/>
      <c r="F323" s="57"/>
      <c r="G323" s="10"/>
      <c r="H323" s="10"/>
      <c r="I323" s="31">
        <f>ROUND(I322/1.18*0.18,2)</f>
        <v>241416.71</v>
      </c>
    </row>
    <row r="324" spans="1:10" ht="21" customHeight="1" x14ac:dyDescent="0.25">
      <c r="A324" s="108"/>
      <c r="B324" s="694" t="s">
        <v>1160</v>
      </c>
      <c r="C324" s="105"/>
      <c r="D324" s="105"/>
      <c r="E324" s="105"/>
      <c r="F324" s="138"/>
      <c r="G324" s="105"/>
      <c r="H324" s="105"/>
      <c r="I324" s="106"/>
    </row>
    <row r="325" spans="1:10" outlineLevel="1" x14ac:dyDescent="0.25">
      <c r="A325" s="107" t="s">
        <v>315</v>
      </c>
      <c r="B325" s="29" t="s">
        <v>473</v>
      </c>
      <c r="C325" s="2" t="s">
        <v>14</v>
      </c>
      <c r="D325" s="65">
        <f>Д2!D264+Ек!D279+Д!D255+Е!D268</f>
        <v>1422.6811999999998</v>
      </c>
      <c r="E325" s="264">
        <v>550</v>
      </c>
      <c r="F325" s="140"/>
      <c r="G325" s="2">
        <f>ROUND(E325*D325,2)</f>
        <v>782474.66</v>
      </c>
      <c r="H325" s="51"/>
      <c r="I325" s="140">
        <f>H325+G325</f>
        <v>782474.66</v>
      </c>
    </row>
    <row r="326" spans="1:10" ht="15" customHeight="1" outlineLevel="1" x14ac:dyDescent="0.25">
      <c r="A326" s="84"/>
      <c r="B326" s="22" t="s">
        <v>1086</v>
      </c>
      <c r="C326" s="23" t="s">
        <v>14</v>
      </c>
      <c r="D326" s="66">
        <f>ROUND(D325*1.1,2)</f>
        <v>1564.95</v>
      </c>
      <c r="E326" s="51"/>
      <c r="F326" s="365">
        <f>ROUND(10.1*1.1,2)</f>
        <v>11.11</v>
      </c>
      <c r="G326" s="51"/>
      <c r="H326" s="2">
        <f t="shared" ref="H326:H332" si="25">ROUND(D326*F326,2)</f>
        <v>17386.59</v>
      </c>
      <c r="I326" s="140">
        <f t="shared" ref="I326:I340" si="26">H326+G326</f>
        <v>17386.59</v>
      </c>
    </row>
    <row r="327" spans="1:10" outlineLevel="1" x14ac:dyDescent="0.25">
      <c r="A327" s="84"/>
      <c r="B327" s="28" t="s">
        <v>32</v>
      </c>
      <c r="C327" s="23" t="s">
        <v>8</v>
      </c>
      <c r="D327" s="66">
        <f>Д2!D266+Ек!D281+Д!D257+Е!D270</f>
        <v>119.52000000000001</v>
      </c>
      <c r="E327" s="51"/>
      <c r="F327" s="365">
        <v>1300</v>
      </c>
      <c r="G327" s="51"/>
      <c r="H327" s="2">
        <f t="shared" si="25"/>
        <v>155376</v>
      </c>
      <c r="I327" s="140">
        <f t="shared" si="26"/>
        <v>155376</v>
      </c>
    </row>
    <row r="328" spans="1:10" ht="31.2" outlineLevel="1" x14ac:dyDescent="0.25">
      <c r="A328" s="84"/>
      <c r="B328" s="28" t="s">
        <v>1087</v>
      </c>
      <c r="C328" s="21" t="s">
        <v>8</v>
      </c>
      <c r="D328" s="66">
        <f>ROUND(D325*0.15,2)</f>
        <v>213.4</v>
      </c>
      <c r="E328" s="51"/>
      <c r="F328" s="365">
        <v>4400</v>
      </c>
      <c r="G328" s="51"/>
      <c r="H328" s="2">
        <f t="shared" si="25"/>
        <v>938960</v>
      </c>
      <c r="I328" s="140">
        <f t="shared" si="26"/>
        <v>938960</v>
      </c>
    </row>
    <row r="329" spans="1:10" ht="27.6" outlineLevel="1" x14ac:dyDescent="0.25">
      <c r="A329" s="84"/>
      <c r="B329" s="372" t="s">
        <v>1068</v>
      </c>
      <c r="C329" s="21" t="s">
        <v>14</v>
      </c>
      <c r="D329" s="66">
        <f>ROUND(D325*2*1.03,2)</f>
        <v>2930.72</v>
      </c>
      <c r="E329" s="51"/>
      <c r="F329" s="365">
        <v>270</v>
      </c>
      <c r="G329" s="51"/>
      <c r="H329" s="2">
        <f t="shared" si="25"/>
        <v>791294.4</v>
      </c>
      <c r="I329" s="140">
        <f t="shared" si="26"/>
        <v>791294.4</v>
      </c>
    </row>
    <row r="330" spans="1:10" outlineLevel="1" x14ac:dyDescent="0.25">
      <c r="A330" s="84"/>
      <c r="B330" s="28" t="s">
        <v>1088</v>
      </c>
      <c r="C330" s="21" t="s">
        <v>15</v>
      </c>
      <c r="D330" s="66">
        <f>ROUND(D325*1.4,2)</f>
        <v>1991.75</v>
      </c>
      <c r="E330" s="51"/>
      <c r="F330" s="361">
        <v>45.4</v>
      </c>
      <c r="G330" s="51"/>
      <c r="H330" s="2">
        <f t="shared" si="25"/>
        <v>90425.45</v>
      </c>
      <c r="I330" s="140">
        <f t="shared" si="26"/>
        <v>90425.45</v>
      </c>
    </row>
    <row r="331" spans="1:10" outlineLevel="1" x14ac:dyDescent="0.25">
      <c r="A331" s="84"/>
      <c r="B331" s="28" t="s">
        <v>400</v>
      </c>
      <c r="C331" s="21" t="s">
        <v>14</v>
      </c>
      <c r="D331" s="66">
        <f>ROUND(D325*1.015,2)</f>
        <v>1444.02</v>
      </c>
      <c r="E331" s="51"/>
      <c r="F331" s="365">
        <v>109.41</v>
      </c>
      <c r="G331" s="51"/>
      <c r="H331" s="2">
        <f t="shared" si="25"/>
        <v>157990.23000000001</v>
      </c>
      <c r="I331" s="140">
        <f t="shared" si="26"/>
        <v>157990.23000000001</v>
      </c>
    </row>
    <row r="332" spans="1:10" outlineLevel="1" x14ac:dyDescent="0.25">
      <c r="A332" s="84"/>
      <c r="B332" s="28" t="s">
        <v>401</v>
      </c>
      <c r="C332" s="2" t="s">
        <v>14</v>
      </c>
      <c r="D332" s="66">
        <f>ROUND(D325*1.01,2)</f>
        <v>1436.91</v>
      </c>
      <c r="E332" s="51"/>
      <c r="F332" s="365">
        <v>154.75</v>
      </c>
      <c r="G332" s="51"/>
      <c r="H332" s="2">
        <f t="shared" si="25"/>
        <v>222361.82</v>
      </c>
      <c r="I332" s="140">
        <f t="shared" si="26"/>
        <v>222361.82</v>
      </c>
    </row>
    <row r="333" spans="1:10" ht="31.2" outlineLevel="1" x14ac:dyDescent="0.25">
      <c r="A333" s="107" t="s">
        <v>513</v>
      </c>
      <c r="B333" s="29" t="s">
        <v>188</v>
      </c>
      <c r="C333" s="31" t="s">
        <v>14</v>
      </c>
      <c r="D333" s="65">
        <f>Д2!D272+Ек!D287+Д!D263+Е!D276</f>
        <v>329.63279999999997</v>
      </c>
      <c r="E333" s="264">
        <v>300</v>
      </c>
      <c r="F333" s="140"/>
      <c r="G333" s="2">
        <f>ROUND(E333*D333,2)</f>
        <v>98889.84</v>
      </c>
      <c r="H333" s="51"/>
      <c r="I333" s="140">
        <f>H333+G333</f>
        <v>98889.84</v>
      </c>
    </row>
    <row r="334" spans="1:10" outlineLevel="1" x14ac:dyDescent="0.25">
      <c r="A334" s="84"/>
      <c r="B334" s="22" t="s">
        <v>400</v>
      </c>
      <c r="C334" s="21" t="s">
        <v>14</v>
      </c>
      <c r="D334" s="66">
        <f>ROUND(D333*1.015,2)</f>
        <v>334.58</v>
      </c>
      <c r="E334" s="51"/>
      <c r="F334" s="365">
        <v>109.41</v>
      </c>
      <c r="G334" s="51"/>
      <c r="H334" s="2">
        <f>ROUND(D334*F334,2)</f>
        <v>36606.400000000001</v>
      </c>
      <c r="I334" s="140">
        <f>H334+G334</f>
        <v>36606.400000000001</v>
      </c>
    </row>
    <row r="335" spans="1:10" outlineLevel="1" x14ac:dyDescent="0.25">
      <c r="A335" s="84"/>
      <c r="B335" s="22" t="s">
        <v>401</v>
      </c>
      <c r="C335" s="2" t="s">
        <v>14</v>
      </c>
      <c r="D335" s="66">
        <f>ROUND(D333*1.01,2)</f>
        <v>332.93</v>
      </c>
      <c r="E335" s="51"/>
      <c r="F335" s="365">
        <v>154.75</v>
      </c>
      <c r="G335" s="51"/>
      <c r="H335" s="2">
        <f>ROUND(D335*F335,2)</f>
        <v>51520.92</v>
      </c>
      <c r="I335" s="140">
        <f>H335+G335</f>
        <v>51520.92</v>
      </c>
    </row>
    <row r="336" spans="1:10" outlineLevel="1" x14ac:dyDescent="0.25">
      <c r="B336" s="22" t="s">
        <v>1384</v>
      </c>
      <c r="C336" s="2" t="s">
        <v>12</v>
      </c>
      <c r="D336" s="184">
        <f>32</f>
        <v>32</v>
      </c>
      <c r="E336" s="51"/>
      <c r="F336" s="365">
        <v>650</v>
      </c>
      <c r="G336" s="51"/>
      <c r="H336" s="2">
        <f>ROUND(D336*F336,2)</f>
        <v>20800</v>
      </c>
      <c r="I336" s="140">
        <f>H336+G336</f>
        <v>20800</v>
      </c>
    </row>
    <row r="337" spans="1:9" outlineLevel="1" x14ac:dyDescent="0.25">
      <c r="A337" s="84"/>
      <c r="B337" s="22" t="s">
        <v>1385</v>
      </c>
      <c r="C337" s="2" t="s">
        <v>12</v>
      </c>
      <c r="D337" s="66">
        <f>54</f>
        <v>54</v>
      </c>
      <c r="E337" s="51"/>
      <c r="F337" s="328">
        <v>650</v>
      </c>
      <c r="G337" s="51"/>
      <c r="H337" s="2">
        <f>ROUND(D337*F337,2)</f>
        <v>35100</v>
      </c>
      <c r="I337" s="140">
        <f>H337+G337</f>
        <v>35100</v>
      </c>
    </row>
    <row r="338" spans="1:9" outlineLevel="1" x14ac:dyDescent="0.25">
      <c r="A338" s="107" t="s">
        <v>514</v>
      </c>
      <c r="B338" s="29" t="s">
        <v>1232</v>
      </c>
      <c r="C338" s="2" t="s">
        <v>14</v>
      </c>
      <c r="D338" s="65">
        <f>Д2!D278+Ек!D292+Д!D269+Е!D281</f>
        <v>201.81599999999997</v>
      </c>
      <c r="E338" s="264">
        <v>150</v>
      </c>
      <c r="F338" s="140"/>
      <c r="G338" s="2">
        <f>ROUND(E338*D338,2)</f>
        <v>30272.400000000001</v>
      </c>
      <c r="H338" s="51"/>
      <c r="I338" s="140">
        <f t="shared" si="26"/>
        <v>30272.400000000001</v>
      </c>
    </row>
    <row r="339" spans="1:9" outlineLevel="1" x14ac:dyDescent="0.25">
      <c r="A339" s="84"/>
      <c r="B339" s="22" t="s">
        <v>1386</v>
      </c>
      <c r="C339" s="21" t="s">
        <v>15</v>
      </c>
      <c r="D339" s="66">
        <f>250*6.48</f>
        <v>1620</v>
      </c>
      <c r="E339" s="51"/>
      <c r="F339" s="328">
        <v>32</v>
      </c>
      <c r="G339" s="51"/>
      <c r="H339" s="2">
        <f>ROUND(D339*F339,2)</f>
        <v>51840</v>
      </c>
      <c r="I339" s="140">
        <f t="shared" si="26"/>
        <v>51840</v>
      </c>
    </row>
    <row r="340" spans="1:9" outlineLevel="1" x14ac:dyDescent="0.25">
      <c r="A340" s="84"/>
      <c r="B340" s="22" t="s">
        <v>1383</v>
      </c>
      <c r="C340" s="2" t="s">
        <v>15</v>
      </c>
      <c r="D340" s="66">
        <f>620*0.82</f>
        <v>508.4</v>
      </c>
      <c r="E340" s="51"/>
      <c r="F340" s="328">
        <v>32</v>
      </c>
      <c r="G340" s="51"/>
      <c r="H340" s="2">
        <f>ROUND(D340*F340,2)</f>
        <v>16268.8</v>
      </c>
      <c r="I340" s="140">
        <f t="shared" si="26"/>
        <v>16268.8</v>
      </c>
    </row>
    <row r="341" spans="1:9" outlineLevel="1" x14ac:dyDescent="0.25">
      <c r="A341" s="84"/>
      <c r="B341" s="22" t="s">
        <v>1387</v>
      </c>
      <c r="C341" s="2" t="s">
        <v>9</v>
      </c>
      <c r="D341" s="66">
        <f>1405*0.92/1000</f>
        <v>1.2926000000000002</v>
      </c>
      <c r="E341" s="51"/>
      <c r="F341" s="365">
        <v>42000</v>
      </c>
      <c r="G341" s="51"/>
      <c r="H341" s="2">
        <f>ROUND(D341*F341,2)</f>
        <v>54289.2</v>
      </c>
      <c r="I341" s="140">
        <f>H341+G341</f>
        <v>54289.2</v>
      </c>
    </row>
    <row r="342" spans="1:9" outlineLevel="1" x14ac:dyDescent="0.25">
      <c r="A342" s="107" t="s">
        <v>1196</v>
      </c>
      <c r="B342" s="29" t="s">
        <v>397</v>
      </c>
      <c r="C342" s="31" t="s">
        <v>33</v>
      </c>
      <c r="D342" s="65">
        <f>Д2!D282+Ек!D296+Д!D273+Е!D285</f>
        <v>302.60000000000002</v>
      </c>
      <c r="E342" s="264">
        <v>800</v>
      </c>
      <c r="F342" s="140"/>
      <c r="G342" s="2">
        <f>ROUND(E342*D342,2)</f>
        <v>242080</v>
      </c>
      <c r="H342" s="51"/>
      <c r="I342" s="140">
        <f>H342+G342</f>
        <v>242080</v>
      </c>
    </row>
    <row r="343" spans="1:9" outlineLevel="1" x14ac:dyDescent="0.25">
      <c r="A343" s="84"/>
      <c r="B343" s="47" t="s">
        <v>1226</v>
      </c>
      <c r="C343" s="21" t="s">
        <v>9</v>
      </c>
      <c r="D343" s="66">
        <f>Д2!D283+Ек!D297+Д!D274+Е!D286</f>
        <v>1.1370199999999999</v>
      </c>
      <c r="E343" s="51"/>
      <c r="F343" s="365">
        <v>32000</v>
      </c>
      <c r="G343" s="51"/>
      <c r="H343" s="2">
        <f>ROUND(D343*F343,2)</f>
        <v>36384.639999999999</v>
      </c>
      <c r="I343" s="140">
        <f>H343+G343</f>
        <v>36384.639999999999</v>
      </c>
    </row>
    <row r="344" spans="1:9" outlineLevel="1" x14ac:dyDescent="0.25">
      <c r="A344" s="107" t="s">
        <v>1197</v>
      </c>
      <c r="B344" s="49" t="s">
        <v>1389</v>
      </c>
      <c r="C344" s="41" t="s">
        <v>12</v>
      </c>
      <c r="D344" s="2">
        <f>Ек!D298+Е!D287</f>
        <v>2</v>
      </c>
      <c r="E344" s="390">
        <v>1500</v>
      </c>
      <c r="F344" s="363"/>
      <c r="G344" s="2">
        <f>E344*D344</f>
        <v>3000</v>
      </c>
      <c r="H344" s="2"/>
      <c r="I344" s="11">
        <f>G344</f>
        <v>3000</v>
      </c>
    </row>
    <row r="345" spans="1:9" outlineLevel="1" x14ac:dyDescent="0.25">
      <c r="A345" s="84"/>
      <c r="B345" s="47" t="s">
        <v>91</v>
      </c>
      <c r="C345" s="41" t="s">
        <v>15</v>
      </c>
      <c r="D345" s="42">
        <f>Ек!D299+Е!D288</f>
        <v>279.83</v>
      </c>
      <c r="E345" s="2"/>
      <c r="F345" s="364">
        <v>40</v>
      </c>
      <c r="G345" s="10"/>
      <c r="H345" s="2">
        <f>ROUND(D345*F345,2)</f>
        <v>11193.2</v>
      </c>
      <c r="I345" s="11">
        <f>G345+H345</f>
        <v>11193.2</v>
      </c>
    </row>
    <row r="346" spans="1:9" outlineLevel="1" x14ac:dyDescent="0.25">
      <c r="A346" s="107" t="s">
        <v>1198</v>
      </c>
      <c r="B346" s="29" t="s">
        <v>1227</v>
      </c>
      <c r="C346" s="21" t="s">
        <v>12</v>
      </c>
      <c r="D346" s="66">
        <f>Ек!D300+Е!D289</f>
        <v>2</v>
      </c>
      <c r="E346" s="390">
        <v>1500</v>
      </c>
      <c r="F346" s="363"/>
      <c r="G346" s="2">
        <f>D346*E346</f>
        <v>3000</v>
      </c>
      <c r="H346" s="2"/>
      <c r="I346" s="11">
        <f>G346</f>
        <v>3000</v>
      </c>
    </row>
    <row r="347" spans="1:9" outlineLevel="1" x14ac:dyDescent="0.25">
      <c r="A347" s="84"/>
      <c r="B347" s="47" t="s">
        <v>1228</v>
      </c>
      <c r="C347" s="21" t="s">
        <v>12</v>
      </c>
      <c r="D347" s="66">
        <f>Ек!D301+Е!D290</f>
        <v>6</v>
      </c>
      <c r="E347" s="51"/>
      <c r="F347" s="363">
        <v>10000</v>
      </c>
      <c r="G347" s="2"/>
      <c r="H347" s="2">
        <f>D347*F347</f>
        <v>60000</v>
      </c>
      <c r="I347" s="11">
        <f>H347</f>
        <v>60000</v>
      </c>
    </row>
    <row r="348" spans="1:9" outlineLevel="1" x14ac:dyDescent="0.25">
      <c r="A348" s="84"/>
      <c r="B348" s="47" t="s">
        <v>875</v>
      </c>
      <c r="C348" s="21" t="s">
        <v>15</v>
      </c>
      <c r="D348" s="66">
        <f>Ек!D302+Е!D291</f>
        <v>23.2</v>
      </c>
      <c r="E348" s="51"/>
      <c r="F348" s="365"/>
      <c r="G348" s="51"/>
      <c r="H348" s="2"/>
      <c r="I348" s="140"/>
    </row>
    <row r="349" spans="1:9" ht="31.2" outlineLevel="1" x14ac:dyDescent="0.25">
      <c r="A349" s="107" t="s">
        <v>1199</v>
      </c>
      <c r="B349" s="29" t="s">
        <v>1236</v>
      </c>
      <c r="C349" s="203" t="s">
        <v>8</v>
      </c>
      <c r="D349" s="46">
        <f>Ек!D305+Е!D292</f>
        <v>1.8</v>
      </c>
      <c r="E349" s="390">
        <v>700</v>
      </c>
      <c r="F349" s="139"/>
      <c r="G349" s="2">
        <f>ROUND(E349*D349,2)</f>
        <v>1260</v>
      </c>
      <c r="H349" s="26"/>
      <c r="I349" s="11">
        <f>G349+H349</f>
        <v>1260</v>
      </c>
    </row>
    <row r="350" spans="1:9" outlineLevel="1" x14ac:dyDescent="0.25">
      <c r="A350" s="84"/>
      <c r="B350" s="22" t="s">
        <v>1237</v>
      </c>
      <c r="C350" s="41" t="s">
        <v>15</v>
      </c>
      <c r="D350" s="42">
        <f>Ек!D306+Е!D293</f>
        <v>2374.4</v>
      </c>
      <c r="E350" s="2"/>
      <c r="F350" s="364">
        <v>46</v>
      </c>
      <c r="G350" s="10"/>
      <c r="H350" s="2">
        <f>ROUND(D350*F350,2)</f>
        <v>109222.39999999999</v>
      </c>
      <c r="I350" s="11">
        <f>G350+H350</f>
        <v>109222.39999999999</v>
      </c>
    </row>
    <row r="351" spans="1:9" outlineLevel="1" x14ac:dyDescent="0.25">
      <c r="A351" s="84"/>
      <c r="B351" s="47" t="s">
        <v>1175</v>
      </c>
      <c r="C351" s="41" t="s">
        <v>15</v>
      </c>
      <c r="D351" s="42">
        <f>Ек!D307+Е!D294</f>
        <v>111.08</v>
      </c>
      <c r="E351" s="2"/>
      <c r="F351" s="361">
        <v>42</v>
      </c>
      <c r="G351" s="31"/>
      <c r="H351" s="2">
        <f>ROUND(D351*F351,2)</f>
        <v>4665.3599999999997</v>
      </c>
      <c r="I351" s="11">
        <f>G351+H351</f>
        <v>4665.3599999999997</v>
      </c>
    </row>
    <row r="352" spans="1:9" s="6" customFormat="1" outlineLevel="1" x14ac:dyDescent="0.25">
      <c r="A352" s="84"/>
      <c r="B352" s="47" t="s">
        <v>1238</v>
      </c>
      <c r="C352" s="21" t="s">
        <v>15</v>
      </c>
      <c r="D352" s="66">
        <f>Ек!D308+Е!D295</f>
        <v>11.12</v>
      </c>
      <c r="E352" s="51"/>
      <c r="F352" s="361">
        <v>42</v>
      </c>
      <c r="G352" s="51"/>
      <c r="H352" s="2">
        <f>ROUND(D352*F352,2)</f>
        <v>467.04</v>
      </c>
      <c r="I352" s="11">
        <f>G352+H352</f>
        <v>467.04</v>
      </c>
    </row>
    <row r="353" spans="1:9" outlineLevel="1" x14ac:dyDescent="0.25">
      <c r="A353" s="84"/>
      <c r="B353" s="47" t="s">
        <v>997</v>
      </c>
      <c r="C353" s="41" t="s">
        <v>8</v>
      </c>
      <c r="D353" s="42">
        <f>D349*1.015</f>
        <v>1.827</v>
      </c>
      <c r="E353" s="2"/>
      <c r="F353" s="164">
        <v>5000</v>
      </c>
      <c r="G353" s="31"/>
      <c r="H353" s="2">
        <f>ROUND(D353*F353,2)</f>
        <v>9135</v>
      </c>
      <c r="I353" s="11">
        <f>G353+H353</f>
        <v>9135</v>
      </c>
    </row>
    <row r="354" spans="1:9" outlineLevel="1" x14ac:dyDescent="0.25">
      <c r="A354" s="84"/>
      <c r="B354" s="53" t="s">
        <v>1174</v>
      </c>
      <c r="C354" s="31"/>
      <c r="D354" s="65"/>
      <c r="E354" s="54"/>
      <c r="F354" s="141"/>
      <c r="G354" s="54"/>
      <c r="H354" s="54"/>
      <c r="I354" s="141"/>
    </row>
    <row r="355" spans="1:9" outlineLevel="1" x14ac:dyDescent="0.3">
      <c r="A355" s="107" t="s">
        <v>1200</v>
      </c>
      <c r="B355" s="49" t="s">
        <v>1399</v>
      </c>
      <c r="C355" s="41" t="s">
        <v>12</v>
      </c>
      <c r="D355" s="31">
        <f>Ек!D311</f>
        <v>4</v>
      </c>
      <c r="E355" s="353">
        <v>600</v>
      </c>
      <c r="F355" s="392"/>
      <c r="G355" s="2">
        <f>D355*E355</f>
        <v>2400</v>
      </c>
      <c r="H355" s="2"/>
      <c r="I355" s="11">
        <f>G355+H355</f>
        <v>2400</v>
      </c>
    </row>
    <row r="356" spans="1:9" outlineLevel="1" x14ac:dyDescent="0.25">
      <c r="A356" s="84"/>
      <c r="B356" s="47" t="s">
        <v>1400</v>
      </c>
      <c r="C356" s="41" t="s">
        <v>15</v>
      </c>
      <c r="D356" s="2">
        <f>Ек!D312</f>
        <v>118.36000000000001</v>
      </c>
      <c r="E356" s="390"/>
      <c r="F356" s="363">
        <v>120</v>
      </c>
      <c r="G356" s="2"/>
      <c r="H356" s="2">
        <f>D356*F356</f>
        <v>14203.2</v>
      </c>
      <c r="I356" s="11">
        <f>H356</f>
        <v>14203.2</v>
      </c>
    </row>
    <row r="357" spans="1:9" outlineLevel="1" x14ac:dyDescent="0.25">
      <c r="A357" s="107" t="s">
        <v>1201</v>
      </c>
      <c r="B357" s="49" t="s">
        <v>1170</v>
      </c>
      <c r="C357" s="41" t="s">
        <v>8</v>
      </c>
      <c r="D357" s="2">
        <f>Д2!D287+Ек!D313+Д!D276+Е!D298</f>
        <v>38.4</v>
      </c>
      <c r="E357" s="353">
        <v>2800</v>
      </c>
      <c r="F357" s="363"/>
      <c r="G357" s="2">
        <f>E357*D357</f>
        <v>107520</v>
      </c>
      <c r="H357" s="2"/>
      <c r="I357" s="11">
        <f>G357</f>
        <v>107520</v>
      </c>
    </row>
    <row r="358" spans="1:9" outlineLevel="1" x14ac:dyDescent="0.25">
      <c r="A358" s="84"/>
      <c r="B358" s="47" t="s">
        <v>1144</v>
      </c>
      <c r="C358" s="41" t="s">
        <v>8</v>
      </c>
      <c r="D358" s="42">
        <f>Д2!D288+Ек!D314+Д!D277+Е!D299</f>
        <v>38.975999999999992</v>
      </c>
      <c r="E358" s="390"/>
      <c r="F358" s="361">
        <v>3450</v>
      </c>
      <c r="G358" s="31"/>
      <c r="H358" s="2">
        <f>ROUND(D358*F358,2)</f>
        <v>134467.20000000001</v>
      </c>
      <c r="I358" s="11">
        <f>G358+H358</f>
        <v>134467.20000000001</v>
      </c>
    </row>
    <row r="359" spans="1:9" outlineLevel="1" x14ac:dyDescent="0.25">
      <c r="A359" s="84"/>
      <c r="B359" s="47" t="s">
        <v>850</v>
      </c>
      <c r="C359" s="41" t="s">
        <v>8</v>
      </c>
      <c r="D359" s="2">
        <f>Д2!D289+Ек!D315+Д!D278+Е!D300</f>
        <v>13.440000000000001</v>
      </c>
      <c r="E359" s="390"/>
      <c r="F359" s="361">
        <v>2800</v>
      </c>
      <c r="G359" s="2"/>
      <c r="H359" s="2">
        <f>F359*D359</f>
        <v>37632</v>
      </c>
      <c r="I359" s="11">
        <f>H359</f>
        <v>37632</v>
      </c>
    </row>
    <row r="360" spans="1:9" outlineLevel="1" x14ac:dyDescent="0.25">
      <c r="A360" s="84"/>
      <c r="B360" s="47" t="s">
        <v>1171</v>
      </c>
      <c r="C360" s="41" t="s">
        <v>15</v>
      </c>
      <c r="D360" s="2">
        <f>Д2!D290+Ек!D316+Д!D279+Е!D301</f>
        <v>380.16</v>
      </c>
      <c r="E360" s="51"/>
      <c r="F360" s="365">
        <v>31</v>
      </c>
      <c r="G360" s="51"/>
      <c r="H360" s="2">
        <f>ROUND(D360*F360,2)</f>
        <v>11784.96</v>
      </c>
      <c r="I360" s="140">
        <f>H360+G360</f>
        <v>11784.96</v>
      </c>
    </row>
    <row r="361" spans="1:9" outlineLevel="1" x14ac:dyDescent="0.25">
      <c r="A361" s="84"/>
      <c r="B361" s="47" t="s">
        <v>1172</v>
      </c>
      <c r="C361" s="41" t="s">
        <v>15</v>
      </c>
      <c r="D361" s="2">
        <f>Д2!D291+Ек!D317+Д!D280+Е!D302</f>
        <v>98.88</v>
      </c>
      <c r="E361" s="51"/>
      <c r="F361" s="365">
        <v>42</v>
      </c>
      <c r="G361" s="51"/>
      <c r="H361" s="2">
        <f>ROUND(D361*F361,2)</f>
        <v>4152.96</v>
      </c>
      <c r="I361" s="140">
        <f>H361+G361</f>
        <v>4152.96</v>
      </c>
    </row>
    <row r="362" spans="1:9" outlineLevel="1" x14ac:dyDescent="0.25">
      <c r="A362" s="107" t="s">
        <v>1239</v>
      </c>
      <c r="B362" s="49" t="s">
        <v>1525</v>
      </c>
      <c r="C362" s="46" t="s">
        <v>12</v>
      </c>
      <c r="D362" s="50">
        <f>Д2!D292+Ек!D318+Ек!D320+Д!D281+Е!D303+Е!D305</f>
        <v>8</v>
      </c>
      <c r="E362" s="373">
        <v>700</v>
      </c>
      <c r="F362" s="43"/>
      <c r="G362" s="2">
        <f>ROUND(E362*D362,2)</f>
        <v>5600</v>
      </c>
      <c r="H362" s="11"/>
      <c r="I362" s="11">
        <f>G362+H362</f>
        <v>5600</v>
      </c>
    </row>
    <row r="363" spans="1:9" outlineLevel="1" x14ac:dyDescent="0.25">
      <c r="A363" s="84"/>
      <c r="B363" s="47" t="s">
        <v>1542</v>
      </c>
      <c r="C363" s="41" t="s">
        <v>15</v>
      </c>
      <c r="D363" s="2">
        <f>Д2!D293+Ек!D319+Ек!D321+Д!D282+Е!D304+Е!D306</f>
        <v>331.44</v>
      </c>
      <c r="E363" s="51"/>
      <c r="F363" s="365">
        <v>42</v>
      </c>
      <c r="G363" s="51"/>
      <c r="H363" s="2">
        <f>ROUND(D363*F363,2)</f>
        <v>13920.48</v>
      </c>
      <c r="I363" s="140">
        <f>H363+G363</f>
        <v>13920.48</v>
      </c>
    </row>
    <row r="364" spans="1:9" outlineLevel="1" x14ac:dyDescent="0.25">
      <c r="A364" s="107" t="s">
        <v>1240</v>
      </c>
      <c r="B364" s="49" t="s">
        <v>1177</v>
      </c>
      <c r="C364" s="46" t="s">
        <v>9</v>
      </c>
      <c r="D364" s="31">
        <f>SUM(D365:D373)*0.04/1000</f>
        <v>0.13174399999999994</v>
      </c>
      <c r="E364" s="256">
        <v>40000</v>
      </c>
      <c r="F364" s="56"/>
      <c r="G364" s="2">
        <f>ROUND(E364*D364,2)</f>
        <v>5269.76</v>
      </c>
      <c r="H364" s="11"/>
      <c r="I364" s="11">
        <f>G364+H364</f>
        <v>5269.76</v>
      </c>
    </row>
    <row r="365" spans="1:9" outlineLevel="1" x14ac:dyDescent="0.25">
      <c r="A365" s="84"/>
      <c r="B365" s="731" t="s">
        <v>1178</v>
      </c>
      <c r="C365" s="41" t="s">
        <v>15</v>
      </c>
      <c r="D365" s="2">
        <f>Д2!D295+Ек!D323+Д!D284+Е!D308</f>
        <v>1550.56</v>
      </c>
      <c r="E365" s="51"/>
      <c r="F365" s="365">
        <v>33</v>
      </c>
      <c r="G365" s="51"/>
      <c r="H365" s="2">
        <f t="shared" ref="H365:H373" si="27">ROUND(D365*F365,2)</f>
        <v>51168.480000000003</v>
      </c>
      <c r="I365" s="140">
        <f t="shared" ref="I365:I373" si="28">H365+G365</f>
        <v>51168.480000000003</v>
      </c>
    </row>
    <row r="366" spans="1:9" outlineLevel="1" x14ac:dyDescent="0.25">
      <c r="A366" s="84"/>
      <c r="B366" s="731" t="s">
        <v>1195</v>
      </c>
      <c r="C366" s="41" t="s">
        <v>15</v>
      </c>
      <c r="D366" s="2">
        <f>Д2!D296+Ек!D324+Д!D285+Е!D309</f>
        <v>435.14</v>
      </c>
      <c r="E366" s="51"/>
      <c r="F366" s="365">
        <v>39</v>
      </c>
      <c r="G366" s="51"/>
      <c r="H366" s="2">
        <f t="shared" si="27"/>
        <v>16970.46</v>
      </c>
      <c r="I366" s="140">
        <f t="shared" si="28"/>
        <v>16970.46</v>
      </c>
    </row>
    <row r="367" spans="1:9" outlineLevel="1" x14ac:dyDescent="0.25">
      <c r="A367" s="84"/>
      <c r="B367" s="47" t="s">
        <v>1179</v>
      </c>
      <c r="C367" s="41" t="s">
        <v>15</v>
      </c>
      <c r="D367" s="2">
        <f>Д2!D297+Ек!D325+Д!D286+Е!D310</f>
        <v>316.31999999999994</v>
      </c>
      <c r="E367" s="51"/>
      <c r="F367" s="365">
        <v>33</v>
      </c>
      <c r="G367" s="51"/>
      <c r="H367" s="2">
        <f t="shared" si="27"/>
        <v>10438.56</v>
      </c>
      <c r="I367" s="140">
        <f t="shared" si="28"/>
        <v>10438.56</v>
      </c>
    </row>
    <row r="368" spans="1:9" outlineLevel="1" x14ac:dyDescent="0.25">
      <c r="A368" s="84"/>
      <c r="B368" s="47" t="s">
        <v>1180</v>
      </c>
      <c r="C368" s="41" t="s">
        <v>15</v>
      </c>
      <c r="D368" s="2">
        <f>Д2!D298+Ек!D326+Д!D287+Е!D311</f>
        <v>319.24</v>
      </c>
      <c r="E368" s="51"/>
      <c r="F368" s="365">
        <v>33</v>
      </c>
      <c r="G368" s="51"/>
      <c r="H368" s="2">
        <f t="shared" si="27"/>
        <v>10534.92</v>
      </c>
      <c r="I368" s="140">
        <f t="shared" si="28"/>
        <v>10534.92</v>
      </c>
    </row>
    <row r="369" spans="1:13" outlineLevel="1" x14ac:dyDescent="0.25">
      <c r="A369" s="84"/>
      <c r="B369" s="47" t="s">
        <v>1181</v>
      </c>
      <c r="C369" s="41" t="s">
        <v>15</v>
      </c>
      <c r="D369" s="2">
        <f>Д2!D299+Ек!D327+Д!D288+Е!D312</f>
        <v>598.53</v>
      </c>
      <c r="E369" s="51"/>
      <c r="F369" s="365">
        <v>33</v>
      </c>
      <c r="G369" s="51"/>
      <c r="H369" s="2">
        <f t="shared" si="27"/>
        <v>19751.490000000002</v>
      </c>
      <c r="I369" s="140">
        <f t="shared" si="28"/>
        <v>19751.490000000002</v>
      </c>
    </row>
    <row r="370" spans="1:13" outlineLevel="1" x14ac:dyDescent="0.25">
      <c r="A370" s="84"/>
      <c r="B370" s="47" t="s">
        <v>1182</v>
      </c>
      <c r="C370" s="41" t="s">
        <v>15</v>
      </c>
      <c r="D370" s="2">
        <f>Д2!D300+Ек!D328+Д!D289+Е!D313</f>
        <v>16.64</v>
      </c>
      <c r="E370" s="51"/>
      <c r="F370" s="365">
        <v>33</v>
      </c>
      <c r="G370" s="51"/>
      <c r="H370" s="2">
        <f t="shared" si="27"/>
        <v>549.12</v>
      </c>
      <c r="I370" s="140">
        <f t="shared" si="28"/>
        <v>549.12</v>
      </c>
    </row>
    <row r="371" spans="1:13" outlineLevel="1" x14ac:dyDescent="0.25">
      <c r="A371" s="84"/>
      <c r="B371" s="731" t="s">
        <v>1183</v>
      </c>
      <c r="C371" s="41" t="s">
        <v>15</v>
      </c>
      <c r="D371" s="2">
        <f>Д2!D301+Ек!D329+Д!D290+Е!D314</f>
        <v>7.89</v>
      </c>
      <c r="E371" s="51"/>
      <c r="F371" s="365">
        <v>31</v>
      </c>
      <c r="G371" s="51"/>
      <c r="H371" s="2">
        <f t="shared" si="27"/>
        <v>244.59</v>
      </c>
      <c r="I371" s="140">
        <f t="shared" si="28"/>
        <v>244.59</v>
      </c>
    </row>
    <row r="372" spans="1:13" outlineLevel="1" x14ac:dyDescent="0.25">
      <c r="A372" s="84"/>
      <c r="B372" s="47" t="s">
        <v>1184</v>
      </c>
      <c r="C372" s="41" t="s">
        <v>15</v>
      </c>
      <c r="D372" s="2">
        <f>Д2!D302+Ек!D330+Д!D291+Е!D315</f>
        <v>14.080000000000002</v>
      </c>
      <c r="E372" s="51"/>
      <c r="F372" s="365">
        <v>33</v>
      </c>
      <c r="G372" s="51"/>
      <c r="H372" s="2">
        <f t="shared" si="27"/>
        <v>464.64</v>
      </c>
      <c r="I372" s="140">
        <f t="shared" si="28"/>
        <v>464.64</v>
      </c>
    </row>
    <row r="373" spans="1:13" outlineLevel="1" x14ac:dyDescent="0.25">
      <c r="A373" s="84"/>
      <c r="B373" s="47" t="s">
        <v>1185</v>
      </c>
      <c r="C373" s="41" t="s">
        <v>15</v>
      </c>
      <c r="D373" s="2">
        <f>Д2!D303+Ек!D331+Д!D292+Е!D316</f>
        <v>35.200000000000003</v>
      </c>
      <c r="E373" s="51"/>
      <c r="F373" s="365">
        <v>33</v>
      </c>
      <c r="G373" s="51"/>
      <c r="H373" s="2">
        <f t="shared" si="27"/>
        <v>1161.5999999999999</v>
      </c>
      <c r="I373" s="140">
        <f t="shared" si="28"/>
        <v>1161.5999999999999</v>
      </c>
    </row>
    <row r="374" spans="1:13" outlineLevel="1" x14ac:dyDescent="0.25">
      <c r="A374" s="84"/>
      <c r="B374" s="47" t="s">
        <v>1135</v>
      </c>
      <c r="C374" s="41" t="s">
        <v>14</v>
      </c>
      <c r="D374" s="2">
        <f>Д2!D304+Ек!D332+Д!D293+Е!D317</f>
        <v>71.44</v>
      </c>
      <c r="E374" s="51"/>
      <c r="F374" s="362">
        <v>280</v>
      </c>
      <c r="G374" s="2"/>
      <c r="H374" s="2">
        <f>F374*D374</f>
        <v>20003.2</v>
      </c>
      <c r="I374" s="11">
        <f>H374</f>
        <v>20003.2</v>
      </c>
    </row>
    <row r="375" spans="1:13" outlineLevel="1" x14ac:dyDescent="0.25">
      <c r="A375" s="84"/>
      <c r="B375" s="47" t="s">
        <v>1186</v>
      </c>
      <c r="C375" s="41" t="s">
        <v>14</v>
      </c>
      <c r="D375" s="2">
        <f>Д2!D305+Ек!D333+Д!D294+Е!D318</f>
        <v>341.88</v>
      </c>
      <c r="E375" s="51"/>
      <c r="F375" s="362">
        <v>280</v>
      </c>
      <c r="G375" s="2"/>
      <c r="H375" s="2">
        <f>F375*D375</f>
        <v>95726.399999999994</v>
      </c>
      <c r="I375" s="11">
        <f>H375</f>
        <v>95726.399999999994</v>
      </c>
    </row>
    <row r="376" spans="1:13" outlineLevel="1" x14ac:dyDescent="0.25">
      <c r="A376" s="84"/>
      <c r="B376" s="45" t="s">
        <v>1462</v>
      </c>
      <c r="C376" s="41" t="s">
        <v>12</v>
      </c>
      <c r="D376" s="2">
        <f>Д2!D306+Ек!D334+Д!D295+Е!D319</f>
        <v>6</v>
      </c>
      <c r="E376" s="51"/>
      <c r="F376" s="328">
        <v>10000</v>
      </c>
      <c r="G376" s="51"/>
      <c r="H376" s="2">
        <f>ROUND(D376*F376,2)</f>
        <v>60000</v>
      </c>
      <c r="I376" s="140">
        <f>H376+G376</f>
        <v>60000</v>
      </c>
    </row>
    <row r="377" spans="1:13" outlineLevel="1" x14ac:dyDescent="0.3">
      <c r="A377" s="107" t="s">
        <v>1241</v>
      </c>
      <c r="B377" s="49" t="s">
        <v>807</v>
      </c>
      <c r="C377" s="41" t="s">
        <v>14</v>
      </c>
      <c r="D377" s="31">
        <f>D364*27</f>
        <v>3.5570879999999985</v>
      </c>
      <c r="E377" s="256">
        <v>150</v>
      </c>
      <c r="F377" s="484"/>
      <c r="G377" s="2">
        <f>D377*E377</f>
        <v>533.56319999999982</v>
      </c>
      <c r="H377" s="484"/>
      <c r="I377" s="11">
        <f>G377</f>
        <v>533.56319999999982</v>
      </c>
    </row>
    <row r="378" spans="1:13" outlineLevel="1" x14ac:dyDescent="0.3">
      <c r="A378" s="84"/>
      <c r="B378" s="47" t="s">
        <v>1166</v>
      </c>
      <c r="C378" s="41" t="s">
        <v>15</v>
      </c>
      <c r="D378" s="2">
        <f>D377*0.2</f>
        <v>0.71141759999999976</v>
      </c>
      <c r="E378" s="484"/>
      <c r="F378" s="362">
        <v>85</v>
      </c>
      <c r="G378" s="484"/>
      <c r="H378" s="2">
        <f>F378*D378</f>
        <v>60.470495999999983</v>
      </c>
      <c r="I378" s="11">
        <f>H378</f>
        <v>60.470495999999983</v>
      </c>
    </row>
    <row r="379" spans="1:13" outlineLevel="1" x14ac:dyDescent="0.3">
      <c r="A379" s="84"/>
      <c r="B379" s="47" t="s">
        <v>1162</v>
      </c>
      <c r="C379" s="41" t="s">
        <v>15</v>
      </c>
      <c r="D379" s="2">
        <f>D377*0.3</f>
        <v>1.0671263999999996</v>
      </c>
      <c r="E379" s="484"/>
      <c r="F379" s="362">
        <v>115</v>
      </c>
      <c r="G379" s="484"/>
      <c r="H379" s="2">
        <f>F379*D379</f>
        <v>122.71953599999995</v>
      </c>
      <c r="I379" s="11">
        <f>H379</f>
        <v>122.71953599999995</v>
      </c>
    </row>
    <row r="380" spans="1:13" s="36" customFormat="1" outlineLevel="1" x14ac:dyDescent="0.25">
      <c r="A380" s="92"/>
      <c r="B380" s="748" t="s">
        <v>1543</v>
      </c>
      <c r="C380" s="744"/>
      <c r="D380" s="745"/>
      <c r="E380" s="746"/>
      <c r="F380" s="747"/>
      <c r="G380" s="474">
        <f>SUM(G325:G379)</f>
        <v>1282300.2231999999</v>
      </c>
      <c r="H380" s="746"/>
      <c r="I380" s="749">
        <f>G380</f>
        <v>1282300.2231999999</v>
      </c>
      <c r="K380" s="162"/>
      <c r="L380" s="162"/>
      <c r="M380" s="162"/>
    </row>
    <row r="381" spans="1:13" s="36" customFormat="1" outlineLevel="1" x14ac:dyDescent="0.25">
      <c r="A381" s="92"/>
      <c r="B381" s="748" t="s">
        <v>1546</v>
      </c>
      <c r="C381" s="744"/>
      <c r="D381" s="745"/>
      <c r="E381" s="746"/>
      <c r="F381" s="747"/>
      <c r="G381" s="474"/>
      <c r="H381" s="473">
        <f>SUM(H325:H379)</f>
        <v>3374644.9000320006</v>
      </c>
      <c r="I381" s="749">
        <f>H381</f>
        <v>3374644.9000320006</v>
      </c>
      <c r="K381" s="162"/>
      <c r="L381" s="162"/>
      <c r="M381" s="162"/>
    </row>
    <row r="382" spans="1:13" s="36" customFormat="1" outlineLevel="1" x14ac:dyDescent="0.25">
      <c r="A382" s="92"/>
      <c r="B382" s="748" t="s">
        <v>1544</v>
      </c>
      <c r="C382" s="744"/>
      <c r="D382" s="745"/>
      <c r="E382" s="746"/>
      <c r="F382" s="747"/>
      <c r="G382" s="474">
        <f>G380*0.25</f>
        <v>320575.05579999997</v>
      </c>
      <c r="H382" s="746"/>
      <c r="I382" s="749">
        <f>G382</f>
        <v>320575.05579999997</v>
      </c>
      <c r="K382" s="162"/>
      <c r="L382" s="162"/>
      <c r="M382" s="162"/>
    </row>
    <row r="383" spans="1:13" s="36" customFormat="1" outlineLevel="1" x14ac:dyDescent="0.25">
      <c r="A383" s="92"/>
      <c r="B383" s="748" t="s">
        <v>1545</v>
      </c>
      <c r="C383" s="744"/>
      <c r="D383" s="745"/>
      <c r="E383" s="746"/>
      <c r="F383" s="747"/>
      <c r="G383" s="474">
        <f>G380*0.05</f>
        <v>64115.011159999995</v>
      </c>
      <c r="H383" s="746"/>
      <c r="I383" s="749">
        <f>G383</f>
        <v>64115.011159999995</v>
      </c>
      <c r="K383" s="162"/>
      <c r="L383" s="162"/>
      <c r="M383" s="162"/>
    </row>
    <row r="384" spans="1:13" x14ac:dyDescent="0.25">
      <c r="A384" s="223"/>
      <c r="B384" s="232" t="s">
        <v>55</v>
      </c>
      <c r="C384" s="225"/>
      <c r="D384" s="239"/>
      <c r="E384" s="230"/>
      <c r="F384" s="240"/>
      <c r="G384" s="230">
        <f>G380+G382+G383</f>
        <v>1666990.2901599999</v>
      </c>
      <c r="H384" s="230">
        <f>H381</f>
        <v>3374644.9000320006</v>
      </c>
      <c r="I384" s="230">
        <f>I380+I381+I382+I383</f>
        <v>5041635.1901920009</v>
      </c>
      <c r="J384" s="693"/>
      <c r="K384" s="133"/>
    </row>
    <row r="385" spans="1:252" ht="15" customHeight="1" x14ac:dyDescent="0.25">
      <c r="A385" s="90"/>
      <c r="B385" s="471" t="s">
        <v>624</v>
      </c>
      <c r="C385" s="9"/>
      <c r="D385" s="31"/>
      <c r="E385" s="10"/>
      <c r="F385" s="57"/>
      <c r="G385" s="10"/>
      <c r="H385" s="10"/>
      <c r="I385" s="31">
        <f>ROUND(I384/1.18*0.18,2)</f>
        <v>769063</v>
      </c>
    </row>
    <row r="386" spans="1:252" ht="18.75" customHeight="1" x14ac:dyDescent="0.25">
      <c r="A386" s="104"/>
      <c r="B386" s="694" t="s">
        <v>1202</v>
      </c>
      <c r="C386" s="105"/>
      <c r="D386" s="105"/>
      <c r="E386" s="105"/>
      <c r="F386" s="138"/>
      <c r="G386" s="105"/>
      <c r="H386" s="105"/>
      <c r="I386" s="106"/>
    </row>
    <row r="387" spans="1:252" s="38" customFormat="1" ht="31.2" outlineLevel="1" x14ac:dyDescent="0.25">
      <c r="A387" s="271" t="s">
        <v>239</v>
      </c>
      <c r="B387" s="730" t="s">
        <v>1013</v>
      </c>
      <c r="C387" s="202" t="s">
        <v>14</v>
      </c>
      <c r="D387" s="202">
        <f>Д2!D320+Ек!D341+Д!D302+Е!D326</f>
        <v>549.28440000000001</v>
      </c>
      <c r="E387" s="353">
        <v>1700</v>
      </c>
      <c r="F387" s="207">
        <v>2900</v>
      </c>
      <c r="G387" s="2">
        <f>ROUND(E387*D387,2)</f>
        <v>933783.48</v>
      </c>
      <c r="H387" s="2">
        <f>ROUND(D387*F387,2)</f>
        <v>1592924.76</v>
      </c>
      <c r="I387" s="3">
        <f>H387+G387</f>
        <v>2526708.2400000002</v>
      </c>
      <c r="J387" s="430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  <c r="EP387" s="15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  <c r="FL387" s="15"/>
      <c r="FM387" s="15"/>
      <c r="FN387" s="15"/>
      <c r="FO387" s="15"/>
      <c r="FP387" s="15"/>
      <c r="FQ387" s="15"/>
      <c r="FR387" s="15"/>
      <c r="FS387" s="15"/>
      <c r="FT387" s="15"/>
      <c r="FU387" s="15"/>
      <c r="FV387" s="15"/>
      <c r="FW387" s="15"/>
      <c r="FX387" s="15"/>
      <c r="FY387" s="15"/>
      <c r="FZ387" s="15"/>
      <c r="GA387" s="15"/>
      <c r="GB387" s="15"/>
      <c r="GC387" s="15"/>
      <c r="GD387" s="15"/>
      <c r="GE387" s="15"/>
      <c r="GF387" s="15"/>
      <c r="GG387" s="15"/>
      <c r="GH387" s="15"/>
      <c r="GI387" s="15"/>
      <c r="GJ387" s="15"/>
      <c r="GK387" s="15"/>
      <c r="GL387" s="15"/>
      <c r="GM387" s="15"/>
      <c r="GN387" s="15"/>
      <c r="GO387" s="15"/>
      <c r="GP387" s="15"/>
      <c r="GQ387" s="15"/>
      <c r="GR387" s="15"/>
      <c r="GS387" s="15"/>
      <c r="GT387" s="15"/>
      <c r="GU387" s="15"/>
      <c r="GV387" s="15"/>
      <c r="GW387" s="15"/>
      <c r="GX387" s="15"/>
      <c r="GY387" s="15"/>
      <c r="GZ387" s="15"/>
      <c r="HA387" s="15"/>
      <c r="HB387" s="15"/>
      <c r="HC387" s="15"/>
      <c r="HD387" s="15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5"/>
      <c r="HT387" s="15"/>
      <c r="HU387" s="15"/>
      <c r="HV387" s="15"/>
      <c r="HW387" s="15"/>
      <c r="HX387" s="15"/>
      <c r="HY387" s="15"/>
      <c r="HZ387" s="15"/>
      <c r="IA387" s="15"/>
      <c r="IB387" s="15"/>
      <c r="IC387" s="15"/>
      <c r="ID387" s="15"/>
      <c r="IE387" s="15"/>
      <c r="IF387" s="15"/>
      <c r="IG387" s="15"/>
      <c r="IH387" s="15"/>
      <c r="II387" s="15"/>
      <c r="IJ387" s="15"/>
      <c r="IK387" s="15"/>
      <c r="IL387" s="15"/>
      <c r="IM387" s="15"/>
      <c r="IN387" s="15"/>
      <c r="IO387" s="15"/>
      <c r="IP387" s="15"/>
      <c r="IQ387" s="15"/>
      <c r="IR387" s="15"/>
    </row>
    <row r="388" spans="1:252" s="38" customFormat="1" outlineLevel="1" x14ac:dyDescent="0.25">
      <c r="A388" s="90"/>
      <c r="B388" s="52" t="s">
        <v>1322</v>
      </c>
      <c r="C388" s="202" t="s">
        <v>14</v>
      </c>
      <c r="D388" s="202">
        <f>Д2!D321+Ек!D342+Д!D303</f>
        <v>38.135999999999996</v>
      </c>
      <c r="E388" s="353">
        <v>2000</v>
      </c>
      <c r="F388" s="207">
        <v>5200</v>
      </c>
      <c r="G388" s="2">
        <f>ROUND(E388*D388,2)</f>
        <v>76272</v>
      </c>
      <c r="H388" s="2">
        <f>ROUND(D388*F388,2)</f>
        <v>198307.20000000001</v>
      </c>
      <c r="I388" s="3">
        <f>H388+G388</f>
        <v>274579.20000000001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  <c r="EP388" s="15"/>
      <c r="EQ388" s="15"/>
      <c r="ER388" s="15"/>
      <c r="ES388" s="15"/>
      <c r="ET388" s="15"/>
      <c r="EU388" s="15"/>
      <c r="EV388" s="15"/>
      <c r="EW388" s="15"/>
      <c r="EX388" s="15"/>
      <c r="EY388" s="15"/>
      <c r="EZ388" s="15"/>
      <c r="FA388" s="15"/>
      <c r="FB388" s="15"/>
      <c r="FC388" s="15"/>
      <c r="FD388" s="15"/>
      <c r="FE388" s="15"/>
      <c r="FF388" s="15"/>
      <c r="FG388" s="15"/>
      <c r="FH388" s="15"/>
      <c r="FI388" s="15"/>
      <c r="FJ388" s="15"/>
      <c r="FK388" s="15"/>
      <c r="FL388" s="15"/>
      <c r="FM388" s="15"/>
      <c r="FN388" s="15"/>
      <c r="FO388" s="15"/>
      <c r="FP388" s="15"/>
      <c r="FQ388" s="15"/>
      <c r="FR388" s="15"/>
      <c r="FS388" s="15"/>
      <c r="FT388" s="15"/>
      <c r="FU388" s="15"/>
      <c r="FV388" s="15"/>
      <c r="FW388" s="15"/>
      <c r="FX388" s="15"/>
      <c r="FY388" s="15"/>
      <c r="FZ388" s="15"/>
      <c r="GA388" s="15"/>
      <c r="GB388" s="15"/>
      <c r="GC388" s="15"/>
      <c r="GD388" s="15"/>
      <c r="GE388" s="15"/>
      <c r="GF388" s="15"/>
      <c r="GG388" s="15"/>
      <c r="GH388" s="15"/>
      <c r="GI388" s="15"/>
      <c r="GJ388" s="15"/>
      <c r="GK388" s="15"/>
      <c r="GL388" s="15"/>
      <c r="GM388" s="15"/>
      <c r="GN388" s="15"/>
      <c r="GO388" s="15"/>
      <c r="GP388" s="15"/>
      <c r="GQ388" s="15"/>
      <c r="GR388" s="15"/>
      <c r="GS388" s="15"/>
      <c r="GT388" s="15"/>
      <c r="GU388" s="15"/>
      <c r="GV388" s="15"/>
      <c r="GW388" s="15"/>
      <c r="GX388" s="15"/>
      <c r="GY388" s="15"/>
      <c r="GZ388" s="15"/>
      <c r="HA388" s="15"/>
      <c r="HB388" s="15"/>
      <c r="HC388" s="15"/>
      <c r="HD388" s="15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5"/>
      <c r="HT388" s="15"/>
      <c r="HU388" s="15"/>
      <c r="HV388" s="15"/>
      <c r="HW388" s="15"/>
      <c r="HX388" s="15"/>
      <c r="HY388" s="15"/>
      <c r="HZ388" s="15"/>
      <c r="IA388" s="15"/>
      <c r="IB388" s="15"/>
      <c r="IC388" s="15"/>
      <c r="ID388" s="15"/>
      <c r="IE388" s="15"/>
      <c r="IF388" s="15"/>
      <c r="IG388" s="15"/>
      <c r="IH388" s="15"/>
      <c r="II388" s="15"/>
      <c r="IJ388" s="15"/>
      <c r="IK388" s="15"/>
      <c r="IL388" s="15"/>
      <c r="IM388" s="15"/>
      <c r="IN388" s="15"/>
      <c r="IO388" s="15"/>
      <c r="IP388" s="15"/>
      <c r="IQ388" s="15"/>
      <c r="IR388" s="15"/>
    </row>
    <row r="389" spans="1:252" s="38" customFormat="1" outlineLevel="1" x14ac:dyDescent="0.25">
      <c r="A389" s="271" t="s">
        <v>1203</v>
      </c>
      <c r="B389" s="52" t="s">
        <v>1014</v>
      </c>
      <c r="C389" s="202" t="s">
        <v>1323</v>
      </c>
      <c r="D389" s="729">
        <f>Д2!D322+Ек!D343+Д!D304+Е!D327</f>
        <v>281.12</v>
      </c>
      <c r="E389" s="353">
        <v>250</v>
      </c>
      <c r="F389" s="207"/>
      <c r="G389" s="2">
        <f>ROUND(E389*D389,2)</f>
        <v>70280</v>
      </c>
      <c r="H389" s="2">
        <f>ROUND(D389*F389,2)</f>
        <v>0</v>
      </c>
      <c r="I389" s="3">
        <f>H389+G389</f>
        <v>70280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5"/>
      <c r="EJ389" s="15"/>
      <c r="EK389" s="15"/>
      <c r="EL389" s="15"/>
      <c r="EM389" s="15"/>
      <c r="EN389" s="15"/>
      <c r="EO389" s="15"/>
      <c r="EP389" s="15"/>
      <c r="EQ389" s="15"/>
      <c r="ER389" s="15"/>
      <c r="ES389" s="15"/>
      <c r="ET389" s="15"/>
      <c r="EU389" s="15"/>
      <c r="EV389" s="15"/>
      <c r="EW389" s="15"/>
      <c r="EX389" s="15"/>
      <c r="EY389" s="15"/>
      <c r="EZ389" s="15"/>
      <c r="FA389" s="15"/>
      <c r="FB389" s="15"/>
      <c r="FC389" s="15"/>
      <c r="FD389" s="15"/>
      <c r="FE389" s="15"/>
      <c r="FF389" s="15"/>
      <c r="FG389" s="15"/>
      <c r="FH389" s="15"/>
      <c r="FI389" s="15"/>
      <c r="FJ389" s="15"/>
      <c r="FK389" s="15"/>
      <c r="FL389" s="15"/>
      <c r="FM389" s="15"/>
      <c r="FN389" s="15"/>
      <c r="FO389" s="15"/>
      <c r="FP389" s="15"/>
      <c r="FQ389" s="15"/>
      <c r="FR389" s="15"/>
      <c r="FS389" s="15"/>
      <c r="FT389" s="15"/>
      <c r="FU389" s="15"/>
      <c r="FV389" s="15"/>
      <c r="FW389" s="15"/>
      <c r="FX389" s="15"/>
      <c r="FY389" s="15"/>
      <c r="FZ389" s="15"/>
      <c r="GA389" s="15"/>
      <c r="GB389" s="15"/>
      <c r="GC389" s="15"/>
      <c r="GD389" s="15"/>
      <c r="GE389" s="15"/>
      <c r="GF389" s="15"/>
      <c r="GG389" s="15"/>
      <c r="GH389" s="15"/>
      <c r="GI389" s="15"/>
      <c r="GJ389" s="15"/>
      <c r="GK389" s="15"/>
      <c r="GL389" s="15"/>
      <c r="GM389" s="15"/>
      <c r="GN389" s="15"/>
      <c r="GO389" s="15"/>
      <c r="GP389" s="15"/>
      <c r="GQ389" s="15"/>
      <c r="GR389" s="15"/>
      <c r="GS389" s="15"/>
      <c r="GT389" s="15"/>
      <c r="GU389" s="15"/>
      <c r="GV389" s="15"/>
      <c r="GW389" s="15"/>
      <c r="GX389" s="15"/>
      <c r="GY389" s="15"/>
      <c r="GZ389" s="15"/>
      <c r="HA389" s="15"/>
      <c r="HB389" s="15"/>
      <c r="HC389" s="15"/>
      <c r="HD389" s="15"/>
      <c r="HE389" s="15"/>
      <c r="HF389" s="15"/>
      <c r="HG389" s="15"/>
      <c r="HH389" s="15"/>
      <c r="HI389" s="15"/>
      <c r="HJ389" s="15"/>
      <c r="HK389" s="15"/>
      <c r="HL389" s="15"/>
      <c r="HM389" s="15"/>
      <c r="HN389" s="15"/>
      <c r="HO389" s="15"/>
      <c r="HP389" s="15"/>
      <c r="HQ389" s="15"/>
      <c r="HR389" s="15"/>
      <c r="HS389" s="15"/>
      <c r="HT389" s="15"/>
      <c r="HU389" s="15"/>
      <c r="HV389" s="15"/>
      <c r="HW389" s="15"/>
      <c r="HX389" s="15"/>
      <c r="HY389" s="15"/>
      <c r="HZ389" s="15"/>
      <c r="IA389" s="15"/>
      <c r="IB389" s="15"/>
      <c r="IC389" s="15"/>
      <c r="ID389" s="15"/>
      <c r="IE389" s="15"/>
      <c r="IF389" s="15"/>
      <c r="IG389" s="15"/>
      <c r="IH389" s="15"/>
      <c r="II389" s="15"/>
      <c r="IJ389" s="15"/>
      <c r="IK389" s="15"/>
      <c r="IL389" s="15"/>
      <c r="IM389" s="15"/>
      <c r="IN389" s="15"/>
      <c r="IO389" s="15"/>
      <c r="IP389" s="15"/>
      <c r="IQ389" s="15"/>
      <c r="IR389" s="15"/>
    </row>
    <row r="390" spans="1:252" x14ac:dyDescent="0.25">
      <c r="A390" s="223"/>
      <c r="B390" s="224" t="s">
        <v>59</v>
      </c>
      <c r="C390" s="225"/>
      <c r="D390" s="226"/>
      <c r="E390" s="227"/>
      <c r="F390" s="228"/>
      <c r="G390" s="227">
        <f>SUM(G387:G389)</f>
        <v>1080335.48</v>
      </c>
      <c r="H390" s="227">
        <f>SUM(H387:H389)</f>
        <v>1791231.96</v>
      </c>
      <c r="I390" s="227">
        <f>SUM(I387:I389)</f>
        <v>2871567.4400000004</v>
      </c>
      <c r="J390" s="693"/>
      <c r="K390" s="734"/>
    </row>
    <row r="391" spans="1:252" ht="16.2" customHeight="1" x14ac:dyDescent="0.25">
      <c r="A391" s="90"/>
      <c r="B391" s="471" t="s">
        <v>624</v>
      </c>
      <c r="C391" s="9"/>
      <c r="D391" s="31"/>
      <c r="E391" s="10"/>
      <c r="F391" s="57"/>
      <c r="G391" s="10"/>
      <c r="H391" s="10"/>
      <c r="I391" s="31">
        <f>ROUND(I390/1.18*0.18,2)</f>
        <v>438035.71</v>
      </c>
    </row>
    <row r="392" spans="1:252" ht="18.75" customHeight="1" x14ac:dyDescent="0.25">
      <c r="A392" s="109"/>
      <c r="B392" s="694" t="s">
        <v>1204</v>
      </c>
      <c r="C392" s="105"/>
      <c r="D392" s="105"/>
      <c r="E392" s="105"/>
      <c r="F392" s="138"/>
      <c r="G392" s="105"/>
      <c r="H392" s="105"/>
      <c r="I392" s="106"/>
    </row>
    <row r="393" spans="1:252" outlineLevel="1" x14ac:dyDescent="0.25">
      <c r="A393" s="271" t="s">
        <v>316</v>
      </c>
      <c r="B393" s="71" t="s">
        <v>37</v>
      </c>
      <c r="C393" s="2" t="s">
        <v>12</v>
      </c>
      <c r="D393" s="160">
        <f>SUM(D394:D399)</f>
        <v>117</v>
      </c>
      <c r="E393" s="256">
        <v>1200</v>
      </c>
      <c r="F393" s="60"/>
      <c r="G393" s="2">
        <f>ROUND(E393*D393,2)</f>
        <v>140400</v>
      </c>
      <c r="H393" s="18"/>
      <c r="I393" s="18">
        <f>G393+H393</f>
        <v>140400</v>
      </c>
    </row>
    <row r="394" spans="1:252" ht="31.2" outlineLevel="1" x14ac:dyDescent="0.25">
      <c r="A394" s="84"/>
      <c r="B394" s="28" t="s">
        <v>225</v>
      </c>
      <c r="C394" s="21" t="s">
        <v>12</v>
      </c>
      <c r="D394" s="726">
        <f>Д2!D327+Ек!D348+Д!D309+Е!D332</f>
        <v>86</v>
      </c>
      <c r="E394" s="2"/>
      <c r="F394" s="361">
        <v>1400</v>
      </c>
      <c r="G394" s="18"/>
      <c r="H394" s="2">
        <f t="shared" ref="H394:H399" si="29">ROUND(D394*F394,2)</f>
        <v>120400</v>
      </c>
      <c r="I394" s="18">
        <f t="shared" ref="I394:I403" si="30">G394+H394</f>
        <v>120400</v>
      </c>
    </row>
    <row r="395" spans="1:252" outlineLevel="1" x14ac:dyDescent="0.25">
      <c r="A395" s="84"/>
      <c r="B395" s="28" t="s">
        <v>1468</v>
      </c>
      <c r="C395" s="21" t="s">
        <v>12</v>
      </c>
      <c r="D395" s="726">
        <f>Д2!D328+Ек!D349+Д!D310+Е!D333</f>
        <v>20</v>
      </c>
      <c r="E395" s="2"/>
      <c r="F395" s="361">
        <v>1400</v>
      </c>
      <c r="G395" s="18"/>
      <c r="H395" s="2">
        <f t="shared" si="29"/>
        <v>28000</v>
      </c>
      <c r="I395" s="18">
        <f>G395+H395</f>
        <v>28000</v>
      </c>
    </row>
    <row r="396" spans="1:252" ht="31.2" outlineLevel="1" x14ac:dyDescent="0.25">
      <c r="A396" s="84"/>
      <c r="B396" s="28" t="s">
        <v>1217</v>
      </c>
      <c r="C396" s="21" t="s">
        <v>12</v>
      </c>
      <c r="D396" s="726">
        <f>Ек!D350+Е!D334</f>
        <v>2</v>
      </c>
      <c r="E396" s="2"/>
      <c r="F396" s="361">
        <v>24500</v>
      </c>
      <c r="G396" s="18"/>
      <c r="H396" s="2">
        <f t="shared" si="29"/>
        <v>49000</v>
      </c>
      <c r="I396" s="18">
        <f>G396+H396</f>
        <v>49000</v>
      </c>
    </row>
    <row r="397" spans="1:252" ht="31.2" outlineLevel="1" x14ac:dyDescent="0.25">
      <c r="A397" s="84"/>
      <c r="B397" s="28" t="s">
        <v>1430</v>
      </c>
      <c r="C397" s="21" t="s">
        <v>12</v>
      </c>
      <c r="D397" s="726">
        <f>Д2!D329+Ек!D351+Д!D311+Е!D335</f>
        <v>4</v>
      </c>
      <c r="E397" s="2"/>
      <c r="F397" s="361">
        <v>24500</v>
      </c>
      <c r="G397" s="18"/>
      <c r="H397" s="2">
        <f t="shared" si="29"/>
        <v>98000</v>
      </c>
      <c r="I397" s="18">
        <f t="shared" si="30"/>
        <v>98000</v>
      </c>
    </row>
    <row r="398" spans="1:252" ht="31.2" outlineLevel="1" x14ac:dyDescent="0.25">
      <c r="A398" s="84"/>
      <c r="B398" s="28" t="s">
        <v>1218</v>
      </c>
      <c r="C398" s="21" t="s">
        <v>12</v>
      </c>
      <c r="D398" s="726">
        <f>Е!D336</f>
        <v>1</v>
      </c>
      <c r="E398" s="2"/>
      <c r="F398" s="361">
        <v>24500</v>
      </c>
      <c r="G398" s="18"/>
      <c r="H398" s="2">
        <f t="shared" si="29"/>
        <v>24500</v>
      </c>
      <c r="I398" s="18">
        <f>G398+H398</f>
        <v>24500</v>
      </c>
    </row>
    <row r="399" spans="1:252" outlineLevel="1" x14ac:dyDescent="0.25">
      <c r="A399" s="84"/>
      <c r="B399" s="28" t="s">
        <v>1463</v>
      </c>
      <c r="C399" s="21" t="s">
        <v>12</v>
      </c>
      <c r="D399" s="726">
        <f>Д2!D330+Ек!D352+Д!D312+Е!D337</f>
        <v>4</v>
      </c>
      <c r="E399" s="2"/>
      <c r="F399" s="164">
        <v>10000</v>
      </c>
      <c r="G399" s="18"/>
      <c r="H399" s="2">
        <f t="shared" si="29"/>
        <v>40000</v>
      </c>
      <c r="I399" s="18">
        <f>G399+H399</f>
        <v>40000</v>
      </c>
    </row>
    <row r="400" spans="1:252" ht="31.5" customHeight="1" outlineLevel="1" x14ac:dyDescent="0.25">
      <c r="A400" s="271" t="s">
        <v>469</v>
      </c>
      <c r="B400" s="9" t="s">
        <v>38</v>
      </c>
      <c r="C400" s="2" t="s">
        <v>12</v>
      </c>
      <c r="D400" s="160">
        <f>SUM(D401:D403)</f>
        <v>9</v>
      </c>
      <c r="E400" s="256">
        <v>1600</v>
      </c>
      <c r="F400" s="164"/>
      <c r="G400" s="2">
        <f>ROUND(E400*D400,2)</f>
        <v>14400</v>
      </c>
      <c r="H400" s="18"/>
      <c r="I400" s="18">
        <f t="shared" si="30"/>
        <v>14400</v>
      </c>
    </row>
    <row r="401" spans="1:12" ht="31.2" outlineLevel="1" x14ac:dyDescent="0.25">
      <c r="A401" s="84"/>
      <c r="B401" s="28" t="s">
        <v>1216</v>
      </c>
      <c r="C401" s="21" t="s">
        <v>12</v>
      </c>
      <c r="D401" s="726">
        <f>Д2!D332+Ек!D354+Д!D315+Е!D339</f>
        <v>4</v>
      </c>
      <c r="E401" s="2"/>
      <c r="F401" s="361">
        <f>10915*1.18</f>
        <v>12879.699999999999</v>
      </c>
      <c r="G401" s="18"/>
      <c r="H401" s="2">
        <f>ROUND(D401*F401,2)</f>
        <v>51518.8</v>
      </c>
      <c r="I401" s="18">
        <f t="shared" si="30"/>
        <v>51518.8</v>
      </c>
    </row>
    <row r="402" spans="1:12" ht="31.2" outlineLevel="1" x14ac:dyDescent="0.25">
      <c r="A402" s="84"/>
      <c r="B402" s="28" t="s">
        <v>1215</v>
      </c>
      <c r="C402" s="21" t="s">
        <v>12</v>
      </c>
      <c r="D402" s="726">
        <f>Д!D314</f>
        <v>1</v>
      </c>
      <c r="E402" s="2"/>
      <c r="F402" s="361">
        <f>10200*1.18</f>
        <v>12036</v>
      </c>
      <c r="G402" s="18"/>
      <c r="H402" s="2">
        <f>ROUND(D402*F402,2)</f>
        <v>12036</v>
      </c>
      <c r="I402" s="18">
        <f t="shared" si="30"/>
        <v>12036</v>
      </c>
    </row>
    <row r="403" spans="1:12" outlineLevel="1" x14ac:dyDescent="0.25">
      <c r="A403" s="84"/>
      <c r="B403" s="28" t="s">
        <v>1464</v>
      </c>
      <c r="C403" s="21" t="s">
        <v>12</v>
      </c>
      <c r="D403" s="726">
        <f>Д2!D333+Ек!D355+Д!D316+Е!D340</f>
        <v>4</v>
      </c>
      <c r="E403" s="2"/>
      <c r="F403" s="361">
        <f>10915*1.18</f>
        <v>12879.699999999999</v>
      </c>
      <c r="G403" s="18"/>
      <c r="H403" s="2">
        <f>ROUND(D403*F403,2)</f>
        <v>51518.8</v>
      </c>
      <c r="I403" s="18">
        <f t="shared" si="30"/>
        <v>51518.8</v>
      </c>
    </row>
    <row r="404" spans="1:12" outlineLevel="1" x14ac:dyDescent="0.25">
      <c r="A404" s="271" t="s">
        <v>522</v>
      </c>
      <c r="B404" s="9" t="s">
        <v>664</v>
      </c>
      <c r="C404" s="2" t="s">
        <v>12</v>
      </c>
      <c r="D404" s="160">
        <f>SUM(D405:D407)</f>
        <v>8</v>
      </c>
      <c r="E404" s="256">
        <v>1300</v>
      </c>
      <c r="F404" s="485">
        <v>10800</v>
      </c>
      <c r="G404" s="2">
        <f>ROUND(E404*D404,2)</f>
        <v>10400</v>
      </c>
      <c r="H404" s="2">
        <f>ROUND(D404*F404,2)</f>
        <v>86400</v>
      </c>
      <c r="I404" s="18">
        <f>G404+H404</f>
        <v>96800</v>
      </c>
    </row>
    <row r="405" spans="1:12" outlineLevel="1" x14ac:dyDescent="0.25">
      <c r="A405" s="84"/>
      <c r="B405" s="22" t="s">
        <v>1465</v>
      </c>
      <c r="C405" s="2" t="s">
        <v>12</v>
      </c>
      <c r="D405" s="727">
        <f>Д2!D335+Ек!D357+Д!D318+Е!D342</f>
        <v>4</v>
      </c>
      <c r="E405" s="158"/>
      <c r="F405" s="60"/>
      <c r="G405" s="18"/>
      <c r="H405" s="18"/>
      <c r="I405" s="18"/>
    </row>
    <row r="406" spans="1:12" outlineLevel="1" x14ac:dyDescent="0.25">
      <c r="A406" s="84"/>
      <c r="B406" s="22" t="s">
        <v>1466</v>
      </c>
      <c r="C406" s="2" t="s">
        <v>12</v>
      </c>
      <c r="D406" s="727">
        <f>Ек!D358+Е!D343</f>
        <v>2</v>
      </c>
      <c r="E406" s="158"/>
      <c r="F406" s="60"/>
      <c r="G406" s="18"/>
      <c r="H406" s="18"/>
      <c r="I406" s="18"/>
    </row>
    <row r="407" spans="1:12" outlineLevel="1" x14ac:dyDescent="0.25">
      <c r="A407" s="84"/>
      <c r="B407" s="22" t="s">
        <v>1467</v>
      </c>
      <c r="C407" s="2" t="s">
        <v>12</v>
      </c>
      <c r="D407" s="727">
        <f>Ек!D359+Е!D344</f>
        <v>2</v>
      </c>
      <c r="E407" s="158"/>
      <c r="F407" s="60"/>
      <c r="G407" s="18"/>
      <c r="H407" s="18"/>
      <c r="I407" s="18"/>
    </row>
    <row r="408" spans="1:12" outlineLevel="1" x14ac:dyDescent="0.25">
      <c r="A408" s="271" t="s">
        <v>523</v>
      </c>
      <c r="B408" s="9" t="s">
        <v>665</v>
      </c>
      <c r="C408" s="2" t="s">
        <v>12</v>
      </c>
      <c r="D408" s="728">
        <f>D409+D410</f>
        <v>44</v>
      </c>
      <c r="E408" s="256">
        <v>1300</v>
      </c>
      <c r="F408" s="60"/>
      <c r="G408" s="2">
        <f>ROUND(E408*D408,2)</f>
        <v>57200</v>
      </c>
      <c r="H408" s="18"/>
      <c r="I408" s="18">
        <f>G408+H408</f>
        <v>57200</v>
      </c>
    </row>
    <row r="409" spans="1:12" outlineLevel="1" x14ac:dyDescent="0.25">
      <c r="A409" s="84"/>
      <c r="B409" s="22" t="s">
        <v>1219</v>
      </c>
      <c r="C409" s="2" t="s">
        <v>12</v>
      </c>
      <c r="D409" s="727">
        <f>Д2!D337+Ек!D361+Д!D320+Е!D346</f>
        <v>22</v>
      </c>
      <c r="E409" s="2"/>
      <c r="F409" s="164">
        <v>700</v>
      </c>
      <c r="G409" s="18"/>
      <c r="H409" s="2">
        <f>ROUND(D409*F409,2)</f>
        <v>15400</v>
      </c>
      <c r="I409" s="18">
        <f>G409+H409</f>
        <v>15400</v>
      </c>
    </row>
    <row r="410" spans="1:12" ht="31.2" outlineLevel="1" x14ac:dyDescent="0.25">
      <c r="A410" s="84"/>
      <c r="B410" s="22" t="s">
        <v>1220</v>
      </c>
      <c r="C410" s="2" t="s">
        <v>12</v>
      </c>
      <c r="D410" s="727">
        <f>Д2!D338+Ек!D362+Д!D321+Е!D347</f>
        <v>22</v>
      </c>
      <c r="E410" s="2"/>
      <c r="F410" s="164">
        <v>2000</v>
      </c>
      <c r="G410" s="18"/>
      <c r="H410" s="2">
        <f>ROUND(D410*F410,2)</f>
        <v>44000</v>
      </c>
      <c r="I410" s="18">
        <f>G410+H410</f>
        <v>44000</v>
      </c>
    </row>
    <row r="411" spans="1:12" x14ac:dyDescent="0.25">
      <c r="A411" s="223"/>
      <c r="B411" s="232" t="s">
        <v>58</v>
      </c>
      <c r="C411" s="225"/>
      <c r="D411" s="226"/>
      <c r="E411" s="227"/>
      <c r="F411" s="228"/>
      <c r="G411" s="227">
        <f>SUM(G393:G410)</f>
        <v>222400</v>
      </c>
      <c r="H411" s="227">
        <f>SUM(H393:H410)</f>
        <v>620773.6</v>
      </c>
      <c r="I411" s="227">
        <f>SUM(I393:I410)</f>
        <v>843173.60000000009</v>
      </c>
      <c r="J411" s="693"/>
    </row>
    <row r="412" spans="1:12" ht="16.95" customHeight="1" x14ac:dyDescent="0.25">
      <c r="A412" s="90"/>
      <c r="B412" s="471" t="s">
        <v>624</v>
      </c>
      <c r="C412" s="9"/>
      <c r="D412" s="31"/>
      <c r="E412" s="10"/>
      <c r="F412" s="57"/>
      <c r="G412" s="10"/>
      <c r="H412" s="10"/>
      <c r="I412" s="31">
        <f>ROUND(I411/1.18*0.18,2)</f>
        <v>128619.7</v>
      </c>
    </row>
    <row r="413" spans="1:12" ht="18.75" customHeight="1" x14ac:dyDescent="0.25">
      <c r="A413" s="108"/>
      <c r="B413" s="694" t="s">
        <v>1205</v>
      </c>
      <c r="C413" s="105"/>
      <c r="D413" s="105"/>
      <c r="E413" s="105"/>
      <c r="F413" s="138"/>
      <c r="G413" s="105"/>
      <c r="H413" s="105"/>
      <c r="I413" s="106"/>
    </row>
    <row r="414" spans="1:12" s="6" customFormat="1" ht="31.5" customHeight="1" outlineLevel="1" x14ac:dyDescent="0.25">
      <c r="A414" s="107" t="s">
        <v>317</v>
      </c>
      <c r="B414" s="494" t="s">
        <v>1005</v>
      </c>
      <c r="C414" s="31" t="s">
        <v>14</v>
      </c>
      <c r="D414" s="160">
        <f>Д2!D342+Ек!D366+Д!D325+Е!D351</f>
        <v>2515.7415999999998</v>
      </c>
      <c r="E414" s="256">
        <v>800</v>
      </c>
      <c r="F414" s="60">
        <v>600</v>
      </c>
      <c r="G414" s="2">
        <f>ROUND(E414*D414,2)</f>
        <v>2012593.28</v>
      </c>
      <c r="H414" s="2">
        <f>ROUND(D414*F414,2)</f>
        <v>1509444.96</v>
      </c>
      <c r="I414" s="18">
        <f>G414+H414</f>
        <v>3522038.24</v>
      </c>
      <c r="J414" s="499"/>
      <c r="K414" s="25"/>
      <c r="L414" s="25"/>
    </row>
    <row r="415" spans="1:12" outlineLevel="1" x14ac:dyDescent="0.25">
      <c r="A415" s="107" t="s">
        <v>318</v>
      </c>
      <c r="B415" s="29" t="s">
        <v>1391</v>
      </c>
      <c r="C415" s="31" t="s">
        <v>14</v>
      </c>
      <c r="D415" s="160">
        <f>Д2!D351+Ек!D371+Д!D330+Е!D356</f>
        <v>329.63279999999997</v>
      </c>
      <c r="E415" s="256">
        <v>350</v>
      </c>
      <c r="F415" s="60"/>
      <c r="G415" s="2">
        <f>ROUND(E415*D415,2)</f>
        <v>115371.48</v>
      </c>
      <c r="H415" s="18"/>
      <c r="I415" s="18">
        <f>G415+H415</f>
        <v>115371.48</v>
      </c>
      <c r="K415" s="430"/>
    </row>
    <row r="416" spans="1:12" ht="31.2" outlineLevel="1" x14ac:dyDescent="0.25">
      <c r="A416" s="84"/>
      <c r="B416" s="11" t="s">
        <v>1390</v>
      </c>
      <c r="C416" s="55" t="s">
        <v>8</v>
      </c>
      <c r="D416" s="42">
        <f>Д2!D352+Ек!D372+Д!D331+Е!D357</f>
        <v>39.54</v>
      </c>
      <c r="E416" s="18"/>
      <c r="F416" s="366">
        <v>3721</v>
      </c>
      <c r="G416" s="18"/>
      <c r="H416" s="2">
        <f>ROUND(D416*F416,2)</f>
        <v>147128.34</v>
      </c>
      <c r="I416" s="18">
        <f>G416+H416</f>
        <v>147128.34</v>
      </c>
    </row>
    <row r="417" spans="1:12" outlineLevel="1" x14ac:dyDescent="0.25">
      <c r="A417" s="84"/>
      <c r="B417" s="725" t="s">
        <v>230</v>
      </c>
      <c r="C417" s="55" t="s">
        <v>12</v>
      </c>
      <c r="D417" s="42">
        <f>ROUND(D415*12,2)</f>
        <v>3955.59</v>
      </c>
      <c r="E417" s="18"/>
      <c r="F417" s="142">
        <v>12</v>
      </c>
      <c r="G417" s="18"/>
      <c r="H417" s="2">
        <f>ROUND(D417*F417,2)</f>
        <v>47467.08</v>
      </c>
      <c r="I417" s="18">
        <f>G417+H417</f>
        <v>47467.08</v>
      </c>
    </row>
    <row r="418" spans="1:12" ht="19.5" customHeight="1" x14ac:dyDescent="0.25">
      <c r="A418" s="223"/>
      <c r="B418" s="232" t="s">
        <v>57</v>
      </c>
      <c r="C418" s="225"/>
      <c r="D418" s="226"/>
      <c r="E418" s="227"/>
      <c r="F418" s="228"/>
      <c r="G418" s="227">
        <f>SUM(G414:G417)</f>
        <v>2127964.7600000002</v>
      </c>
      <c r="H418" s="227">
        <f>SUM(H414:H417)</f>
        <v>1704040.3800000001</v>
      </c>
      <c r="I418" s="227">
        <f>SUM(I414:I417)</f>
        <v>3832005.14</v>
      </c>
      <c r="J418" s="693"/>
      <c r="L418" s="133"/>
    </row>
    <row r="419" spans="1:12" ht="17.399999999999999" customHeight="1" x14ac:dyDescent="0.25">
      <c r="A419" s="90"/>
      <c r="B419" s="471" t="s">
        <v>624</v>
      </c>
      <c r="C419" s="472"/>
      <c r="D419" s="473"/>
      <c r="E419" s="474"/>
      <c r="F419" s="475"/>
      <c r="G419" s="10"/>
      <c r="H419" s="10"/>
      <c r="I419" s="31">
        <f>ROUND(I418/1.18*0.18,2)</f>
        <v>584543.16</v>
      </c>
    </row>
    <row r="420" spans="1:12" ht="20.25" customHeight="1" x14ac:dyDescent="0.25">
      <c r="A420" s="109"/>
      <c r="B420" s="771" t="s">
        <v>1206</v>
      </c>
      <c r="C420" s="771"/>
      <c r="D420" s="771"/>
      <c r="E420" s="771"/>
      <c r="F420" s="771"/>
      <c r="G420" s="105"/>
      <c r="H420" s="105"/>
      <c r="I420" s="106"/>
    </row>
    <row r="421" spans="1:12" ht="19.5" customHeight="1" outlineLevel="1" x14ac:dyDescent="0.25">
      <c r="A421" s="84"/>
      <c r="B421" s="191" t="s">
        <v>1074</v>
      </c>
      <c r="C421" s="481"/>
      <c r="D421" s="482"/>
      <c r="E421" s="486"/>
      <c r="F421" s="487"/>
      <c r="G421" s="77"/>
      <c r="H421" s="77"/>
      <c r="I421" s="77"/>
      <c r="K421" s="670"/>
    </row>
    <row r="422" spans="1:12" ht="16.95" customHeight="1" outlineLevel="1" x14ac:dyDescent="0.25">
      <c r="A422" s="107" t="s">
        <v>319</v>
      </c>
      <c r="B422" s="29" t="s">
        <v>1058</v>
      </c>
      <c r="C422" s="31" t="s">
        <v>14</v>
      </c>
      <c r="D422" s="2">
        <f>97+207.4</f>
        <v>304.39999999999998</v>
      </c>
      <c r="E422" s="256">
        <v>120</v>
      </c>
      <c r="F422" s="60"/>
      <c r="G422" s="2">
        <f>ROUND(E422*D422,2)</f>
        <v>36528</v>
      </c>
      <c r="H422" s="18"/>
      <c r="I422" s="18">
        <f t="shared" ref="I422:I432" si="31">H422+G422</f>
        <v>36528</v>
      </c>
      <c r="K422" s="161"/>
    </row>
    <row r="423" spans="1:12" outlineLevel="1" x14ac:dyDescent="0.25">
      <c r="A423" s="84"/>
      <c r="B423" s="28" t="s">
        <v>1055</v>
      </c>
      <c r="C423" s="21" t="s">
        <v>14</v>
      </c>
      <c r="D423" s="2">
        <f>ROUND(D422*1.1,2)</f>
        <v>334.84</v>
      </c>
      <c r="E423" s="18"/>
      <c r="F423" s="164">
        <f>ROUND(88.7*1.1,2)</f>
        <v>97.57</v>
      </c>
      <c r="G423" s="18"/>
      <c r="H423" s="2">
        <f>ROUND(D423*F423,2)</f>
        <v>32670.34</v>
      </c>
      <c r="I423" s="18">
        <f t="shared" si="31"/>
        <v>32670.34</v>
      </c>
    </row>
    <row r="424" spans="1:12" outlineLevel="1" x14ac:dyDescent="0.25">
      <c r="A424" s="107" t="s">
        <v>320</v>
      </c>
      <c r="B424" s="29" t="s">
        <v>1059</v>
      </c>
      <c r="C424" s="31" t="s">
        <v>14</v>
      </c>
      <c r="D424" s="31">
        <f>1019.1+97+89.2+19.8</f>
        <v>1225.0999999999999</v>
      </c>
      <c r="E424" s="256">
        <v>150</v>
      </c>
      <c r="F424" s="60"/>
      <c r="G424" s="2">
        <f>ROUND(E424*D424,2)</f>
        <v>183765</v>
      </c>
      <c r="H424" s="18"/>
      <c r="I424" s="18">
        <f t="shared" si="31"/>
        <v>183765</v>
      </c>
    </row>
    <row r="425" spans="1:12" outlineLevel="1" x14ac:dyDescent="0.25">
      <c r="A425" s="84"/>
      <c r="B425" s="22" t="s">
        <v>1418</v>
      </c>
      <c r="C425" s="21" t="s">
        <v>8</v>
      </c>
      <c r="D425" s="2">
        <f>ROUND(D424*0.1,2)</f>
        <v>122.51</v>
      </c>
      <c r="E425" s="18"/>
      <c r="F425" s="328">
        <v>4460</v>
      </c>
      <c r="G425" s="18"/>
      <c r="H425" s="2">
        <f>ROUND(D425*F425,2)</f>
        <v>546394.6</v>
      </c>
      <c r="I425" s="18">
        <f t="shared" si="31"/>
        <v>546394.6</v>
      </c>
    </row>
    <row r="426" spans="1:12" outlineLevel="1" x14ac:dyDescent="0.25">
      <c r="A426" s="84"/>
      <c r="B426" s="22" t="s">
        <v>1419</v>
      </c>
      <c r="C426" s="21" t="s">
        <v>14</v>
      </c>
      <c r="D426" s="2">
        <f>1019.1+89.2+19.8</f>
        <v>1128.0999999999999</v>
      </c>
      <c r="E426" s="18"/>
      <c r="F426" s="328"/>
      <c r="G426" s="18"/>
      <c r="H426" s="2"/>
      <c r="I426" s="18"/>
    </row>
    <row r="427" spans="1:12" ht="32.25" customHeight="1" outlineLevel="1" x14ac:dyDescent="0.25">
      <c r="A427" s="107" t="s">
        <v>321</v>
      </c>
      <c r="B427" s="9" t="s">
        <v>1057</v>
      </c>
      <c r="C427" s="31" t="s">
        <v>14</v>
      </c>
      <c r="D427" s="31">
        <f>1019.1+97+89.2+19.8+2040.8+207.4+178.4</f>
        <v>3651.7</v>
      </c>
      <c r="E427" s="256">
        <v>360</v>
      </c>
      <c r="F427" s="60"/>
      <c r="G427" s="2">
        <f>ROUND(E427*D427,2)</f>
        <v>1314612</v>
      </c>
      <c r="H427" s="18"/>
      <c r="I427" s="18">
        <f t="shared" si="31"/>
        <v>1314612</v>
      </c>
    </row>
    <row r="428" spans="1:12" outlineLevel="1" x14ac:dyDescent="0.25">
      <c r="A428" s="84"/>
      <c r="B428" s="22" t="s">
        <v>47</v>
      </c>
      <c r="C428" s="21" t="s">
        <v>8</v>
      </c>
      <c r="D428" s="2">
        <f>ROUND(D427*0.04,2)</f>
        <v>146.07</v>
      </c>
      <c r="E428" s="282"/>
      <c r="F428" s="11"/>
      <c r="G428" s="18"/>
      <c r="H428" s="2">
        <f>ROUND(D428*F428,2)</f>
        <v>0</v>
      </c>
      <c r="I428" s="18">
        <f t="shared" si="31"/>
        <v>0</v>
      </c>
    </row>
    <row r="429" spans="1:12" outlineLevel="1" x14ac:dyDescent="0.25">
      <c r="A429" s="84"/>
      <c r="B429" s="28" t="s">
        <v>1056</v>
      </c>
      <c r="C429" s="21" t="s">
        <v>14</v>
      </c>
      <c r="D429" s="2">
        <f>D427</f>
        <v>3651.7</v>
      </c>
      <c r="E429" s="282"/>
      <c r="F429" s="361">
        <v>31.34</v>
      </c>
      <c r="G429" s="18"/>
      <c r="H429" s="2">
        <f>ROUND(D429*F429,2)</f>
        <v>114444.28</v>
      </c>
      <c r="I429" s="18">
        <f t="shared" si="31"/>
        <v>114444.28</v>
      </c>
    </row>
    <row r="430" spans="1:12" ht="31.2" outlineLevel="1" x14ac:dyDescent="0.25">
      <c r="A430" s="107" t="s">
        <v>322</v>
      </c>
      <c r="B430" s="9" t="s">
        <v>1420</v>
      </c>
      <c r="C430" s="31" t="s">
        <v>14</v>
      </c>
      <c r="D430" s="31">
        <f>9.8+35.7+79.6</f>
        <v>125.1</v>
      </c>
      <c r="E430" s="256">
        <v>380</v>
      </c>
      <c r="F430" s="60"/>
      <c r="G430" s="2">
        <f>ROUND(E430*D430,2)</f>
        <v>47538</v>
      </c>
      <c r="H430" s="18"/>
      <c r="I430" s="18">
        <f t="shared" si="31"/>
        <v>47538</v>
      </c>
    </row>
    <row r="431" spans="1:12" outlineLevel="1" x14ac:dyDescent="0.25">
      <c r="A431" s="84"/>
      <c r="B431" s="22" t="s">
        <v>47</v>
      </c>
      <c r="C431" s="21" t="s">
        <v>8</v>
      </c>
      <c r="D431" s="2">
        <f>ROUND(D430*0.07,2)</f>
        <v>8.76</v>
      </c>
      <c r="E431" s="282"/>
      <c r="F431" s="11"/>
      <c r="G431" s="18"/>
      <c r="H431" s="2">
        <f>ROUND(D431*F431,2)</f>
        <v>0</v>
      </c>
      <c r="I431" s="18">
        <f t="shared" si="31"/>
        <v>0</v>
      </c>
    </row>
    <row r="432" spans="1:12" outlineLevel="1" x14ac:dyDescent="0.25">
      <c r="A432" s="84"/>
      <c r="B432" s="28" t="s">
        <v>1056</v>
      </c>
      <c r="C432" s="21" t="s">
        <v>14</v>
      </c>
      <c r="D432" s="2">
        <f>D430</f>
        <v>125.1</v>
      </c>
      <c r="E432" s="282"/>
      <c r="F432" s="361">
        <v>31.34</v>
      </c>
      <c r="G432" s="18"/>
      <c r="H432" s="2">
        <f>ROUND(D432*F432,2)</f>
        <v>3920.63</v>
      </c>
      <c r="I432" s="18">
        <f t="shared" si="31"/>
        <v>3920.63</v>
      </c>
    </row>
    <row r="433" spans="1:13" ht="31.2" outlineLevel="1" x14ac:dyDescent="0.25">
      <c r="A433" s="107" t="s">
        <v>323</v>
      </c>
      <c r="B433" s="9" t="s">
        <v>407</v>
      </c>
      <c r="C433" s="31" t="s">
        <v>14</v>
      </c>
      <c r="D433" s="31">
        <f>Д2!D369+Ек!D389+Д!D348+Е!D374</f>
        <v>351.5</v>
      </c>
      <c r="E433" s="256">
        <v>500</v>
      </c>
      <c r="F433" s="60"/>
      <c r="G433" s="2">
        <f>ROUND(E433*D433,2)</f>
        <v>175750</v>
      </c>
      <c r="H433" s="18"/>
      <c r="I433" s="18">
        <f>H433+G433</f>
        <v>175750</v>
      </c>
    </row>
    <row r="434" spans="1:13" outlineLevel="1" x14ac:dyDescent="0.25">
      <c r="A434" s="84"/>
      <c r="B434" s="22" t="s">
        <v>1061</v>
      </c>
      <c r="C434" s="21" t="s">
        <v>14</v>
      </c>
      <c r="D434" s="2">
        <f>+ROUND(D433*1.1,2)</f>
        <v>386.65</v>
      </c>
      <c r="E434" s="18"/>
      <c r="F434" s="361">
        <v>280</v>
      </c>
      <c r="G434" s="18"/>
      <c r="H434" s="2">
        <f>ROUND(D434*F434,2)</f>
        <v>108262</v>
      </c>
      <c r="I434" s="18">
        <f>H434+G434</f>
        <v>108262</v>
      </c>
    </row>
    <row r="435" spans="1:13" outlineLevel="1" x14ac:dyDescent="0.25">
      <c r="A435" s="84"/>
      <c r="B435" s="22" t="s">
        <v>49</v>
      </c>
      <c r="C435" s="21" t="s">
        <v>15</v>
      </c>
      <c r="D435" s="2">
        <f>+ROUND(D434*6,2)</f>
        <v>2319.9</v>
      </c>
      <c r="E435" s="18"/>
      <c r="F435" s="361">
        <f>+ROUND(7.5*1.1,2)</f>
        <v>8.25</v>
      </c>
      <c r="G435" s="18"/>
      <c r="H435" s="2">
        <f>ROUND(D435*F435,2)</f>
        <v>19139.18</v>
      </c>
      <c r="I435" s="18">
        <f>H435+G435</f>
        <v>19139.18</v>
      </c>
    </row>
    <row r="436" spans="1:13" outlineLevel="1" x14ac:dyDescent="0.25">
      <c r="A436" s="84"/>
      <c r="B436" s="22" t="s">
        <v>1060</v>
      </c>
      <c r="C436" s="21" t="s">
        <v>15</v>
      </c>
      <c r="D436" s="2">
        <f>+ROUND(D434*0.19,2)</f>
        <v>73.459999999999994</v>
      </c>
      <c r="E436" s="18"/>
      <c r="F436" s="361">
        <v>9</v>
      </c>
      <c r="G436" s="18"/>
      <c r="H436" s="2">
        <f>ROUND(D436*F436,2)</f>
        <v>661.14</v>
      </c>
      <c r="I436" s="18">
        <f>H436+G436</f>
        <v>661.14</v>
      </c>
    </row>
    <row r="437" spans="1:13" ht="22.5" customHeight="1" outlineLevel="1" x14ac:dyDescent="0.25">
      <c r="A437" s="84"/>
      <c r="B437" s="10" t="s">
        <v>1073</v>
      </c>
      <c r="C437" s="21"/>
      <c r="D437" s="2"/>
      <c r="E437" s="18"/>
      <c r="F437" s="361"/>
      <c r="G437" s="18"/>
      <c r="H437" s="2"/>
      <c r="I437" s="18"/>
    </row>
    <row r="438" spans="1:13" outlineLevel="1" x14ac:dyDescent="0.25">
      <c r="A438" s="107" t="s">
        <v>532</v>
      </c>
      <c r="B438" s="9" t="s">
        <v>1549</v>
      </c>
      <c r="C438" s="31" t="s">
        <v>14</v>
      </c>
      <c r="D438" s="31">
        <f>139.8+370.3+289.5+741.4+290.8+116.3+75.6+(162+425.4+295.7+866.7)*2</f>
        <v>5523.2999999999993</v>
      </c>
      <c r="E438" s="256">
        <v>170</v>
      </c>
      <c r="F438" s="60"/>
      <c r="G438" s="2">
        <f>ROUND(E438*D438,2)</f>
        <v>938961</v>
      </c>
      <c r="H438" s="18"/>
      <c r="I438" s="18">
        <f>H438+G438</f>
        <v>938961</v>
      </c>
    </row>
    <row r="439" spans="1:13" outlineLevel="1" x14ac:dyDescent="0.25">
      <c r="A439" s="86"/>
      <c r="B439" s="22" t="s">
        <v>1072</v>
      </c>
      <c r="C439" s="21" t="s">
        <v>15</v>
      </c>
      <c r="D439" s="70">
        <f>+ROUND(30*D438,2)</f>
        <v>165699</v>
      </c>
      <c r="E439" s="282"/>
      <c r="F439" s="361">
        <v>7</v>
      </c>
      <c r="G439" s="18"/>
      <c r="H439" s="2">
        <f>ROUND(D439*F439,2)</f>
        <v>1159893</v>
      </c>
      <c r="I439" s="18">
        <f>H439+G439</f>
        <v>1159893</v>
      </c>
    </row>
    <row r="440" spans="1:13" outlineLevel="1" x14ac:dyDescent="0.25">
      <c r="A440" s="107" t="s">
        <v>533</v>
      </c>
      <c r="B440" s="9" t="s">
        <v>1075</v>
      </c>
      <c r="C440" s="31" t="s">
        <v>14</v>
      </c>
      <c r="D440" s="31">
        <v>650</v>
      </c>
      <c r="E440" s="256">
        <v>170</v>
      </c>
      <c r="F440" s="60"/>
      <c r="G440" s="2">
        <f>ROUND(E440*D440,2)</f>
        <v>110500</v>
      </c>
      <c r="H440" s="18"/>
      <c r="I440" s="18">
        <f>H440+G440</f>
        <v>110500</v>
      </c>
      <c r="J440" s="735"/>
    </row>
    <row r="441" spans="1:13" outlineLevel="1" x14ac:dyDescent="0.25">
      <c r="A441" s="86"/>
      <c r="B441" s="22" t="s">
        <v>1077</v>
      </c>
      <c r="C441" s="21" t="s">
        <v>15</v>
      </c>
      <c r="D441" s="2">
        <f>D440*0.2</f>
        <v>130</v>
      </c>
      <c r="E441" s="18"/>
      <c r="F441" s="361">
        <v>20</v>
      </c>
      <c r="G441" s="18"/>
      <c r="H441" s="2">
        <f>ROUND(D441*F441,2)</f>
        <v>2600</v>
      </c>
      <c r="I441" s="18">
        <f>H441+G441</f>
        <v>2600</v>
      </c>
    </row>
    <row r="442" spans="1:13" outlineLevel="1" x14ac:dyDescent="0.25">
      <c r="A442" s="86"/>
      <c r="B442" s="22" t="s">
        <v>715</v>
      </c>
      <c r="C442" s="21" t="s">
        <v>15</v>
      </c>
      <c r="D442" s="70">
        <f>D440*9*2</f>
        <v>11700</v>
      </c>
      <c r="E442" s="18"/>
      <c r="F442" s="361">
        <v>10</v>
      </c>
      <c r="G442" s="18"/>
      <c r="H442" s="2">
        <f>ROUND(D442*F442,2)</f>
        <v>117000</v>
      </c>
      <c r="I442" s="18">
        <f>H442+G442</f>
        <v>117000</v>
      </c>
    </row>
    <row r="443" spans="1:13" s="36" customFormat="1" outlineLevel="1" x14ac:dyDescent="0.25">
      <c r="A443" s="92"/>
      <c r="B443" s="748" t="s">
        <v>1543</v>
      </c>
      <c r="C443" s="744"/>
      <c r="D443" s="745"/>
      <c r="E443" s="746"/>
      <c r="F443" s="747"/>
      <c r="G443" s="474">
        <f>SUM(G421:G442)</f>
        <v>2807654</v>
      </c>
      <c r="H443" s="746"/>
      <c r="I443" s="749">
        <f>G443</f>
        <v>2807654</v>
      </c>
      <c r="K443" s="162"/>
      <c r="L443" s="162"/>
      <c r="M443" s="162"/>
    </row>
    <row r="444" spans="1:13" s="36" customFormat="1" outlineLevel="1" x14ac:dyDescent="0.25">
      <c r="A444" s="92"/>
      <c r="B444" s="748" t="s">
        <v>1546</v>
      </c>
      <c r="C444" s="744"/>
      <c r="D444" s="745"/>
      <c r="E444" s="746"/>
      <c r="F444" s="747"/>
      <c r="G444" s="474"/>
      <c r="H444" s="473">
        <f>SUM(H421:H443)</f>
        <v>2104985.17</v>
      </c>
      <c r="I444" s="749">
        <f>H444</f>
        <v>2104985.17</v>
      </c>
      <c r="K444" s="162"/>
      <c r="L444" s="162"/>
      <c r="M444" s="162"/>
    </row>
    <row r="445" spans="1:13" s="36" customFormat="1" outlineLevel="1" x14ac:dyDescent="0.25">
      <c r="A445" s="92"/>
      <c r="B445" s="748" t="s">
        <v>1544</v>
      </c>
      <c r="C445" s="744"/>
      <c r="D445" s="745"/>
      <c r="E445" s="746"/>
      <c r="F445" s="747"/>
      <c r="G445" s="474"/>
      <c r="H445" s="746"/>
      <c r="I445" s="749">
        <f>G445</f>
        <v>0</v>
      </c>
      <c r="K445" s="162"/>
      <c r="L445" s="162"/>
      <c r="M445" s="162"/>
    </row>
    <row r="446" spans="1:13" s="36" customFormat="1" outlineLevel="1" x14ac:dyDescent="0.25">
      <c r="A446" s="92"/>
      <c r="B446" s="748" t="s">
        <v>1545</v>
      </c>
      <c r="C446" s="744"/>
      <c r="D446" s="745"/>
      <c r="E446" s="746"/>
      <c r="F446" s="747"/>
      <c r="G446" s="474"/>
      <c r="H446" s="746"/>
      <c r="I446" s="749">
        <f>G446</f>
        <v>0</v>
      </c>
      <c r="K446" s="162"/>
      <c r="L446" s="162"/>
      <c r="M446" s="162"/>
    </row>
    <row r="447" spans="1:13" ht="27.6" x14ac:dyDescent="0.25">
      <c r="A447" s="223"/>
      <c r="B447" s="231" t="s">
        <v>56</v>
      </c>
      <c r="C447" s="225"/>
      <c r="D447" s="226"/>
      <c r="E447" s="227"/>
      <c r="F447" s="228"/>
      <c r="G447" s="227">
        <f>G443+G445+G446</f>
        <v>2807654</v>
      </c>
      <c r="H447" s="227">
        <f>H444</f>
        <v>2104985.17</v>
      </c>
      <c r="I447" s="227">
        <f>I443+I444+I445+I446</f>
        <v>4912639.17</v>
      </c>
      <c r="J447" s="693"/>
    </row>
    <row r="448" spans="1:13" x14ac:dyDescent="0.25">
      <c r="A448" s="90"/>
      <c r="B448" s="471" t="s">
        <v>624</v>
      </c>
      <c r="C448" s="472"/>
      <c r="D448" s="473"/>
      <c r="E448" s="474"/>
      <c r="F448" s="475"/>
      <c r="G448" s="474"/>
      <c r="H448" s="474"/>
      <c r="I448" s="31">
        <f>ROUND(I447/1.18*0.18,2)</f>
        <v>749385.64</v>
      </c>
    </row>
    <row r="449" spans="1:9" ht="62.4" x14ac:dyDescent="0.25">
      <c r="A449" s="440"/>
      <c r="B449" s="694" t="s">
        <v>1408</v>
      </c>
      <c r="C449" s="439"/>
      <c r="D449" s="439"/>
      <c r="E449" s="439"/>
      <c r="F449" s="439"/>
      <c r="G449" s="439"/>
      <c r="H449" s="439"/>
      <c r="I449" s="441"/>
    </row>
    <row r="450" spans="1:9" ht="33.75" customHeight="1" outlineLevel="1" x14ac:dyDescent="0.25">
      <c r="A450" s="107" t="s">
        <v>325</v>
      </c>
      <c r="B450" s="9" t="s">
        <v>1409</v>
      </c>
      <c r="C450" s="31" t="s">
        <v>14</v>
      </c>
      <c r="D450" s="65">
        <f>Д2!D385+Ек!D405+Д!D364+Е!D390</f>
        <v>1302.9000000000001</v>
      </c>
      <c r="E450" s="166">
        <v>250</v>
      </c>
      <c r="F450" s="60"/>
      <c r="G450" s="2">
        <f>ROUND(E450*D450,2)</f>
        <v>325725</v>
      </c>
      <c r="H450" s="18"/>
      <c r="I450" s="18">
        <f>H450+G450</f>
        <v>325725</v>
      </c>
    </row>
    <row r="451" spans="1:9" outlineLevel="1" x14ac:dyDescent="0.25">
      <c r="A451" s="84"/>
      <c r="B451" s="28" t="s">
        <v>1410</v>
      </c>
      <c r="C451" s="21" t="s">
        <v>8</v>
      </c>
      <c r="D451" s="2">
        <f>ROUND(D450*0.1,2)</f>
        <v>130.29</v>
      </c>
      <c r="E451" s="18"/>
      <c r="F451" s="164">
        <v>850</v>
      </c>
      <c r="G451" s="18"/>
      <c r="H451" s="18">
        <f>F451*D451</f>
        <v>110746.5</v>
      </c>
      <c r="I451" s="18">
        <f>H451+G451</f>
        <v>110746.5</v>
      </c>
    </row>
    <row r="452" spans="1:9" ht="31.2" outlineLevel="1" x14ac:dyDescent="0.25">
      <c r="A452" s="107" t="s">
        <v>325</v>
      </c>
      <c r="B452" s="9" t="s">
        <v>1412</v>
      </c>
      <c r="C452" s="31" t="s">
        <v>14</v>
      </c>
      <c r="D452" s="65">
        <v>10</v>
      </c>
      <c r="E452" s="256">
        <v>2500</v>
      </c>
      <c r="F452" s="60"/>
      <c r="G452" s="2">
        <f>ROUND(E452*D452,2)</f>
        <v>25000</v>
      </c>
      <c r="H452" s="18"/>
      <c r="I452" s="18">
        <f>H452+G452</f>
        <v>25000</v>
      </c>
    </row>
    <row r="453" spans="1:9" outlineLevel="1" x14ac:dyDescent="0.25">
      <c r="A453" s="84"/>
      <c r="B453" s="28" t="s">
        <v>1062</v>
      </c>
      <c r="C453" s="21" t="s">
        <v>8</v>
      </c>
      <c r="D453" s="2">
        <f>ROUND(D452*0.1,2)</f>
        <v>1</v>
      </c>
      <c r="E453" s="18"/>
      <c r="F453" s="664">
        <v>3450</v>
      </c>
      <c r="G453" s="18"/>
      <c r="H453" s="18">
        <f>F453*D453</f>
        <v>3450</v>
      </c>
      <c r="I453" s="18">
        <f>H453+G453</f>
        <v>3450</v>
      </c>
    </row>
    <row r="454" spans="1:9" outlineLevel="1" x14ac:dyDescent="0.25">
      <c r="A454" s="84"/>
      <c r="B454" s="28" t="s">
        <v>1413</v>
      </c>
      <c r="C454" s="21" t="s">
        <v>8</v>
      </c>
      <c r="D454" s="2">
        <f>ROUND(D453*0.05,2)</f>
        <v>0.05</v>
      </c>
      <c r="E454" s="18"/>
      <c r="F454" s="164">
        <v>850</v>
      </c>
      <c r="G454" s="18"/>
      <c r="H454" s="18">
        <f>F454*D454</f>
        <v>42.5</v>
      </c>
      <c r="I454" s="18">
        <f>H454+G454</f>
        <v>42.5</v>
      </c>
    </row>
    <row r="455" spans="1:9" outlineLevel="1" x14ac:dyDescent="0.25">
      <c r="A455" s="107" t="s">
        <v>326</v>
      </c>
      <c r="B455" s="29" t="s">
        <v>1064</v>
      </c>
      <c r="C455" s="31" t="s">
        <v>14</v>
      </c>
      <c r="D455" s="2">
        <v>10</v>
      </c>
      <c r="E455" s="256">
        <v>120</v>
      </c>
      <c r="F455" s="60"/>
      <c r="G455" s="2">
        <f>ROUND(E455*D455,2)</f>
        <v>1200</v>
      </c>
      <c r="H455" s="18"/>
      <c r="I455" s="18">
        <f t="shared" ref="I455:I470" si="32">H455+G455</f>
        <v>1200</v>
      </c>
    </row>
    <row r="456" spans="1:9" outlineLevel="1" x14ac:dyDescent="0.25">
      <c r="A456" s="84"/>
      <c r="B456" s="28" t="s">
        <v>1063</v>
      </c>
      <c r="C456" s="21" t="s">
        <v>14</v>
      </c>
      <c r="D456" s="2">
        <f>ROUND(D455*1.1*2,2)</f>
        <v>22</v>
      </c>
      <c r="E456" s="18"/>
      <c r="F456" s="164">
        <f>ROUND(88.7*1.1,2)</f>
        <v>97.57</v>
      </c>
      <c r="G456" s="18"/>
      <c r="H456" s="2">
        <f>ROUND(D456*F456,2)</f>
        <v>2146.54</v>
      </c>
      <c r="I456" s="18">
        <f t="shared" si="32"/>
        <v>2146.54</v>
      </c>
    </row>
    <row r="457" spans="1:9" ht="31.2" outlineLevel="1" x14ac:dyDescent="0.25">
      <c r="A457" s="107" t="s">
        <v>327</v>
      </c>
      <c r="B457" s="29" t="s">
        <v>1069</v>
      </c>
      <c r="C457" s="31" t="s">
        <v>14</v>
      </c>
      <c r="D457" s="31">
        <f>1.7*2</f>
        <v>3.4</v>
      </c>
      <c r="E457" s="18"/>
      <c r="F457" s="60"/>
      <c r="G457" s="18">
        <f>E457*D457</f>
        <v>0</v>
      </c>
      <c r="H457" s="18"/>
      <c r="I457" s="18">
        <f t="shared" si="32"/>
        <v>0</v>
      </c>
    </row>
    <row r="458" spans="1:9" ht="27.6" outlineLevel="1" x14ac:dyDescent="0.25">
      <c r="A458" s="84"/>
      <c r="B458" s="372" t="s">
        <v>1068</v>
      </c>
      <c r="C458" s="21" t="s">
        <v>14</v>
      </c>
      <c r="D458" s="66">
        <f>ROUND(D457*2*1.03,2)</f>
        <v>7</v>
      </c>
      <c r="E458" s="51"/>
      <c r="F458" s="328">
        <f>ROUND(261.9*1.1,2)</f>
        <v>288.08999999999997</v>
      </c>
      <c r="G458" s="51"/>
      <c r="H458" s="2">
        <f>ROUND(D458*F458,2)</f>
        <v>2016.63</v>
      </c>
      <c r="I458" s="51">
        <f t="shared" si="32"/>
        <v>2016.63</v>
      </c>
    </row>
    <row r="459" spans="1:9" outlineLevel="1" x14ac:dyDescent="0.25">
      <c r="A459" s="84"/>
      <c r="B459" s="28" t="s">
        <v>400</v>
      </c>
      <c r="C459" s="21" t="s">
        <v>14</v>
      </c>
      <c r="D459" s="66">
        <f>ROUND(D457*1.015,2)</f>
        <v>3.45</v>
      </c>
      <c r="E459" s="51"/>
      <c r="F459" s="365">
        <v>109.41</v>
      </c>
      <c r="G459" s="51"/>
      <c r="H459" s="2">
        <f>ROUND(D459*F459,2)</f>
        <v>377.46</v>
      </c>
      <c r="I459" s="51">
        <f t="shared" si="32"/>
        <v>377.46</v>
      </c>
    </row>
    <row r="460" spans="1:9" outlineLevel="1" x14ac:dyDescent="0.25">
      <c r="A460" s="84"/>
      <c r="B460" s="28" t="s">
        <v>401</v>
      </c>
      <c r="C460" s="2" t="s">
        <v>14</v>
      </c>
      <c r="D460" s="66">
        <f>ROUND(D457*1.01,2)</f>
        <v>3.43</v>
      </c>
      <c r="E460" s="51"/>
      <c r="F460" s="365">
        <v>154.75</v>
      </c>
      <c r="G460" s="51"/>
      <c r="H460" s="2">
        <f>ROUND(D460*F460,2)</f>
        <v>530.79</v>
      </c>
      <c r="I460" s="51">
        <f t="shared" si="32"/>
        <v>530.79</v>
      </c>
    </row>
    <row r="461" spans="1:9" ht="31.2" outlineLevel="1" x14ac:dyDescent="0.25">
      <c r="A461" s="84"/>
      <c r="B461" s="22" t="s">
        <v>1070</v>
      </c>
      <c r="C461" s="21" t="s">
        <v>8</v>
      </c>
      <c r="D461" s="2">
        <f>ROUND(D457*0.15,2)</f>
        <v>0.51</v>
      </c>
      <c r="E461" s="18"/>
      <c r="F461" s="365">
        <v>4400</v>
      </c>
      <c r="G461" s="18"/>
      <c r="H461" s="2">
        <f>ROUND(D461*F461,2)</f>
        <v>2244</v>
      </c>
      <c r="I461" s="18">
        <f t="shared" si="32"/>
        <v>2244</v>
      </c>
    </row>
    <row r="462" spans="1:9" outlineLevel="1" x14ac:dyDescent="0.25">
      <c r="A462" s="84"/>
      <c r="B462" s="22" t="s">
        <v>1067</v>
      </c>
      <c r="C462" s="21" t="s">
        <v>14</v>
      </c>
      <c r="D462" s="2">
        <f>+ROUND(D457*1.1,2)</f>
        <v>3.74</v>
      </c>
      <c r="E462" s="18"/>
      <c r="F462" s="365">
        <f>10.1*1.1</f>
        <v>11.110000000000001</v>
      </c>
      <c r="G462" s="18"/>
      <c r="H462" s="2">
        <f>ROUND(D462*F462,2)</f>
        <v>41.55</v>
      </c>
      <c r="I462" s="18">
        <f t="shared" si="32"/>
        <v>41.55</v>
      </c>
    </row>
    <row r="463" spans="1:9" ht="31.2" outlineLevel="1" x14ac:dyDescent="0.25">
      <c r="A463" s="107" t="s">
        <v>536</v>
      </c>
      <c r="B463" s="9" t="s">
        <v>1411</v>
      </c>
      <c r="C463" s="31" t="s">
        <v>14</v>
      </c>
      <c r="D463" s="31">
        <f>4.8+4.8</f>
        <v>9.6</v>
      </c>
      <c r="E463" s="256">
        <v>280</v>
      </c>
      <c r="F463" s="60"/>
      <c r="G463" s="2">
        <f>ROUND(E463*D463,2)</f>
        <v>2688</v>
      </c>
      <c r="H463" s="18"/>
      <c r="I463" s="18">
        <f t="shared" si="32"/>
        <v>2688</v>
      </c>
    </row>
    <row r="464" spans="1:9" outlineLevel="1" x14ac:dyDescent="0.25">
      <c r="A464" s="84"/>
      <c r="B464" s="22" t="s">
        <v>1065</v>
      </c>
      <c r="C464" s="21" t="s">
        <v>8</v>
      </c>
      <c r="D464" s="2">
        <f>D463*0.04</f>
        <v>0.38400000000000001</v>
      </c>
      <c r="E464" s="18"/>
      <c r="F464" s="11"/>
      <c r="G464" s="18"/>
      <c r="H464" s="2">
        <f>ROUND(D464*F464,2)</f>
        <v>0</v>
      </c>
      <c r="I464" s="18">
        <f t="shared" si="32"/>
        <v>0</v>
      </c>
    </row>
    <row r="465" spans="1:12" outlineLevel="1" x14ac:dyDescent="0.25">
      <c r="A465" s="84"/>
      <c r="B465" s="28" t="s">
        <v>1056</v>
      </c>
      <c r="C465" s="21" t="s">
        <v>14</v>
      </c>
      <c r="D465" s="2">
        <f>D463</f>
        <v>9.6</v>
      </c>
      <c r="E465" s="18"/>
      <c r="F465" s="361">
        <v>31.34</v>
      </c>
      <c r="G465" s="18"/>
      <c r="H465" s="2">
        <f>ROUND(D465*F465,2)</f>
        <v>300.86</v>
      </c>
      <c r="I465" s="18">
        <f t="shared" si="32"/>
        <v>300.86</v>
      </c>
    </row>
    <row r="466" spans="1:12" ht="31.2" outlineLevel="1" x14ac:dyDescent="0.25">
      <c r="A466" s="107" t="s">
        <v>537</v>
      </c>
      <c r="B466" s="9" t="s">
        <v>1421</v>
      </c>
      <c r="C466" s="31" t="s">
        <v>14</v>
      </c>
      <c r="D466" s="31">
        <f>13.6+15.4+10.1*2</f>
        <v>49.2</v>
      </c>
      <c r="E466" s="256">
        <v>170</v>
      </c>
      <c r="F466" s="60"/>
      <c r="G466" s="2">
        <f>ROUND(E466*D466,2)</f>
        <v>8364</v>
      </c>
      <c r="H466" s="18"/>
      <c r="I466" s="18">
        <f t="shared" si="32"/>
        <v>8364</v>
      </c>
    </row>
    <row r="467" spans="1:12" outlineLevel="1" x14ac:dyDescent="0.25">
      <c r="A467" s="84"/>
      <c r="B467" s="22" t="s">
        <v>1072</v>
      </c>
      <c r="C467" s="21" t="s">
        <v>15</v>
      </c>
      <c r="D467" s="70">
        <f>+ROUND(30*D466,2)</f>
        <v>1476</v>
      </c>
      <c r="E467" s="282"/>
      <c r="F467" s="361">
        <v>7</v>
      </c>
      <c r="G467" s="18"/>
      <c r="H467" s="2">
        <f>ROUND(D467*F467,2)</f>
        <v>10332</v>
      </c>
      <c r="I467" s="18">
        <f t="shared" si="32"/>
        <v>10332</v>
      </c>
    </row>
    <row r="468" spans="1:12" outlineLevel="1" x14ac:dyDescent="0.25">
      <c r="A468" s="84"/>
      <c r="B468" s="22" t="s">
        <v>41</v>
      </c>
      <c r="C468" s="21" t="s">
        <v>15</v>
      </c>
      <c r="D468" s="2">
        <f>D466*0.2</f>
        <v>9.8400000000000016</v>
      </c>
      <c r="E468" s="18"/>
      <c r="F468" s="361">
        <v>20</v>
      </c>
      <c r="G468" s="18"/>
      <c r="H468" s="2">
        <f>ROUND(D468*F468,2)</f>
        <v>196.8</v>
      </c>
      <c r="I468" s="18">
        <f t="shared" si="32"/>
        <v>196.8</v>
      </c>
    </row>
    <row r="469" spans="1:12" outlineLevel="1" x14ac:dyDescent="0.25">
      <c r="A469" s="84"/>
      <c r="B469" s="22" t="s">
        <v>715</v>
      </c>
      <c r="C469" s="21" t="s">
        <v>15</v>
      </c>
      <c r="D469" s="70">
        <f>D466*9*2</f>
        <v>885.6</v>
      </c>
      <c r="E469" s="18"/>
      <c r="F469" s="361">
        <v>10</v>
      </c>
      <c r="G469" s="18"/>
      <c r="H469" s="2">
        <f>ROUND(D469*F469,2)</f>
        <v>8856</v>
      </c>
      <c r="I469" s="18">
        <f t="shared" si="32"/>
        <v>8856</v>
      </c>
    </row>
    <row r="470" spans="1:12" outlineLevel="1" x14ac:dyDescent="0.25">
      <c r="A470" s="84"/>
      <c r="B470" s="28" t="s">
        <v>1071</v>
      </c>
      <c r="C470" s="21" t="s">
        <v>30</v>
      </c>
      <c r="D470" s="64">
        <f>D466*0.4</f>
        <v>19.680000000000003</v>
      </c>
      <c r="E470" s="18"/>
      <c r="F470" s="361">
        <v>120</v>
      </c>
      <c r="G470" s="18"/>
      <c r="H470" s="2">
        <f>ROUND(D470*F470,2)</f>
        <v>2361.6</v>
      </c>
      <c r="I470" s="18">
        <f t="shared" si="32"/>
        <v>2361.6</v>
      </c>
    </row>
    <row r="471" spans="1:12" ht="31.2" outlineLevel="1" x14ac:dyDescent="0.25">
      <c r="A471" s="107" t="s">
        <v>538</v>
      </c>
      <c r="B471" s="9" t="s">
        <v>1076</v>
      </c>
      <c r="C471" s="31" t="s">
        <v>14</v>
      </c>
      <c r="D471" s="724">
        <f>5+5+2.2*2</f>
        <v>14.4</v>
      </c>
      <c r="E471" s="256">
        <v>180</v>
      </c>
      <c r="F471" s="60"/>
      <c r="G471" s="2">
        <f>ROUND(E471*D471,2)</f>
        <v>2592</v>
      </c>
      <c r="H471" s="18"/>
      <c r="I471" s="18">
        <f>H471+G471</f>
        <v>2592</v>
      </c>
    </row>
    <row r="472" spans="1:12" outlineLevel="1" x14ac:dyDescent="0.25">
      <c r="A472" s="84"/>
      <c r="B472" s="22" t="s">
        <v>1072</v>
      </c>
      <c r="C472" s="21" t="s">
        <v>15</v>
      </c>
      <c r="D472" s="70">
        <f>+ROUND(30*D471,2)</f>
        <v>432</v>
      </c>
      <c r="E472" s="282"/>
      <c r="F472" s="361">
        <v>7</v>
      </c>
      <c r="G472" s="18"/>
      <c r="H472" s="2">
        <f>ROUND(D472*F472,2)</f>
        <v>3024</v>
      </c>
      <c r="I472" s="18">
        <f>H472+G472</f>
        <v>3024</v>
      </c>
    </row>
    <row r="473" spans="1:12" outlineLevel="1" x14ac:dyDescent="0.25">
      <c r="A473" s="84"/>
      <c r="B473" s="22" t="s">
        <v>1077</v>
      </c>
      <c r="C473" s="21" t="s">
        <v>15</v>
      </c>
      <c r="D473" s="2">
        <f>D471*0.2</f>
        <v>2.8800000000000003</v>
      </c>
      <c r="E473" s="18"/>
      <c r="F473" s="361">
        <v>20</v>
      </c>
      <c r="G473" s="18"/>
      <c r="H473" s="2">
        <f>ROUND(D473*F473,2)</f>
        <v>57.6</v>
      </c>
      <c r="I473" s="18">
        <f>H473+G473</f>
        <v>57.6</v>
      </c>
    </row>
    <row r="474" spans="1:12" outlineLevel="1" x14ac:dyDescent="0.25">
      <c r="A474" s="84"/>
      <c r="B474" s="22" t="s">
        <v>715</v>
      </c>
      <c r="C474" s="21" t="s">
        <v>15</v>
      </c>
      <c r="D474" s="70">
        <f>D471*9*2</f>
        <v>259.2</v>
      </c>
      <c r="E474" s="18"/>
      <c r="F474" s="361">
        <v>10</v>
      </c>
      <c r="G474" s="18"/>
      <c r="H474" s="2">
        <f>ROUND(D474*F474,2)</f>
        <v>2592</v>
      </c>
      <c r="I474" s="18">
        <f>H474+G474</f>
        <v>2592</v>
      </c>
    </row>
    <row r="475" spans="1:12" outlineLevel="1" x14ac:dyDescent="0.25">
      <c r="A475" s="84"/>
      <c r="B475" s="28" t="s">
        <v>1071</v>
      </c>
      <c r="C475" s="21" t="s">
        <v>30</v>
      </c>
      <c r="D475" s="64">
        <f>D471*0.4</f>
        <v>5.7600000000000007</v>
      </c>
      <c r="E475" s="18"/>
      <c r="F475" s="361">
        <v>120</v>
      </c>
      <c r="G475" s="18"/>
      <c r="H475" s="2">
        <f>ROUND(D475*F475,2)</f>
        <v>691.2</v>
      </c>
      <c r="I475" s="18">
        <f>H475+G475</f>
        <v>691.2</v>
      </c>
    </row>
    <row r="476" spans="1:12" ht="41.4" x14ac:dyDescent="0.25">
      <c r="A476" s="223"/>
      <c r="B476" s="231" t="s">
        <v>1078</v>
      </c>
      <c r="C476" s="225"/>
      <c r="D476" s="226"/>
      <c r="E476" s="227"/>
      <c r="F476" s="228"/>
      <c r="G476" s="227">
        <f>SUM(G450:G475)</f>
        <v>365569</v>
      </c>
      <c r="H476" s="227">
        <f>SUM(H450:H475)</f>
        <v>150008.03000000003</v>
      </c>
      <c r="I476" s="227">
        <f>SUM(I450:I475)</f>
        <v>515577.02999999991</v>
      </c>
      <c r="J476" s="693"/>
      <c r="L476" s="133"/>
    </row>
    <row r="477" spans="1:12" ht="18.600000000000001" customHeight="1" x14ac:dyDescent="0.25">
      <c r="A477" s="90"/>
      <c r="B477" s="471" t="s">
        <v>624</v>
      </c>
      <c r="C477" s="472"/>
      <c r="D477" s="473"/>
      <c r="E477" s="474"/>
      <c r="F477" s="475"/>
      <c r="G477" s="474"/>
      <c r="H477" s="474"/>
      <c r="I477" s="473">
        <f>ROUND(I476/1.18*0.18,2)</f>
        <v>78647.34</v>
      </c>
    </row>
    <row r="478" spans="1:12" ht="39" customHeight="1" x14ac:dyDescent="0.25">
      <c r="A478" s="109"/>
      <c r="B478" s="694" t="s">
        <v>1207</v>
      </c>
      <c r="C478" s="477"/>
      <c r="D478" s="477"/>
      <c r="E478" s="478"/>
      <c r="F478" s="479"/>
      <c r="G478" s="480"/>
      <c r="H478" s="480"/>
      <c r="I478" s="483"/>
    </row>
    <row r="479" spans="1:12" ht="31.5" customHeight="1" outlineLevel="1" x14ac:dyDescent="0.25">
      <c r="A479" s="107" t="s">
        <v>154</v>
      </c>
      <c r="B479" s="71" t="s">
        <v>1550</v>
      </c>
      <c r="C479" s="72" t="s">
        <v>14</v>
      </c>
      <c r="D479" s="72">
        <f>Д2!D390+Ек!D426+Д!D387+Е!D419</f>
        <v>1437.9</v>
      </c>
      <c r="E479" s="355">
        <v>260</v>
      </c>
      <c r="F479" s="146"/>
      <c r="G479" s="476">
        <f>ROUND(E479*D479,2)</f>
        <v>373854</v>
      </c>
      <c r="H479" s="73"/>
      <c r="I479" s="73">
        <f t="shared" ref="I479:I487" si="33">H479+G479</f>
        <v>373854</v>
      </c>
    </row>
    <row r="480" spans="1:12" outlineLevel="1" x14ac:dyDescent="0.25">
      <c r="A480" s="84"/>
      <c r="B480" s="22" t="s">
        <v>1072</v>
      </c>
      <c r="C480" s="21" t="s">
        <v>15</v>
      </c>
      <c r="D480" s="70">
        <f>D479*10</f>
        <v>14379</v>
      </c>
      <c r="E480" s="282"/>
      <c r="F480" s="361">
        <v>9</v>
      </c>
      <c r="G480" s="18"/>
      <c r="H480" s="2">
        <f>ROUND(D480*F480,2)</f>
        <v>129411</v>
      </c>
      <c r="I480" s="18">
        <f t="shared" si="33"/>
        <v>129411</v>
      </c>
    </row>
    <row r="481" spans="1:12" outlineLevel="1" x14ac:dyDescent="0.25">
      <c r="A481" s="84"/>
      <c r="B481" s="22" t="s">
        <v>1077</v>
      </c>
      <c r="C481" s="21" t="s">
        <v>15</v>
      </c>
      <c r="D481" s="2">
        <f>D480*0.2</f>
        <v>2875.8</v>
      </c>
      <c r="E481" s="18"/>
      <c r="F481" s="361">
        <v>20</v>
      </c>
      <c r="G481" s="18"/>
      <c r="H481" s="2">
        <f>ROUND(D481*F481,2)</f>
        <v>57516</v>
      </c>
      <c r="I481" s="18">
        <f>H481+G481</f>
        <v>57516</v>
      </c>
    </row>
    <row r="482" spans="1:12" outlineLevel="1" x14ac:dyDescent="0.25">
      <c r="A482" s="84"/>
      <c r="B482" s="22" t="s">
        <v>715</v>
      </c>
      <c r="C482" s="21" t="s">
        <v>15</v>
      </c>
      <c r="D482" s="70">
        <f>D479*3</f>
        <v>4313.7000000000007</v>
      </c>
      <c r="E482" s="18"/>
      <c r="F482" s="361">
        <v>10</v>
      </c>
      <c r="G482" s="18"/>
      <c r="H482" s="2">
        <f>ROUND(D482*F482,2)</f>
        <v>43137</v>
      </c>
      <c r="I482" s="18">
        <f>H482+G482</f>
        <v>43137</v>
      </c>
    </row>
    <row r="483" spans="1:12" outlineLevel="1" x14ac:dyDescent="0.25">
      <c r="A483" s="84"/>
      <c r="B483" s="28" t="s">
        <v>1423</v>
      </c>
      <c r="C483" s="21" t="s">
        <v>30</v>
      </c>
      <c r="D483" s="64">
        <f>D479*0.4</f>
        <v>575.16000000000008</v>
      </c>
      <c r="E483" s="18"/>
      <c r="F483" s="361">
        <v>120</v>
      </c>
      <c r="G483" s="18"/>
      <c r="H483" s="2">
        <f>ROUND(D483*F483,2)</f>
        <v>69019.199999999997</v>
      </c>
      <c r="I483" s="18">
        <f>H483+G483</f>
        <v>69019.199999999997</v>
      </c>
    </row>
    <row r="484" spans="1:12" ht="32.25" customHeight="1" outlineLevel="1" x14ac:dyDescent="0.25">
      <c r="A484" s="107" t="s">
        <v>157</v>
      </c>
      <c r="B484" s="9" t="s">
        <v>1424</v>
      </c>
      <c r="C484" s="31" t="s">
        <v>14</v>
      </c>
      <c r="D484" s="724">
        <f>Д2!D395+Ек!D431+Д!D392+Е!D424</f>
        <v>23.6</v>
      </c>
      <c r="E484" s="256">
        <v>180</v>
      </c>
      <c r="F484" s="60"/>
      <c r="G484" s="2">
        <f>ROUND(E484*D484,2)</f>
        <v>4248</v>
      </c>
      <c r="H484" s="18"/>
      <c r="I484" s="18">
        <f>H484+G484</f>
        <v>4248</v>
      </c>
    </row>
    <row r="485" spans="1:12" outlineLevel="1" x14ac:dyDescent="0.25">
      <c r="A485" s="84"/>
      <c r="B485" s="22" t="s">
        <v>1077</v>
      </c>
      <c r="C485" s="21" t="s">
        <v>15</v>
      </c>
      <c r="D485" s="2">
        <f>D484*0.2</f>
        <v>4.7200000000000006</v>
      </c>
      <c r="E485" s="18"/>
      <c r="F485" s="361">
        <v>20</v>
      </c>
      <c r="G485" s="18"/>
      <c r="H485" s="2">
        <f>ROUND(D485*F485,2)</f>
        <v>94.4</v>
      </c>
      <c r="I485" s="18">
        <f t="shared" si="33"/>
        <v>94.4</v>
      </c>
    </row>
    <row r="486" spans="1:12" outlineLevel="1" x14ac:dyDescent="0.25">
      <c r="A486" s="84"/>
      <c r="B486" s="22" t="s">
        <v>715</v>
      </c>
      <c r="C486" s="21" t="s">
        <v>15</v>
      </c>
      <c r="D486" s="70">
        <f>D484*9*2</f>
        <v>424.8</v>
      </c>
      <c r="E486" s="18"/>
      <c r="F486" s="361">
        <v>10</v>
      </c>
      <c r="G486" s="18"/>
      <c r="H486" s="2">
        <f>ROUND(D486*F486,2)</f>
        <v>4248</v>
      </c>
      <c r="I486" s="18">
        <f t="shared" si="33"/>
        <v>4248</v>
      </c>
    </row>
    <row r="487" spans="1:12" outlineLevel="1" x14ac:dyDescent="0.25">
      <c r="A487" s="84"/>
      <c r="B487" s="28" t="s">
        <v>1423</v>
      </c>
      <c r="C487" s="21" t="s">
        <v>30</v>
      </c>
      <c r="D487" s="64">
        <f>D484*0.4</f>
        <v>9.4400000000000013</v>
      </c>
      <c r="E487" s="18"/>
      <c r="F487" s="361">
        <v>120</v>
      </c>
      <c r="G487" s="18"/>
      <c r="H487" s="2">
        <f>ROUND(D487*F487,2)</f>
        <v>1132.8</v>
      </c>
      <c r="I487" s="18">
        <f t="shared" si="33"/>
        <v>1132.8</v>
      </c>
    </row>
    <row r="488" spans="1:12" ht="33" customHeight="1" outlineLevel="1" x14ac:dyDescent="0.25">
      <c r="A488" s="107" t="s">
        <v>158</v>
      </c>
      <c r="B488" s="9" t="s">
        <v>1076</v>
      </c>
      <c r="C488" s="31" t="s">
        <v>14</v>
      </c>
      <c r="D488" s="724">
        <f>Д2!D399+Ек!D435+Д!D396+Е!D428</f>
        <v>443.58000000000004</v>
      </c>
      <c r="E488" s="256">
        <v>180</v>
      </c>
      <c r="F488" s="60"/>
      <c r="G488" s="2">
        <f>ROUND(E488*D488,2)</f>
        <v>79844.399999999994</v>
      </c>
      <c r="H488" s="18"/>
      <c r="I488" s="18">
        <f t="shared" ref="I488:I493" si="34">H488+G488</f>
        <v>79844.399999999994</v>
      </c>
    </row>
    <row r="489" spans="1:12" ht="17.25" customHeight="1" outlineLevel="1" x14ac:dyDescent="0.25">
      <c r="A489" s="86"/>
      <c r="B489" s="22" t="s">
        <v>1077</v>
      </c>
      <c r="C489" s="21" t="s">
        <v>15</v>
      </c>
      <c r="D489" s="2">
        <f>D488*0.2</f>
        <v>88.716000000000008</v>
      </c>
      <c r="E489" s="18"/>
      <c r="F489" s="361">
        <v>20</v>
      </c>
      <c r="G489" s="18"/>
      <c r="H489" s="2">
        <f>ROUND(D489*F489,2)</f>
        <v>1774.32</v>
      </c>
      <c r="I489" s="18">
        <f t="shared" si="34"/>
        <v>1774.32</v>
      </c>
    </row>
    <row r="490" spans="1:12" ht="17.25" customHeight="1" outlineLevel="1" x14ac:dyDescent="0.25">
      <c r="A490" s="86"/>
      <c r="B490" s="22" t="s">
        <v>715</v>
      </c>
      <c r="C490" s="21" t="s">
        <v>15</v>
      </c>
      <c r="D490" s="70">
        <f>D488*9*2</f>
        <v>7984.4400000000005</v>
      </c>
      <c r="E490" s="18"/>
      <c r="F490" s="361">
        <v>10</v>
      </c>
      <c r="G490" s="18"/>
      <c r="H490" s="2">
        <f>ROUND(D490*F490,2)</f>
        <v>79844.399999999994</v>
      </c>
      <c r="I490" s="18">
        <f t="shared" si="34"/>
        <v>79844.399999999994</v>
      </c>
    </row>
    <row r="491" spans="1:12" ht="17.25" customHeight="1" outlineLevel="1" x14ac:dyDescent="0.25">
      <c r="A491" s="86"/>
      <c r="B491" s="28" t="s">
        <v>1071</v>
      </c>
      <c r="C491" s="21" t="s">
        <v>30</v>
      </c>
      <c r="D491" s="64">
        <f>D488*0.4</f>
        <v>177.43200000000002</v>
      </c>
      <c r="E491" s="18"/>
      <c r="F491" s="361">
        <v>120</v>
      </c>
      <c r="G491" s="18"/>
      <c r="H491" s="2">
        <f>ROUND(D491*F491,2)</f>
        <v>21291.84</v>
      </c>
      <c r="I491" s="18">
        <f t="shared" si="34"/>
        <v>21291.84</v>
      </c>
    </row>
    <row r="492" spans="1:12" ht="17.25" customHeight="1" outlineLevel="1" x14ac:dyDescent="0.25">
      <c r="A492" s="107" t="s">
        <v>1208</v>
      </c>
      <c r="B492" s="9" t="s">
        <v>74</v>
      </c>
      <c r="C492" s="176" t="s">
        <v>12</v>
      </c>
      <c r="D492" s="31">
        <f>D493</f>
        <v>90</v>
      </c>
      <c r="E492" s="256">
        <v>350</v>
      </c>
      <c r="F492" s="11"/>
      <c r="G492" s="2">
        <f>ROUND(E492*D492,2)</f>
        <v>31500</v>
      </c>
      <c r="H492" s="2"/>
      <c r="I492" s="2">
        <f t="shared" si="34"/>
        <v>31500</v>
      </c>
    </row>
    <row r="493" spans="1:12" ht="17.25" customHeight="1" outlineLevel="1" x14ac:dyDescent="0.25">
      <c r="A493" s="86"/>
      <c r="B493" s="28" t="s">
        <v>75</v>
      </c>
      <c r="C493" s="21" t="s">
        <v>12</v>
      </c>
      <c r="D493" s="2">
        <f>Д2!D404+Ек!D440+Д!D401+Е!D433</f>
        <v>90</v>
      </c>
      <c r="E493" s="2"/>
      <c r="F493" s="361">
        <v>450</v>
      </c>
      <c r="G493" s="2"/>
      <c r="H493" s="2">
        <f>ROUND(D493*F493,2)</f>
        <v>40500</v>
      </c>
      <c r="I493" s="2">
        <f t="shared" si="34"/>
        <v>40500</v>
      </c>
    </row>
    <row r="494" spans="1:12" ht="21.75" customHeight="1" x14ac:dyDescent="0.25">
      <c r="A494" s="223"/>
      <c r="B494" s="231" t="s">
        <v>71</v>
      </c>
      <c r="C494" s="225"/>
      <c r="D494" s="226"/>
      <c r="E494" s="227"/>
      <c r="F494" s="228"/>
      <c r="G494" s="227">
        <f>SUM(G479:G493)</f>
        <v>489446.40000000002</v>
      </c>
      <c r="H494" s="227">
        <f>SUM(H479:H493)</f>
        <v>447968.96</v>
      </c>
      <c r="I494" s="227">
        <f>SUM(I479:I493)</f>
        <v>937415.36</v>
      </c>
      <c r="J494" s="693"/>
      <c r="L494" s="133"/>
    </row>
    <row r="495" spans="1:12" ht="16.95" customHeight="1" x14ac:dyDescent="0.25">
      <c r="A495" s="90"/>
      <c r="B495" s="471" t="s">
        <v>624</v>
      </c>
      <c r="C495" s="9"/>
      <c r="D495" s="31"/>
      <c r="E495" s="10"/>
      <c r="F495" s="57"/>
      <c r="G495" s="10"/>
      <c r="H495" s="10"/>
      <c r="I495" s="31">
        <f>ROUND(I494/1.18*0.18,2)</f>
        <v>142995.56</v>
      </c>
    </row>
    <row r="496" spans="1:12" ht="21" customHeight="1" x14ac:dyDescent="0.25">
      <c r="A496" s="108"/>
      <c r="B496" s="696" t="s">
        <v>1242</v>
      </c>
      <c r="C496" s="105"/>
      <c r="D496" s="105"/>
      <c r="E496" s="105"/>
      <c r="F496" s="138"/>
      <c r="G496" s="105"/>
      <c r="H496" s="105"/>
      <c r="I496" s="106"/>
    </row>
    <row r="497" spans="1:10" s="15" customFormat="1" ht="33" customHeight="1" outlineLevel="1" x14ac:dyDescent="0.25">
      <c r="A497" s="107" t="s">
        <v>76</v>
      </c>
      <c r="B497" s="723" t="s">
        <v>69</v>
      </c>
      <c r="C497" s="31" t="s">
        <v>8</v>
      </c>
      <c r="D497" s="31">
        <f>Д2!D408+Ек!D444+Д!D405+Е!D437</f>
        <v>20.743100000000002</v>
      </c>
      <c r="E497" s="256">
        <v>1600</v>
      </c>
      <c r="F497" s="11"/>
      <c r="G497" s="2">
        <f>ROUND(E497*D497,2)</f>
        <v>33188.959999999999</v>
      </c>
      <c r="H497" s="2"/>
      <c r="I497" s="2">
        <f>H497+G497</f>
        <v>33188.959999999999</v>
      </c>
    </row>
    <row r="498" spans="1:10" s="15" customFormat="1" outlineLevel="1" x14ac:dyDescent="0.25">
      <c r="A498" s="86"/>
      <c r="B498" s="11" t="s">
        <v>240</v>
      </c>
      <c r="C498" s="21" t="s">
        <v>8</v>
      </c>
      <c r="D498" s="2">
        <f>D497*1.1</f>
        <v>22.817410000000002</v>
      </c>
      <c r="E498" s="282"/>
      <c r="F498" s="361">
        <v>280</v>
      </c>
      <c r="G498" s="2"/>
      <c r="H498" s="2">
        <f>ROUND(D498*F498,2)</f>
        <v>6388.87</v>
      </c>
      <c r="I498" s="2">
        <f>H498+G498</f>
        <v>6388.87</v>
      </c>
    </row>
    <row r="499" spans="1:10" s="15" customFormat="1" outlineLevel="1" x14ac:dyDescent="0.25">
      <c r="A499" s="86"/>
      <c r="B499" s="22" t="s">
        <v>1329</v>
      </c>
      <c r="C499" s="21" t="s">
        <v>8</v>
      </c>
      <c r="D499" s="2">
        <f>1.02*D497</f>
        <v>21.157962000000001</v>
      </c>
      <c r="E499" s="282"/>
      <c r="F499" s="164">
        <v>4800</v>
      </c>
      <c r="G499" s="2"/>
      <c r="H499" s="2">
        <f>ROUND(D499*F499,2)</f>
        <v>101558.22</v>
      </c>
      <c r="I499" s="2">
        <f>H499+G499</f>
        <v>101558.22</v>
      </c>
    </row>
    <row r="500" spans="1:10" s="15" customFormat="1" hidden="1" outlineLevel="1" x14ac:dyDescent="0.25">
      <c r="A500" s="107" t="s">
        <v>78</v>
      </c>
      <c r="B500" s="344" t="s">
        <v>470</v>
      </c>
      <c r="C500" s="31" t="s">
        <v>8</v>
      </c>
      <c r="D500" s="306">
        <v>0</v>
      </c>
      <c r="E500" s="256">
        <v>1000</v>
      </c>
      <c r="F500" s="11"/>
      <c r="G500" s="2">
        <f>ROUND(E500*D500,2)</f>
        <v>0</v>
      </c>
      <c r="H500" s="2"/>
      <c r="I500" s="2">
        <f>H500+G500</f>
        <v>0</v>
      </c>
    </row>
    <row r="501" spans="1:10" s="15" customFormat="1" hidden="1" outlineLevel="1" x14ac:dyDescent="0.25">
      <c r="A501" s="86"/>
      <c r="B501" s="308" t="s">
        <v>471</v>
      </c>
      <c r="C501" s="2" t="s">
        <v>8</v>
      </c>
      <c r="D501" s="340">
        <f>D500*1.02</f>
        <v>0</v>
      </c>
      <c r="E501" s="2"/>
      <c r="F501" s="361">
        <v>3200</v>
      </c>
      <c r="G501" s="2"/>
      <c r="H501" s="2">
        <f>ROUND(D501*F501,2)</f>
        <v>0</v>
      </c>
      <c r="I501" s="2">
        <f>G501+H501</f>
        <v>0</v>
      </c>
    </row>
    <row r="502" spans="1:10" s="15" customFormat="1" hidden="1" outlineLevel="1" x14ac:dyDescent="0.25">
      <c r="A502" s="86"/>
      <c r="B502" s="308" t="s">
        <v>667</v>
      </c>
      <c r="C502" s="2" t="s">
        <v>9</v>
      </c>
      <c r="D502" s="340">
        <v>0</v>
      </c>
      <c r="E502" s="2"/>
      <c r="F502" s="361">
        <v>42000</v>
      </c>
      <c r="G502" s="2"/>
      <c r="H502" s="2">
        <f>ROUND(D502*F502,2)</f>
        <v>0</v>
      </c>
      <c r="I502" s="2">
        <f>G502+H502</f>
        <v>0</v>
      </c>
    </row>
    <row r="503" spans="1:10" s="15" customFormat="1" hidden="1" outlineLevel="1" x14ac:dyDescent="0.25">
      <c r="A503" s="86"/>
      <c r="B503" s="343" t="s">
        <v>70</v>
      </c>
      <c r="C503" s="21" t="s">
        <v>8</v>
      </c>
      <c r="D503" s="340">
        <v>0</v>
      </c>
      <c r="E503" s="2"/>
      <c r="F503" s="361">
        <v>2950</v>
      </c>
      <c r="G503" s="2"/>
      <c r="H503" s="2">
        <f>ROUND(D503*F503,2)</f>
        <v>0</v>
      </c>
      <c r="I503" s="2">
        <f>H503+G503</f>
        <v>0</v>
      </c>
    </row>
    <row r="504" spans="1:10" s="15" customFormat="1" hidden="1" outlineLevel="1" x14ac:dyDescent="0.25">
      <c r="A504" s="86"/>
      <c r="B504" s="343" t="s">
        <v>240</v>
      </c>
      <c r="C504" s="21" t="s">
        <v>8</v>
      </c>
      <c r="D504" s="340">
        <f>D503</f>
        <v>0</v>
      </c>
      <c r="E504" s="2"/>
      <c r="F504" s="361">
        <v>250</v>
      </c>
      <c r="G504" s="2"/>
      <c r="H504" s="2">
        <f>ROUND(D504*F504,2)</f>
        <v>0</v>
      </c>
      <c r="I504" s="2">
        <f>H504+G504</f>
        <v>0</v>
      </c>
    </row>
    <row r="505" spans="1:10" collapsed="1" x14ac:dyDescent="0.25">
      <c r="A505" s="223"/>
      <c r="B505" s="231" t="s">
        <v>60</v>
      </c>
      <c r="C505" s="225"/>
      <c r="D505" s="226"/>
      <c r="E505" s="227"/>
      <c r="F505" s="228"/>
      <c r="G505" s="227">
        <f>SUM(G497:G504)</f>
        <v>33188.959999999999</v>
      </c>
      <c r="H505" s="227">
        <f>SUM(H497:H504)</f>
        <v>107947.09</v>
      </c>
      <c r="I505" s="227">
        <f>ROUND(SUM(I497:I504),2)</f>
        <v>141136.04999999999</v>
      </c>
      <c r="J505" s="693"/>
    </row>
    <row r="506" spans="1:10" ht="16.2" customHeight="1" x14ac:dyDescent="0.25">
      <c r="A506" s="90"/>
      <c r="B506" s="471" t="s">
        <v>624</v>
      </c>
      <c r="C506" s="472"/>
      <c r="D506" s="473"/>
      <c r="E506" s="10"/>
      <c r="F506" s="57"/>
      <c r="G506" s="10"/>
      <c r="H506" s="10"/>
      <c r="I506" s="31">
        <f>ROUND(I505/1.18*0.18,2)</f>
        <v>21529.23</v>
      </c>
    </row>
    <row r="507" spans="1:10" s="5" customFormat="1" ht="27" customHeight="1" x14ac:dyDescent="0.25">
      <c r="A507" s="109"/>
      <c r="B507" s="771" t="s">
        <v>1209</v>
      </c>
      <c r="C507" s="771"/>
      <c r="D507" s="771"/>
      <c r="E507" s="488"/>
      <c r="F507" s="138"/>
      <c r="G507" s="102"/>
      <c r="H507" s="111"/>
      <c r="I507" s="102"/>
    </row>
    <row r="508" spans="1:10" hidden="1" outlineLevel="1" x14ac:dyDescent="0.25">
      <c r="A508" s="84" t="s">
        <v>319</v>
      </c>
      <c r="B508" s="71" t="s">
        <v>155</v>
      </c>
      <c r="C508" s="72" t="s">
        <v>12</v>
      </c>
      <c r="D508" s="356">
        <v>0</v>
      </c>
      <c r="E508" s="354">
        <v>19000</v>
      </c>
      <c r="F508" s="137"/>
      <c r="G508" s="2">
        <f>ROUND(E508*D508,2)</f>
        <v>0</v>
      </c>
      <c r="H508" s="26"/>
      <c r="I508" s="26">
        <f>G508+H508</f>
        <v>0</v>
      </c>
    </row>
    <row r="509" spans="1:10" hidden="1" outlineLevel="1" x14ac:dyDescent="0.25">
      <c r="A509" s="84"/>
      <c r="B509" s="329" t="s">
        <v>282</v>
      </c>
      <c r="C509" s="21" t="s">
        <v>12</v>
      </c>
      <c r="D509" s="340">
        <v>0</v>
      </c>
      <c r="E509" s="18"/>
      <c r="F509" s="361">
        <v>63000</v>
      </c>
      <c r="G509" s="26"/>
      <c r="H509" s="2">
        <f>ROUND(D509*F509,2)</f>
        <v>0</v>
      </c>
      <c r="I509" s="26">
        <f t="shared" ref="I509:I580" si="35">G509+H509</f>
        <v>0</v>
      </c>
    </row>
    <row r="510" spans="1:10" hidden="1" outlineLevel="1" x14ac:dyDescent="0.25">
      <c r="A510" s="84"/>
      <c r="B510" s="28" t="s">
        <v>176</v>
      </c>
      <c r="C510" s="21" t="s">
        <v>12</v>
      </c>
      <c r="D510" s="2">
        <v>0</v>
      </c>
      <c r="E510" s="18"/>
      <c r="F510" s="361">
        <v>6000</v>
      </c>
      <c r="G510" s="26"/>
      <c r="H510" s="2">
        <f>ROUND(D510*F510,2)</f>
        <v>0</v>
      </c>
      <c r="I510" s="26">
        <f t="shared" si="35"/>
        <v>0</v>
      </c>
    </row>
    <row r="511" spans="1:10" hidden="1" outlineLevel="1" x14ac:dyDescent="0.25">
      <c r="A511" s="84"/>
      <c r="B511" s="329" t="s">
        <v>283</v>
      </c>
      <c r="C511" s="21" t="s">
        <v>12</v>
      </c>
      <c r="D511" s="340">
        <v>0</v>
      </c>
      <c r="E511" s="18"/>
      <c r="F511" s="164">
        <v>380</v>
      </c>
      <c r="G511" s="26"/>
      <c r="H511" s="2">
        <f>ROUND(D511*F511,2)</f>
        <v>0</v>
      </c>
      <c r="I511" s="26">
        <f t="shared" si="35"/>
        <v>0</v>
      </c>
    </row>
    <row r="512" spans="1:10" hidden="1" outlineLevel="1" x14ac:dyDescent="0.25">
      <c r="A512" s="84" t="s">
        <v>320</v>
      </c>
      <c r="B512" s="29" t="s">
        <v>284</v>
      </c>
      <c r="C512" s="31" t="s">
        <v>12</v>
      </c>
      <c r="D512" s="31">
        <v>0</v>
      </c>
      <c r="E512" s="354">
        <v>250</v>
      </c>
      <c r="F512" s="137"/>
      <c r="G512" s="2">
        <f>ROUND(E512*D512,2)</f>
        <v>0</v>
      </c>
      <c r="H512" s="26"/>
      <c r="I512" s="26">
        <f>G512+H512</f>
        <v>0</v>
      </c>
    </row>
    <row r="513" spans="1:10" hidden="1" outlineLevel="1" x14ac:dyDescent="0.25">
      <c r="A513" s="84"/>
      <c r="B513" s="329" t="s">
        <v>285</v>
      </c>
      <c r="C513" s="21" t="s">
        <v>12</v>
      </c>
      <c r="D513" s="340">
        <v>0</v>
      </c>
      <c r="E513" s="18"/>
      <c r="F513" s="164">
        <v>4900</v>
      </c>
      <c r="G513" s="26"/>
      <c r="H513" s="2">
        <f t="shared" ref="H513:H533" si="36">ROUND(D513*F513,2)</f>
        <v>0</v>
      </c>
      <c r="I513" s="26">
        <f>G513+H513</f>
        <v>0</v>
      </c>
    </row>
    <row r="514" spans="1:10" hidden="1" outlineLevel="1" x14ac:dyDescent="0.25">
      <c r="A514" s="84"/>
      <c r="B514" s="329" t="s">
        <v>449</v>
      </c>
      <c r="C514" s="21" t="s">
        <v>12</v>
      </c>
      <c r="D514" s="340">
        <v>0</v>
      </c>
      <c r="E514" s="18"/>
      <c r="F514" s="164">
        <v>4900</v>
      </c>
      <c r="G514" s="26"/>
      <c r="H514" s="2">
        <f t="shared" si="36"/>
        <v>0</v>
      </c>
      <c r="I514" s="26">
        <f>G514+H514</f>
        <v>0</v>
      </c>
    </row>
    <row r="515" spans="1:10" hidden="1" outlineLevel="1" x14ac:dyDescent="0.25">
      <c r="A515" s="84"/>
      <c r="B515" s="329" t="s">
        <v>448</v>
      </c>
      <c r="C515" s="21" t="s">
        <v>12</v>
      </c>
      <c r="D515" s="340">
        <v>0</v>
      </c>
      <c r="E515" s="18"/>
      <c r="F515" s="361">
        <v>1400</v>
      </c>
      <c r="G515" s="26"/>
      <c r="H515" s="2">
        <f t="shared" si="36"/>
        <v>0</v>
      </c>
      <c r="I515" s="26">
        <f>G515+H515</f>
        <v>0</v>
      </c>
    </row>
    <row r="516" spans="1:10" hidden="1" outlineLevel="1" x14ac:dyDescent="0.25">
      <c r="A516" s="84" t="s">
        <v>321</v>
      </c>
      <c r="B516" s="29" t="s">
        <v>156</v>
      </c>
      <c r="C516" s="31" t="s">
        <v>12</v>
      </c>
      <c r="D516" s="31">
        <v>0</v>
      </c>
      <c r="E516" s="354">
        <v>1000</v>
      </c>
      <c r="F516" s="137"/>
      <c r="G516" s="2">
        <f>ROUND(E516*D516,2)</f>
        <v>0</v>
      </c>
      <c r="H516" s="26">
        <f>F516*D516</f>
        <v>0</v>
      </c>
      <c r="I516" s="26">
        <f t="shared" si="35"/>
        <v>0</v>
      </c>
    </row>
    <row r="517" spans="1:10" hidden="1" outlineLevel="1" x14ac:dyDescent="0.25">
      <c r="A517" s="84"/>
      <c r="B517" s="329" t="s">
        <v>674</v>
      </c>
      <c r="C517" s="21" t="s">
        <v>12</v>
      </c>
      <c r="D517" s="340">
        <v>0</v>
      </c>
      <c r="E517" s="18"/>
      <c r="F517" s="309">
        <v>5500</v>
      </c>
      <c r="G517" s="26"/>
      <c r="H517" s="2">
        <f>ROUND(D517*F517,2)</f>
        <v>0</v>
      </c>
      <c r="I517" s="26">
        <f>G517+H517</f>
        <v>0</v>
      </c>
    </row>
    <row r="518" spans="1:10" hidden="1" outlineLevel="1" x14ac:dyDescent="0.25">
      <c r="A518" s="84"/>
      <c r="B518" s="329" t="s">
        <v>675</v>
      </c>
      <c r="C518" s="21" t="s">
        <v>12</v>
      </c>
      <c r="D518" s="340">
        <v>0</v>
      </c>
      <c r="E518" s="18"/>
      <c r="F518" s="309">
        <v>6000</v>
      </c>
      <c r="G518" s="26"/>
      <c r="H518" s="2">
        <f>ROUND(D518*F518,2)</f>
        <v>0</v>
      </c>
      <c r="I518" s="26">
        <f>G518+H518</f>
        <v>0</v>
      </c>
    </row>
    <row r="519" spans="1:10" hidden="1" outlineLevel="1" x14ac:dyDescent="0.25">
      <c r="A519" s="84"/>
      <c r="B519" s="329" t="s">
        <v>453</v>
      </c>
      <c r="C519" s="21" t="s">
        <v>12</v>
      </c>
      <c r="D519" s="340">
        <v>0</v>
      </c>
      <c r="E519" s="18"/>
      <c r="F519" s="60">
        <v>2350</v>
      </c>
      <c r="G519" s="26"/>
      <c r="H519" s="2">
        <f t="shared" si="36"/>
        <v>0</v>
      </c>
      <c r="I519" s="26">
        <f t="shared" si="35"/>
        <v>0</v>
      </c>
    </row>
    <row r="520" spans="1:10" ht="32.4" hidden="1" customHeight="1" outlineLevel="1" x14ac:dyDescent="0.25">
      <c r="A520" s="84"/>
      <c r="B520" s="329" t="s">
        <v>286</v>
      </c>
      <c r="C520" s="21" t="s">
        <v>12</v>
      </c>
      <c r="D520" s="340">
        <v>0</v>
      </c>
      <c r="E520" s="18"/>
      <c r="F520" s="60">
        <v>955</v>
      </c>
      <c r="G520" s="26"/>
      <c r="H520" s="2">
        <f t="shared" si="36"/>
        <v>0</v>
      </c>
      <c r="I520" s="26">
        <f t="shared" si="35"/>
        <v>0</v>
      </c>
    </row>
    <row r="521" spans="1:10" ht="30" hidden="1" customHeight="1" outlineLevel="1" x14ac:dyDescent="0.25">
      <c r="A521" s="84"/>
      <c r="B521" s="329" t="s">
        <v>446</v>
      </c>
      <c r="C521" s="21" t="s">
        <v>12</v>
      </c>
      <c r="D521" s="340">
        <v>0</v>
      </c>
      <c r="E521" s="18"/>
      <c r="F521" s="60">
        <v>130</v>
      </c>
      <c r="G521" s="18"/>
      <c r="H521" s="2">
        <f t="shared" si="36"/>
        <v>0</v>
      </c>
      <c r="I521" s="26">
        <f>G521+H521</f>
        <v>0</v>
      </c>
    </row>
    <row r="522" spans="1:10" ht="20.399999999999999" hidden="1" customHeight="1" outlineLevel="1" x14ac:dyDescent="0.25">
      <c r="A522" s="84"/>
      <c r="B522" s="329" t="s">
        <v>447</v>
      </c>
      <c r="C522" s="21" t="s">
        <v>12</v>
      </c>
      <c r="D522" s="340">
        <v>0</v>
      </c>
      <c r="E522" s="18"/>
      <c r="F522" s="60">
        <v>610</v>
      </c>
      <c r="G522" s="18"/>
      <c r="H522" s="2">
        <f t="shared" si="36"/>
        <v>0</v>
      </c>
      <c r="I522" s="18">
        <f>G522+H522</f>
        <v>0</v>
      </c>
    </row>
    <row r="523" spans="1:10" ht="24.6" hidden="1" customHeight="1" outlineLevel="1" x14ac:dyDescent="0.25">
      <c r="A523" s="84"/>
      <c r="B523" s="329" t="s">
        <v>450</v>
      </c>
      <c r="C523" s="21" t="s">
        <v>12</v>
      </c>
      <c r="D523" s="340">
        <v>0</v>
      </c>
      <c r="E523" s="18"/>
      <c r="F523" s="60">
        <v>303</v>
      </c>
      <c r="G523" s="18"/>
      <c r="H523" s="2">
        <f t="shared" si="36"/>
        <v>0</v>
      </c>
      <c r="I523" s="18">
        <f>G523+H523</f>
        <v>0</v>
      </c>
    </row>
    <row r="524" spans="1:10" ht="27.75" hidden="1" customHeight="1" outlineLevel="1" x14ac:dyDescent="0.25">
      <c r="A524" s="84"/>
      <c r="B524" s="329" t="s">
        <v>454</v>
      </c>
      <c r="C524" s="21" t="s">
        <v>12</v>
      </c>
      <c r="D524" s="340">
        <v>0</v>
      </c>
      <c r="E524" s="18"/>
      <c r="F524" s="60">
        <v>1061</v>
      </c>
      <c r="G524" s="18"/>
      <c r="H524" s="2">
        <f t="shared" si="36"/>
        <v>0</v>
      </c>
      <c r="I524" s="18">
        <f>G524+H524</f>
        <v>0</v>
      </c>
    </row>
    <row r="525" spans="1:10" ht="24.6" hidden="1" customHeight="1" outlineLevel="1" x14ac:dyDescent="0.25">
      <c r="A525" s="84"/>
      <c r="B525" s="329" t="s">
        <v>455</v>
      </c>
      <c r="C525" s="21" t="s">
        <v>12</v>
      </c>
      <c r="D525" s="340">
        <v>0</v>
      </c>
      <c r="E525" s="18"/>
      <c r="F525" s="60">
        <v>386</v>
      </c>
      <c r="G525" s="18"/>
      <c r="H525" s="2">
        <f t="shared" si="36"/>
        <v>0</v>
      </c>
      <c r="I525" s="18">
        <f>G525+H525</f>
        <v>0</v>
      </c>
      <c r="J525" s="5"/>
    </row>
    <row r="526" spans="1:10" hidden="1" outlineLevel="1" x14ac:dyDescent="0.25">
      <c r="A526" s="84" t="s">
        <v>322</v>
      </c>
      <c r="B526" s="29" t="s">
        <v>162</v>
      </c>
      <c r="C526" s="31" t="s">
        <v>12</v>
      </c>
      <c r="D526" s="31">
        <v>0</v>
      </c>
      <c r="E526" s="256">
        <v>500</v>
      </c>
      <c r="F526" s="60"/>
      <c r="G526" s="2">
        <f>ROUND(E526*D526,2)</f>
        <v>0</v>
      </c>
      <c r="H526" s="18">
        <f>F526*D526</f>
        <v>0</v>
      </c>
      <c r="I526" s="18">
        <f t="shared" si="35"/>
        <v>0</v>
      </c>
    </row>
    <row r="527" spans="1:10" hidden="1" outlineLevel="1" x14ac:dyDescent="0.25">
      <c r="A527" s="84"/>
      <c r="B527" s="329" t="s">
        <v>163</v>
      </c>
      <c r="C527" s="21" t="s">
        <v>12</v>
      </c>
      <c r="D527" s="340">
        <v>0</v>
      </c>
      <c r="E527" s="18"/>
      <c r="F527" s="60">
        <f>950*1.1</f>
        <v>1045</v>
      </c>
      <c r="G527" s="18"/>
      <c r="H527" s="2">
        <f t="shared" si="36"/>
        <v>0</v>
      </c>
      <c r="I527" s="18">
        <f t="shared" si="35"/>
        <v>0</v>
      </c>
    </row>
    <row r="528" spans="1:10" hidden="1" outlineLevel="1" x14ac:dyDescent="0.25">
      <c r="A528" s="84" t="s">
        <v>323</v>
      </c>
      <c r="B528" s="29" t="s">
        <v>164</v>
      </c>
      <c r="C528" s="31" t="s">
        <v>12</v>
      </c>
      <c r="D528" s="31">
        <v>0</v>
      </c>
      <c r="E528" s="256">
        <v>250</v>
      </c>
      <c r="F528" s="60"/>
      <c r="G528" s="2">
        <f>ROUND(E528*D528,2)</f>
        <v>0</v>
      </c>
      <c r="H528" s="18">
        <f>F528*D528</f>
        <v>0</v>
      </c>
      <c r="I528" s="18">
        <f t="shared" si="35"/>
        <v>0</v>
      </c>
    </row>
    <row r="529" spans="1:9" hidden="1" outlineLevel="1" x14ac:dyDescent="0.25">
      <c r="A529" s="84"/>
      <c r="B529" s="329" t="s">
        <v>165</v>
      </c>
      <c r="C529" s="21" t="s">
        <v>12</v>
      </c>
      <c r="D529" s="340">
        <v>0</v>
      </c>
      <c r="E529" s="18"/>
      <c r="F529" s="60">
        <v>674.3</v>
      </c>
      <c r="G529" s="18"/>
      <c r="H529" s="2">
        <f t="shared" si="36"/>
        <v>0</v>
      </c>
      <c r="I529" s="18">
        <f t="shared" si="35"/>
        <v>0</v>
      </c>
    </row>
    <row r="530" spans="1:9" hidden="1" outlineLevel="1" x14ac:dyDescent="0.25">
      <c r="A530" s="84"/>
      <c r="B530" s="329" t="s">
        <v>309</v>
      </c>
      <c r="C530" s="21" t="s">
        <v>12</v>
      </c>
      <c r="D530" s="340">
        <v>0</v>
      </c>
      <c r="E530" s="18"/>
      <c r="F530" s="60">
        <v>850</v>
      </c>
      <c r="G530" s="18"/>
      <c r="H530" s="2">
        <f t="shared" si="36"/>
        <v>0</v>
      </c>
      <c r="I530" s="18">
        <f>G530+H530</f>
        <v>0</v>
      </c>
    </row>
    <row r="531" spans="1:9" hidden="1" outlineLevel="1" x14ac:dyDescent="0.25">
      <c r="A531" s="84"/>
      <c r="B531" s="329" t="s">
        <v>345</v>
      </c>
      <c r="C531" s="21" t="s">
        <v>12</v>
      </c>
      <c r="D531" s="340">
        <v>0</v>
      </c>
      <c r="E531" s="18"/>
      <c r="F531" s="60">
        <v>851</v>
      </c>
      <c r="G531" s="18"/>
      <c r="H531" s="2">
        <f>ROUND(D531*F531,2)</f>
        <v>0</v>
      </c>
      <c r="I531" s="18">
        <f>G531+H531</f>
        <v>0</v>
      </c>
    </row>
    <row r="532" spans="1:9" ht="17.25" hidden="1" customHeight="1" outlineLevel="1" x14ac:dyDescent="0.25">
      <c r="A532" s="84"/>
      <c r="B532" s="329" t="s">
        <v>301</v>
      </c>
      <c r="C532" s="21" t="s">
        <v>12</v>
      </c>
      <c r="D532" s="340">
        <v>0</v>
      </c>
      <c r="E532" s="18"/>
      <c r="F532" s="60">
        <v>449</v>
      </c>
      <c r="G532" s="18"/>
      <c r="H532" s="2">
        <f t="shared" si="36"/>
        <v>0</v>
      </c>
      <c r="I532" s="18">
        <f t="shared" si="35"/>
        <v>0</v>
      </c>
    </row>
    <row r="533" spans="1:9" ht="17.25" hidden="1" customHeight="1" outlineLevel="1" x14ac:dyDescent="0.25">
      <c r="A533" s="84"/>
      <c r="B533" s="329" t="s">
        <v>344</v>
      </c>
      <c r="C533" s="21" t="s">
        <v>12</v>
      </c>
      <c r="D533" s="340">
        <v>0</v>
      </c>
      <c r="E533" s="18"/>
      <c r="F533" s="60">
        <v>914</v>
      </c>
      <c r="G533" s="18"/>
      <c r="H533" s="18">
        <f t="shared" si="36"/>
        <v>0</v>
      </c>
      <c r="I533" s="18">
        <f t="shared" si="35"/>
        <v>0</v>
      </c>
    </row>
    <row r="534" spans="1:9" ht="17.25" hidden="1" customHeight="1" outlineLevel="1" x14ac:dyDescent="0.25">
      <c r="A534" s="84"/>
      <c r="B534" s="329" t="s">
        <v>670</v>
      </c>
      <c r="C534" s="21" t="s">
        <v>12</v>
      </c>
      <c r="D534" s="340">
        <v>0</v>
      </c>
      <c r="E534" s="18"/>
      <c r="F534" s="164">
        <v>914</v>
      </c>
      <c r="G534" s="18"/>
      <c r="H534" s="18">
        <f>ROUND(D534*F534,2)</f>
        <v>0</v>
      </c>
      <c r="I534" s="18">
        <f>G534+H534</f>
        <v>0</v>
      </c>
    </row>
    <row r="535" spans="1:9" ht="17.25" hidden="1" customHeight="1" outlineLevel="1" x14ac:dyDescent="0.25">
      <c r="A535" s="84"/>
      <c r="B535" s="329" t="s">
        <v>679</v>
      </c>
      <c r="C535" s="21" t="s">
        <v>12</v>
      </c>
      <c r="D535" s="340">
        <v>0</v>
      </c>
      <c r="E535" s="18"/>
      <c r="F535" s="164">
        <v>100</v>
      </c>
      <c r="G535" s="18"/>
      <c r="H535" s="18">
        <f>ROUND(D535*F535,2)</f>
        <v>0</v>
      </c>
      <c r="I535" s="18">
        <f>G535+H535</f>
        <v>0</v>
      </c>
    </row>
    <row r="536" spans="1:9" ht="17.25" hidden="1" customHeight="1" outlineLevel="1" x14ac:dyDescent="0.25">
      <c r="A536" s="84"/>
      <c r="B536" s="329" t="s">
        <v>680</v>
      </c>
      <c r="C536" s="21" t="s">
        <v>12</v>
      </c>
      <c r="D536" s="340">
        <v>0</v>
      </c>
      <c r="E536" s="18"/>
      <c r="F536" s="164">
        <v>200</v>
      </c>
      <c r="G536" s="18"/>
      <c r="H536" s="18">
        <f>ROUND(D536*F536,2)</f>
        <v>0</v>
      </c>
      <c r="I536" s="18">
        <f>G536+H536</f>
        <v>0</v>
      </c>
    </row>
    <row r="537" spans="1:9" ht="17.25" hidden="1" customHeight="1" outlineLevel="1" x14ac:dyDescent="0.25">
      <c r="A537" s="84"/>
      <c r="B537" s="28"/>
      <c r="C537" s="21"/>
      <c r="D537" s="340"/>
      <c r="E537" s="18"/>
      <c r="F537" s="164"/>
      <c r="G537" s="18"/>
      <c r="H537" s="18"/>
      <c r="I537" s="18"/>
    </row>
    <row r="538" spans="1:9" hidden="1" outlineLevel="1" x14ac:dyDescent="0.25">
      <c r="A538" s="84" t="s">
        <v>324</v>
      </c>
      <c r="B538" s="79" t="s">
        <v>166</v>
      </c>
      <c r="C538" s="31" t="s">
        <v>12</v>
      </c>
      <c r="D538" s="31">
        <v>0</v>
      </c>
      <c r="E538" s="256">
        <v>35</v>
      </c>
      <c r="F538" s="60"/>
      <c r="G538" s="2">
        <f>ROUND(E538*D538,2)</f>
        <v>0</v>
      </c>
      <c r="H538" s="18">
        <f>F538*D538</f>
        <v>0</v>
      </c>
      <c r="I538" s="18">
        <f t="shared" si="35"/>
        <v>0</v>
      </c>
    </row>
    <row r="539" spans="1:9" ht="31.2" hidden="1" outlineLevel="1" x14ac:dyDescent="0.25">
      <c r="A539" s="84"/>
      <c r="B539" s="329" t="s">
        <v>167</v>
      </c>
      <c r="C539" s="21" t="s">
        <v>12</v>
      </c>
      <c r="D539" s="340">
        <v>0</v>
      </c>
      <c r="E539" s="18"/>
      <c r="F539" s="60">
        <v>50</v>
      </c>
      <c r="G539" s="18"/>
      <c r="H539" s="2">
        <f t="shared" ref="H539:H551" si="37">ROUND(D539*F539,2)</f>
        <v>0</v>
      </c>
      <c r="I539" s="18">
        <f t="shared" si="35"/>
        <v>0</v>
      </c>
    </row>
    <row r="540" spans="1:9" ht="46.8" hidden="1" outlineLevel="1" x14ac:dyDescent="0.25">
      <c r="A540" s="84"/>
      <c r="B540" s="329" t="s">
        <v>292</v>
      </c>
      <c r="C540" s="21" t="s">
        <v>12</v>
      </c>
      <c r="D540" s="340">
        <v>0</v>
      </c>
      <c r="E540" s="18"/>
      <c r="F540" s="60">
        <v>30.46</v>
      </c>
      <c r="G540" s="18"/>
      <c r="H540" s="2">
        <f t="shared" si="37"/>
        <v>0</v>
      </c>
      <c r="I540" s="18">
        <f t="shared" si="35"/>
        <v>0</v>
      </c>
    </row>
    <row r="541" spans="1:9" ht="31.2" hidden="1" outlineLevel="1" x14ac:dyDescent="0.25">
      <c r="A541" s="84"/>
      <c r="B541" s="329" t="s">
        <v>293</v>
      </c>
      <c r="C541" s="21" t="s">
        <v>12</v>
      </c>
      <c r="D541" s="340">
        <v>0</v>
      </c>
      <c r="E541" s="18"/>
      <c r="F541" s="60">
        <v>30.46</v>
      </c>
      <c r="G541" s="18"/>
      <c r="H541" s="2">
        <f t="shared" si="37"/>
        <v>0</v>
      </c>
      <c r="I541" s="18">
        <f>G541+H541</f>
        <v>0</v>
      </c>
    </row>
    <row r="542" spans="1:9" ht="31.2" hidden="1" outlineLevel="1" x14ac:dyDescent="0.25">
      <c r="A542" s="84"/>
      <c r="B542" s="329" t="s">
        <v>294</v>
      </c>
      <c r="C542" s="21" t="s">
        <v>12</v>
      </c>
      <c r="D542" s="340">
        <v>0</v>
      </c>
      <c r="E542" s="18"/>
      <c r="F542" s="60">
        <v>41.85</v>
      </c>
      <c r="G542" s="18"/>
      <c r="H542" s="2">
        <f t="shared" si="37"/>
        <v>0</v>
      </c>
      <c r="I542" s="18">
        <f t="shared" si="35"/>
        <v>0</v>
      </c>
    </row>
    <row r="543" spans="1:9" ht="31.2" hidden="1" outlineLevel="1" x14ac:dyDescent="0.25">
      <c r="A543" s="84"/>
      <c r="B543" s="329" t="s">
        <v>289</v>
      </c>
      <c r="C543" s="21" t="s">
        <v>12</v>
      </c>
      <c r="D543" s="340">
        <v>0</v>
      </c>
      <c r="E543" s="18"/>
      <c r="F543" s="60">
        <f>59*1.1</f>
        <v>64.900000000000006</v>
      </c>
      <c r="G543" s="18"/>
      <c r="H543" s="2">
        <f t="shared" si="37"/>
        <v>0</v>
      </c>
      <c r="I543" s="18">
        <f t="shared" si="35"/>
        <v>0</v>
      </c>
    </row>
    <row r="544" spans="1:9" ht="31.2" hidden="1" outlineLevel="1" x14ac:dyDescent="0.25">
      <c r="A544" s="84"/>
      <c r="B544" s="329" t="s">
        <v>288</v>
      </c>
      <c r="C544" s="21" t="s">
        <v>12</v>
      </c>
      <c r="D544" s="340">
        <v>0</v>
      </c>
      <c r="E544" s="18"/>
      <c r="F544" s="60">
        <v>37.25</v>
      </c>
      <c r="G544" s="18"/>
      <c r="H544" s="2">
        <f t="shared" si="37"/>
        <v>0</v>
      </c>
      <c r="I544" s="18">
        <f t="shared" si="35"/>
        <v>0</v>
      </c>
    </row>
    <row r="545" spans="1:9" ht="31.2" hidden="1" outlineLevel="1" x14ac:dyDescent="0.25">
      <c r="A545" s="84"/>
      <c r="B545" s="329" t="s">
        <v>290</v>
      </c>
      <c r="C545" s="21" t="s">
        <v>12</v>
      </c>
      <c r="D545" s="340">
        <v>0</v>
      </c>
      <c r="E545" s="18"/>
      <c r="F545" s="60">
        <v>277</v>
      </c>
      <c r="G545" s="18"/>
      <c r="H545" s="2">
        <f t="shared" si="37"/>
        <v>0</v>
      </c>
      <c r="I545" s="18">
        <f t="shared" si="35"/>
        <v>0</v>
      </c>
    </row>
    <row r="546" spans="1:9" ht="31.2" hidden="1" outlineLevel="1" x14ac:dyDescent="0.25">
      <c r="A546" s="84"/>
      <c r="B546" s="329" t="s">
        <v>291</v>
      </c>
      <c r="C546" s="21" t="s">
        <v>12</v>
      </c>
      <c r="D546" s="340">
        <v>0</v>
      </c>
      <c r="E546" s="18"/>
      <c r="F546" s="60">
        <v>65.900000000000006</v>
      </c>
      <c r="G546" s="18"/>
      <c r="H546" s="2">
        <f t="shared" si="37"/>
        <v>0</v>
      </c>
      <c r="I546" s="18">
        <f t="shared" si="35"/>
        <v>0</v>
      </c>
    </row>
    <row r="547" spans="1:9" hidden="1" outlineLevel="1" x14ac:dyDescent="0.25">
      <c r="A547" s="84"/>
      <c r="B547" s="329" t="s">
        <v>168</v>
      </c>
      <c r="C547" s="21" t="s">
        <v>12</v>
      </c>
      <c r="D547" s="340">
        <v>0</v>
      </c>
      <c r="E547" s="18"/>
      <c r="F547" s="60">
        <v>127</v>
      </c>
      <c r="G547" s="18"/>
      <c r="H547" s="2">
        <f t="shared" si="37"/>
        <v>0</v>
      </c>
      <c r="I547" s="18">
        <f t="shared" si="35"/>
        <v>0</v>
      </c>
    </row>
    <row r="548" spans="1:9" hidden="1" outlineLevel="1" x14ac:dyDescent="0.25">
      <c r="A548" s="84"/>
      <c r="B548" s="329" t="s">
        <v>287</v>
      </c>
      <c r="C548" s="21" t="s">
        <v>12</v>
      </c>
      <c r="D548" s="340">
        <v>0</v>
      </c>
      <c r="E548" s="18"/>
      <c r="F548" s="60">
        <v>20</v>
      </c>
      <c r="G548" s="18"/>
      <c r="H548" s="2">
        <f t="shared" si="37"/>
        <v>0</v>
      </c>
      <c r="I548" s="18">
        <f t="shared" si="35"/>
        <v>0</v>
      </c>
    </row>
    <row r="549" spans="1:9" hidden="1" outlineLevel="1" x14ac:dyDescent="0.25">
      <c r="A549" s="84"/>
      <c r="B549" s="329" t="s">
        <v>677</v>
      </c>
      <c r="C549" s="21" t="s">
        <v>12</v>
      </c>
      <c r="D549" s="340">
        <v>0</v>
      </c>
      <c r="E549" s="18"/>
      <c r="F549" s="60">
        <v>30</v>
      </c>
      <c r="G549" s="18"/>
      <c r="H549" s="2">
        <f t="shared" si="37"/>
        <v>0</v>
      </c>
      <c r="I549" s="18">
        <f>G549+H549</f>
        <v>0</v>
      </c>
    </row>
    <row r="550" spans="1:9" ht="31.2" hidden="1" outlineLevel="1" x14ac:dyDescent="0.25">
      <c r="A550" s="84"/>
      <c r="B550" s="329" t="s">
        <v>442</v>
      </c>
      <c r="C550" s="21" t="s">
        <v>12</v>
      </c>
      <c r="D550" s="340">
        <v>0</v>
      </c>
      <c r="E550" s="18"/>
      <c r="F550" s="60">
        <v>78</v>
      </c>
      <c r="G550" s="18"/>
      <c r="H550" s="2">
        <f t="shared" si="37"/>
        <v>0</v>
      </c>
      <c r="I550" s="18">
        <f>G550+H550</f>
        <v>0</v>
      </c>
    </row>
    <row r="551" spans="1:9" ht="18.75" hidden="1" customHeight="1" outlineLevel="1" x14ac:dyDescent="0.25">
      <c r="A551" s="84"/>
      <c r="B551" s="329" t="s">
        <v>673</v>
      </c>
      <c r="C551" s="21" t="s">
        <v>12</v>
      </c>
      <c r="D551" s="340">
        <v>0</v>
      </c>
      <c r="E551" s="18"/>
      <c r="F551" s="60">
        <v>90</v>
      </c>
      <c r="G551" s="18"/>
      <c r="H551" s="2">
        <f t="shared" si="37"/>
        <v>0</v>
      </c>
      <c r="I551" s="18">
        <f>G551+H551</f>
        <v>0</v>
      </c>
    </row>
    <row r="552" spans="1:9" ht="31.2" hidden="1" outlineLevel="1" x14ac:dyDescent="0.25">
      <c r="A552" s="84"/>
      <c r="B552" s="329" t="s">
        <v>668</v>
      </c>
      <c r="C552" s="21" t="s">
        <v>12</v>
      </c>
      <c r="D552" s="340">
        <v>0</v>
      </c>
      <c r="E552" s="18"/>
      <c r="F552" s="60">
        <v>90</v>
      </c>
      <c r="G552" s="18"/>
      <c r="H552" s="2">
        <f>ROUND(D552*F552,2)</f>
        <v>0</v>
      </c>
      <c r="I552" s="18">
        <f>G552+H552</f>
        <v>0</v>
      </c>
    </row>
    <row r="553" spans="1:9" hidden="1" outlineLevel="1" x14ac:dyDescent="0.25">
      <c r="A553" s="84"/>
      <c r="B553" s="329" t="s">
        <v>678</v>
      </c>
      <c r="C553" s="21" t="s">
        <v>12</v>
      </c>
      <c r="D553" s="340">
        <v>0</v>
      </c>
      <c r="E553" s="18"/>
      <c r="F553" s="164">
        <v>100</v>
      </c>
      <c r="G553" s="18"/>
      <c r="H553" s="2">
        <f>ROUND(D553*F553,2)</f>
        <v>0</v>
      </c>
      <c r="I553" s="18">
        <f>G553+H553</f>
        <v>0</v>
      </c>
    </row>
    <row r="554" spans="1:9" hidden="1" outlineLevel="1" x14ac:dyDescent="0.25">
      <c r="A554" s="84" t="s">
        <v>532</v>
      </c>
      <c r="B554" s="29" t="s">
        <v>489</v>
      </c>
      <c r="C554" s="31" t="s">
        <v>29</v>
      </c>
      <c r="D554" s="31">
        <v>0</v>
      </c>
      <c r="E554" s="256">
        <v>35</v>
      </c>
      <c r="F554" s="60"/>
      <c r="G554" s="2">
        <f>ROUND(E554*D554,2)</f>
        <v>0</v>
      </c>
      <c r="H554" s="18">
        <f>F554*D554</f>
        <v>0</v>
      </c>
      <c r="I554" s="18">
        <f t="shared" si="35"/>
        <v>0</v>
      </c>
    </row>
    <row r="555" spans="1:9" hidden="1" outlineLevel="1" x14ac:dyDescent="0.25">
      <c r="A555" s="84"/>
      <c r="B555" s="329" t="s">
        <v>296</v>
      </c>
      <c r="C555" s="21" t="s">
        <v>29</v>
      </c>
      <c r="D555" s="340">
        <v>0</v>
      </c>
      <c r="E555" s="18"/>
      <c r="F555" s="60">
        <v>31</v>
      </c>
      <c r="G555" s="18"/>
      <c r="H555" s="2">
        <f t="shared" ref="H555:H573" si="38">ROUND(D555*F555,2)</f>
        <v>0</v>
      </c>
      <c r="I555" s="18">
        <f t="shared" si="35"/>
        <v>0</v>
      </c>
    </row>
    <row r="556" spans="1:9" hidden="1" outlineLevel="1" x14ac:dyDescent="0.25">
      <c r="A556" s="84"/>
      <c r="B556" s="329" t="s">
        <v>311</v>
      </c>
      <c r="C556" s="21" t="s">
        <v>29</v>
      </c>
      <c r="D556" s="340">
        <v>0</v>
      </c>
      <c r="E556" s="18"/>
      <c r="F556" s="60">
        <f>459.7*1.1</f>
        <v>505.67</v>
      </c>
      <c r="G556" s="18"/>
      <c r="H556" s="2">
        <f t="shared" si="38"/>
        <v>0</v>
      </c>
      <c r="I556" s="18">
        <f t="shared" si="35"/>
        <v>0</v>
      </c>
    </row>
    <row r="557" spans="1:9" hidden="1" outlineLevel="1" x14ac:dyDescent="0.25">
      <c r="A557" s="84"/>
      <c r="B557" s="329" t="s">
        <v>297</v>
      </c>
      <c r="C557" s="21" t="s">
        <v>29</v>
      </c>
      <c r="D557" s="340">
        <v>0</v>
      </c>
      <c r="E557" s="18"/>
      <c r="F557" s="60">
        <f>10.16*1.1</f>
        <v>11.176000000000002</v>
      </c>
      <c r="G557" s="18"/>
      <c r="H557" s="2">
        <f t="shared" si="38"/>
        <v>0</v>
      </c>
      <c r="I557" s="18">
        <f t="shared" si="35"/>
        <v>0</v>
      </c>
    </row>
    <row r="558" spans="1:9" hidden="1" outlineLevel="1" x14ac:dyDescent="0.25">
      <c r="A558" s="84"/>
      <c r="B558" s="329" t="s">
        <v>299</v>
      </c>
      <c r="C558" s="21" t="s">
        <v>29</v>
      </c>
      <c r="D558" s="340">
        <v>0</v>
      </c>
      <c r="E558" s="18"/>
      <c r="F558" s="60">
        <f>11.4*1.1</f>
        <v>12.540000000000001</v>
      </c>
      <c r="G558" s="18"/>
      <c r="H558" s="2">
        <f t="shared" si="38"/>
        <v>0</v>
      </c>
      <c r="I558" s="18">
        <f>G558+H558</f>
        <v>0</v>
      </c>
    </row>
    <row r="559" spans="1:9" hidden="1" outlineLevel="1" x14ac:dyDescent="0.25">
      <c r="A559" s="84"/>
      <c r="B559" s="329" t="s">
        <v>298</v>
      </c>
      <c r="C559" s="21" t="s">
        <v>29</v>
      </c>
      <c r="D559" s="340">
        <v>0</v>
      </c>
      <c r="E559" s="18"/>
      <c r="F559" s="60">
        <f>19.4*1.1</f>
        <v>21.34</v>
      </c>
      <c r="G559" s="18"/>
      <c r="H559" s="2">
        <f t="shared" si="38"/>
        <v>0</v>
      </c>
      <c r="I559" s="18">
        <f>G559+H559</f>
        <v>0</v>
      </c>
    </row>
    <row r="560" spans="1:9" hidden="1" outlineLevel="1" x14ac:dyDescent="0.25">
      <c r="A560" s="84"/>
      <c r="B560" s="329" t="s">
        <v>171</v>
      </c>
      <c r="C560" s="21" t="s">
        <v>29</v>
      </c>
      <c r="D560" s="340">
        <v>0</v>
      </c>
      <c r="E560" s="18"/>
      <c r="F560" s="60">
        <f>50.41*1.1</f>
        <v>55.451000000000001</v>
      </c>
      <c r="G560" s="18"/>
      <c r="H560" s="2">
        <f t="shared" si="38"/>
        <v>0</v>
      </c>
      <c r="I560" s="18">
        <f t="shared" si="35"/>
        <v>0</v>
      </c>
    </row>
    <row r="561" spans="1:9" hidden="1" outlineLevel="1" x14ac:dyDescent="0.25">
      <c r="A561" s="84"/>
      <c r="B561" s="329" t="s">
        <v>458</v>
      </c>
      <c r="C561" s="21" t="s">
        <v>29</v>
      </c>
      <c r="D561" s="340">
        <v>0</v>
      </c>
      <c r="E561" s="18"/>
      <c r="F561" s="60">
        <v>205</v>
      </c>
      <c r="G561" s="18"/>
      <c r="H561" s="2">
        <f t="shared" si="38"/>
        <v>0</v>
      </c>
      <c r="I561" s="18">
        <f>G561+H561</f>
        <v>0</v>
      </c>
    </row>
    <row r="562" spans="1:9" hidden="1" outlineLevel="1" x14ac:dyDescent="0.25">
      <c r="A562" s="84"/>
      <c r="B562" s="329" t="s">
        <v>169</v>
      </c>
      <c r="C562" s="21" t="s">
        <v>29</v>
      </c>
      <c r="D562" s="340">
        <v>0</v>
      </c>
      <c r="E562" s="18"/>
      <c r="F562" s="60">
        <f>22.48*1.1</f>
        <v>24.728000000000002</v>
      </c>
      <c r="G562" s="18"/>
      <c r="H562" s="2">
        <f t="shared" si="38"/>
        <v>0</v>
      </c>
      <c r="I562" s="18">
        <f t="shared" si="35"/>
        <v>0</v>
      </c>
    </row>
    <row r="563" spans="1:9" hidden="1" outlineLevel="1" x14ac:dyDescent="0.25">
      <c r="A563" s="84"/>
      <c r="B563" s="329" t="s">
        <v>457</v>
      </c>
      <c r="C563" s="21" t="s">
        <v>29</v>
      </c>
      <c r="D563" s="340">
        <v>0</v>
      </c>
      <c r="E563" s="18"/>
      <c r="F563" s="60">
        <f>15.53*1.1</f>
        <v>17.083000000000002</v>
      </c>
      <c r="G563" s="18"/>
      <c r="H563" s="2">
        <f t="shared" si="38"/>
        <v>0</v>
      </c>
      <c r="I563" s="18">
        <f t="shared" si="35"/>
        <v>0</v>
      </c>
    </row>
    <row r="564" spans="1:9" ht="17.25" hidden="1" customHeight="1" outlineLevel="1" x14ac:dyDescent="0.25">
      <c r="A564" s="84"/>
      <c r="B564" s="329" t="s">
        <v>170</v>
      </c>
      <c r="C564" s="21" t="s">
        <v>12</v>
      </c>
      <c r="D564" s="340">
        <v>0</v>
      </c>
      <c r="E564" s="18"/>
      <c r="F564" s="60">
        <v>8</v>
      </c>
      <c r="G564" s="18"/>
      <c r="H564" s="2">
        <f t="shared" si="38"/>
        <v>0</v>
      </c>
      <c r="I564" s="18">
        <f>G564+H564</f>
        <v>0</v>
      </c>
    </row>
    <row r="565" spans="1:9" hidden="1" outlineLevel="1" x14ac:dyDescent="0.25">
      <c r="A565" s="84"/>
      <c r="B565" s="329" t="s">
        <v>302</v>
      </c>
      <c r="C565" s="21" t="s">
        <v>29</v>
      </c>
      <c r="D565" s="340">
        <v>0</v>
      </c>
      <c r="E565" s="18"/>
      <c r="F565" s="60">
        <v>194</v>
      </c>
      <c r="G565" s="18"/>
      <c r="H565" s="2">
        <f t="shared" si="38"/>
        <v>0</v>
      </c>
      <c r="I565" s="18">
        <f t="shared" si="35"/>
        <v>0</v>
      </c>
    </row>
    <row r="566" spans="1:9" hidden="1" outlineLevel="1" x14ac:dyDescent="0.25">
      <c r="A566" s="84"/>
      <c r="B566" s="329" t="s">
        <v>443</v>
      </c>
      <c r="C566" s="21" t="s">
        <v>29</v>
      </c>
      <c r="D566" s="340">
        <v>0</v>
      </c>
      <c r="E566" s="18"/>
      <c r="F566" s="60">
        <v>45</v>
      </c>
      <c r="G566" s="18"/>
      <c r="H566" s="2">
        <f t="shared" si="38"/>
        <v>0</v>
      </c>
      <c r="I566" s="18">
        <f t="shared" si="35"/>
        <v>0</v>
      </c>
    </row>
    <row r="567" spans="1:9" hidden="1" outlineLevel="1" x14ac:dyDescent="0.25">
      <c r="A567" s="84"/>
      <c r="B567" s="329" t="s">
        <v>300</v>
      </c>
      <c r="C567" s="21" t="s">
        <v>29</v>
      </c>
      <c r="D567" s="340">
        <v>0</v>
      </c>
      <c r="E567" s="18"/>
      <c r="F567" s="60">
        <v>78</v>
      </c>
      <c r="G567" s="18"/>
      <c r="H567" s="2">
        <f t="shared" si="38"/>
        <v>0</v>
      </c>
      <c r="I567" s="18">
        <f t="shared" si="35"/>
        <v>0</v>
      </c>
    </row>
    <row r="568" spans="1:9" hidden="1" outlineLevel="1" x14ac:dyDescent="0.25">
      <c r="A568" s="84"/>
      <c r="B568" s="329" t="s">
        <v>91</v>
      </c>
      <c r="C568" s="21" t="s">
        <v>15</v>
      </c>
      <c r="D568" s="340">
        <v>0</v>
      </c>
      <c r="E568" s="18"/>
      <c r="F568" s="164">
        <v>42</v>
      </c>
      <c r="G568" s="18"/>
      <c r="H568" s="2">
        <f>ROUND(D568*F568,2)</f>
        <v>0</v>
      </c>
      <c r="I568" s="18">
        <f t="shared" ref="I568:I574" si="39">G568+H568</f>
        <v>0</v>
      </c>
    </row>
    <row r="569" spans="1:9" hidden="1" outlineLevel="1" x14ac:dyDescent="0.25">
      <c r="A569" s="84"/>
      <c r="B569" s="329" t="s">
        <v>676</v>
      </c>
      <c r="C569" s="21" t="s">
        <v>29</v>
      </c>
      <c r="D569" s="340">
        <v>0</v>
      </c>
      <c r="E569" s="18"/>
      <c r="F569" s="164">
        <v>9.8699999999999992</v>
      </c>
      <c r="G569" s="18"/>
      <c r="H569" s="2">
        <f>ROUND(D569*F569,2)</f>
        <v>0</v>
      </c>
      <c r="I569" s="18">
        <f t="shared" si="39"/>
        <v>0</v>
      </c>
    </row>
    <row r="570" spans="1:9" hidden="1" outlineLevel="1" x14ac:dyDescent="0.25">
      <c r="A570" s="84"/>
      <c r="B570" s="329" t="s">
        <v>669</v>
      </c>
      <c r="C570" s="21" t="s">
        <v>29</v>
      </c>
      <c r="D570" s="340">
        <v>0</v>
      </c>
      <c r="E570" s="18"/>
      <c r="F570" s="164">
        <v>9.8699999999999992</v>
      </c>
      <c r="G570" s="18"/>
      <c r="H570" s="2">
        <f>ROUND(D570*F570,2)</f>
        <v>0</v>
      </c>
      <c r="I570" s="18">
        <f t="shared" si="39"/>
        <v>0</v>
      </c>
    </row>
    <row r="571" spans="1:9" hidden="1" outlineLevel="1" x14ac:dyDescent="0.25">
      <c r="A571" s="84"/>
      <c r="B571" s="329" t="s">
        <v>672</v>
      </c>
      <c r="C571" s="21" t="s">
        <v>29</v>
      </c>
      <c r="D571" s="340">
        <v>0</v>
      </c>
      <c r="E571" s="18"/>
      <c r="F571" s="164">
        <v>9.8699999999999992</v>
      </c>
      <c r="G571" s="18"/>
      <c r="H571" s="2">
        <f>ROUND(D571*F571,2)</f>
        <v>0</v>
      </c>
      <c r="I571" s="18">
        <f t="shared" si="39"/>
        <v>0</v>
      </c>
    </row>
    <row r="572" spans="1:9" hidden="1" outlineLevel="1" x14ac:dyDescent="0.25">
      <c r="A572" s="84"/>
      <c r="B572" s="329" t="s">
        <v>444</v>
      </c>
      <c r="C572" s="21" t="s">
        <v>29</v>
      </c>
      <c r="D572" s="340">
        <v>0</v>
      </c>
      <c r="E572" s="18"/>
      <c r="F572" s="60">
        <v>56</v>
      </c>
      <c r="G572" s="18"/>
      <c r="H572" s="2">
        <f t="shared" si="38"/>
        <v>0</v>
      </c>
      <c r="I572" s="18">
        <f t="shared" si="39"/>
        <v>0</v>
      </c>
    </row>
    <row r="573" spans="1:9" hidden="1" outlineLevel="1" x14ac:dyDescent="0.25">
      <c r="A573" s="84"/>
      <c r="B573" s="329" t="s">
        <v>445</v>
      </c>
      <c r="C573" s="21" t="s">
        <v>29</v>
      </c>
      <c r="D573" s="340">
        <v>0</v>
      </c>
      <c r="E573" s="18"/>
      <c r="F573" s="60">
        <v>70</v>
      </c>
      <c r="G573" s="18"/>
      <c r="H573" s="2">
        <f t="shared" si="38"/>
        <v>0</v>
      </c>
      <c r="I573" s="18">
        <f t="shared" si="39"/>
        <v>0</v>
      </c>
    </row>
    <row r="574" spans="1:9" hidden="1" outlineLevel="1" x14ac:dyDescent="0.25">
      <c r="A574" s="84"/>
      <c r="B574" s="329" t="s">
        <v>671</v>
      </c>
      <c r="C574" s="21" t="s">
        <v>29</v>
      </c>
      <c r="D574" s="340">
        <v>0</v>
      </c>
      <c r="E574" s="18"/>
      <c r="F574" s="164">
        <v>170</v>
      </c>
      <c r="G574" s="18"/>
      <c r="H574" s="2">
        <f>ROUND(D574*F574,2)</f>
        <v>0</v>
      </c>
      <c r="I574" s="18">
        <f t="shared" si="39"/>
        <v>0</v>
      </c>
    </row>
    <row r="575" spans="1:9" hidden="1" outlineLevel="1" x14ac:dyDescent="0.25">
      <c r="A575" s="84" t="s">
        <v>533</v>
      </c>
      <c r="B575" s="29" t="s">
        <v>303</v>
      </c>
      <c r="C575" s="31" t="s">
        <v>12</v>
      </c>
      <c r="D575" s="158"/>
      <c r="E575" s="18"/>
      <c r="F575" s="60"/>
      <c r="G575" s="18">
        <f>E575*D575</f>
        <v>0</v>
      </c>
      <c r="H575" s="18"/>
      <c r="I575" s="18">
        <f t="shared" si="35"/>
        <v>0</v>
      </c>
    </row>
    <row r="576" spans="1:9" hidden="1" outlineLevel="1" x14ac:dyDescent="0.25">
      <c r="A576" s="84"/>
      <c r="B576" s="329" t="s">
        <v>304</v>
      </c>
      <c r="C576" s="21" t="s">
        <v>12</v>
      </c>
      <c r="D576" s="340">
        <v>0</v>
      </c>
      <c r="E576" s="18"/>
      <c r="F576" s="60">
        <v>462</v>
      </c>
      <c r="G576" s="18"/>
      <c r="H576" s="2">
        <f>ROUND(D576*F576,2)</f>
        <v>0</v>
      </c>
      <c r="I576" s="18">
        <f t="shared" si="35"/>
        <v>0</v>
      </c>
    </row>
    <row r="577" spans="1:9" hidden="1" outlineLevel="1" x14ac:dyDescent="0.25">
      <c r="A577" s="84"/>
      <c r="B577" s="329" t="s">
        <v>306</v>
      </c>
      <c r="C577" s="21" t="s">
        <v>12</v>
      </c>
      <c r="D577" s="340">
        <v>0</v>
      </c>
      <c r="E577" s="18"/>
      <c r="F577" s="60">
        <v>216</v>
      </c>
      <c r="G577" s="18"/>
      <c r="H577" s="2">
        <f>ROUND(D577*F577,2)</f>
        <v>0</v>
      </c>
      <c r="I577" s="18">
        <f t="shared" si="35"/>
        <v>0</v>
      </c>
    </row>
    <row r="578" spans="1:9" hidden="1" outlineLevel="1" x14ac:dyDescent="0.25">
      <c r="A578" s="84"/>
      <c r="B578" s="329" t="s">
        <v>305</v>
      </c>
      <c r="C578" s="21" t="s">
        <v>12</v>
      </c>
      <c r="D578" s="340">
        <v>0</v>
      </c>
      <c r="E578" s="18"/>
      <c r="F578" s="60">
        <v>216</v>
      </c>
      <c r="G578" s="18"/>
      <c r="H578" s="2">
        <f>ROUND(D578*F578,2)</f>
        <v>0</v>
      </c>
      <c r="I578" s="18">
        <f t="shared" si="35"/>
        <v>0</v>
      </c>
    </row>
    <row r="579" spans="1:9" hidden="1" outlineLevel="1" x14ac:dyDescent="0.25">
      <c r="A579" s="84"/>
      <c r="B579" s="329" t="s">
        <v>307</v>
      </c>
      <c r="C579" s="21" t="s">
        <v>12</v>
      </c>
      <c r="D579" s="340">
        <v>0</v>
      </c>
      <c r="E579" s="18"/>
      <c r="F579" s="60">
        <v>300</v>
      </c>
      <c r="G579" s="18"/>
      <c r="H579" s="2">
        <f>ROUND(D579*F579,2)</f>
        <v>0</v>
      </c>
      <c r="I579" s="18">
        <f t="shared" si="35"/>
        <v>0</v>
      </c>
    </row>
    <row r="580" spans="1:9" hidden="1" outlineLevel="1" x14ac:dyDescent="0.25">
      <c r="A580" s="84" t="s">
        <v>534</v>
      </c>
      <c r="B580" s="29" t="s">
        <v>310</v>
      </c>
      <c r="C580" s="31" t="s">
        <v>173</v>
      </c>
      <c r="D580" s="31">
        <v>0</v>
      </c>
      <c r="E580" s="18"/>
      <c r="F580" s="60">
        <f>30000</f>
        <v>30000</v>
      </c>
      <c r="G580" s="18"/>
      <c r="H580" s="2">
        <f>ROUND(D580*F580,2)</f>
        <v>0</v>
      </c>
      <c r="I580" s="18">
        <f t="shared" si="35"/>
        <v>0</v>
      </c>
    </row>
    <row r="581" spans="1:9" hidden="1" outlineLevel="1" x14ac:dyDescent="0.25">
      <c r="A581" s="84" t="s">
        <v>611</v>
      </c>
      <c r="B581" s="192" t="s">
        <v>590</v>
      </c>
      <c r="C581" s="31"/>
      <c r="D581" s="18"/>
      <c r="E581" s="256">
        <v>0</v>
      </c>
      <c r="F581" s="60"/>
      <c r="G581" s="18">
        <f>E581</f>
        <v>0</v>
      </c>
      <c r="H581" s="18">
        <v>0</v>
      </c>
      <c r="I581" s="18">
        <f>G581+H581</f>
        <v>0</v>
      </c>
    </row>
    <row r="582" spans="1:9" hidden="1" outlineLevel="1" x14ac:dyDescent="0.25">
      <c r="A582" s="84"/>
      <c r="B582" s="329" t="s">
        <v>591</v>
      </c>
      <c r="C582" s="21" t="s">
        <v>12</v>
      </c>
      <c r="D582" s="340">
        <v>0</v>
      </c>
      <c r="E582" s="18"/>
      <c r="F582" s="60">
        <f>1144.07*1.1</f>
        <v>1258.4770000000001</v>
      </c>
      <c r="G582" s="18"/>
      <c r="H582" s="18">
        <f>F582*D582</f>
        <v>0</v>
      </c>
      <c r="I582" s="18">
        <f>G582+H582</f>
        <v>0</v>
      </c>
    </row>
    <row r="583" spans="1:9" hidden="1" outlineLevel="1" x14ac:dyDescent="0.25">
      <c r="A583" s="84"/>
      <c r="B583" s="329" t="s">
        <v>592</v>
      </c>
      <c r="C583" s="21" t="s">
        <v>12</v>
      </c>
      <c r="D583" s="340">
        <v>0</v>
      </c>
      <c r="E583" s="18"/>
      <c r="F583" s="60">
        <f>1144.07*1.1</f>
        <v>1258.4770000000001</v>
      </c>
      <c r="G583" s="18"/>
      <c r="H583" s="18">
        <f>F583*D583</f>
        <v>0</v>
      </c>
      <c r="I583" s="18">
        <f>G583+H583</f>
        <v>0</v>
      </c>
    </row>
    <row r="584" spans="1:9" hidden="1" outlineLevel="1" x14ac:dyDescent="0.25">
      <c r="A584" s="84"/>
      <c r="B584" s="329" t="s">
        <v>593</v>
      </c>
      <c r="C584" s="21" t="s">
        <v>12</v>
      </c>
      <c r="D584" s="340">
        <v>0</v>
      </c>
      <c r="E584" s="18"/>
      <c r="F584" s="60">
        <f>1144.07*1.1</f>
        <v>1258.4770000000001</v>
      </c>
      <c r="G584" s="18"/>
      <c r="H584" s="18">
        <f>F584*D584</f>
        <v>0</v>
      </c>
      <c r="I584" s="18">
        <f>G584+H584</f>
        <v>0</v>
      </c>
    </row>
    <row r="585" spans="1:9" hidden="1" outlineLevel="1" x14ac:dyDescent="0.25">
      <c r="A585" s="84"/>
      <c r="B585" s="329" t="s">
        <v>594</v>
      </c>
      <c r="C585" s="21" t="s">
        <v>12</v>
      </c>
      <c r="D585" s="340">
        <v>0</v>
      </c>
      <c r="E585" s="18"/>
      <c r="F585" s="60">
        <f>1101.7*1.18</f>
        <v>1300.0060000000001</v>
      </c>
      <c r="G585" s="18"/>
      <c r="H585" s="18">
        <f>F585*D585</f>
        <v>0</v>
      </c>
      <c r="I585" s="18">
        <f>G585+H585</f>
        <v>0</v>
      </c>
    </row>
    <row r="586" spans="1:9" hidden="1" outlineLevel="1" x14ac:dyDescent="0.25">
      <c r="A586" s="84"/>
      <c r="B586" s="308" t="s">
        <v>595</v>
      </c>
      <c r="C586" s="21" t="s">
        <v>12</v>
      </c>
      <c r="D586" s="340">
        <v>0</v>
      </c>
      <c r="E586" s="18"/>
      <c r="F586" s="60">
        <f>120</f>
        <v>120</v>
      </c>
      <c r="G586" s="18"/>
      <c r="H586" s="18">
        <f t="shared" ref="H586:H603" si="40">F586*D586</f>
        <v>0</v>
      </c>
      <c r="I586" s="18">
        <f t="shared" ref="I586:I603" si="41">G586+H586</f>
        <v>0</v>
      </c>
    </row>
    <row r="587" spans="1:9" hidden="1" outlineLevel="1" x14ac:dyDescent="0.25">
      <c r="A587" s="84"/>
      <c r="B587" s="308" t="s">
        <v>596</v>
      </c>
      <c r="C587" s="21" t="s">
        <v>12</v>
      </c>
      <c r="D587" s="340">
        <v>0</v>
      </c>
      <c r="E587" s="18"/>
      <c r="F587" s="60">
        <f>127.12*1.18</f>
        <v>150.0016</v>
      </c>
      <c r="G587" s="18"/>
      <c r="H587" s="18">
        <f t="shared" si="40"/>
        <v>0</v>
      </c>
      <c r="I587" s="18">
        <f t="shared" si="41"/>
        <v>0</v>
      </c>
    </row>
    <row r="588" spans="1:9" hidden="1" outlineLevel="1" x14ac:dyDescent="0.25">
      <c r="A588" s="84"/>
      <c r="B588" s="308" t="s">
        <v>597</v>
      </c>
      <c r="C588" s="21" t="s">
        <v>12</v>
      </c>
      <c r="D588" s="340">
        <v>0</v>
      </c>
      <c r="E588" s="18"/>
      <c r="F588" s="60">
        <f>127.12*1.18</f>
        <v>150.0016</v>
      </c>
      <c r="G588" s="18"/>
      <c r="H588" s="18">
        <f t="shared" si="40"/>
        <v>0</v>
      </c>
      <c r="I588" s="18">
        <f t="shared" si="41"/>
        <v>0</v>
      </c>
    </row>
    <row r="589" spans="1:9" hidden="1" outlineLevel="1" x14ac:dyDescent="0.25">
      <c r="A589" s="84"/>
      <c r="B589" s="308" t="s">
        <v>598</v>
      </c>
      <c r="C589" s="21" t="s">
        <v>12</v>
      </c>
      <c r="D589" s="340">
        <v>0</v>
      </c>
      <c r="E589" s="18"/>
      <c r="F589" s="60">
        <v>50</v>
      </c>
      <c r="G589" s="18"/>
      <c r="H589" s="18">
        <f t="shared" si="40"/>
        <v>0</v>
      </c>
      <c r="I589" s="18">
        <f t="shared" si="41"/>
        <v>0</v>
      </c>
    </row>
    <row r="590" spans="1:9" hidden="1" outlineLevel="1" x14ac:dyDescent="0.25">
      <c r="A590" s="84"/>
      <c r="B590" s="308" t="s">
        <v>599</v>
      </c>
      <c r="C590" s="21" t="s">
        <v>12</v>
      </c>
      <c r="D590" s="340">
        <v>0</v>
      </c>
      <c r="E590" s="18"/>
      <c r="F590" s="60">
        <v>200</v>
      </c>
      <c r="G590" s="18"/>
      <c r="H590" s="18">
        <f t="shared" si="40"/>
        <v>0</v>
      </c>
      <c r="I590" s="18">
        <f t="shared" si="41"/>
        <v>0</v>
      </c>
    </row>
    <row r="591" spans="1:9" hidden="1" outlineLevel="1" x14ac:dyDescent="0.25">
      <c r="A591" s="84"/>
      <c r="B591" s="308" t="s">
        <v>600</v>
      </c>
      <c r="C591" s="21" t="s">
        <v>12</v>
      </c>
      <c r="D591" s="340">
        <v>0</v>
      </c>
      <c r="E591" s="18"/>
      <c r="F591" s="60">
        <v>10</v>
      </c>
      <c r="G591" s="18"/>
      <c r="H591" s="18">
        <f t="shared" si="40"/>
        <v>0</v>
      </c>
      <c r="I591" s="18">
        <f t="shared" si="41"/>
        <v>0</v>
      </c>
    </row>
    <row r="592" spans="1:9" hidden="1" outlineLevel="1" x14ac:dyDescent="0.25">
      <c r="A592" s="84"/>
      <c r="B592" s="308" t="s">
        <v>601</v>
      </c>
      <c r="C592" s="21" t="s">
        <v>12</v>
      </c>
      <c r="D592" s="340">
        <v>0</v>
      </c>
      <c r="E592" s="18"/>
      <c r="F592" s="60">
        <v>18</v>
      </c>
      <c r="G592" s="18"/>
      <c r="H592" s="18">
        <f t="shared" si="40"/>
        <v>0</v>
      </c>
      <c r="I592" s="18">
        <f t="shared" si="41"/>
        <v>0</v>
      </c>
    </row>
    <row r="593" spans="1:12" hidden="1" outlineLevel="1" x14ac:dyDescent="0.25">
      <c r="A593" s="84"/>
      <c r="B593" s="308" t="s">
        <v>602</v>
      </c>
      <c r="C593" s="21" t="s">
        <v>12</v>
      </c>
      <c r="D593" s="340">
        <v>0</v>
      </c>
      <c r="E593" s="18"/>
      <c r="F593" s="60">
        <v>67</v>
      </c>
      <c r="G593" s="18"/>
      <c r="H593" s="18">
        <f t="shared" si="40"/>
        <v>0</v>
      </c>
      <c r="I593" s="18">
        <f t="shared" si="41"/>
        <v>0</v>
      </c>
    </row>
    <row r="594" spans="1:12" hidden="1" outlineLevel="1" x14ac:dyDescent="0.25">
      <c r="A594" s="84"/>
      <c r="B594" s="33" t="s">
        <v>603</v>
      </c>
      <c r="C594" s="21" t="s">
        <v>12</v>
      </c>
      <c r="D594" s="18"/>
      <c r="E594" s="18"/>
      <c r="F594" s="60">
        <v>65</v>
      </c>
      <c r="G594" s="18"/>
      <c r="H594" s="18">
        <f t="shared" si="40"/>
        <v>0</v>
      </c>
      <c r="I594" s="18">
        <f t="shared" si="41"/>
        <v>0</v>
      </c>
    </row>
    <row r="595" spans="1:12" hidden="1" outlineLevel="1" x14ac:dyDescent="0.25">
      <c r="A595" s="84"/>
      <c r="B595" s="308" t="s">
        <v>604</v>
      </c>
      <c r="C595" s="21" t="s">
        <v>12</v>
      </c>
      <c r="D595" s="340">
        <v>0</v>
      </c>
      <c r="E595" s="18"/>
      <c r="F595" s="60">
        <v>150</v>
      </c>
      <c r="G595" s="18"/>
      <c r="H595" s="18">
        <f t="shared" si="40"/>
        <v>0</v>
      </c>
      <c r="I595" s="18">
        <f t="shared" si="41"/>
        <v>0</v>
      </c>
    </row>
    <row r="596" spans="1:12" hidden="1" outlineLevel="1" x14ac:dyDescent="0.25">
      <c r="A596" s="84"/>
      <c r="B596" s="308" t="s">
        <v>605</v>
      </c>
      <c r="C596" s="21" t="s">
        <v>12</v>
      </c>
      <c r="D596" s="340">
        <v>0</v>
      </c>
      <c r="E596" s="18"/>
      <c r="F596" s="60">
        <v>45</v>
      </c>
      <c r="G596" s="18"/>
      <c r="H596" s="18">
        <f t="shared" si="40"/>
        <v>0</v>
      </c>
      <c r="I596" s="18">
        <f t="shared" si="41"/>
        <v>0</v>
      </c>
    </row>
    <row r="597" spans="1:12" hidden="1" outlineLevel="1" x14ac:dyDescent="0.25">
      <c r="A597" s="84"/>
      <c r="B597" s="308" t="s">
        <v>606</v>
      </c>
      <c r="C597" s="21" t="s">
        <v>12</v>
      </c>
      <c r="D597" s="340">
        <v>0</v>
      </c>
      <c r="E597" s="18"/>
      <c r="F597" s="60">
        <v>65</v>
      </c>
      <c r="G597" s="18"/>
      <c r="H597" s="18">
        <f t="shared" si="40"/>
        <v>0</v>
      </c>
      <c r="I597" s="18">
        <f t="shared" si="41"/>
        <v>0</v>
      </c>
    </row>
    <row r="598" spans="1:12" hidden="1" outlineLevel="1" x14ac:dyDescent="0.25">
      <c r="A598" s="84"/>
      <c r="B598" s="308" t="s">
        <v>716</v>
      </c>
      <c r="C598" s="21" t="s">
        <v>12</v>
      </c>
      <c r="D598" s="340">
        <v>0</v>
      </c>
      <c r="E598" s="18"/>
      <c r="F598" s="164">
        <v>100</v>
      </c>
      <c r="G598" s="18"/>
      <c r="H598" s="18">
        <f>F598*D598</f>
        <v>0</v>
      </c>
      <c r="I598" s="18">
        <f>G598+H598</f>
        <v>0</v>
      </c>
    </row>
    <row r="599" spans="1:12" hidden="1" outlineLevel="1" x14ac:dyDescent="0.25">
      <c r="A599" s="84"/>
      <c r="B599" s="308" t="s">
        <v>717</v>
      </c>
      <c r="C599" s="21" t="s">
        <v>12</v>
      </c>
      <c r="D599" s="340">
        <v>0</v>
      </c>
      <c r="E599" s="18"/>
      <c r="F599" s="164">
        <v>100</v>
      </c>
      <c r="G599" s="18"/>
      <c r="H599" s="18">
        <f>F599*D599</f>
        <v>0</v>
      </c>
      <c r="I599" s="18">
        <f>G599+H599</f>
        <v>0</v>
      </c>
    </row>
    <row r="600" spans="1:12" hidden="1" outlineLevel="1" x14ac:dyDescent="0.25">
      <c r="A600" s="84"/>
      <c r="B600" s="308" t="s">
        <v>607</v>
      </c>
      <c r="C600" s="21" t="s">
        <v>29</v>
      </c>
      <c r="D600" s="340">
        <v>0</v>
      </c>
      <c r="E600" s="18"/>
      <c r="F600" s="60">
        <v>50</v>
      </c>
      <c r="G600" s="18"/>
      <c r="H600" s="18">
        <f t="shared" si="40"/>
        <v>0</v>
      </c>
      <c r="I600" s="18">
        <f t="shared" si="41"/>
        <v>0</v>
      </c>
    </row>
    <row r="601" spans="1:12" hidden="1" outlineLevel="1" x14ac:dyDescent="0.25">
      <c r="A601" s="84"/>
      <c r="B601" s="308" t="s">
        <v>608</v>
      </c>
      <c r="C601" s="21" t="s">
        <v>29</v>
      </c>
      <c r="D601" s="340">
        <v>0</v>
      </c>
      <c r="E601" s="18"/>
      <c r="F601" s="60">
        <v>59</v>
      </c>
      <c r="G601" s="18"/>
      <c r="H601" s="18">
        <f t="shared" si="40"/>
        <v>0</v>
      </c>
      <c r="I601" s="18">
        <f t="shared" si="41"/>
        <v>0</v>
      </c>
    </row>
    <row r="602" spans="1:12" hidden="1" outlineLevel="1" x14ac:dyDescent="0.25">
      <c r="A602" s="84"/>
      <c r="B602" s="308" t="s">
        <v>90</v>
      </c>
      <c r="C602" s="2" t="s">
        <v>29</v>
      </c>
      <c r="D602" s="340">
        <v>0</v>
      </c>
      <c r="E602" s="18"/>
      <c r="F602" s="60">
        <v>20</v>
      </c>
      <c r="G602" s="18"/>
      <c r="H602" s="18">
        <f t="shared" si="40"/>
        <v>0</v>
      </c>
      <c r="I602" s="18">
        <f t="shared" si="41"/>
        <v>0</v>
      </c>
    </row>
    <row r="603" spans="1:12" hidden="1" outlineLevel="1" x14ac:dyDescent="0.25">
      <c r="A603" s="84"/>
      <c r="B603" s="308" t="s">
        <v>91</v>
      </c>
      <c r="C603" s="31" t="s">
        <v>15</v>
      </c>
      <c r="D603" s="340">
        <v>0</v>
      </c>
      <c r="E603" s="18"/>
      <c r="F603" s="60">
        <v>42</v>
      </c>
      <c r="G603" s="18"/>
      <c r="H603" s="18">
        <f t="shared" si="40"/>
        <v>0</v>
      </c>
      <c r="I603" s="18">
        <f t="shared" si="41"/>
        <v>0</v>
      </c>
    </row>
    <row r="604" spans="1:12" s="6" customFormat="1" hidden="1" outlineLevel="1" x14ac:dyDescent="0.25">
      <c r="A604" s="84" t="s">
        <v>612</v>
      </c>
      <c r="B604" s="192" t="s">
        <v>609</v>
      </c>
      <c r="C604" s="31"/>
      <c r="D604" s="18"/>
      <c r="E604" s="130"/>
      <c r="F604" s="60"/>
      <c r="G604" s="18"/>
      <c r="H604" s="18"/>
      <c r="I604" s="18"/>
    </row>
    <row r="605" spans="1:12" s="6" customFormat="1" hidden="1" outlineLevel="1" x14ac:dyDescent="0.25">
      <c r="A605" s="84"/>
      <c r="B605" s="308" t="s">
        <v>610</v>
      </c>
      <c r="C605" s="31" t="s">
        <v>12</v>
      </c>
      <c r="D605" s="306">
        <v>0</v>
      </c>
      <c r="E605" s="256">
        <v>0</v>
      </c>
      <c r="F605" s="57">
        <v>350</v>
      </c>
      <c r="G605" s="18">
        <f>E605</f>
        <v>0</v>
      </c>
      <c r="H605" s="18">
        <f>F605*D605</f>
        <v>0</v>
      </c>
      <c r="I605" s="18">
        <f>G605+H605</f>
        <v>0</v>
      </c>
    </row>
    <row r="606" spans="1:12" s="5" customFormat="1" ht="38.4" customHeight="1" collapsed="1" x14ac:dyDescent="0.25">
      <c r="A606" s="223"/>
      <c r="B606" s="233" t="s">
        <v>61</v>
      </c>
      <c r="C606" s="234"/>
      <c r="D606" s="235"/>
      <c r="E606" s="236"/>
      <c r="F606" s="237"/>
      <c r="G606" s="236">
        <v>1240000</v>
      </c>
      <c r="H606" s="236">
        <v>2350000</v>
      </c>
      <c r="I606" s="236">
        <f>G606+H606</f>
        <v>3590000</v>
      </c>
      <c r="K606" s="5">
        <f>10000*90+2200000</f>
        <v>3100000</v>
      </c>
      <c r="L606" s="5">
        <f>K606-I606</f>
        <v>-490000</v>
      </c>
    </row>
    <row r="607" spans="1:12" s="5" customFormat="1" ht="18.600000000000001" customHeight="1" x14ac:dyDescent="0.25">
      <c r="A607" s="92"/>
      <c r="B607" s="471" t="s">
        <v>624</v>
      </c>
      <c r="C607" s="9"/>
      <c r="D607" s="31"/>
      <c r="E607" s="10"/>
      <c r="F607" s="57"/>
      <c r="G607" s="10"/>
      <c r="H607" s="10"/>
      <c r="I607" s="31">
        <f>ROUND(I606/1.18*0.18,2)</f>
        <v>547627.12</v>
      </c>
    </row>
    <row r="608" spans="1:12" s="5" customFormat="1" ht="18.75" customHeight="1" x14ac:dyDescent="0.25">
      <c r="A608" s="489"/>
      <c r="B608" s="491" t="s">
        <v>1210</v>
      </c>
      <c r="C608" s="490"/>
      <c r="D608" s="128"/>
      <c r="E608" s="119"/>
      <c r="F608" s="145"/>
      <c r="G608" s="128"/>
      <c r="H608" s="128"/>
      <c r="I608" s="111"/>
    </row>
    <row r="609" spans="1:9" ht="31.2" hidden="1" outlineLevel="1" x14ac:dyDescent="0.25">
      <c r="A609" s="93" t="s">
        <v>325</v>
      </c>
      <c r="B609" s="357" t="s">
        <v>77</v>
      </c>
      <c r="C609" s="72" t="s">
        <v>12</v>
      </c>
      <c r="D609" s="356">
        <v>0</v>
      </c>
      <c r="E609" s="355">
        <v>1500</v>
      </c>
      <c r="F609" s="146"/>
      <c r="G609" s="2">
        <f>ROUND(E609*D609,2)</f>
        <v>0</v>
      </c>
      <c r="H609" s="73"/>
      <c r="I609" s="73">
        <f>G609+H609</f>
        <v>0</v>
      </c>
    </row>
    <row r="610" spans="1:9" hidden="1" outlineLevel="1" x14ac:dyDescent="0.25">
      <c r="A610" s="84"/>
      <c r="B610" s="329" t="s">
        <v>181</v>
      </c>
      <c r="C610" s="21" t="s">
        <v>173</v>
      </c>
      <c r="D610" s="340">
        <v>0</v>
      </c>
      <c r="E610" s="282"/>
      <c r="F610" s="361">
        <v>31000</v>
      </c>
      <c r="G610" s="18"/>
      <c r="H610" s="2">
        <f>ROUND(D610*F610,2)</f>
        <v>0</v>
      </c>
      <c r="I610" s="18">
        <f>G610+H610</f>
        <v>0</v>
      </c>
    </row>
    <row r="611" spans="1:9" hidden="1" outlineLevel="1" x14ac:dyDescent="0.25">
      <c r="A611" s="84" t="s">
        <v>326</v>
      </c>
      <c r="B611" s="9" t="s">
        <v>79</v>
      </c>
      <c r="C611" s="31" t="s">
        <v>80</v>
      </c>
      <c r="D611" s="306">
        <v>0</v>
      </c>
      <c r="E611" s="256">
        <v>75</v>
      </c>
      <c r="F611" s="60"/>
      <c r="G611" s="2">
        <f>ROUND(E611*D611,2)</f>
        <v>0</v>
      </c>
      <c r="H611" s="18"/>
      <c r="I611" s="18">
        <f t="shared" ref="I611:I646" si="42">G611+H611</f>
        <v>0</v>
      </c>
    </row>
    <row r="612" spans="1:9" hidden="1" outlineLevel="1" x14ac:dyDescent="0.25">
      <c r="A612" s="84"/>
      <c r="B612" s="343" t="s">
        <v>81</v>
      </c>
      <c r="C612" s="21" t="s">
        <v>80</v>
      </c>
      <c r="D612" s="340">
        <v>0</v>
      </c>
      <c r="E612" s="18"/>
      <c r="F612" s="361">
        <v>240</v>
      </c>
      <c r="G612" s="18"/>
      <c r="H612" s="2">
        <f>ROUND(D612*F612,2)</f>
        <v>0</v>
      </c>
      <c r="I612" s="18">
        <f t="shared" si="42"/>
        <v>0</v>
      </c>
    </row>
    <row r="613" spans="1:9" hidden="1" outlineLevel="1" x14ac:dyDescent="0.25">
      <c r="A613" s="84" t="s">
        <v>327</v>
      </c>
      <c r="B613" s="9" t="s">
        <v>83</v>
      </c>
      <c r="C613" s="31" t="s">
        <v>12</v>
      </c>
      <c r="D613" s="306">
        <v>0</v>
      </c>
      <c r="E613" s="256">
        <v>600</v>
      </c>
      <c r="F613" s="60"/>
      <c r="G613" s="2">
        <f>ROUND(E613*D613,2)</f>
        <v>0</v>
      </c>
      <c r="H613" s="18"/>
      <c r="I613" s="18">
        <f t="shared" si="42"/>
        <v>0</v>
      </c>
    </row>
    <row r="614" spans="1:9" ht="31.2" hidden="1" outlineLevel="1" x14ac:dyDescent="0.25">
      <c r="A614" s="84"/>
      <c r="B614" s="329" t="s">
        <v>266</v>
      </c>
      <c r="C614" s="21" t="s">
        <v>12</v>
      </c>
      <c r="D614" s="340">
        <v>0</v>
      </c>
      <c r="E614" s="18"/>
      <c r="F614" s="361">
        <v>950</v>
      </c>
      <c r="G614" s="18"/>
      <c r="H614" s="2">
        <f>ROUND(D614*F614,2)</f>
        <v>0</v>
      </c>
      <c r="I614" s="18">
        <f t="shared" si="42"/>
        <v>0</v>
      </c>
    </row>
    <row r="615" spans="1:9" ht="31.2" hidden="1" outlineLevel="1" x14ac:dyDescent="0.25">
      <c r="A615" s="84" t="s">
        <v>536</v>
      </c>
      <c r="B615" s="9" t="s">
        <v>85</v>
      </c>
      <c r="C615" s="31" t="s">
        <v>29</v>
      </c>
      <c r="D615" s="31">
        <v>0</v>
      </c>
      <c r="E615" s="256">
        <v>60</v>
      </c>
      <c r="F615" s="60"/>
      <c r="G615" s="2">
        <f>ROUND(E615*D615,2)</f>
        <v>0</v>
      </c>
      <c r="H615" s="18"/>
      <c r="I615" s="18">
        <f t="shared" si="42"/>
        <v>0</v>
      </c>
    </row>
    <row r="616" spans="1:9" ht="31.2" hidden="1" outlineLevel="1" x14ac:dyDescent="0.25">
      <c r="A616" s="84"/>
      <c r="B616" s="329" t="s">
        <v>412</v>
      </c>
      <c r="C616" s="21" t="s">
        <v>29</v>
      </c>
      <c r="D616" s="340">
        <v>0</v>
      </c>
      <c r="E616" s="18"/>
      <c r="F616" s="60">
        <v>40</v>
      </c>
      <c r="G616" s="18"/>
      <c r="H616" s="2">
        <f t="shared" ref="H616:H622" si="43">ROUND(D616*F616,2)</f>
        <v>0</v>
      </c>
      <c r="I616" s="18">
        <f t="shared" si="42"/>
        <v>0</v>
      </c>
    </row>
    <row r="617" spans="1:9" hidden="1" outlineLevel="1" x14ac:dyDescent="0.25">
      <c r="A617" s="84"/>
      <c r="B617" s="343" t="s">
        <v>86</v>
      </c>
      <c r="C617" s="21" t="s">
        <v>12</v>
      </c>
      <c r="D617" s="340">
        <v>0</v>
      </c>
      <c r="E617" s="18"/>
      <c r="F617" s="60">
        <v>98.64</v>
      </c>
      <c r="G617" s="18"/>
      <c r="H617" s="2">
        <f t="shared" si="43"/>
        <v>0</v>
      </c>
      <c r="I617" s="18">
        <f t="shared" si="42"/>
        <v>0</v>
      </c>
    </row>
    <row r="618" spans="1:9" ht="31.2" hidden="1" outlineLevel="1" x14ac:dyDescent="0.25">
      <c r="A618" s="84"/>
      <c r="B618" s="343" t="s">
        <v>263</v>
      </c>
      <c r="C618" s="21" t="s">
        <v>12</v>
      </c>
      <c r="D618" s="340">
        <v>0</v>
      </c>
      <c r="E618" s="18"/>
      <c r="F618" s="60">
        <v>145.03</v>
      </c>
      <c r="G618" s="18"/>
      <c r="H618" s="2">
        <f t="shared" si="43"/>
        <v>0</v>
      </c>
      <c r="I618" s="18">
        <f t="shared" si="42"/>
        <v>0</v>
      </c>
    </row>
    <row r="619" spans="1:9" ht="31.2" hidden="1" outlineLevel="1" x14ac:dyDescent="0.25">
      <c r="A619" s="84"/>
      <c r="B619" s="329" t="s">
        <v>264</v>
      </c>
      <c r="C619" s="21" t="s">
        <v>12</v>
      </c>
      <c r="D619" s="340">
        <v>0</v>
      </c>
      <c r="E619" s="18"/>
      <c r="F619" s="60">
        <v>450</v>
      </c>
      <c r="G619" s="18"/>
      <c r="H619" s="2">
        <f t="shared" si="43"/>
        <v>0</v>
      </c>
      <c r="I619" s="18">
        <f>G619+H619</f>
        <v>0</v>
      </c>
    </row>
    <row r="620" spans="1:9" ht="31.2" hidden="1" outlineLevel="1" x14ac:dyDescent="0.25">
      <c r="A620" s="84"/>
      <c r="B620" s="329" t="s">
        <v>265</v>
      </c>
      <c r="C620" s="21" t="s">
        <v>12</v>
      </c>
      <c r="D620" s="340">
        <v>0</v>
      </c>
      <c r="E620" s="18"/>
      <c r="F620" s="60">
        <v>450</v>
      </c>
      <c r="G620" s="18"/>
      <c r="H620" s="2">
        <f t="shared" si="43"/>
        <v>0</v>
      </c>
      <c r="I620" s="18">
        <f>G620+H620</f>
        <v>0</v>
      </c>
    </row>
    <row r="621" spans="1:9" hidden="1" outlineLevel="1" x14ac:dyDescent="0.25">
      <c r="A621" s="84"/>
      <c r="B621" s="343" t="s">
        <v>87</v>
      </c>
      <c r="C621" s="21" t="s">
        <v>12</v>
      </c>
      <c r="D621" s="340">
        <v>0</v>
      </c>
      <c r="E621" s="18"/>
      <c r="F621" s="60">
        <v>470</v>
      </c>
      <c r="G621" s="18"/>
      <c r="H621" s="2">
        <f t="shared" si="43"/>
        <v>0</v>
      </c>
      <c r="I621" s="18">
        <f t="shared" si="42"/>
        <v>0</v>
      </c>
    </row>
    <row r="622" spans="1:9" hidden="1" outlineLevel="1" x14ac:dyDescent="0.25">
      <c r="A622" s="84"/>
      <c r="B622" s="343" t="s">
        <v>88</v>
      </c>
      <c r="C622" s="21" t="s">
        <v>12</v>
      </c>
      <c r="D622" s="340">
        <v>0</v>
      </c>
      <c r="E622" s="18"/>
      <c r="F622" s="60">
        <v>1.5</v>
      </c>
      <c r="G622" s="18"/>
      <c r="H622" s="2">
        <f t="shared" si="43"/>
        <v>0</v>
      </c>
      <c r="I622" s="18">
        <f t="shared" si="42"/>
        <v>0</v>
      </c>
    </row>
    <row r="623" spans="1:9" ht="31.2" hidden="1" outlineLevel="1" x14ac:dyDescent="0.25">
      <c r="A623" s="84"/>
      <c r="B623" s="343" t="s">
        <v>681</v>
      </c>
      <c r="C623" s="21" t="s">
        <v>29</v>
      </c>
      <c r="D623" s="340">
        <v>0</v>
      </c>
      <c r="E623" s="18"/>
      <c r="F623" s="164">
        <v>100</v>
      </c>
      <c r="G623" s="18"/>
      <c r="H623" s="2">
        <f>ROUND(D623*F623,2)</f>
        <v>0</v>
      </c>
      <c r="I623" s="18">
        <f>G623+H623</f>
        <v>0</v>
      </c>
    </row>
    <row r="624" spans="1:9" ht="18" hidden="1" customHeight="1" outlineLevel="1" x14ac:dyDescent="0.25">
      <c r="A624" s="84"/>
      <c r="B624" s="343" t="s">
        <v>682</v>
      </c>
      <c r="C624" s="21" t="s">
        <v>12</v>
      </c>
      <c r="D624" s="340">
        <v>0</v>
      </c>
      <c r="E624" s="18"/>
      <c r="F624" s="164">
        <v>100</v>
      </c>
      <c r="G624" s="18"/>
      <c r="H624" s="2">
        <f>ROUND(D624*F624,2)</f>
        <v>0</v>
      </c>
      <c r="I624" s="18">
        <f>G624+H624</f>
        <v>0</v>
      </c>
    </row>
    <row r="625" spans="1:12" ht="31.2" hidden="1" outlineLevel="1" x14ac:dyDescent="0.25">
      <c r="A625" s="84" t="s">
        <v>538</v>
      </c>
      <c r="B625" s="307" t="s">
        <v>267</v>
      </c>
      <c r="C625" s="31" t="s">
        <v>12</v>
      </c>
      <c r="D625" s="306">
        <f>D626</f>
        <v>0</v>
      </c>
      <c r="E625" s="256">
        <v>300</v>
      </c>
      <c r="F625" s="11"/>
      <c r="G625" s="2">
        <f>ROUND(E625*D625,2)</f>
        <v>0</v>
      </c>
      <c r="H625" s="18"/>
      <c r="I625" s="18">
        <f t="shared" si="42"/>
        <v>0</v>
      </c>
    </row>
    <row r="626" spans="1:12" hidden="1" outlineLevel="1" x14ac:dyDescent="0.25">
      <c r="A626" s="84"/>
      <c r="B626" s="308" t="s">
        <v>416</v>
      </c>
      <c r="C626" s="2" t="s">
        <v>12</v>
      </c>
      <c r="D626" s="340">
        <v>0</v>
      </c>
      <c r="E626" s="2"/>
      <c r="F626" s="11">
        <f>2500*1.1</f>
        <v>2750</v>
      </c>
      <c r="G626" s="18"/>
      <c r="H626" s="2">
        <f>ROUND(D626*F626,2)</f>
        <v>0</v>
      </c>
      <c r="I626" s="18">
        <f t="shared" si="42"/>
        <v>0</v>
      </c>
    </row>
    <row r="627" spans="1:12" collapsed="1" x14ac:dyDescent="0.25">
      <c r="A627" s="223"/>
      <c r="B627" s="238" t="s">
        <v>539</v>
      </c>
      <c r="C627" s="234"/>
      <c r="D627" s="235"/>
      <c r="E627" s="236"/>
      <c r="F627" s="237"/>
      <c r="G627" s="236">
        <v>1320000</v>
      </c>
      <c r="H627" s="236">
        <v>3598000</v>
      </c>
      <c r="I627" s="236">
        <f>G627+H627</f>
        <v>4918000</v>
      </c>
      <c r="J627" s="25">
        <f>90*26000</f>
        <v>2340000</v>
      </c>
      <c r="K627" s="25">
        <f>90*26000+1300000+90*6000</f>
        <v>4180000</v>
      </c>
      <c r="L627" s="5">
        <f>K627-I627</f>
        <v>-738000</v>
      </c>
    </row>
    <row r="628" spans="1:12" s="5" customFormat="1" ht="18.600000000000001" customHeight="1" x14ac:dyDescent="0.25">
      <c r="A628" s="92"/>
      <c r="B628" s="471" t="s">
        <v>624</v>
      </c>
      <c r="C628" s="9"/>
      <c r="D628" s="31"/>
      <c r="E628" s="10"/>
      <c r="F628" s="57"/>
      <c r="G628" s="10"/>
      <c r="H628" s="10"/>
      <c r="I628" s="31">
        <f>ROUND(I627/1.18*0.18,2)</f>
        <v>750203.39</v>
      </c>
    </row>
    <row r="629" spans="1:12" s="6" customFormat="1" x14ac:dyDescent="0.25">
      <c r="A629" s="492"/>
      <c r="B629" s="696" t="s">
        <v>1211</v>
      </c>
      <c r="C629" s="493"/>
      <c r="D629" s="103"/>
      <c r="E629" s="118"/>
      <c r="F629" s="112"/>
      <c r="G629" s="102"/>
      <c r="H629" s="102"/>
      <c r="I629" s="102"/>
    </row>
    <row r="630" spans="1:12" ht="31.2" hidden="1" outlineLevel="1" x14ac:dyDescent="0.25">
      <c r="A630" s="84" t="s">
        <v>154</v>
      </c>
      <c r="B630" s="494" t="s">
        <v>269</v>
      </c>
      <c r="C630" s="192" t="s">
        <v>29</v>
      </c>
      <c r="D630" s="10">
        <f>D631+D632</f>
        <v>0</v>
      </c>
      <c r="E630" s="256">
        <v>150</v>
      </c>
      <c r="F630" s="60"/>
      <c r="G630" s="2">
        <f>ROUND(E630*D630,2)</f>
        <v>0</v>
      </c>
      <c r="H630" s="18"/>
      <c r="I630" s="18">
        <f>G630+H630</f>
        <v>0</v>
      </c>
    </row>
    <row r="631" spans="1:12" ht="31.2" hidden="1" outlineLevel="1" x14ac:dyDescent="0.25">
      <c r="A631" s="84"/>
      <c r="B631" s="308" t="s">
        <v>683</v>
      </c>
      <c r="C631" s="21" t="s">
        <v>29</v>
      </c>
      <c r="D631" s="340">
        <v>0</v>
      </c>
      <c r="E631" s="282"/>
      <c r="F631" s="60">
        <f>(0.2+0.2+0.15+0.15)*500</f>
        <v>350.00000000000006</v>
      </c>
      <c r="G631" s="18"/>
      <c r="H631" s="2">
        <f>ROUND(D631*F631,2)</f>
        <v>0</v>
      </c>
      <c r="I631" s="18">
        <f>G631+H631</f>
        <v>0</v>
      </c>
    </row>
    <row r="632" spans="1:12" ht="31.2" hidden="1" outlineLevel="1" x14ac:dyDescent="0.25">
      <c r="A632" s="84"/>
      <c r="B632" s="308" t="s">
        <v>271</v>
      </c>
      <c r="C632" s="21" t="s">
        <v>29</v>
      </c>
      <c r="D632" s="340">
        <v>0</v>
      </c>
      <c r="E632" s="282"/>
      <c r="F632" s="60">
        <f>0.15*4*500</f>
        <v>300</v>
      </c>
      <c r="G632" s="18"/>
      <c r="H632" s="2">
        <f>ROUND(D632*F632,2)</f>
        <v>0</v>
      </c>
      <c r="I632" s="18">
        <f>G632+H632</f>
        <v>0</v>
      </c>
    </row>
    <row r="633" spans="1:12" ht="31.2" hidden="1" outlineLevel="1" x14ac:dyDescent="0.25">
      <c r="A633" s="84"/>
      <c r="B633" s="308" t="s">
        <v>684</v>
      </c>
      <c r="C633" s="21" t="s">
        <v>29</v>
      </c>
      <c r="D633" s="340">
        <v>0</v>
      </c>
      <c r="E633" s="282"/>
      <c r="F633" s="60">
        <f>0.15*4*500</f>
        <v>300</v>
      </c>
      <c r="G633" s="18"/>
      <c r="H633" s="2">
        <f>ROUND(D633*F633,2)</f>
        <v>0</v>
      </c>
      <c r="I633" s="18">
        <f>G633+H633</f>
        <v>0</v>
      </c>
    </row>
    <row r="634" spans="1:12" hidden="1" outlineLevel="1" x14ac:dyDescent="0.25">
      <c r="A634" s="84" t="s">
        <v>157</v>
      </c>
      <c r="B634" s="9" t="s">
        <v>89</v>
      </c>
      <c r="C634" s="31" t="s">
        <v>12</v>
      </c>
      <c r="D634" s="10">
        <f>D635+D636+D637+D640+D638+D639</f>
        <v>0</v>
      </c>
      <c r="E634" s="256">
        <v>50</v>
      </c>
      <c r="F634" s="60"/>
      <c r="G634" s="2">
        <f>ROUND(E634*D634,2)</f>
        <v>0</v>
      </c>
      <c r="H634" s="18"/>
      <c r="I634" s="18">
        <f t="shared" si="42"/>
        <v>0</v>
      </c>
    </row>
    <row r="635" spans="1:12" hidden="1" outlineLevel="1" x14ac:dyDescent="0.25">
      <c r="A635" s="84"/>
      <c r="B635" s="329" t="s">
        <v>686</v>
      </c>
      <c r="C635" s="21" t="s">
        <v>12</v>
      </c>
      <c r="D635" s="340">
        <v>0</v>
      </c>
      <c r="E635" s="18"/>
      <c r="F635" s="361">
        <v>100</v>
      </c>
      <c r="G635" s="18"/>
      <c r="H635" s="2">
        <f t="shared" ref="H635:H647" si="44">ROUND(D635*F635,2)</f>
        <v>0</v>
      </c>
      <c r="I635" s="18">
        <f t="shared" si="42"/>
        <v>0</v>
      </c>
    </row>
    <row r="636" spans="1:12" hidden="1" outlineLevel="1" x14ac:dyDescent="0.25">
      <c r="A636" s="84"/>
      <c r="B636" s="329" t="s">
        <v>685</v>
      </c>
      <c r="C636" s="21" t="s">
        <v>12</v>
      </c>
      <c r="D636" s="340">
        <v>0</v>
      </c>
      <c r="E636" s="18"/>
      <c r="F636" s="361">
        <v>100</v>
      </c>
      <c r="G636" s="18"/>
      <c r="H636" s="2">
        <f t="shared" si="44"/>
        <v>0</v>
      </c>
      <c r="I636" s="18">
        <f t="shared" si="42"/>
        <v>0</v>
      </c>
    </row>
    <row r="637" spans="1:12" hidden="1" outlineLevel="1" x14ac:dyDescent="0.25">
      <c r="A637" s="84"/>
      <c r="B637" s="329" t="s">
        <v>274</v>
      </c>
      <c r="C637" s="21" t="s">
        <v>12</v>
      </c>
      <c r="D637" s="340">
        <v>0</v>
      </c>
      <c r="E637" s="18"/>
      <c r="F637" s="361">
        <v>150</v>
      </c>
      <c r="G637" s="18"/>
      <c r="H637" s="2">
        <f t="shared" si="44"/>
        <v>0</v>
      </c>
      <c r="I637" s="18">
        <f t="shared" si="42"/>
        <v>0</v>
      </c>
    </row>
    <row r="638" spans="1:12" hidden="1" outlineLevel="1" x14ac:dyDescent="0.25">
      <c r="A638" s="84"/>
      <c r="B638" s="329" t="s">
        <v>687</v>
      </c>
      <c r="C638" s="21" t="s">
        <v>12</v>
      </c>
      <c r="D638" s="340">
        <v>0</v>
      </c>
      <c r="E638" s="18"/>
      <c r="F638" s="361">
        <v>200</v>
      </c>
      <c r="G638" s="18"/>
      <c r="H638" s="2">
        <f t="shared" si="44"/>
        <v>0</v>
      </c>
      <c r="I638" s="18">
        <f t="shared" si="42"/>
        <v>0</v>
      </c>
    </row>
    <row r="639" spans="1:12" ht="31.2" hidden="1" outlineLevel="1" x14ac:dyDescent="0.25">
      <c r="A639" s="84"/>
      <c r="B639" s="329" t="s">
        <v>420</v>
      </c>
      <c r="C639" s="21" t="s">
        <v>12</v>
      </c>
      <c r="D639" s="340">
        <v>0</v>
      </c>
      <c r="E639" s="18"/>
      <c r="F639" s="361">
        <v>100</v>
      </c>
      <c r="G639" s="18"/>
      <c r="H639" s="2">
        <f t="shared" si="44"/>
        <v>0</v>
      </c>
      <c r="I639" s="18">
        <f t="shared" si="42"/>
        <v>0</v>
      </c>
    </row>
    <row r="640" spans="1:12" hidden="1" outlineLevel="1" x14ac:dyDescent="0.25">
      <c r="A640" s="84"/>
      <c r="B640" s="329" t="s">
        <v>275</v>
      </c>
      <c r="C640" s="21" t="s">
        <v>12</v>
      </c>
      <c r="D640" s="340">
        <v>0</v>
      </c>
      <c r="E640" s="18"/>
      <c r="F640" s="361">
        <v>1800</v>
      </c>
      <c r="G640" s="18"/>
      <c r="H640" s="2">
        <f t="shared" si="44"/>
        <v>0</v>
      </c>
      <c r="I640" s="18">
        <f t="shared" si="42"/>
        <v>0</v>
      </c>
    </row>
    <row r="641" spans="1:12" hidden="1" outlineLevel="1" x14ac:dyDescent="0.25">
      <c r="A641" s="84"/>
      <c r="B641" s="329" t="s">
        <v>688</v>
      </c>
      <c r="C641" s="21" t="s">
        <v>12</v>
      </c>
      <c r="D641" s="340">
        <v>0</v>
      </c>
      <c r="E641" s="18"/>
      <c r="F641" s="164">
        <v>2000</v>
      </c>
      <c r="G641" s="18"/>
      <c r="H641" s="2">
        <f>ROUND(D641*F641,2)</f>
        <v>0</v>
      </c>
      <c r="I641" s="18">
        <f>G641+H641</f>
        <v>0</v>
      </c>
    </row>
    <row r="642" spans="1:12" hidden="1" outlineLevel="1" x14ac:dyDescent="0.25">
      <c r="A642" s="84"/>
      <c r="B642" s="329" t="s">
        <v>689</v>
      </c>
      <c r="C642" s="21" t="s">
        <v>12</v>
      </c>
      <c r="D642" s="340">
        <v>0</v>
      </c>
      <c r="E642" s="18"/>
      <c r="F642" s="164">
        <v>2000</v>
      </c>
      <c r="G642" s="18"/>
      <c r="H642" s="2">
        <f>ROUND(D642*F642,2)</f>
        <v>0</v>
      </c>
      <c r="I642" s="18">
        <f>G642+H642</f>
        <v>0</v>
      </c>
    </row>
    <row r="643" spans="1:12" hidden="1" outlineLevel="1" x14ac:dyDescent="0.25">
      <c r="A643" s="84"/>
      <c r="B643" s="9" t="s">
        <v>691</v>
      </c>
      <c r="C643" s="31" t="s">
        <v>12</v>
      </c>
      <c r="D643" s="10">
        <v>0</v>
      </c>
      <c r="E643" s="166">
        <v>300</v>
      </c>
      <c r="F643" s="60"/>
      <c r="G643" s="2">
        <f>ROUND(E643*D643,2)</f>
        <v>0</v>
      </c>
      <c r="H643" s="18"/>
      <c r="I643" s="18">
        <f>G643+H643</f>
        <v>0</v>
      </c>
    </row>
    <row r="644" spans="1:12" hidden="1" outlineLevel="1" x14ac:dyDescent="0.25">
      <c r="A644" s="84"/>
      <c r="B644" s="329" t="s">
        <v>692</v>
      </c>
      <c r="C644" s="21" t="s">
        <v>12</v>
      </c>
      <c r="D644" s="340">
        <v>0</v>
      </c>
      <c r="E644" s="18"/>
      <c r="F644" s="164">
        <v>5000</v>
      </c>
      <c r="G644" s="18"/>
      <c r="H644" s="2">
        <f>ROUND(D644*F644,2)</f>
        <v>0</v>
      </c>
      <c r="I644" s="18">
        <f>G644+H644</f>
        <v>0</v>
      </c>
    </row>
    <row r="645" spans="1:12" hidden="1" outlineLevel="1" x14ac:dyDescent="0.25">
      <c r="A645" s="84"/>
      <c r="B645" s="329" t="s">
        <v>693</v>
      </c>
      <c r="C645" s="21" t="s">
        <v>12</v>
      </c>
      <c r="D645" s="340">
        <v>0</v>
      </c>
      <c r="E645" s="18"/>
      <c r="F645" s="164">
        <v>500</v>
      </c>
      <c r="G645" s="18"/>
      <c r="H645" s="2">
        <f>ROUND(D645*F645,2)</f>
        <v>0</v>
      </c>
      <c r="I645" s="18">
        <f>G645+H645</f>
        <v>0</v>
      </c>
    </row>
    <row r="646" spans="1:12" hidden="1" outlineLevel="1" x14ac:dyDescent="0.25">
      <c r="A646" s="84"/>
      <c r="B646" s="329" t="s">
        <v>695</v>
      </c>
      <c r="C646" s="21" t="s">
        <v>12</v>
      </c>
      <c r="D646" s="340">
        <v>0</v>
      </c>
      <c r="E646" s="18"/>
      <c r="F646" s="164">
        <v>100</v>
      </c>
      <c r="G646" s="18"/>
      <c r="H646" s="2">
        <f t="shared" si="44"/>
        <v>0</v>
      </c>
      <c r="I646" s="18">
        <f t="shared" si="42"/>
        <v>0</v>
      </c>
    </row>
    <row r="647" spans="1:12" ht="31.2" hidden="1" outlineLevel="1" x14ac:dyDescent="0.25">
      <c r="A647" s="84"/>
      <c r="B647" s="329" t="s">
        <v>694</v>
      </c>
      <c r="C647" s="21" t="s">
        <v>12</v>
      </c>
      <c r="D647" s="340">
        <v>0</v>
      </c>
      <c r="E647" s="18"/>
      <c r="F647" s="164">
        <v>100</v>
      </c>
      <c r="G647" s="18"/>
      <c r="H647" s="2">
        <f t="shared" si="44"/>
        <v>0</v>
      </c>
      <c r="I647" s="18">
        <f t="shared" ref="I647:I655" si="45">G647+H647</f>
        <v>0</v>
      </c>
    </row>
    <row r="648" spans="1:12" ht="31.2" hidden="1" outlineLevel="1" x14ac:dyDescent="0.25">
      <c r="A648" s="84"/>
      <c r="B648" s="329" t="s">
        <v>696</v>
      </c>
      <c r="C648" s="21" t="s">
        <v>12</v>
      </c>
      <c r="D648" s="340">
        <v>0</v>
      </c>
      <c r="E648" s="18"/>
      <c r="F648" s="164">
        <v>100</v>
      </c>
      <c r="G648" s="18"/>
      <c r="H648" s="2">
        <f>ROUND(D648*F648,2)</f>
        <v>0</v>
      </c>
      <c r="I648" s="18">
        <f t="shared" si="45"/>
        <v>0</v>
      </c>
    </row>
    <row r="649" spans="1:12" ht="31.2" hidden="1" outlineLevel="1" x14ac:dyDescent="0.25">
      <c r="A649" s="84"/>
      <c r="B649" s="329" t="s">
        <v>697</v>
      </c>
      <c r="C649" s="21" t="s">
        <v>12</v>
      </c>
      <c r="D649" s="340">
        <v>0</v>
      </c>
      <c r="E649" s="18"/>
      <c r="F649" s="164">
        <v>100</v>
      </c>
      <c r="G649" s="18"/>
      <c r="H649" s="2">
        <f>ROUND(D649*F649,2)</f>
        <v>0</v>
      </c>
      <c r="I649" s="18">
        <f t="shared" si="45"/>
        <v>0</v>
      </c>
    </row>
    <row r="650" spans="1:12" ht="31.2" hidden="1" outlineLevel="1" x14ac:dyDescent="0.25">
      <c r="A650" s="84"/>
      <c r="B650" s="329" t="s">
        <v>699</v>
      </c>
      <c r="C650" s="21" t="s">
        <v>12</v>
      </c>
      <c r="D650" s="340">
        <v>0</v>
      </c>
      <c r="E650" s="18"/>
      <c r="F650" s="164">
        <v>200</v>
      </c>
      <c r="G650" s="18"/>
      <c r="H650" s="2">
        <f>ROUND(D650*F650,2)</f>
        <v>0</v>
      </c>
      <c r="I650" s="18">
        <f t="shared" si="45"/>
        <v>0</v>
      </c>
    </row>
    <row r="651" spans="1:12" ht="31.2" hidden="1" outlineLevel="1" x14ac:dyDescent="0.25">
      <c r="A651" s="84"/>
      <c r="B651" s="329" t="s">
        <v>700</v>
      </c>
      <c r="C651" s="21" t="s">
        <v>12</v>
      </c>
      <c r="D651" s="340">
        <v>0</v>
      </c>
      <c r="E651" s="18"/>
      <c r="F651" s="164">
        <v>200</v>
      </c>
      <c r="G651" s="18"/>
      <c r="H651" s="2">
        <f>ROUND(D651*F651,2)</f>
        <v>0</v>
      </c>
      <c r="I651" s="18">
        <f t="shared" si="45"/>
        <v>0</v>
      </c>
    </row>
    <row r="652" spans="1:12" ht="31.2" hidden="1" outlineLevel="1" x14ac:dyDescent="0.25">
      <c r="A652" s="84"/>
      <c r="B652" s="329" t="s">
        <v>698</v>
      </c>
      <c r="C652" s="21" t="s">
        <v>12</v>
      </c>
      <c r="D652" s="340">
        <v>0</v>
      </c>
      <c r="E652" s="18"/>
      <c r="F652" s="164">
        <v>200</v>
      </c>
      <c r="G652" s="18"/>
      <c r="H652" s="2">
        <f>ROUND(D652*F652,2)</f>
        <v>0</v>
      </c>
      <c r="I652" s="18">
        <f t="shared" si="45"/>
        <v>0</v>
      </c>
    </row>
    <row r="653" spans="1:12" hidden="1" outlineLevel="1" x14ac:dyDescent="0.25">
      <c r="A653" s="84" t="s">
        <v>158</v>
      </c>
      <c r="B653" s="9" t="s">
        <v>279</v>
      </c>
      <c r="C653" s="31" t="s">
        <v>14</v>
      </c>
      <c r="D653" s="10">
        <f>D655+D654</f>
        <v>0</v>
      </c>
      <c r="E653" s="256">
        <v>150</v>
      </c>
      <c r="F653" s="60"/>
      <c r="G653" s="2">
        <f>ROUND(E653*D653,2)</f>
        <v>0</v>
      </c>
      <c r="H653" s="18"/>
      <c r="I653" s="18">
        <f t="shared" si="45"/>
        <v>0</v>
      </c>
    </row>
    <row r="654" spans="1:12" hidden="1" outlineLevel="1" x14ac:dyDescent="0.25">
      <c r="A654" s="84"/>
      <c r="B654" s="329" t="s">
        <v>422</v>
      </c>
      <c r="C654" s="21" t="s">
        <v>14</v>
      </c>
      <c r="D654" s="340">
        <v>0</v>
      </c>
      <c r="E654" s="18"/>
      <c r="F654" s="164">
        <v>350</v>
      </c>
      <c r="G654" s="18"/>
      <c r="H654" s="2">
        <f>ROUND(D654*F654,2)</f>
        <v>0</v>
      </c>
      <c r="I654" s="18">
        <f t="shared" si="45"/>
        <v>0</v>
      </c>
    </row>
    <row r="655" spans="1:12" ht="31.2" hidden="1" outlineLevel="1" x14ac:dyDescent="0.25">
      <c r="A655" s="84"/>
      <c r="B655" s="329" t="s">
        <v>690</v>
      </c>
      <c r="C655" s="21" t="s">
        <v>14</v>
      </c>
      <c r="D655" s="340">
        <v>0</v>
      </c>
      <c r="E655" s="18"/>
      <c r="F655" s="164">
        <v>350</v>
      </c>
      <c r="G655" s="18"/>
      <c r="H655" s="2">
        <f>ROUND(D655*F655,2)</f>
        <v>0</v>
      </c>
      <c r="I655" s="18">
        <f t="shared" si="45"/>
        <v>0</v>
      </c>
    </row>
    <row r="656" spans="1:12" s="5" customFormat="1" collapsed="1" x14ac:dyDescent="0.25">
      <c r="A656" s="223"/>
      <c r="B656" s="238" t="s">
        <v>328</v>
      </c>
      <c r="C656" s="234"/>
      <c r="D656" s="235"/>
      <c r="E656" s="236"/>
      <c r="F656" s="237"/>
      <c r="G656" s="236">
        <v>250000</v>
      </c>
      <c r="H656" s="236">
        <v>800000</v>
      </c>
      <c r="I656" s="236">
        <f>G656+H656</f>
        <v>1050000</v>
      </c>
      <c r="K656" s="5">
        <v>800000</v>
      </c>
      <c r="L656" s="5">
        <f>K656-I656</f>
        <v>-250000</v>
      </c>
    </row>
    <row r="657" spans="1:9" s="5" customFormat="1" ht="18.600000000000001" customHeight="1" x14ac:dyDescent="0.25">
      <c r="A657" s="84"/>
      <c r="B657" s="471" t="s">
        <v>624</v>
      </c>
      <c r="C657" s="9"/>
      <c r="D657" s="31"/>
      <c r="E657" s="10"/>
      <c r="F657" s="57"/>
      <c r="G657" s="10"/>
      <c r="H657" s="10"/>
      <c r="I657" s="31">
        <f>ROUND(I656/1.18*0.18,2)</f>
        <v>160169.49</v>
      </c>
    </row>
    <row r="658" spans="1:9" s="5" customFormat="1" ht="18.75" customHeight="1" x14ac:dyDescent="0.25">
      <c r="A658" s="109"/>
      <c r="B658" s="696" t="s">
        <v>1212</v>
      </c>
      <c r="C658" s="105"/>
      <c r="D658" s="105"/>
      <c r="E658" s="105"/>
      <c r="F658" s="138"/>
      <c r="G658" s="105"/>
      <c r="H658" s="105"/>
      <c r="I658" s="106"/>
    </row>
    <row r="659" spans="1:9" s="36" customFormat="1" ht="30" hidden="1" customHeight="1" outlineLevel="1" x14ac:dyDescent="0.25">
      <c r="A659" s="84" t="s">
        <v>76</v>
      </c>
      <c r="B659" s="495" t="s">
        <v>120</v>
      </c>
      <c r="C659" s="2"/>
      <c r="D659" s="2"/>
      <c r="E659" s="117"/>
      <c r="F659" s="11"/>
      <c r="G659" s="18"/>
      <c r="H659" s="18"/>
      <c r="I659" s="18"/>
    </row>
    <row r="660" spans="1:9" ht="31.2" hidden="1" outlineLevel="1" x14ac:dyDescent="0.25">
      <c r="A660" s="84" t="s">
        <v>542</v>
      </c>
      <c r="B660" s="29" t="s">
        <v>95</v>
      </c>
      <c r="C660" s="31" t="s">
        <v>29</v>
      </c>
      <c r="D660" s="10">
        <f>D661+D662+D663+D664+D665</f>
        <v>0</v>
      </c>
      <c r="E660" s="256">
        <v>85</v>
      </c>
      <c r="F660" s="60"/>
      <c r="G660" s="2">
        <f>ROUND(E660*D660,2)</f>
        <v>0</v>
      </c>
      <c r="H660" s="18"/>
      <c r="I660" s="18">
        <f>G660+H660</f>
        <v>0</v>
      </c>
    </row>
    <row r="661" spans="1:9" hidden="1" outlineLevel="1" x14ac:dyDescent="0.25">
      <c r="A661" s="84"/>
      <c r="B661" s="329" t="s">
        <v>96</v>
      </c>
      <c r="C661" s="21" t="s">
        <v>29</v>
      </c>
      <c r="D661" s="340">
        <v>0</v>
      </c>
      <c r="E661" s="18"/>
      <c r="F661" s="60">
        <v>42.23</v>
      </c>
      <c r="G661" s="18"/>
      <c r="H661" s="2">
        <f t="shared" ref="H661:H668" si="46">ROUND(D661*F661,2)</f>
        <v>0</v>
      </c>
      <c r="I661" s="18">
        <f>G661+H661</f>
        <v>0</v>
      </c>
    </row>
    <row r="662" spans="1:9" hidden="1" outlineLevel="1" x14ac:dyDescent="0.25">
      <c r="A662" s="84"/>
      <c r="B662" s="343" t="s">
        <v>98</v>
      </c>
      <c r="C662" s="21" t="s">
        <v>29</v>
      </c>
      <c r="D662" s="340">
        <v>0</v>
      </c>
      <c r="E662" s="18"/>
      <c r="F662" s="60">
        <v>58.9</v>
      </c>
      <c r="G662" s="18"/>
      <c r="H662" s="2">
        <f t="shared" si="46"/>
        <v>0</v>
      </c>
      <c r="I662" s="18">
        <f>G662+H662</f>
        <v>0</v>
      </c>
    </row>
    <row r="663" spans="1:9" hidden="1" outlineLevel="1" x14ac:dyDescent="0.25">
      <c r="A663" s="84"/>
      <c r="B663" s="329" t="s">
        <v>423</v>
      </c>
      <c r="C663" s="21" t="s">
        <v>29</v>
      </c>
      <c r="D663" s="340">
        <v>0</v>
      </c>
      <c r="E663" s="18"/>
      <c r="F663" s="60">
        <v>94.01</v>
      </c>
      <c r="G663" s="18"/>
      <c r="H663" s="2">
        <f t="shared" si="46"/>
        <v>0</v>
      </c>
      <c r="I663" s="18">
        <f>G663+H663</f>
        <v>0</v>
      </c>
    </row>
    <row r="664" spans="1:9" hidden="1" outlineLevel="1" x14ac:dyDescent="0.25">
      <c r="A664" s="84"/>
      <c r="B664" s="329" t="s">
        <v>424</v>
      </c>
      <c r="C664" s="21" t="s">
        <v>29</v>
      </c>
      <c r="D664" s="340">
        <v>0</v>
      </c>
      <c r="E664" s="18"/>
      <c r="F664" s="60">
        <v>135.80000000000001</v>
      </c>
      <c r="G664" s="18"/>
      <c r="H664" s="2">
        <f t="shared" si="46"/>
        <v>0</v>
      </c>
      <c r="I664" s="18">
        <f>G664+H664</f>
        <v>0</v>
      </c>
    </row>
    <row r="665" spans="1:9" hidden="1" outlineLevel="1" x14ac:dyDescent="0.25">
      <c r="A665" s="84"/>
      <c r="B665" s="329" t="s">
        <v>119</v>
      </c>
      <c r="C665" s="21" t="s">
        <v>29</v>
      </c>
      <c r="D665" s="340">
        <v>0</v>
      </c>
      <c r="E665" s="18"/>
      <c r="F665" s="60">
        <v>226</v>
      </c>
      <c r="G665" s="18"/>
      <c r="H665" s="2">
        <f t="shared" si="46"/>
        <v>0</v>
      </c>
      <c r="I665" s="18">
        <f t="shared" ref="I665:I737" si="47">G665+H665</f>
        <v>0</v>
      </c>
    </row>
    <row r="666" spans="1:9" hidden="1" outlineLevel="1" x14ac:dyDescent="0.25">
      <c r="A666" s="84"/>
      <c r="B666" s="329" t="s">
        <v>121</v>
      </c>
      <c r="C666" s="21" t="s">
        <v>12</v>
      </c>
      <c r="D666" s="340">
        <v>0</v>
      </c>
      <c r="E666" s="18"/>
      <c r="F666" s="60">
        <v>77.25</v>
      </c>
      <c r="G666" s="18"/>
      <c r="H666" s="2">
        <f t="shared" si="46"/>
        <v>0</v>
      </c>
      <c r="I666" s="18">
        <f t="shared" si="47"/>
        <v>0</v>
      </c>
    </row>
    <row r="667" spans="1:9" hidden="1" outlineLevel="1" x14ac:dyDescent="0.25">
      <c r="A667" s="84"/>
      <c r="B667" s="329" t="s">
        <v>426</v>
      </c>
      <c r="C667" s="21" t="s">
        <v>12</v>
      </c>
      <c r="D667" s="340">
        <v>0</v>
      </c>
      <c r="E667" s="18"/>
      <c r="F667" s="60">
        <v>77.25</v>
      </c>
      <c r="G667" s="18"/>
      <c r="H667" s="2">
        <f t="shared" si="46"/>
        <v>0</v>
      </c>
      <c r="I667" s="18">
        <f>G667+H667</f>
        <v>0</v>
      </c>
    </row>
    <row r="668" spans="1:9" ht="31.2" hidden="1" outlineLevel="1" x14ac:dyDescent="0.25">
      <c r="A668" s="84"/>
      <c r="B668" s="329" t="s">
        <v>107</v>
      </c>
      <c r="C668" s="21" t="s">
        <v>12</v>
      </c>
      <c r="D668" s="340">
        <v>0</v>
      </c>
      <c r="E668" s="18"/>
      <c r="F668" s="60">
        <v>40</v>
      </c>
      <c r="G668" s="18"/>
      <c r="H668" s="2">
        <f t="shared" si="46"/>
        <v>0</v>
      </c>
      <c r="I668" s="18">
        <f t="shared" si="47"/>
        <v>0</v>
      </c>
    </row>
    <row r="669" spans="1:9" hidden="1" outlineLevel="1" x14ac:dyDescent="0.25">
      <c r="A669" s="84"/>
      <c r="B669" s="329" t="s">
        <v>703</v>
      </c>
      <c r="C669" s="21" t="s">
        <v>14</v>
      </c>
      <c r="D669" s="340">
        <v>0</v>
      </c>
      <c r="E669" s="18"/>
      <c r="F669" s="164">
        <v>100</v>
      </c>
      <c r="G669" s="18"/>
      <c r="H669" s="2">
        <f>ROUND(D669*F669,2)</f>
        <v>0</v>
      </c>
      <c r="I669" s="18">
        <f>G669+H669</f>
        <v>0</v>
      </c>
    </row>
    <row r="670" spans="1:9" hidden="1" outlineLevel="1" x14ac:dyDescent="0.25">
      <c r="A670" s="84" t="s">
        <v>543</v>
      </c>
      <c r="B670" s="358" t="s">
        <v>427</v>
      </c>
      <c r="C670" s="176" t="s">
        <v>12</v>
      </c>
      <c r="D670" s="306">
        <v>0</v>
      </c>
      <c r="E670" s="18"/>
      <c r="F670" s="60"/>
      <c r="G670" s="18"/>
      <c r="H670" s="18"/>
      <c r="I670" s="18"/>
    </row>
    <row r="671" spans="1:9" hidden="1" outlineLevel="1" x14ac:dyDescent="0.25">
      <c r="A671" s="84"/>
      <c r="B671" s="329" t="s">
        <v>702</v>
      </c>
      <c r="C671" s="21" t="s">
        <v>12</v>
      </c>
      <c r="D671" s="340">
        <v>0</v>
      </c>
      <c r="E671" s="18"/>
      <c r="F671" s="60">
        <v>283</v>
      </c>
      <c r="G671" s="18"/>
      <c r="H671" s="2">
        <f>ROUND(D671*F671,2)</f>
        <v>0</v>
      </c>
      <c r="I671" s="18">
        <f t="shared" si="47"/>
        <v>0</v>
      </c>
    </row>
    <row r="672" spans="1:9" hidden="1" outlineLevel="1" x14ac:dyDescent="0.25">
      <c r="A672" s="84"/>
      <c r="B672" s="329" t="s">
        <v>467</v>
      </c>
      <c r="C672" s="21" t="s">
        <v>12</v>
      </c>
      <c r="D672" s="340">
        <v>0</v>
      </c>
      <c r="E672" s="18"/>
      <c r="F672" s="60">
        <v>322.2</v>
      </c>
      <c r="G672" s="18"/>
      <c r="H672" s="2">
        <f>ROUND(D672*F672,2)</f>
        <v>0</v>
      </c>
      <c r="I672" s="18">
        <f t="shared" si="47"/>
        <v>0</v>
      </c>
    </row>
    <row r="673" spans="1:9" hidden="1" outlineLevel="1" x14ac:dyDescent="0.25">
      <c r="A673" s="84" t="s">
        <v>544</v>
      </c>
      <c r="B673" s="307" t="s">
        <v>101</v>
      </c>
      <c r="C673" s="31" t="s">
        <v>29</v>
      </c>
      <c r="D673" s="306">
        <f>D660</f>
        <v>0</v>
      </c>
      <c r="E673" s="256">
        <v>30</v>
      </c>
      <c r="F673" s="60"/>
      <c r="G673" s="2">
        <f>ROUND(E673*D673,2)</f>
        <v>0</v>
      </c>
      <c r="H673" s="18"/>
      <c r="I673" s="18">
        <f t="shared" si="47"/>
        <v>0</v>
      </c>
    </row>
    <row r="674" spans="1:9" hidden="1" outlineLevel="1" x14ac:dyDescent="0.25">
      <c r="A674" s="84"/>
      <c r="B674" s="329" t="s">
        <v>122</v>
      </c>
      <c r="C674" s="21" t="s">
        <v>29</v>
      </c>
      <c r="D674" s="340">
        <v>0</v>
      </c>
      <c r="E674" s="282"/>
      <c r="F674" s="60">
        <v>62</v>
      </c>
      <c r="G674" s="18"/>
      <c r="H674" s="2">
        <f>ROUND(D674*F674,2)</f>
        <v>0</v>
      </c>
      <c r="I674" s="18">
        <f t="shared" si="47"/>
        <v>0</v>
      </c>
    </row>
    <row r="675" spans="1:9" hidden="1" outlineLevel="1" x14ac:dyDescent="0.25">
      <c r="A675" s="84" t="s">
        <v>545</v>
      </c>
      <c r="B675" s="307" t="s">
        <v>123</v>
      </c>
      <c r="C675" s="31" t="s">
        <v>12</v>
      </c>
      <c r="D675" s="306">
        <v>0</v>
      </c>
      <c r="E675" s="256">
        <v>500</v>
      </c>
      <c r="F675" s="60"/>
      <c r="G675" s="2">
        <f>ROUND(E675*D675,2)</f>
        <v>0</v>
      </c>
      <c r="H675" s="18"/>
      <c r="I675" s="18">
        <f t="shared" si="47"/>
        <v>0</v>
      </c>
    </row>
    <row r="676" spans="1:9" hidden="1" outlineLevel="1" x14ac:dyDescent="0.25">
      <c r="A676" s="84"/>
      <c r="B676" s="329" t="s">
        <v>124</v>
      </c>
      <c r="C676" s="21" t="s">
        <v>12</v>
      </c>
      <c r="D676" s="340">
        <v>0</v>
      </c>
      <c r="E676" s="282"/>
      <c r="F676" s="60">
        <v>100</v>
      </c>
      <c r="G676" s="18"/>
      <c r="H676" s="2">
        <f>ROUND(D676*F676,2)</f>
        <v>0</v>
      </c>
      <c r="I676" s="18">
        <f t="shared" si="47"/>
        <v>0</v>
      </c>
    </row>
    <row r="677" spans="1:9" hidden="1" outlineLevel="1" x14ac:dyDescent="0.25">
      <c r="A677" s="84"/>
      <c r="B677" s="343" t="s">
        <v>125</v>
      </c>
      <c r="C677" s="21" t="s">
        <v>12</v>
      </c>
      <c r="D677" s="340">
        <v>0</v>
      </c>
      <c r="E677" s="282"/>
      <c r="F677" s="60">
        <f>30*20</f>
        <v>600</v>
      </c>
      <c r="G677" s="18"/>
      <c r="H677" s="2">
        <f>ROUND(D677*F677,2)</f>
        <v>0</v>
      </c>
      <c r="I677" s="18">
        <f t="shared" si="47"/>
        <v>0</v>
      </c>
    </row>
    <row r="678" spans="1:9" hidden="1" outlineLevel="1" x14ac:dyDescent="0.25">
      <c r="A678" s="84" t="s">
        <v>78</v>
      </c>
      <c r="B678" s="75" t="s">
        <v>126</v>
      </c>
      <c r="C678" s="2"/>
      <c r="D678" s="2"/>
      <c r="E678" s="282"/>
      <c r="F678" s="11"/>
      <c r="G678" s="18"/>
      <c r="H678" s="18"/>
      <c r="I678" s="18">
        <f t="shared" si="47"/>
        <v>0</v>
      </c>
    </row>
    <row r="679" spans="1:9" hidden="1" outlineLevel="1" x14ac:dyDescent="0.25">
      <c r="A679" s="84" t="s">
        <v>546</v>
      </c>
      <c r="B679" s="29" t="s">
        <v>127</v>
      </c>
      <c r="C679" s="31" t="s">
        <v>12</v>
      </c>
      <c r="D679" s="31">
        <v>0</v>
      </c>
      <c r="E679" s="256">
        <v>10000</v>
      </c>
      <c r="F679" s="60"/>
      <c r="G679" s="2">
        <f>ROUND(E679*D679,2)</f>
        <v>0</v>
      </c>
      <c r="H679" s="18"/>
      <c r="I679" s="18">
        <f t="shared" si="47"/>
        <v>0</v>
      </c>
    </row>
    <row r="680" spans="1:9" hidden="1" outlineLevel="1" x14ac:dyDescent="0.25">
      <c r="A680" s="84"/>
      <c r="B680" s="343" t="s">
        <v>128</v>
      </c>
      <c r="C680" s="21" t="s">
        <v>12</v>
      </c>
      <c r="D680" s="340">
        <v>0</v>
      </c>
      <c r="E680" s="18"/>
      <c r="F680" s="60">
        <v>1033.78</v>
      </c>
      <c r="G680" s="18"/>
      <c r="H680" s="2">
        <f t="shared" ref="H680:H690" si="48">ROUND(D680*F680,2)</f>
        <v>0</v>
      </c>
      <c r="I680" s="18">
        <f t="shared" si="47"/>
        <v>0</v>
      </c>
    </row>
    <row r="681" spans="1:9" hidden="1" outlineLevel="1" x14ac:dyDescent="0.25">
      <c r="A681" s="84"/>
      <c r="B681" s="343" t="s">
        <v>129</v>
      </c>
      <c r="C681" s="21" t="s">
        <v>12</v>
      </c>
      <c r="D681" s="340">
        <v>0</v>
      </c>
      <c r="E681" s="18"/>
      <c r="F681" s="60">
        <v>2018.83</v>
      </c>
      <c r="G681" s="18"/>
      <c r="H681" s="2">
        <f t="shared" si="48"/>
        <v>0</v>
      </c>
      <c r="I681" s="18">
        <f t="shared" si="47"/>
        <v>0</v>
      </c>
    </row>
    <row r="682" spans="1:9" hidden="1" outlineLevel="1" x14ac:dyDescent="0.25">
      <c r="A682" s="84"/>
      <c r="B682" s="329" t="s">
        <v>130</v>
      </c>
      <c r="C682" s="21" t="s">
        <v>12</v>
      </c>
      <c r="D682" s="340">
        <v>0</v>
      </c>
      <c r="E682" s="18"/>
      <c r="F682" s="60">
        <v>109.44</v>
      </c>
      <c r="G682" s="18"/>
      <c r="H682" s="2">
        <f t="shared" si="48"/>
        <v>0</v>
      </c>
      <c r="I682" s="18">
        <f t="shared" si="47"/>
        <v>0</v>
      </c>
    </row>
    <row r="683" spans="1:9" hidden="1" outlineLevel="1" x14ac:dyDescent="0.25">
      <c r="A683" s="84"/>
      <c r="B683" s="329" t="s">
        <v>131</v>
      </c>
      <c r="C683" s="21" t="s">
        <v>12</v>
      </c>
      <c r="D683" s="340">
        <v>0</v>
      </c>
      <c r="E683" s="18"/>
      <c r="F683" s="60">
        <v>228.92</v>
      </c>
      <c r="G683" s="18"/>
      <c r="H683" s="2">
        <f t="shared" si="48"/>
        <v>0</v>
      </c>
      <c r="I683" s="18">
        <f t="shared" si="47"/>
        <v>0</v>
      </c>
    </row>
    <row r="684" spans="1:9" hidden="1" outlineLevel="1" x14ac:dyDescent="0.25">
      <c r="A684" s="84"/>
      <c r="B684" s="329" t="s">
        <v>132</v>
      </c>
      <c r="C684" s="21" t="s">
        <v>12</v>
      </c>
      <c r="D684" s="340">
        <v>0</v>
      </c>
      <c r="E684" s="18"/>
      <c r="F684" s="60">
        <v>198</v>
      </c>
      <c r="G684" s="18"/>
      <c r="H684" s="2">
        <f t="shared" si="48"/>
        <v>0</v>
      </c>
      <c r="I684" s="18">
        <f t="shared" si="47"/>
        <v>0</v>
      </c>
    </row>
    <row r="685" spans="1:9" hidden="1" outlineLevel="1" x14ac:dyDescent="0.25">
      <c r="A685" s="84"/>
      <c r="B685" s="329" t="s">
        <v>704</v>
      </c>
      <c r="C685" s="21" t="s">
        <v>12</v>
      </c>
      <c r="D685" s="340">
        <v>0</v>
      </c>
      <c r="E685" s="18"/>
      <c r="F685" s="164">
        <v>100</v>
      </c>
      <c r="G685" s="18"/>
      <c r="H685" s="2">
        <f>ROUND(D685*F685,2)</f>
        <v>0</v>
      </c>
      <c r="I685" s="18">
        <f>G685+H685</f>
        <v>0</v>
      </c>
    </row>
    <row r="686" spans="1:9" ht="19.95" hidden="1" customHeight="1" outlineLevel="1" x14ac:dyDescent="0.25">
      <c r="A686" s="84"/>
      <c r="B686" s="329" t="s">
        <v>706</v>
      </c>
      <c r="C686" s="21" t="s">
        <v>12</v>
      </c>
      <c r="D686" s="340">
        <v>0</v>
      </c>
      <c r="E686" s="18"/>
      <c r="F686" s="60">
        <v>43</v>
      </c>
      <c r="G686" s="18"/>
      <c r="H686" s="2">
        <f t="shared" si="48"/>
        <v>0</v>
      </c>
      <c r="I686" s="18">
        <f t="shared" si="47"/>
        <v>0</v>
      </c>
    </row>
    <row r="687" spans="1:9" ht="31.2" hidden="1" customHeight="1" outlineLevel="1" x14ac:dyDescent="0.25">
      <c r="A687" s="84"/>
      <c r="B687" s="329" t="s">
        <v>707</v>
      </c>
      <c r="C687" s="21" t="s">
        <v>12</v>
      </c>
      <c r="D687" s="340">
        <v>0</v>
      </c>
      <c r="E687" s="18"/>
      <c r="F687" s="60">
        <v>448</v>
      </c>
      <c r="G687" s="18"/>
      <c r="H687" s="2">
        <f t="shared" si="48"/>
        <v>0</v>
      </c>
      <c r="I687" s="18">
        <f t="shared" si="47"/>
        <v>0</v>
      </c>
    </row>
    <row r="688" spans="1:9" hidden="1" outlineLevel="1" x14ac:dyDescent="0.25">
      <c r="A688" s="84"/>
      <c r="B688" s="329" t="s">
        <v>133</v>
      </c>
      <c r="C688" s="21" t="s">
        <v>12</v>
      </c>
      <c r="D688" s="340">
        <v>0</v>
      </c>
      <c r="E688" s="18"/>
      <c r="F688" s="60">
        <v>5922.3</v>
      </c>
      <c r="G688" s="18"/>
      <c r="H688" s="2">
        <f t="shared" si="48"/>
        <v>0</v>
      </c>
      <c r="I688" s="18">
        <f>G688+H688</f>
        <v>0</v>
      </c>
    </row>
    <row r="689" spans="1:9" hidden="1" outlineLevel="1" x14ac:dyDescent="0.25">
      <c r="A689" s="84"/>
      <c r="B689" s="329" t="s">
        <v>705</v>
      </c>
      <c r="C689" s="21" t="s">
        <v>12</v>
      </c>
      <c r="D689" s="340">
        <v>0</v>
      </c>
      <c r="E689" s="18"/>
      <c r="F689" s="60">
        <v>127</v>
      </c>
      <c r="G689" s="18"/>
      <c r="H689" s="2">
        <f t="shared" si="48"/>
        <v>0</v>
      </c>
      <c r="I689" s="18">
        <f t="shared" si="47"/>
        <v>0</v>
      </c>
    </row>
    <row r="690" spans="1:9" hidden="1" outlineLevel="1" x14ac:dyDescent="0.25">
      <c r="A690" s="84"/>
      <c r="B690" s="329" t="s">
        <v>91</v>
      </c>
      <c r="C690" s="21" t="s">
        <v>15</v>
      </c>
      <c r="D690" s="340">
        <v>0</v>
      </c>
      <c r="E690" s="18"/>
      <c r="F690" s="60">
        <f>37500/1000</f>
        <v>37.5</v>
      </c>
      <c r="G690" s="18"/>
      <c r="H690" s="2">
        <f t="shared" si="48"/>
        <v>0</v>
      </c>
      <c r="I690" s="18">
        <f t="shared" si="47"/>
        <v>0</v>
      </c>
    </row>
    <row r="691" spans="1:9" hidden="1" outlineLevel="1" x14ac:dyDescent="0.25">
      <c r="A691" s="84" t="s">
        <v>82</v>
      </c>
      <c r="B691" s="75" t="s">
        <v>134</v>
      </c>
      <c r="C691" s="2"/>
      <c r="D691" s="158"/>
      <c r="E691" s="2"/>
      <c r="F691" s="11"/>
      <c r="G691" s="18"/>
      <c r="H691" s="18"/>
      <c r="I691" s="18">
        <f t="shared" si="47"/>
        <v>0</v>
      </c>
    </row>
    <row r="692" spans="1:9" ht="31.2" hidden="1" outlineLevel="1" x14ac:dyDescent="0.25">
      <c r="A692" s="84" t="s">
        <v>547</v>
      </c>
      <c r="B692" s="307" t="s">
        <v>112</v>
      </c>
      <c r="C692" s="31" t="s">
        <v>29</v>
      </c>
      <c r="D692" s="31">
        <f>D693</f>
        <v>0</v>
      </c>
      <c r="E692" s="256">
        <v>85</v>
      </c>
      <c r="F692" s="60"/>
      <c r="G692" s="2">
        <f>ROUND(E692*D692,2)</f>
        <v>0</v>
      </c>
      <c r="H692" s="18"/>
      <c r="I692" s="18">
        <f t="shared" si="47"/>
        <v>0</v>
      </c>
    </row>
    <row r="693" spans="1:9" hidden="1" outlineLevel="1" x14ac:dyDescent="0.25">
      <c r="A693" s="84"/>
      <c r="B693" s="329" t="s">
        <v>114</v>
      </c>
      <c r="C693" s="21" t="s">
        <v>29</v>
      </c>
      <c r="D693" s="340">
        <v>0</v>
      </c>
      <c r="E693" s="282"/>
      <c r="F693" s="60">
        <f>311.85/3</f>
        <v>103.95</v>
      </c>
      <c r="G693" s="18"/>
      <c r="H693" s="2">
        <f>ROUND(D693*F693,2)</f>
        <v>0</v>
      </c>
      <c r="I693" s="18">
        <f t="shared" si="47"/>
        <v>0</v>
      </c>
    </row>
    <row r="694" spans="1:9" hidden="1" outlineLevel="1" x14ac:dyDescent="0.25">
      <c r="A694" s="84"/>
      <c r="B694" s="329" t="s">
        <v>329</v>
      </c>
      <c r="C694" s="21" t="s">
        <v>12</v>
      </c>
      <c r="D694" s="340">
        <v>0</v>
      </c>
      <c r="E694" s="282"/>
      <c r="F694" s="60">
        <v>200</v>
      </c>
      <c r="G694" s="18"/>
      <c r="H694" s="2">
        <f>ROUND(D694*F694,2)</f>
        <v>0</v>
      </c>
      <c r="I694" s="18">
        <f t="shared" si="47"/>
        <v>0</v>
      </c>
    </row>
    <row r="695" spans="1:9" hidden="1" outlineLevel="1" x14ac:dyDescent="0.25">
      <c r="A695" s="84"/>
      <c r="B695" s="329" t="s">
        <v>135</v>
      </c>
      <c r="C695" s="21" t="s">
        <v>12</v>
      </c>
      <c r="D695" s="340">
        <v>0</v>
      </c>
      <c r="E695" s="282"/>
      <c r="F695" s="60">
        <v>61.27</v>
      </c>
      <c r="G695" s="18"/>
      <c r="H695" s="2">
        <f>ROUND(D695*F695,2)</f>
        <v>0</v>
      </c>
      <c r="I695" s="18">
        <f t="shared" si="47"/>
        <v>0</v>
      </c>
    </row>
    <row r="696" spans="1:9" hidden="1" outlineLevel="1" x14ac:dyDescent="0.25">
      <c r="A696" s="84"/>
      <c r="B696" s="329" t="s">
        <v>433</v>
      </c>
      <c r="C696" s="21" t="s">
        <v>12</v>
      </c>
      <c r="D696" s="340">
        <v>0</v>
      </c>
      <c r="E696" s="282"/>
      <c r="F696" s="60">
        <v>40</v>
      </c>
      <c r="G696" s="18"/>
      <c r="H696" s="2">
        <f>ROUND(D696*F696,2)</f>
        <v>0</v>
      </c>
      <c r="I696" s="18">
        <f>G696+H696</f>
        <v>0</v>
      </c>
    </row>
    <row r="697" spans="1:9" hidden="1" outlineLevel="1" x14ac:dyDescent="0.25">
      <c r="A697" s="84" t="s">
        <v>548</v>
      </c>
      <c r="B697" s="307" t="s">
        <v>136</v>
      </c>
      <c r="C697" s="31" t="s">
        <v>29</v>
      </c>
      <c r="D697" s="306">
        <f>D698</f>
        <v>0</v>
      </c>
      <c r="E697" s="256">
        <v>150</v>
      </c>
      <c r="F697" s="60"/>
      <c r="G697" s="2">
        <f>ROUND(E697*D697,2)</f>
        <v>0</v>
      </c>
      <c r="H697" s="18"/>
      <c r="I697" s="18">
        <f t="shared" si="47"/>
        <v>0</v>
      </c>
    </row>
    <row r="698" spans="1:9" hidden="1" outlineLevel="1" x14ac:dyDescent="0.25">
      <c r="A698" s="84"/>
      <c r="B698" s="329" t="s">
        <v>432</v>
      </c>
      <c r="C698" s="21" t="s">
        <v>29</v>
      </c>
      <c r="D698" s="340">
        <v>0</v>
      </c>
      <c r="E698" s="282"/>
      <c r="F698" s="60">
        <f>107*3</f>
        <v>321</v>
      </c>
      <c r="G698" s="18"/>
      <c r="H698" s="2">
        <f>ROUND(D698*F698,2)</f>
        <v>0</v>
      </c>
      <c r="I698" s="18">
        <f t="shared" si="47"/>
        <v>0</v>
      </c>
    </row>
    <row r="699" spans="1:9" hidden="1" outlineLevel="1" x14ac:dyDescent="0.25">
      <c r="A699" s="84"/>
      <c r="B699" s="329" t="s">
        <v>708</v>
      </c>
      <c r="C699" s="21" t="s">
        <v>12</v>
      </c>
      <c r="D699" s="340">
        <v>0</v>
      </c>
      <c r="E699" s="282"/>
      <c r="F699" s="60">
        <v>205</v>
      </c>
      <c r="G699" s="18"/>
      <c r="H699" s="2">
        <f>ROUND(D699*F699,2)</f>
        <v>0</v>
      </c>
      <c r="I699" s="18">
        <f t="shared" si="47"/>
        <v>0</v>
      </c>
    </row>
    <row r="700" spans="1:9" hidden="1" outlineLevel="1" x14ac:dyDescent="0.25">
      <c r="A700" s="87" t="s">
        <v>549</v>
      </c>
      <c r="B700" s="29" t="s">
        <v>101</v>
      </c>
      <c r="C700" s="31" t="s">
        <v>29</v>
      </c>
      <c r="D700" s="31">
        <f>D692</f>
        <v>0</v>
      </c>
      <c r="E700" s="256">
        <v>150</v>
      </c>
      <c r="F700" s="60"/>
      <c r="G700" s="2">
        <f>ROUND(E700*D700,2)</f>
        <v>0</v>
      </c>
      <c r="H700" s="18"/>
      <c r="I700" s="18">
        <f t="shared" si="47"/>
        <v>0</v>
      </c>
    </row>
    <row r="701" spans="1:9" hidden="1" outlineLevel="1" x14ac:dyDescent="0.25">
      <c r="A701" s="84"/>
      <c r="B701" s="329" t="s">
        <v>174</v>
      </c>
      <c r="C701" s="21" t="s">
        <v>12</v>
      </c>
      <c r="D701" s="340">
        <v>0</v>
      </c>
      <c r="E701" s="282"/>
      <c r="F701" s="60">
        <v>200</v>
      </c>
      <c r="G701" s="18"/>
      <c r="H701" s="2">
        <f>ROUND(D701*F701,2)</f>
        <v>0</v>
      </c>
      <c r="I701" s="18">
        <f t="shared" si="47"/>
        <v>0</v>
      </c>
    </row>
    <row r="702" spans="1:9" hidden="1" outlineLevel="1" x14ac:dyDescent="0.25">
      <c r="A702" s="87" t="s">
        <v>550</v>
      </c>
      <c r="B702" s="307" t="s">
        <v>138</v>
      </c>
      <c r="C702" s="31" t="s">
        <v>12</v>
      </c>
      <c r="D702" s="306">
        <v>0</v>
      </c>
      <c r="E702" s="282"/>
      <c r="F702" s="60"/>
      <c r="G702" s="18"/>
      <c r="H702" s="18"/>
      <c r="I702" s="18">
        <f t="shared" si="47"/>
        <v>0</v>
      </c>
    </row>
    <row r="703" spans="1:9" hidden="1" outlineLevel="1" x14ac:dyDescent="0.25">
      <c r="A703" s="84"/>
      <c r="B703" s="329" t="s">
        <v>709</v>
      </c>
      <c r="C703" s="21" t="s">
        <v>12</v>
      </c>
      <c r="D703" s="340">
        <v>0</v>
      </c>
      <c r="E703" s="282"/>
      <c r="F703" s="60">
        <v>5555</v>
      </c>
      <c r="G703" s="18"/>
      <c r="H703" s="2">
        <f>ROUND(D703*F703,2)</f>
        <v>0</v>
      </c>
      <c r="I703" s="18">
        <f t="shared" si="47"/>
        <v>0</v>
      </c>
    </row>
    <row r="704" spans="1:9" hidden="1" outlineLevel="1" x14ac:dyDescent="0.25">
      <c r="A704" s="84"/>
      <c r="B704" s="329" t="s">
        <v>710</v>
      </c>
      <c r="C704" s="21" t="s">
        <v>12</v>
      </c>
      <c r="D704" s="340">
        <v>0</v>
      </c>
      <c r="E704" s="282"/>
      <c r="F704" s="164">
        <v>300</v>
      </c>
      <c r="G704" s="18"/>
      <c r="H704" s="2">
        <f>ROUND(D704*F704,2)</f>
        <v>0</v>
      </c>
      <c r="I704" s="18">
        <f>G704+H704</f>
        <v>0</v>
      </c>
    </row>
    <row r="705" spans="1:10" ht="31.2" hidden="1" outlineLevel="1" x14ac:dyDescent="0.25">
      <c r="A705" s="87" t="s">
        <v>551</v>
      </c>
      <c r="B705" s="29" t="s">
        <v>434</v>
      </c>
      <c r="C705" s="31" t="s">
        <v>29</v>
      </c>
      <c r="D705" s="31">
        <f>D706</f>
        <v>0</v>
      </c>
      <c r="E705" s="256">
        <v>250</v>
      </c>
      <c r="F705" s="60"/>
      <c r="G705" s="2">
        <f>ROUND(E705*D705,2)</f>
        <v>0</v>
      </c>
      <c r="H705" s="18"/>
      <c r="I705" s="18">
        <f t="shared" si="47"/>
        <v>0</v>
      </c>
    </row>
    <row r="706" spans="1:10" hidden="1" outlineLevel="1" x14ac:dyDescent="0.25">
      <c r="A706" s="84"/>
      <c r="B706" s="329" t="s">
        <v>114</v>
      </c>
      <c r="C706" s="21" t="s">
        <v>29</v>
      </c>
      <c r="D706" s="340">
        <v>0</v>
      </c>
      <c r="E706" s="18"/>
      <c r="F706" s="60">
        <v>103.95</v>
      </c>
      <c r="G706" s="18"/>
      <c r="H706" s="2">
        <f>ROUND(D706*F706,2)</f>
        <v>0</v>
      </c>
      <c r="I706" s="18">
        <f t="shared" si="47"/>
        <v>0</v>
      </c>
    </row>
    <row r="707" spans="1:10" hidden="1" outlineLevel="1" x14ac:dyDescent="0.25">
      <c r="A707" s="84"/>
      <c r="B707" s="329" t="s">
        <v>703</v>
      </c>
      <c r="C707" s="21" t="s">
        <v>14</v>
      </c>
      <c r="D707" s="340">
        <v>0</v>
      </c>
      <c r="E707" s="18"/>
      <c r="F707" s="164">
        <v>100</v>
      </c>
      <c r="G707" s="18"/>
      <c r="H707" s="2">
        <f>ROUND(D707*F707,2)</f>
        <v>0</v>
      </c>
      <c r="I707" s="18">
        <f t="shared" si="47"/>
        <v>0</v>
      </c>
    </row>
    <row r="708" spans="1:10" hidden="1" outlineLevel="1" x14ac:dyDescent="0.25">
      <c r="A708" s="84"/>
      <c r="B708" s="192" t="s">
        <v>140</v>
      </c>
      <c r="C708" s="2"/>
      <c r="D708" s="2"/>
      <c r="E708" s="2"/>
      <c r="F708" s="11"/>
      <c r="G708" s="18"/>
      <c r="H708" s="18"/>
      <c r="I708" s="18">
        <f t="shared" si="47"/>
        <v>0</v>
      </c>
    </row>
    <row r="709" spans="1:10" ht="31.2" hidden="1" outlineLevel="1" x14ac:dyDescent="0.25">
      <c r="A709" s="84"/>
      <c r="B709" s="307" t="s">
        <v>112</v>
      </c>
      <c r="C709" s="2" t="s">
        <v>29</v>
      </c>
      <c r="D709" s="306">
        <f>D710</f>
        <v>0</v>
      </c>
      <c r="E709" s="31">
        <v>250</v>
      </c>
      <c r="F709" s="60"/>
      <c r="G709" s="2">
        <f>ROUND(E709*D709,2)</f>
        <v>0</v>
      </c>
      <c r="H709" s="18"/>
      <c r="I709" s="18">
        <f>G709+H709</f>
        <v>0</v>
      </c>
      <c r="J709" s="780"/>
    </row>
    <row r="710" spans="1:10" hidden="1" outlineLevel="1" x14ac:dyDescent="0.25">
      <c r="A710" s="84"/>
      <c r="B710" s="329" t="s">
        <v>711</v>
      </c>
      <c r="C710" s="21" t="s">
        <v>29</v>
      </c>
      <c r="D710" s="340">
        <v>0</v>
      </c>
      <c r="E710" s="2"/>
      <c r="F710" s="11">
        <v>103.95</v>
      </c>
      <c r="G710" s="158"/>
      <c r="H710" s="2">
        <f t="shared" ref="H710:H720" si="49">ROUND(D710*F710,2)</f>
        <v>0</v>
      </c>
      <c r="I710" s="18">
        <f t="shared" si="47"/>
        <v>0</v>
      </c>
      <c r="J710" s="780"/>
    </row>
    <row r="711" spans="1:10" hidden="1" outlineLevel="1" x14ac:dyDescent="0.25">
      <c r="A711" s="84"/>
      <c r="B711" s="329" t="s">
        <v>91</v>
      </c>
      <c r="C711" s="21" t="s">
        <v>15</v>
      </c>
      <c r="D711" s="340">
        <v>0</v>
      </c>
      <c r="E711" s="2"/>
      <c r="F711" s="11">
        <v>42</v>
      </c>
      <c r="G711" s="158"/>
      <c r="H711" s="2">
        <f t="shared" si="49"/>
        <v>0</v>
      </c>
      <c r="I711" s="18">
        <f t="shared" si="47"/>
        <v>0</v>
      </c>
      <c r="J711" s="780"/>
    </row>
    <row r="712" spans="1:10" hidden="1" outlineLevel="1" x14ac:dyDescent="0.25">
      <c r="A712" s="84"/>
      <c r="B712" s="307" t="s">
        <v>141</v>
      </c>
      <c r="C712" s="2" t="s">
        <v>12</v>
      </c>
      <c r="D712" s="340">
        <v>0</v>
      </c>
      <c r="E712" s="2"/>
      <c r="F712" s="11"/>
      <c r="G712" s="158"/>
      <c r="H712" s="2">
        <f t="shared" si="49"/>
        <v>0</v>
      </c>
      <c r="I712" s="18">
        <f t="shared" si="47"/>
        <v>0</v>
      </c>
      <c r="J712" s="780"/>
    </row>
    <row r="713" spans="1:10" hidden="1" outlineLevel="1" x14ac:dyDescent="0.25">
      <c r="A713" s="84"/>
      <c r="B713" s="329" t="s">
        <v>142</v>
      </c>
      <c r="C713" s="21" t="s">
        <v>12</v>
      </c>
      <c r="D713" s="340">
        <v>0</v>
      </c>
      <c r="E713" s="2"/>
      <c r="F713" s="11">
        <v>586.74</v>
      </c>
      <c r="G713" s="158"/>
      <c r="H713" s="2">
        <f t="shared" si="49"/>
        <v>0</v>
      </c>
      <c r="I713" s="18">
        <f t="shared" si="47"/>
        <v>0</v>
      </c>
      <c r="J713" s="780"/>
    </row>
    <row r="714" spans="1:10" hidden="1" outlineLevel="1" x14ac:dyDescent="0.25">
      <c r="A714" s="84"/>
      <c r="B714" s="329" t="s">
        <v>143</v>
      </c>
      <c r="C714" s="21" t="s">
        <v>12</v>
      </c>
      <c r="D714" s="340">
        <v>0</v>
      </c>
      <c r="E714" s="2"/>
      <c r="F714" s="11">
        <v>429</v>
      </c>
      <c r="G714" s="158"/>
      <c r="H714" s="2">
        <f t="shared" si="49"/>
        <v>0</v>
      </c>
      <c r="I714" s="18">
        <f t="shared" si="47"/>
        <v>0</v>
      </c>
      <c r="J714" s="780"/>
    </row>
    <row r="715" spans="1:10" hidden="1" outlineLevel="1" x14ac:dyDescent="0.25">
      <c r="A715" s="84"/>
      <c r="B715" s="329" t="s">
        <v>712</v>
      </c>
      <c r="C715" s="21" t="s">
        <v>12</v>
      </c>
      <c r="D715" s="340">
        <v>0</v>
      </c>
      <c r="E715" s="18"/>
      <c r="F715" s="164">
        <v>100</v>
      </c>
      <c r="G715" s="18"/>
      <c r="H715" s="2">
        <f t="shared" si="49"/>
        <v>0</v>
      </c>
      <c r="I715" s="18">
        <f t="shared" si="47"/>
        <v>0</v>
      </c>
      <c r="J715" s="780"/>
    </row>
    <row r="716" spans="1:10" hidden="1" outlineLevel="1" x14ac:dyDescent="0.25">
      <c r="A716" s="84"/>
      <c r="B716" s="329" t="s">
        <v>713</v>
      </c>
      <c r="C716" s="21" t="s">
        <v>12</v>
      </c>
      <c r="D716" s="340">
        <v>0</v>
      </c>
      <c r="E716" s="282"/>
      <c r="F716" s="164">
        <v>40</v>
      </c>
      <c r="G716" s="18"/>
      <c r="H716" s="2">
        <f>ROUND(D716*F716,2)</f>
        <v>0</v>
      </c>
      <c r="I716" s="18">
        <f>G716+H716</f>
        <v>0</v>
      </c>
      <c r="J716" s="780"/>
    </row>
    <row r="717" spans="1:10" hidden="1" outlineLevel="1" x14ac:dyDescent="0.25">
      <c r="A717" s="84"/>
      <c r="B717" s="307" t="s">
        <v>101</v>
      </c>
      <c r="C717" s="2" t="s">
        <v>29</v>
      </c>
      <c r="D717" s="340">
        <f>D709</f>
        <v>0</v>
      </c>
      <c r="E717" s="2"/>
      <c r="F717" s="11"/>
      <c r="G717" s="158"/>
      <c r="H717" s="2">
        <f t="shared" si="49"/>
        <v>0</v>
      </c>
      <c r="I717" s="18">
        <f t="shared" si="47"/>
        <v>0</v>
      </c>
      <c r="J717" s="780"/>
    </row>
    <row r="718" spans="1:10" hidden="1" outlineLevel="1" x14ac:dyDescent="0.25">
      <c r="A718" s="84"/>
      <c r="B718" s="329" t="s">
        <v>137</v>
      </c>
      <c r="C718" s="21" t="s">
        <v>12</v>
      </c>
      <c r="D718" s="340">
        <v>0</v>
      </c>
      <c r="E718" s="2"/>
      <c r="F718" s="11">
        <v>200</v>
      </c>
      <c r="G718" s="158"/>
      <c r="H718" s="2">
        <f t="shared" si="49"/>
        <v>0</v>
      </c>
      <c r="I718" s="18">
        <f t="shared" si="47"/>
        <v>0</v>
      </c>
      <c r="J718" s="780"/>
    </row>
    <row r="719" spans="1:10" hidden="1" outlineLevel="1" x14ac:dyDescent="0.25">
      <c r="A719" s="84"/>
      <c r="B719" s="329" t="s">
        <v>703</v>
      </c>
      <c r="C719" s="21" t="s">
        <v>14</v>
      </c>
      <c r="D719" s="340">
        <v>0</v>
      </c>
      <c r="E719" s="18"/>
      <c r="F719" s="164">
        <v>100</v>
      </c>
      <c r="G719" s="18"/>
      <c r="H719" s="2">
        <f t="shared" si="49"/>
        <v>0</v>
      </c>
      <c r="I719" s="18">
        <f>G719+H719</f>
        <v>0</v>
      </c>
      <c r="J719" s="359"/>
    </row>
    <row r="720" spans="1:10" hidden="1" outlineLevel="1" x14ac:dyDescent="0.25">
      <c r="A720" s="84" t="s">
        <v>84</v>
      </c>
      <c r="B720" s="75" t="s">
        <v>144</v>
      </c>
      <c r="C720" s="2"/>
      <c r="D720" s="2"/>
      <c r="E720" s="2"/>
      <c r="F720" s="11"/>
      <c r="G720" s="18"/>
      <c r="H720" s="2">
        <f t="shared" si="49"/>
        <v>0</v>
      </c>
      <c r="I720" s="18">
        <f t="shared" si="47"/>
        <v>0</v>
      </c>
    </row>
    <row r="721" spans="1:10" ht="31.2" hidden="1" outlineLevel="1" x14ac:dyDescent="0.25">
      <c r="A721" s="84" t="s">
        <v>552</v>
      </c>
      <c r="B721" s="177" t="s">
        <v>145</v>
      </c>
      <c r="C721" s="31" t="s">
        <v>29</v>
      </c>
      <c r="D721" s="31">
        <v>0</v>
      </c>
      <c r="E721" s="256">
        <v>30</v>
      </c>
      <c r="F721" s="60"/>
      <c r="G721" s="2"/>
      <c r="H721" s="18"/>
      <c r="I721" s="18"/>
    </row>
    <row r="722" spans="1:10" hidden="1" outlineLevel="1" x14ac:dyDescent="0.25">
      <c r="A722" s="84"/>
      <c r="B722" s="173" t="s">
        <v>146</v>
      </c>
      <c r="C722" s="21" t="s">
        <v>12</v>
      </c>
      <c r="D722" s="184">
        <v>0</v>
      </c>
      <c r="E722" s="18"/>
      <c r="F722" s="60">
        <v>9275</v>
      </c>
      <c r="G722" s="18"/>
      <c r="H722" s="2"/>
      <c r="I722" s="18"/>
    </row>
    <row r="723" spans="1:10" hidden="1" outlineLevel="1" x14ac:dyDescent="0.25">
      <c r="A723" s="84"/>
      <c r="B723" s="173" t="s">
        <v>147</v>
      </c>
      <c r="C723" s="21" t="s">
        <v>29</v>
      </c>
      <c r="D723" s="2">
        <f>D721</f>
        <v>0</v>
      </c>
      <c r="E723" s="18"/>
      <c r="F723" s="60">
        <v>3</v>
      </c>
      <c r="G723" s="18"/>
      <c r="H723" s="2"/>
      <c r="I723" s="18"/>
    </row>
    <row r="724" spans="1:10" ht="31.2" hidden="1" outlineLevel="1" x14ac:dyDescent="0.25">
      <c r="A724" s="84" t="s">
        <v>331</v>
      </c>
      <c r="B724" s="75" t="s">
        <v>148</v>
      </c>
      <c r="C724" s="2"/>
      <c r="D724" s="2"/>
      <c r="E724" s="2"/>
      <c r="F724" s="11"/>
      <c r="G724" s="18"/>
      <c r="H724" s="18"/>
      <c r="I724" s="18">
        <f t="shared" si="47"/>
        <v>0</v>
      </c>
    </row>
    <row r="725" spans="1:10" hidden="1" outlineLevel="1" x14ac:dyDescent="0.25">
      <c r="A725" s="84"/>
      <c r="B725" s="177" t="s">
        <v>149</v>
      </c>
      <c r="C725" s="158" t="s">
        <v>12</v>
      </c>
      <c r="D725" s="158">
        <v>0</v>
      </c>
      <c r="E725" s="158"/>
      <c r="F725" s="164"/>
      <c r="G725" s="158"/>
      <c r="H725" s="158"/>
      <c r="I725" s="158"/>
      <c r="J725" s="780"/>
    </row>
    <row r="726" spans="1:10" ht="31.2" hidden="1" outlineLevel="1" x14ac:dyDescent="0.25">
      <c r="A726" s="84"/>
      <c r="B726" s="173" t="s">
        <v>150</v>
      </c>
      <c r="C726" s="171" t="s">
        <v>12</v>
      </c>
      <c r="D726" s="158">
        <v>0</v>
      </c>
      <c r="E726" s="158"/>
      <c r="F726" s="164">
        <f>2352*1.18</f>
        <v>2775.3599999999997</v>
      </c>
      <c r="G726" s="158"/>
      <c r="H726" s="158"/>
      <c r="I726" s="158"/>
      <c r="J726" s="780"/>
    </row>
    <row r="727" spans="1:10" hidden="1" outlineLevel="1" x14ac:dyDescent="0.25">
      <c r="A727" s="84" t="s">
        <v>553</v>
      </c>
      <c r="B727" s="307" t="s">
        <v>151</v>
      </c>
      <c r="C727" s="31" t="s">
        <v>29</v>
      </c>
      <c r="D727" s="306">
        <f>D728</f>
        <v>0</v>
      </c>
      <c r="E727" s="256">
        <v>100</v>
      </c>
      <c r="F727" s="60"/>
      <c r="G727" s="2">
        <f>ROUND(E727*D727,2)</f>
        <v>0</v>
      </c>
      <c r="H727" s="18"/>
      <c r="I727" s="18">
        <f t="shared" si="47"/>
        <v>0</v>
      </c>
    </row>
    <row r="728" spans="1:10" hidden="1" outlineLevel="1" x14ac:dyDescent="0.25">
      <c r="A728" s="84"/>
      <c r="B728" s="329" t="s">
        <v>701</v>
      </c>
      <c r="C728" s="21" t="s">
        <v>29</v>
      </c>
      <c r="D728" s="340">
        <v>0</v>
      </c>
      <c r="E728" s="18"/>
      <c r="F728" s="60">
        <f>2779*1.18</f>
        <v>3279.22</v>
      </c>
      <c r="G728" s="18"/>
      <c r="H728" s="2">
        <f>ROUND(D728*F728,2)</f>
        <v>0</v>
      </c>
      <c r="I728" s="18">
        <f t="shared" si="47"/>
        <v>0</v>
      </c>
    </row>
    <row r="729" spans="1:10" ht="31.2" hidden="1" outlineLevel="1" x14ac:dyDescent="0.25">
      <c r="A729" s="84" t="s">
        <v>554</v>
      </c>
      <c r="B729" s="307" t="s">
        <v>152</v>
      </c>
      <c r="C729" s="31" t="s">
        <v>29</v>
      </c>
      <c r="D729" s="306">
        <f>D730</f>
        <v>0</v>
      </c>
      <c r="E729" s="256">
        <v>85</v>
      </c>
      <c r="F729" s="60"/>
      <c r="G729" s="2">
        <f>ROUND(E729*D729,2)</f>
        <v>0</v>
      </c>
      <c r="H729" s="18"/>
      <c r="I729" s="18">
        <f t="shared" si="47"/>
        <v>0</v>
      </c>
    </row>
    <row r="730" spans="1:10" hidden="1" outlineLevel="1" x14ac:dyDescent="0.25">
      <c r="A730" s="84"/>
      <c r="B730" s="329" t="s">
        <v>438</v>
      </c>
      <c r="C730" s="21" t="s">
        <v>29</v>
      </c>
      <c r="D730" s="340">
        <v>0</v>
      </c>
      <c r="E730" s="18"/>
      <c r="F730" s="60">
        <f>1626.1/5.5</f>
        <v>295.65454545454543</v>
      </c>
      <c r="G730" s="18"/>
      <c r="H730" s="2">
        <f>ROUND(D730*F730,2)</f>
        <v>0</v>
      </c>
      <c r="I730" s="18">
        <f t="shared" si="47"/>
        <v>0</v>
      </c>
    </row>
    <row r="731" spans="1:10" s="6" customFormat="1" hidden="1" outlineLevel="1" x14ac:dyDescent="0.25">
      <c r="A731" s="84" t="s">
        <v>555</v>
      </c>
      <c r="B731" s="307" t="s">
        <v>153</v>
      </c>
      <c r="C731" s="31" t="s">
        <v>12</v>
      </c>
      <c r="D731" s="306">
        <v>0</v>
      </c>
      <c r="E731" s="5"/>
      <c r="F731" s="60"/>
      <c r="G731" s="18"/>
      <c r="H731" s="18"/>
      <c r="I731" s="18">
        <f t="shared" si="47"/>
        <v>0</v>
      </c>
    </row>
    <row r="732" spans="1:10" hidden="1" outlineLevel="1" x14ac:dyDescent="0.25">
      <c r="A732" s="84"/>
      <c r="B732" s="329" t="s">
        <v>436</v>
      </c>
      <c r="C732" s="21" t="s">
        <v>12</v>
      </c>
      <c r="D732" s="340">
        <v>0</v>
      </c>
      <c r="E732" s="18"/>
      <c r="F732" s="60">
        <v>480.3</v>
      </c>
      <c r="G732" s="18"/>
      <c r="H732" s="2">
        <f>ROUND(D732*F732,2)</f>
        <v>0</v>
      </c>
      <c r="I732" s="18">
        <f t="shared" si="47"/>
        <v>0</v>
      </c>
    </row>
    <row r="733" spans="1:10" hidden="1" outlineLevel="1" x14ac:dyDescent="0.25">
      <c r="A733" s="84"/>
      <c r="B733" s="329" t="s">
        <v>435</v>
      </c>
      <c r="C733" s="21" t="s">
        <v>12</v>
      </c>
      <c r="D733" s="340">
        <v>0</v>
      </c>
      <c r="E733" s="18"/>
      <c r="F733" s="60">
        <v>322.2</v>
      </c>
      <c r="G733" s="18"/>
      <c r="H733" s="2">
        <f>ROUND(D733*F733,2)</f>
        <v>0</v>
      </c>
      <c r="I733" s="18">
        <f t="shared" si="47"/>
        <v>0</v>
      </c>
    </row>
    <row r="734" spans="1:10" hidden="1" outlineLevel="1" x14ac:dyDescent="0.25">
      <c r="A734" s="84" t="s">
        <v>556</v>
      </c>
      <c r="B734" s="75" t="s">
        <v>92</v>
      </c>
      <c r="C734" s="2"/>
      <c r="D734" s="2"/>
      <c r="E734" s="2"/>
      <c r="F734" s="11"/>
      <c r="G734" s="18"/>
      <c r="H734" s="18"/>
      <c r="I734" s="18">
        <f t="shared" si="47"/>
        <v>0</v>
      </c>
    </row>
    <row r="735" spans="1:10" ht="31.2" hidden="1" outlineLevel="1" x14ac:dyDescent="0.25">
      <c r="A735" s="84" t="s">
        <v>557</v>
      </c>
      <c r="B735" s="9" t="s">
        <v>93</v>
      </c>
      <c r="C735" s="31" t="s">
        <v>29</v>
      </c>
      <c r="D735" s="31">
        <v>0</v>
      </c>
      <c r="E735" s="256">
        <v>150</v>
      </c>
      <c r="F735" s="60"/>
      <c r="G735" s="2">
        <f>ROUND(E735*D735,2)</f>
        <v>0</v>
      </c>
      <c r="H735" s="18"/>
      <c r="I735" s="18">
        <f t="shared" si="47"/>
        <v>0</v>
      </c>
    </row>
    <row r="736" spans="1:10" hidden="1" outlineLevel="1" x14ac:dyDescent="0.25">
      <c r="A736" s="84"/>
      <c r="B736" s="343" t="s">
        <v>94</v>
      </c>
      <c r="C736" s="21" t="s">
        <v>29</v>
      </c>
      <c r="D736" s="340">
        <v>0</v>
      </c>
      <c r="E736" s="282"/>
      <c r="F736" s="60">
        <v>64.900000000000006</v>
      </c>
      <c r="G736" s="18"/>
      <c r="H736" s="2">
        <f>ROUND(D736*F736,2)</f>
        <v>0</v>
      </c>
      <c r="I736" s="18">
        <f t="shared" si="47"/>
        <v>0</v>
      </c>
    </row>
    <row r="737" spans="1:9" ht="31.2" hidden="1" outlineLevel="1" x14ac:dyDescent="0.25">
      <c r="A737" s="84" t="s">
        <v>558</v>
      </c>
      <c r="B737" s="29" t="s">
        <v>95</v>
      </c>
      <c r="C737" s="31" t="s">
        <v>29</v>
      </c>
      <c r="D737" s="31">
        <f>D738+D739+D740+D741</f>
        <v>0</v>
      </c>
      <c r="E737" s="256">
        <v>85</v>
      </c>
      <c r="F737" s="60"/>
      <c r="G737" s="2">
        <f>ROUND(E737*D737,2)</f>
        <v>0</v>
      </c>
      <c r="H737" s="18"/>
      <c r="I737" s="18">
        <f t="shared" si="47"/>
        <v>0</v>
      </c>
    </row>
    <row r="738" spans="1:9" hidden="1" outlineLevel="1" x14ac:dyDescent="0.25">
      <c r="A738" s="84"/>
      <c r="B738" s="343" t="s">
        <v>96</v>
      </c>
      <c r="C738" s="21" t="s">
        <v>29</v>
      </c>
      <c r="D738" s="340">
        <v>0</v>
      </c>
      <c r="E738" s="282"/>
      <c r="F738" s="60">
        <v>22.07</v>
      </c>
      <c r="G738" s="18"/>
      <c r="H738" s="2">
        <f t="shared" ref="H738:H745" si="50">ROUND(D738*F738,2)</f>
        <v>0</v>
      </c>
      <c r="I738" s="18">
        <f t="shared" ref="I738:I768" si="51">G738+H738</f>
        <v>0</v>
      </c>
    </row>
    <row r="739" spans="1:9" hidden="1" outlineLevel="1" x14ac:dyDescent="0.25">
      <c r="A739" s="84"/>
      <c r="B739" s="343" t="s">
        <v>97</v>
      </c>
      <c r="C739" s="21" t="s">
        <v>29</v>
      </c>
      <c r="D739" s="340">
        <v>0</v>
      </c>
      <c r="E739" s="282"/>
      <c r="F739" s="60">
        <v>25.75</v>
      </c>
      <c r="G739" s="18"/>
      <c r="H739" s="2">
        <f t="shared" si="50"/>
        <v>0</v>
      </c>
      <c r="I739" s="18">
        <f t="shared" si="51"/>
        <v>0</v>
      </c>
    </row>
    <row r="740" spans="1:9" hidden="1" outlineLevel="1" x14ac:dyDescent="0.25">
      <c r="A740" s="84"/>
      <c r="B740" s="343" t="s">
        <v>98</v>
      </c>
      <c r="C740" s="21" t="s">
        <v>29</v>
      </c>
      <c r="D740" s="340">
        <v>0</v>
      </c>
      <c r="E740" s="282"/>
      <c r="F740" s="60">
        <v>58.9</v>
      </c>
      <c r="G740" s="18"/>
      <c r="H740" s="2">
        <f t="shared" si="50"/>
        <v>0</v>
      </c>
      <c r="I740" s="18">
        <f t="shared" si="51"/>
        <v>0</v>
      </c>
    </row>
    <row r="741" spans="1:9" hidden="1" outlineLevel="1" x14ac:dyDescent="0.25">
      <c r="A741" s="84"/>
      <c r="B741" s="343" t="s">
        <v>241</v>
      </c>
      <c r="C741" s="21" t="s">
        <v>29</v>
      </c>
      <c r="D741" s="340">
        <v>0</v>
      </c>
      <c r="E741" s="282"/>
      <c r="F741" s="60">
        <v>75</v>
      </c>
      <c r="G741" s="18"/>
      <c r="H741" s="2">
        <f t="shared" si="50"/>
        <v>0</v>
      </c>
      <c r="I741" s="18">
        <f>G741+H741</f>
        <v>0</v>
      </c>
    </row>
    <row r="742" spans="1:9" hidden="1" outlineLevel="1" x14ac:dyDescent="0.25">
      <c r="A742" s="84"/>
      <c r="B742" s="329" t="s">
        <v>99</v>
      </c>
      <c r="C742" s="21" t="s">
        <v>12</v>
      </c>
      <c r="D742" s="340">
        <v>0</v>
      </c>
      <c r="E742" s="282"/>
      <c r="F742" s="60">
        <v>198</v>
      </c>
      <c r="G742" s="18"/>
      <c r="H742" s="2">
        <f t="shared" si="50"/>
        <v>0</v>
      </c>
      <c r="I742" s="18">
        <f t="shared" si="51"/>
        <v>0</v>
      </c>
    </row>
    <row r="743" spans="1:9" hidden="1" outlineLevel="1" x14ac:dyDescent="0.25">
      <c r="A743" s="84"/>
      <c r="B743" s="329" t="s">
        <v>100</v>
      </c>
      <c r="C743" s="21" t="s">
        <v>12</v>
      </c>
      <c r="D743" s="340">
        <v>0</v>
      </c>
      <c r="E743" s="282"/>
      <c r="F743" s="60">
        <v>198</v>
      </c>
      <c r="G743" s="18"/>
      <c r="H743" s="2">
        <f t="shared" si="50"/>
        <v>0</v>
      </c>
      <c r="I743" s="18">
        <f t="shared" si="51"/>
        <v>0</v>
      </c>
    </row>
    <row r="744" spans="1:9" ht="31.2" hidden="1" outlineLevel="1" x14ac:dyDescent="0.25">
      <c r="A744" s="84"/>
      <c r="B744" s="329" t="s">
        <v>107</v>
      </c>
      <c r="C744" s="21" t="s">
        <v>12</v>
      </c>
      <c r="D744" s="360">
        <v>0</v>
      </c>
      <c r="E744" s="282"/>
      <c r="F744" s="361">
        <v>70</v>
      </c>
      <c r="G744" s="18"/>
      <c r="H744" s="2">
        <f t="shared" si="50"/>
        <v>0</v>
      </c>
      <c r="I744" s="18">
        <f t="shared" si="51"/>
        <v>0</v>
      </c>
    </row>
    <row r="745" spans="1:9" ht="31.2" hidden="1" outlineLevel="1" x14ac:dyDescent="0.25">
      <c r="A745" s="84"/>
      <c r="B745" s="329" t="s">
        <v>242</v>
      </c>
      <c r="C745" s="21" t="s">
        <v>29</v>
      </c>
      <c r="D745" s="340">
        <v>0</v>
      </c>
      <c r="E745" s="282"/>
      <c r="F745" s="60">
        <v>35</v>
      </c>
      <c r="G745" s="18"/>
      <c r="H745" s="2">
        <f t="shared" si="50"/>
        <v>0</v>
      </c>
      <c r="I745" s="18">
        <f>G745+H745</f>
        <v>0</v>
      </c>
    </row>
    <row r="746" spans="1:9" hidden="1" outlineLevel="1" x14ac:dyDescent="0.25">
      <c r="A746" s="84" t="s">
        <v>559</v>
      </c>
      <c r="B746" s="29" t="s">
        <v>101</v>
      </c>
      <c r="C746" s="31" t="s">
        <v>29</v>
      </c>
      <c r="D746" s="306">
        <f>D747</f>
        <v>0</v>
      </c>
      <c r="E746" s="256">
        <v>30</v>
      </c>
      <c r="F746" s="60"/>
      <c r="G746" s="2">
        <f>ROUND(E746*D746,2)</f>
        <v>0</v>
      </c>
      <c r="H746" s="18"/>
      <c r="I746" s="18">
        <f t="shared" si="51"/>
        <v>0</v>
      </c>
    </row>
    <row r="747" spans="1:9" hidden="1" outlineLevel="1" x14ac:dyDescent="0.25">
      <c r="A747" s="84"/>
      <c r="B747" s="329" t="s">
        <v>175</v>
      </c>
      <c r="C747" s="21" t="s">
        <v>29</v>
      </c>
      <c r="D747" s="340">
        <v>0</v>
      </c>
      <c r="E747" s="18"/>
      <c r="F747" s="164">
        <v>74</v>
      </c>
      <c r="G747" s="18"/>
      <c r="H747" s="2">
        <f>ROUND(D747*F747,2)</f>
        <v>0</v>
      </c>
      <c r="I747" s="18">
        <f t="shared" si="51"/>
        <v>0</v>
      </c>
    </row>
    <row r="748" spans="1:9" hidden="1" outlineLevel="1" x14ac:dyDescent="0.25">
      <c r="A748" s="84" t="s">
        <v>560</v>
      </c>
      <c r="B748" s="29" t="s">
        <v>102</v>
      </c>
      <c r="C748" s="31" t="s">
        <v>12</v>
      </c>
      <c r="D748" s="306">
        <f>D749</f>
        <v>0</v>
      </c>
      <c r="E748" s="256">
        <v>500</v>
      </c>
      <c r="F748" s="60"/>
      <c r="G748" s="2">
        <f>ROUND(E748*D748,2)</f>
        <v>0</v>
      </c>
      <c r="H748" s="18"/>
      <c r="I748" s="18">
        <f t="shared" si="51"/>
        <v>0</v>
      </c>
    </row>
    <row r="749" spans="1:9" hidden="1" outlineLevel="1" x14ac:dyDescent="0.25">
      <c r="A749" s="84"/>
      <c r="B749" s="343" t="s">
        <v>103</v>
      </c>
      <c r="C749" s="21" t="s">
        <v>12</v>
      </c>
      <c r="D749" s="340">
        <v>0</v>
      </c>
      <c r="E749" s="282"/>
      <c r="F749" s="60">
        <v>400</v>
      </c>
      <c r="G749" s="18"/>
      <c r="H749" s="2">
        <f>ROUND(D749*F749,2)</f>
        <v>0</v>
      </c>
      <c r="I749" s="18">
        <f t="shared" si="51"/>
        <v>0</v>
      </c>
    </row>
    <row r="750" spans="1:9" hidden="1" outlineLevel="1" x14ac:dyDescent="0.25">
      <c r="A750" s="84"/>
      <c r="B750" s="343" t="s">
        <v>104</v>
      </c>
      <c r="C750" s="21" t="s">
        <v>12</v>
      </c>
      <c r="D750" s="340">
        <f>D749</f>
        <v>0</v>
      </c>
      <c r="E750" s="282"/>
      <c r="F750" s="60">
        <v>210.8</v>
      </c>
      <c r="G750" s="18"/>
      <c r="H750" s="2">
        <f>ROUND(D750*F750,2)</f>
        <v>0</v>
      </c>
      <c r="I750" s="18">
        <f t="shared" si="51"/>
        <v>0</v>
      </c>
    </row>
    <row r="751" spans="1:9" hidden="1" outlineLevel="1" x14ac:dyDescent="0.25">
      <c r="A751" s="84" t="s">
        <v>561</v>
      </c>
      <c r="B751" s="29" t="s">
        <v>105</v>
      </c>
      <c r="C751" s="31" t="s">
        <v>12</v>
      </c>
      <c r="D751" s="306">
        <f>D750</f>
        <v>0</v>
      </c>
      <c r="E751" s="256">
        <v>520</v>
      </c>
      <c r="F751" s="60"/>
      <c r="G751" s="2">
        <f>ROUND(E751*D751,2)</f>
        <v>0</v>
      </c>
      <c r="H751" s="18"/>
      <c r="I751" s="18">
        <f t="shared" si="51"/>
        <v>0</v>
      </c>
    </row>
    <row r="752" spans="1:9" ht="31.2" hidden="1" outlineLevel="1" x14ac:dyDescent="0.25">
      <c r="A752" s="84"/>
      <c r="B752" s="343" t="s">
        <v>106</v>
      </c>
      <c r="C752" s="21" t="s">
        <v>12</v>
      </c>
      <c r="D752" s="340">
        <f>D751</f>
        <v>0</v>
      </c>
      <c r="E752" s="282"/>
      <c r="F752" s="60">
        <v>900</v>
      </c>
      <c r="G752" s="18"/>
      <c r="H752" s="2">
        <f>ROUND(D752*F752,2)</f>
        <v>0</v>
      </c>
      <c r="I752" s="18">
        <f t="shared" si="51"/>
        <v>0</v>
      </c>
    </row>
    <row r="753" spans="1:9" hidden="1" outlineLevel="1" x14ac:dyDescent="0.25">
      <c r="A753" s="84" t="s">
        <v>562</v>
      </c>
      <c r="B753" s="75" t="s">
        <v>108</v>
      </c>
      <c r="C753" s="2"/>
      <c r="D753" s="158"/>
      <c r="E753" s="282"/>
      <c r="F753" s="11"/>
      <c r="G753" s="18"/>
      <c r="H753" s="18"/>
      <c r="I753" s="18">
        <f t="shared" si="51"/>
        <v>0</v>
      </c>
    </row>
    <row r="754" spans="1:9" ht="31.2" hidden="1" outlineLevel="1" x14ac:dyDescent="0.25">
      <c r="A754" s="84" t="s">
        <v>563</v>
      </c>
      <c r="B754" s="29" t="s">
        <v>110</v>
      </c>
      <c r="C754" s="31" t="s">
        <v>29</v>
      </c>
      <c r="D754" s="31">
        <f>D755</f>
        <v>0</v>
      </c>
      <c r="E754" s="256">
        <v>85</v>
      </c>
      <c r="F754" s="60"/>
      <c r="G754" s="2">
        <f>ROUND(E754*D754,2)</f>
        <v>0</v>
      </c>
      <c r="H754" s="18">
        <f>D754*F754</f>
        <v>0</v>
      </c>
      <c r="I754" s="18">
        <f t="shared" si="51"/>
        <v>0</v>
      </c>
    </row>
    <row r="755" spans="1:9" ht="31.2" hidden="1" outlineLevel="1" x14ac:dyDescent="0.25">
      <c r="A755" s="84"/>
      <c r="B755" s="343" t="s">
        <v>109</v>
      </c>
      <c r="C755" s="21" t="s">
        <v>29</v>
      </c>
      <c r="D755" s="340">
        <v>0</v>
      </c>
      <c r="E755" s="18"/>
      <c r="F755" s="361">
        <v>170</v>
      </c>
      <c r="G755" s="18"/>
      <c r="H755" s="2">
        <f>ROUND(D755*F755,2)</f>
        <v>0</v>
      </c>
      <c r="I755" s="18">
        <f t="shared" si="51"/>
        <v>0</v>
      </c>
    </row>
    <row r="756" spans="1:9" hidden="1" outlineLevel="1" x14ac:dyDescent="0.25">
      <c r="A756" s="84"/>
      <c r="B756" s="329" t="s">
        <v>100</v>
      </c>
      <c r="C756" s="21" t="s">
        <v>12</v>
      </c>
      <c r="D756" s="340">
        <v>0</v>
      </c>
      <c r="E756" s="18"/>
      <c r="F756" s="361">
        <v>198</v>
      </c>
      <c r="G756" s="18"/>
      <c r="H756" s="2">
        <f>ROUND(D756*F756,2)</f>
        <v>0</v>
      </c>
      <c r="I756" s="18">
        <f t="shared" si="51"/>
        <v>0</v>
      </c>
    </row>
    <row r="757" spans="1:9" ht="31.2" hidden="1" outlineLevel="1" x14ac:dyDescent="0.25">
      <c r="A757" s="84"/>
      <c r="B757" s="329" t="s">
        <v>107</v>
      </c>
      <c r="C757" s="21" t="s">
        <v>12</v>
      </c>
      <c r="D757" s="340">
        <v>0</v>
      </c>
      <c r="E757" s="18"/>
      <c r="F757" s="361">
        <v>120</v>
      </c>
      <c r="G757" s="18"/>
      <c r="H757" s="2">
        <f>ROUND(D757*F757,2)</f>
        <v>0</v>
      </c>
      <c r="I757" s="18">
        <f t="shared" si="51"/>
        <v>0</v>
      </c>
    </row>
    <row r="758" spans="1:9" ht="31.2" hidden="1" outlineLevel="1" x14ac:dyDescent="0.25">
      <c r="A758" s="84"/>
      <c r="B758" s="329" t="s">
        <v>439</v>
      </c>
      <c r="C758" s="21" t="s">
        <v>29</v>
      </c>
      <c r="D758" s="340">
        <v>0</v>
      </c>
      <c r="E758" s="18"/>
      <c r="F758" s="60">
        <v>35</v>
      </c>
      <c r="G758" s="18"/>
      <c r="H758" s="2">
        <f>ROUND(D758*F758,2)</f>
        <v>0</v>
      </c>
      <c r="I758" s="18">
        <f>G758+H758</f>
        <v>0</v>
      </c>
    </row>
    <row r="759" spans="1:9" hidden="1" outlineLevel="1" x14ac:dyDescent="0.25">
      <c r="A759" s="84" t="s">
        <v>564</v>
      </c>
      <c r="B759" s="75" t="s">
        <v>111</v>
      </c>
      <c r="C759" s="2"/>
      <c r="D759" s="158"/>
      <c r="E759" s="2"/>
      <c r="F759" s="11"/>
      <c r="G759" s="18"/>
      <c r="H759" s="18"/>
      <c r="I759" s="18">
        <f t="shared" si="51"/>
        <v>0</v>
      </c>
    </row>
    <row r="760" spans="1:9" ht="31.2" hidden="1" outlineLevel="1" x14ac:dyDescent="0.25">
      <c r="A760" s="84" t="s">
        <v>565</v>
      </c>
      <c r="B760" s="29" t="s">
        <v>112</v>
      </c>
      <c r="C760" s="31" t="s">
        <v>29</v>
      </c>
      <c r="D760" s="31">
        <f>D761+D762+D763</f>
        <v>0</v>
      </c>
      <c r="E760" s="256">
        <v>85</v>
      </c>
      <c r="F760" s="60"/>
      <c r="G760" s="2">
        <f>ROUND(E760*D760,2)</f>
        <v>0</v>
      </c>
      <c r="H760" s="18"/>
      <c r="I760" s="18">
        <f t="shared" si="51"/>
        <v>0</v>
      </c>
    </row>
    <row r="761" spans="1:9" hidden="1" outlineLevel="1" x14ac:dyDescent="0.25">
      <c r="A761" s="84"/>
      <c r="B761" s="329" t="s">
        <v>113</v>
      </c>
      <c r="C761" s="21" t="s">
        <v>29</v>
      </c>
      <c r="D761" s="340">
        <v>0</v>
      </c>
      <c r="E761" s="18"/>
      <c r="F761" s="60">
        <v>63.8</v>
      </c>
      <c r="G761" s="18"/>
      <c r="H761" s="2">
        <f t="shared" ref="H761:H767" si="52">ROUND(D761*F761,2)</f>
        <v>0</v>
      </c>
      <c r="I761" s="18">
        <f t="shared" si="51"/>
        <v>0</v>
      </c>
    </row>
    <row r="762" spans="1:9" hidden="1" outlineLevel="1" x14ac:dyDescent="0.25">
      <c r="A762" s="84"/>
      <c r="B762" s="329" t="s">
        <v>440</v>
      </c>
      <c r="C762" s="21" t="s">
        <v>29</v>
      </c>
      <c r="D762" s="340">
        <v>0</v>
      </c>
      <c r="E762" s="18"/>
      <c r="F762" s="11">
        <v>55</v>
      </c>
      <c r="G762" s="18"/>
      <c r="H762" s="2">
        <f t="shared" si="52"/>
        <v>0</v>
      </c>
      <c r="I762" s="18">
        <f>G762+H762</f>
        <v>0</v>
      </c>
    </row>
    <row r="763" spans="1:9" hidden="1" outlineLevel="1" x14ac:dyDescent="0.25">
      <c r="A763" s="84"/>
      <c r="B763" s="329" t="s">
        <v>114</v>
      </c>
      <c r="C763" s="21" t="s">
        <v>29</v>
      </c>
      <c r="D763" s="340">
        <v>0</v>
      </c>
      <c r="E763" s="18"/>
      <c r="F763" s="60">
        <v>103.95</v>
      </c>
      <c r="G763" s="18"/>
      <c r="H763" s="2">
        <f t="shared" si="52"/>
        <v>0</v>
      </c>
      <c r="I763" s="18">
        <f>G763+H763</f>
        <v>0</v>
      </c>
    </row>
    <row r="764" spans="1:9" hidden="1" outlineLevel="1" x14ac:dyDescent="0.25">
      <c r="A764" s="84"/>
      <c r="B764" s="329" t="s">
        <v>115</v>
      </c>
      <c r="C764" s="21" t="s">
        <v>12</v>
      </c>
      <c r="D764" s="340">
        <v>0</v>
      </c>
      <c r="E764" s="18"/>
      <c r="F764" s="60">
        <v>61.27</v>
      </c>
      <c r="G764" s="18"/>
      <c r="H764" s="2">
        <f t="shared" si="52"/>
        <v>0</v>
      </c>
      <c r="I764" s="18">
        <f t="shared" si="51"/>
        <v>0</v>
      </c>
    </row>
    <row r="765" spans="1:9" hidden="1" outlineLevel="1" x14ac:dyDescent="0.25">
      <c r="A765" s="84"/>
      <c r="B765" s="343" t="s">
        <v>91</v>
      </c>
      <c r="C765" s="21" t="s">
        <v>15</v>
      </c>
      <c r="D765" s="340">
        <v>0</v>
      </c>
      <c r="E765" s="18"/>
      <c r="F765" s="60">
        <f>37500/1000</f>
        <v>37.5</v>
      </c>
      <c r="G765" s="18"/>
      <c r="H765" s="2">
        <f t="shared" si="52"/>
        <v>0</v>
      </c>
      <c r="I765" s="18">
        <f t="shared" si="51"/>
        <v>0</v>
      </c>
    </row>
    <row r="766" spans="1:9" hidden="1" outlineLevel="1" x14ac:dyDescent="0.25">
      <c r="A766" s="84"/>
      <c r="B766" s="329" t="s">
        <v>116</v>
      </c>
      <c r="C766" s="21" t="s">
        <v>12</v>
      </c>
      <c r="D766" s="340">
        <v>0</v>
      </c>
      <c r="E766" s="18"/>
      <c r="F766" s="60">
        <v>320</v>
      </c>
      <c r="G766" s="18"/>
      <c r="H766" s="2">
        <f t="shared" si="52"/>
        <v>0</v>
      </c>
      <c r="I766" s="18">
        <f t="shared" si="51"/>
        <v>0</v>
      </c>
    </row>
    <row r="767" spans="1:9" hidden="1" outlineLevel="1" x14ac:dyDescent="0.25">
      <c r="A767" s="84"/>
      <c r="B767" s="329" t="s">
        <v>441</v>
      </c>
      <c r="C767" s="21" t="s">
        <v>12</v>
      </c>
      <c r="D767" s="340">
        <v>0</v>
      </c>
      <c r="E767" s="18"/>
      <c r="F767" s="60">
        <v>1250</v>
      </c>
      <c r="G767" s="18"/>
      <c r="H767" s="2">
        <f t="shared" si="52"/>
        <v>0</v>
      </c>
      <c r="I767" s="18">
        <f>G767+H767</f>
        <v>0</v>
      </c>
    </row>
    <row r="768" spans="1:9" hidden="1" outlineLevel="1" x14ac:dyDescent="0.25">
      <c r="A768" s="84"/>
      <c r="B768" s="75" t="s">
        <v>117</v>
      </c>
      <c r="C768" s="2"/>
      <c r="D768" s="158"/>
      <c r="E768" s="2"/>
      <c r="F768" s="11"/>
      <c r="G768" s="18"/>
      <c r="H768" s="18"/>
      <c r="I768" s="18">
        <f t="shared" si="51"/>
        <v>0</v>
      </c>
    </row>
    <row r="769" spans="1:12" ht="31.2" hidden="1" outlineLevel="1" x14ac:dyDescent="0.25">
      <c r="A769" s="87"/>
      <c r="B769" s="307" t="s">
        <v>112</v>
      </c>
      <c r="C769" s="2" t="s">
        <v>29</v>
      </c>
      <c r="D769" s="306">
        <f>D770</f>
        <v>0</v>
      </c>
      <c r="E769" s="256">
        <v>85</v>
      </c>
      <c r="F769" s="60"/>
      <c r="G769" s="2">
        <f>ROUND(E769*D769,2)</f>
        <v>0</v>
      </c>
      <c r="H769" s="18"/>
      <c r="I769" s="18">
        <f>G769+H769</f>
        <v>0</v>
      </c>
      <c r="J769" s="780"/>
    </row>
    <row r="770" spans="1:12" hidden="1" outlineLevel="1" x14ac:dyDescent="0.25">
      <c r="A770" s="84"/>
      <c r="B770" s="329" t="s">
        <v>114</v>
      </c>
      <c r="C770" s="21" t="s">
        <v>29</v>
      </c>
      <c r="D770" s="340">
        <v>0</v>
      </c>
      <c r="E770" s="158"/>
      <c r="F770" s="60">
        <v>103.95</v>
      </c>
      <c r="G770" s="158"/>
      <c r="H770" s="2">
        <f t="shared" ref="H770:H775" si="53">ROUND(D770*F770,2)</f>
        <v>0</v>
      </c>
      <c r="I770" s="18">
        <f t="shared" ref="I770:I775" si="54">G770+H770</f>
        <v>0</v>
      </c>
      <c r="J770" s="780"/>
    </row>
    <row r="771" spans="1:12" hidden="1" outlineLevel="1" x14ac:dyDescent="0.25">
      <c r="A771" s="84"/>
      <c r="B771" s="329" t="s">
        <v>115</v>
      </c>
      <c r="C771" s="21" t="s">
        <v>12</v>
      </c>
      <c r="D771" s="340">
        <v>0</v>
      </c>
      <c r="E771" s="158"/>
      <c r="F771" s="60">
        <v>61.27</v>
      </c>
      <c r="G771" s="158"/>
      <c r="H771" s="2">
        <f t="shared" si="53"/>
        <v>0</v>
      </c>
      <c r="I771" s="18">
        <f t="shared" si="54"/>
        <v>0</v>
      </c>
      <c r="J771" s="780"/>
    </row>
    <row r="772" spans="1:12" hidden="1" outlineLevel="1" x14ac:dyDescent="0.25">
      <c r="A772" s="84"/>
      <c r="B772" s="343" t="s">
        <v>91</v>
      </c>
      <c r="C772" s="21" t="s">
        <v>15</v>
      </c>
      <c r="D772" s="340">
        <v>0</v>
      </c>
      <c r="E772" s="158"/>
      <c r="F772" s="11">
        <f>37500/1000</f>
        <v>37.5</v>
      </c>
      <c r="G772" s="158"/>
      <c r="H772" s="2">
        <f t="shared" si="53"/>
        <v>0</v>
      </c>
      <c r="I772" s="18">
        <f t="shared" si="54"/>
        <v>0</v>
      </c>
      <c r="J772" s="780"/>
    </row>
    <row r="773" spans="1:12" hidden="1" outlineLevel="1" x14ac:dyDescent="0.25">
      <c r="A773" s="84"/>
      <c r="B773" s="329" t="s">
        <v>116</v>
      </c>
      <c r="C773" s="21" t="s">
        <v>12</v>
      </c>
      <c r="D773" s="340">
        <v>0</v>
      </c>
      <c r="E773" s="158"/>
      <c r="F773" s="11">
        <v>320</v>
      </c>
      <c r="G773" s="158"/>
      <c r="H773" s="2">
        <f t="shared" si="53"/>
        <v>0</v>
      </c>
      <c r="I773" s="18">
        <f t="shared" si="54"/>
        <v>0</v>
      </c>
      <c r="J773" s="780"/>
    </row>
    <row r="774" spans="1:12" hidden="1" outlineLevel="1" x14ac:dyDescent="0.25">
      <c r="A774" s="84"/>
      <c r="B774" s="329" t="s">
        <v>118</v>
      </c>
      <c r="C774" s="21" t="s">
        <v>12</v>
      </c>
      <c r="D774" s="340">
        <v>0</v>
      </c>
      <c r="E774" s="158"/>
      <c r="F774" s="164">
        <v>2435.6</v>
      </c>
      <c r="G774" s="158"/>
      <c r="H774" s="2">
        <f>ROUND(D774*F774,2)</f>
        <v>0</v>
      </c>
      <c r="I774" s="18">
        <f>G774+H774</f>
        <v>0</v>
      </c>
      <c r="J774" s="780"/>
    </row>
    <row r="775" spans="1:12" hidden="1" outlineLevel="1" x14ac:dyDescent="0.25">
      <c r="A775" s="84"/>
      <c r="B775" s="329" t="s">
        <v>714</v>
      </c>
      <c r="C775" s="21" t="s">
        <v>12</v>
      </c>
      <c r="D775" s="340">
        <v>0</v>
      </c>
      <c r="E775" s="158"/>
      <c r="F775" s="164">
        <v>100</v>
      </c>
      <c r="G775" s="158"/>
      <c r="H775" s="2">
        <f t="shared" si="53"/>
        <v>0</v>
      </c>
      <c r="I775" s="18">
        <f t="shared" si="54"/>
        <v>0</v>
      </c>
      <c r="J775" s="780"/>
    </row>
    <row r="776" spans="1:12" s="5" customFormat="1" ht="26.4" customHeight="1" collapsed="1" x14ac:dyDescent="0.25">
      <c r="A776" s="223"/>
      <c r="B776" s="233" t="s">
        <v>62</v>
      </c>
      <c r="C776" s="234"/>
      <c r="D776" s="235"/>
      <c r="E776" s="236"/>
      <c r="F776" s="237"/>
      <c r="G776" s="236">
        <v>750000</v>
      </c>
      <c r="H776" s="236">
        <v>1350000</v>
      </c>
      <c r="I776" s="236">
        <f>G776+H776</f>
        <v>2100000</v>
      </c>
      <c r="K776" s="5">
        <f>90*4000+1150000</f>
        <v>1510000</v>
      </c>
      <c r="L776" s="5">
        <f>K776-I776</f>
        <v>-590000</v>
      </c>
    </row>
    <row r="777" spans="1:12" s="5" customFormat="1" x14ac:dyDescent="0.25">
      <c r="A777" s="84"/>
      <c r="B777" s="471" t="s">
        <v>624</v>
      </c>
      <c r="C777" s="9"/>
      <c r="D777" s="31"/>
      <c r="E777" s="10"/>
      <c r="F777" s="57"/>
      <c r="G777" s="10"/>
      <c r="H777" s="10"/>
      <c r="I777" s="31">
        <f>ROUND(I776/1.18*0.18,2)</f>
        <v>320338.98</v>
      </c>
    </row>
    <row r="778" spans="1:12" s="5" customFormat="1" ht="25.5" customHeight="1" x14ac:dyDescent="0.25">
      <c r="A778" s="241"/>
      <c r="B778" s="242" t="s">
        <v>24</v>
      </c>
      <c r="C778" s="243"/>
      <c r="D778" s="244"/>
      <c r="E778" s="243"/>
      <c r="F778" s="242"/>
      <c r="G778" s="243">
        <f>G57+G125+G198+G384+G390+G411+G418+G476+G494+G505+G606+G656+G776+G627+G447+G322+G230+G256</f>
        <v>26576836.162769999</v>
      </c>
      <c r="H778" s="243">
        <f>H57+H125+H198+H384+H390+H411+H418+H476+H494+H505+H606+H656+H776+H627+H447+H322+H256+H230</f>
        <v>46677832.295378998</v>
      </c>
      <c r="I778" s="243">
        <f>I776+I656+I627+I606+I505+I494+I476+I418+I411+I390+I384+I198+I125+I57+I230+I256+I322+I447</f>
        <v>73254668.453998998</v>
      </c>
      <c r="J778" s="5">
        <v>73212360</v>
      </c>
      <c r="K778" s="5">
        <f>I778-J778</f>
        <v>42308.453998997808</v>
      </c>
    </row>
    <row r="779" spans="1:12" s="101" customFormat="1" ht="21" customHeight="1" x14ac:dyDescent="0.25">
      <c r="A779" s="245"/>
      <c r="B779" s="246" t="s">
        <v>26</v>
      </c>
      <c r="C779" s="247"/>
      <c r="D779" s="247"/>
      <c r="E779" s="247"/>
      <c r="F779" s="246"/>
      <c r="G779" s="247"/>
      <c r="H779" s="247"/>
      <c r="I779" s="247">
        <f>I778/1.18*18/100</f>
        <v>11174440.950610017</v>
      </c>
    </row>
    <row r="780" spans="1:12" ht="25.5" customHeight="1" x14ac:dyDescent="0.25">
      <c r="A780" s="98"/>
      <c r="B780" s="99" t="s">
        <v>342</v>
      </c>
      <c r="C780" s="100"/>
      <c r="D780" s="100"/>
      <c r="E780" s="100"/>
      <c r="F780" s="99"/>
      <c r="G780" s="100">
        <f>G778/C10</f>
        <v>7732.1180503811247</v>
      </c>
      <c r="H780" s="100">
        <f>H778/C10</f>
        <v>13580.190938955837</v>
      </c>
      <c r="I780" s="100">
        <f>I778/C10</f>
        <v>21312.308988129582</v>
      </c>
    </row>
    <row r="785" spans="6:6" x14ac:dyDescent="0.3">
      <c r="F785" s="770"/>
    </row>
  </sheetData>
  <mergeCells count="19">
    <mergeCell ref="B7:H7"/>
    <mergeCell ref="B8:H8"/>
    <mergeCell ref="B15:E15"/>
    <mergeCell ref="E13:F13"/>
    <mergeCell ref="A13:A14"/>
    <mergeCell ref="B13:B14"/>
    <mergeCell ref="C13:C14"/>
    <mergeCell ref="G9:H9"/>
    <mergeCell ref="A10:B10"/>
    <mergeCell ref="F10:H10"/>
    <mergeCell ref="J769:J775"/>
    <mergeCell ref="B420:F420"/>
    <mergeCell ref="B59:F59"/>
    <mergeCell ref="D13:D14"/>
    <mergeCell ref="B507:D507"/>
    <mergeCell ref="J709:J718"/>
    <mergeCell ref="J725:J726"/>
    <mergeCell ref="G13:H13"/>
    <mergeCell ref="I13:I1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78"/>
  <sheetViews>
    <sheetView workbookViewId="0">
      <pane ySplit="1212"/>
      <selection activeCell="A9" sqref="A1:IV65536"/>
      <selection pane="bottomLeft" activeCell="G604" sqref="G604"/>
    </sheetView>
  </sheetViews>
  <sheetFormatPr defaultColWidth="9" defaultRowHeight="15.6" outlineLevelRow="2" x14ac:dyDescent="0.25"/>
  <cols>
    <col min="1" max="1" width="17.5546875" style="81" customWidth="1"/>
    <col min="2" max="2" width="17.5546875" style="25" customWidth="1"/>
    <col min="3" max="5" width="17.5546875" style="755" customWidth="1"/>
    <col min="6" max="6" width="17.5546875" style="148" customWidth="1"/>
    <col min="7" max="9" width="17.5546875" style="755" customWidth="1"/>
    <col min="10" max="256" width="17.5546875" style="25" customWidth="1"/>
    <col min="257" max="16384" width="9" style="25"/>
  </cols>
  <sheetData>
    <row r="1" spans="1:13" s="251" customFormat="1" ht="14.4" x14ac:dyDescent="0.25">
      <c r="A1" s="249"/>
      <c r="B1" s="249"/>
      <c r="C1" s="249"/>
      <c r="D1" s="249"/>
      <c r="E1" s="249"/>
      <c r="F1" s="249"/>
      <c r="G1" s="250"/>
      <c r="H1" s="250"/>
      <c r="I1" s="250"/>
    </row>
    <row r="2" spans="1:13" s="251" customFormat="1" ht="27.75" customHeight="1" x14ac:dyDescent="0.25">
      <c r="A2" s="249"/>
      <c r="B2" s="252" t="s">
        <v>626</v>
      </c>
      <c r="C2" s="249"/>
      <c r="D2" s="249"/>
      <c r="E2" s="249"/>
      <c r="F2" s="249"/>
      <c r="G2" s="253" t="s">
        <v>627</v>
      </c>
      <c r="H2" s="250"/>
      <c r="I2" s="250"/>
    </row>
    <row r="3" spans="1:13" s="251" customFormat="1" ht="14.4" x14ac:dyDescent="0.25">
      <c r="A3" s="249"/>
      <c r="B3" s="249"/>
      <c r="C3" s="249"/>
      <c r="D3" s="249"/>
      <c r="E3" s="249"/>
      <c r="F3" s="249"/>
      <c r="G3" s="250"/>
      <c r="H3" s="250" t="s">
        <v>628</v>
      </c>
      <c r="I3" s="250"/>
    </row>
    <row r="4" spans="1:13" s="251" customFormat="1" ht="14.4" x14ac:dyDescent="0.25">
      <c r="A4" s="249"/>
      <c r="B4" s="249"/>
      <c r="C4" s="249"/>
      <c r="D4" s="249"/>
      <c r="E4" s="249"/>
      <c r="F4" s="249"/>
      <c r="G4" s="250"/>
      <c r="H4" s="250"/>
      <c r="I4" s="250"/>
    </row>
    <row r="5" spans="1:13" s="251" customFormat="1" ht="14.4" x14ac:dyDescent="0.25">
      <c r="A5" s="249"/>
      <c r="B5" s="254"/>
      <c r="C5" s="249"/>
      <c r="D5" s="249"/>
      <c r="E5" s="255"/>
      <c r="F5" s="249" t="s">
        <v>629</v>
      </c>
      <c r="G5" s="250"/>
      <c r="H5" s="250"/>
      <c r="I5" s="250"/>
    </row>
    <row r="6" spans="1:13" s="251" customFormat="1" ht="14.4" x14ac:dyDescent="0.25">
      <c r="A6" s="249"/>
      <c r="B6" s="249"/>
      <c r="C6" s="249"/>
      <c r="D6" s="249"/>
      <c r="E6" s="249"/>
      <c r="F6" s="249"/>
      <c r="G6" s="250"/>
      <c r="H6" s="250" t="s">
        <v>630</v>
      </c>
      <c r="I6" s="250"/>
    </row>
    <row r="7" spans="1:13" s="251" customFormat="1" ht="14.4" x14ac:dyDescent="0.25">
      <c r="A7" s="249"/>
      <c r="B7" s="772" t="s">
        <v>631</v>
      </c>
      <c r="C7" s="773"/>
      <c r="D7" s="773"/>
      <c r="E7" s="773"/>
      <c r="F7" s="773"/>
      <c r="G7" s="773"/>
      <c r="H7" s="773"/>
      <c r="I7" s="250"/>
    </row>
    <row r="8" spans="1:13" s="251" customFormat="1" ht="29.25" customHeight="1" x14ac:dyDescent="0.25">
      <c r="A8" s="249"/>
      <c r="B8" s="774" t="s">
        <v>1299</v>
      </c>
      <c r="C8" s="775"/>
      <c r="D8" s="775"/>
      <c r="E8" s="775"/>
      <c r="F8" s="775"/>
      <c r="G8" s="775"/>
      <c r="H8" s="775"/>
      <c r="I8" s="250"/>
    </row>
    <row r="9" spans="1:13" s="7" customFormat="1" ht="15.75" customHeight="1" x14ac:dyDescent="0.25">
      <c r="A9" s="82"/>
      <c r="B9" s="4"/>
      <c r="C9" s="4"/>
      <c r="D9" s="4"/>
      <c r="E9" s="4"/>
      <c r="F9" s="134"/>
      <c r="G9" s="776" t="s">
        <v>342</v>
      </c>
      <c r="H9" s="776"/>
      <c r="I9" s="94">
        <f>I10/C10</f>
        <v>21500.757307982956</v>
      </c>
    </row>
    <row r="10" spans="1:13" s="7" customFormat="1" ht="15.75" customHeight="1" x14ac:dyDescent="0.25">
      <c r="A10" s="777" t="s">
        <v>227</v>
      </c>
      <c r="B10" s="777"/>
      <c r="C10" s="7">
        <v>3437.2</v>
      </c>
      <c r="D10" s="59" t="s">
        <v>343</v>
      </c>
      <c r="E10" s="123">
        <v>90</v>
      </c>
      <c r="F10" s="778" t="s">
        <v>17</v>
      </c>
      <c r="G10" s="778"/>
      <c r="H10" s="778"/>
      <c r="I10" s="8">
        <f>I776*1</f>
        <v>73902403.01899901</v>
      </c>
      <c r="J10" s="7">
        <f>K10-I10</f>
        <v>14685.431000992656</v>
      </c>
      <c r="K10" s="7">
        <v>73917088.450000003</v>
      </c>
    </row>
    <row r="11" spans="1:13" s="7" customFormat="1" ht="15.75" customHeight="1" x14ac:dyDescent="0.25">
      <c r="A11" s="325"/>
      <c r="B11" s="325"/>
      <c r="C11" s="122"/>
      <c r="D11" s="59"/>
      <c r="E11" s="123"/>
      <c r="F11" s="753"/>
      <c r="G11" s="753"/>
      <c r="H11" s="753"/>
      <c r="I11" s="8"/>
    </row>
    <row r="12" spans="1:13" s="7" customFormat="1" ht="15.75" customHeight="1" x14ac:dyDescent="0.25">
      <c r="A12" s="325"/>
      <c r="B12" s="325"/>
      <c r="C12" s="122"/>
      <c r="D12" s="59"/>
      <c r="E12" s="123"/>
      <c r="F12" s="753"/>
      <c r="G12" s="753"/>
      <c r="H12" s="753"/>
      <c r="I12" s="8"/>
    </row>
    <row r="13" spans="1:13" ht="25.5" customHeight="1" x14ac:dyDescent="0.25">
      <c r="A13" s="779" t="s">
        <v>0</v>
      </c>
      <c r="B13" s="783" t="s">
        <v>1</v>
      </c>
      <c r="C13" s="783" t="s">
        <v>2</v>
      </c>
      <c r="D13" s="783" t="s">
        <v>3</v>
      </c>
      <c r="E13" s="783" t="s">
        <v>4</v>
      </c>
      <c r="F13" s="783"/>
      <c r="G13" s="783" t="s">
        <v>5</v>
      </c>
      <c r="H13" s="783"/>
      <c r="I13" s="783" t="s">
        <v>6</v>
      </c>
    </row>
    <row r="14" spans="1:13" x14ac:dyDescent="0.25">
      <c r="A14" s="779"/>
      <c r="B14" s="783"/>
      <c r="C14" s="783"/>
      <c r="D14" s="783"/>
      <c r="E14" s="756" t="s">
        <v>7</v>
      </c>
      <c r="F14" s="135" t="s">
        <v>475</v>
      </c>
      <c r="G14" s="756" t="s">
        <v>7</v>
      </c>
      <c r="H14" s="756" t="s">
        <v>339</v>
      </c>
      <c r="I14" s="783"/>
    </row>
    <row r="15" spans="1:13" s="5" customFormat="1" ht="24" customHeight="1" x14ac:dyDescent="0.25">
      <c r="A15" s="104"/>
      <c r="B15" s="771" t="s">
        <v>1511</v>
      </c>
      <c r="C15" s="771"/>
      <c r="D15" s="771"/>
      <c r="E15" s="771"/>
      <c r="F15" s="138"/>
      <c r="G15" s="105"/>
      <c r="H15" s="105"/>
      <c r="I15" s="106"/>
    </row>
    <row r="16" spans="1:13" s="6" customFormat="1" ht="18" customHeight="1" outlineLevel="1" x14ac:dyDescent="0.25">
      <c r="A16" s="107" t="s">
        <v>210</v>
      </c>
      <c r="B16" s="29" t="s">
        <v>1513</v>
      </c>
      <c r="C16" s="31" t="s">
        <v>8</v>
      </c>
      <c r="D16" s="31">
        <f>[1]Д2!D18+[1]Ек!D18+[1]Д!D18+[1]Е!D16</f>
        <v>150.34551500000001</v>
      </c>
      <c r="E16" s="256">
        <v>1400</v>
      </c>
      <c r="F16" s="60"/>
      <c r="G16" s="2">
        <f>ROUND(E16*D16,2)</f>
        <v>210483.72</v>
      </c>
      <c r="H16" s="18"/>
      <c r="I16" s="11">
        <f t="shared" ref="I16:I44" si="0">G16+H16</f>
        <v>210483.72</v>
      </c>
      <c r="J16" s="6">
        <v>1000</v>
      </c>
      <c r="K16" s="161"/>
      <c r="L16" s="161"/>
      <c r="M16" s="161"/>
    </row>
    <row r="17" spans="1:252" s="38" customFormat="1" outlineLevel="1" x14ac:dyDescent="0.25">
      <c r="A17" s="84"/>
      <c r="B17" s="33" t="s">
        <v>486</v>
      </c>
      <c r="C17" s="31" t="s">
        <v>8</v>
      </c>
      <c r="D17" s="2">
        <f>D16*1.015</f>
        <v>152.600697725</v>
      </c>
      <c r="E17" s="18"/>
      <c r="F17" s="664">
        <v>3450</v>
      </c>
      <c r="G17" s="18"/>
      <c r="H17" s="18">
        <f>ROUND(D17*F17,2)</f>
        <v>526472.41</v>
      </c>
      <c r="I17" s="11">
        <f t="shared" si="0"/>
        <v>526472.41</v>
      </c>
      <c r="J17" s="15">
        <v>3450</v>
      </c>
      <c r="K17" s="161"/>
      <c r="L17" s="161"/>
      <c r="M17" s="161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</row>
    <row r="18" spans="1:252" s="38" customFormat="1" ht="22.2" customHeight="1" outlineLevel="1" x14ac:dyDescent="0.25">
      <c r="A18" s="107" t="s">
        <v>211</v>
      </c>
      <c r="B18" s="29" t="s">
        <v>1476</v>
      </c>
      <c r="C18" s="31" t="s">
        <v>8</v>
      </c>
      <c r="D18" s="31">
        <f>[1]Д2!D20+[1]Ек!D20+[1]Д!D20+[1]Е!D18</f>
        <v>476.92504999999994</v>
      </c>
      <c r="E18" s="256">
        <v>2800</v>
      </c>
      <c r="F18" s="60"/>
      <c r="G18" s="2">
        <f>ROUND(E18*D18,2)</f>
        <v>1335390.1399999999</v>
      </c>
      <c r="H18" s="18"/>
      <c r="I18" s="60">
        <f t="shared" si="0"/>
        <v>1335390.1399999999</v>
      </c>
      <c r="J18" s="15">
        <v>2500</v>
      </c>
      <c r="K18" s="407"/>
      <c r="L18" s="161"/>
      <c r="M18" s="161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</row>
    <row r="19" spans="1:252" s="38" customFormat="1" outlineLevel="1" x14ac:dyDescent="0.25">
      <c r="A19" s="83"/>
      <c r="B19" s="11" t="s">
        <v>724</v>
      </c>
      <c r="C19" s="2" t="s">
        <v>8</v>
      </c>
      <c r="D19" s="2">
        <f>D18*1.015</f>
        <v>484.07892574999988</v>
      </c>
      <c r="E19" s="2"/>
      <c r="F19" s="664">
        <v>5000</v>
      </c>
      <c r="G19" s="2"/>
      <c r="H19" s="2">
        <f>ROUND(D19*F19,2)</f>
        <v>2420394.63</v>
      </c>
      <c r="I19" s="11">
        <f t="shared" si="0"/>
        <v>2420394.63</v>
      </c>
      <c r="J19" s="15">
        <v>5000</v>
      </c>
      <c r="K19" s="161"/>
      <c r="L19" s="161"/>
      <c r="M19" s="161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</row>
    <row r="20" spans="1:252" s="5" customFormat="1" ht="31.2" customHeight="1" outlineLevel="1" x14ac:dyDescent="0.25">
      <c r="A20" s="83"/>
      <c r="B20" s="33" t="s">
        <v>358</v>
      </c>
      <c r="C20" s="2" t="s">
        <v>9</v>
      </c>
      <c r="D20" s="161">
        <f>[1]Д2!D22+[1]Ек!D22+[1]Д!D22+[1]Е!D20</f>
        <v>57.744149999999998</v>
      </c>
      <c r="E20" s="2"/>
      <c r="F20" s="361">
        <v>36000</v>
      </c>
      <c r="G20" s="2"/>
      <c r="H20" s="2">
        <f>ROUND(D20*F20,2)</f>
        <v>2078789.4</v>
      </c>
      <c r="I20" s="11">
        <f t="shared" si="0"/>
        <v>2078789.4</v>
      </c>
      <c r="J20" s="248">
        <v>35000</v>
      </c>
      <c r="L20" s="161"/>
      <c r="M20" s="161"/>
    </row>
    <row r="21" spans="1:252" outlineLevel="1" x14ac:dyDescent="0.25">
      <c r="A21" s="83"/>
      <c r="B21" s="11" t="s">
        <v>11</v>
      </c>
      <c r="C21" s="2" t="s">
        <v>8</v>
      </c>
      <c r="D21" s="2">
        <v>5</v>
      </c>
      <c r="E21" s="2"/>
      <c r="F21" s="361">
        <v>7500</v>
      </c>
      <c r="G21" s="2"/>
      <c r="H21" s="2">
        <f>ROUND(D21*F21,2)</f>
        <v>37500</v>
      </c>
      <c r="I21" s="11">
        <f t="shared" si="0"/>
        <v>37500</v>
      </c>
      <c r="J21" s="25">
        <v>7500</v>
      </c>
      <c r="K21" s="161"/>
      <c r="L21" s="161"/>
      <c r="M21" s="161"/>
    </row>
    <row r="22" spans="1:252" ht="16.2" customHeight="1" outlineLevel="1" x14ac:dyDescent="0.25">
      <c r="A22" s="107" t="s">
        <v>212</v>
      </c>
      <c r="B22" s="9" t="s">
        <v>1514</v>
      </c>
      <c r="C22" s="31" t="s">
        <v>14</v>
      </c>
      <c r="D22" s="670">
        <f>[1]Д2!D24+[1]Ек!D24+[1]Д!D24+[1]Е!D22</f>
        <v>235.06</v>
      </c>
      <c r="E22" s="256">
        <v>150</v>
      </c>
      <c r="F22" s="11"/>
      <c r="G22" s="2">
        <f>ROUND(E22*D22,2)</f>
        <v>35259</v>
      </c>
      <c r="H22" s="18"/>
      <c r="I22" s="11">
        <f t="shared" si="0"/>
        <v>35259</v>
      </c>
      <c r="J22" s="25">
        <v>100</v>
      </c>
      <c r="K22" s="161"/>
      <c r="L22" s="161"/>
      <c r="M22" s="161"/>
    </row>
    <row r="23" spans="1:252" ht="16.2" customHeight="1" outlineLevel="1" x14ac:dyDescent="0.25">
      <c r="A23" s="84"/>
      <c r="B23" s="11" t="s">
        <v>1311</v>
      </c>
      <c r="C23" s="2" t="s">
        <v>15</v>
      </c>
      <c r="D23" s="2">
        <f>2.5*D22</f>
        <v>587.65</v>
      </c>
      <c r="E23" s="2"/>
      <c r="F23" s="361">
        <v>55</v>
      </c>
      <c r="G23" s="18"/>
      <c r="H23" s="2">
        <f>ROUND(D23*F23,2)</f>
        <v>32320.75</v>
      </c>
      <c r="I23" s="60">
        <f t="shared" si="0"/>
        <v>32320.75</v>
      </c>
      <c r="J23" s="25">
        <v>55</v>
      </c>
      <c r="K23" s="161"/>
      <c r="L23" s="161"/>
      <c r="M23" s="161"/>
    </row>
    <row r="24" spans="1:252" ht="16.2" customHeight="1" outlineLevel="1" x14ac:dyDescent="0.25">
      <c r="A24" s="84"/>
      <c r="B24" s="11" t="s">
        <v>1312</v>
      </c>
      <c r="C24" s="2" t="s">
        <v>30</v>
      </c>
      <c r="D24" s="2">
        <f>0.35*D22</f>
        <v>82.271000000000001</v>
      </c>
      <c r="E24" s="2"/>
      <c r="F24" s="361">
        <v>44</v>
      </c>
      <c r="G24" s="18"/>
      <c r="H24" s="2">
        <f>ROUND(D24*F24,2)</f>
        <v>3619.92</v>
      </c>
      <c r="I24" s="60">
        <f t="shared" si="0"/>
        <v>3619.92</v>
      </c>
      <c r="J24" s="25">
        <v>44</v>
      </c>
      <c r="K24" s="161"/>
      <c r="L24" s="161"/>
      <c r="M24" s="161"/>
    </row>
    <row r="25" spans="1:252" ht="26.25" customHeight="1" outlineLevel="1" x14ac:dyDescent="0.25">
      <c r="A25" s="107" t="s">
        <v>213</v>
      </c>
      <c r="B25" s="9" t="s">
        <v>1515</v>
      </c>
      <c r="C25" s="31" t="s">
        <v>14</v>
      </c>
      <c r="D25" s="65">
        <f>[1]Д2!D27+[1]Ек!D27+[1]Д!D27+[1]Е!D25</f>
        <v>312.60239999999999</v>
      </c>
      <c r="E25" s="264">
        <v>250</v>
      </c>
      <c r="F25" s="140"/>
      <c r="G25" s="51">
        <f>E25*D25</f>
        <v>78150.599999999991</v>
      </c>
      <c r="H25" s="51"/>
      <c r="I25" s="140">
        <f>H25+G25</f>
        <v>78150.599999999991</v>
      </c>
      <c r="J25" s="25">
        <v>100</v>
      </c>
      <c r="K25" s="406"/>
      <c r="L25" s="161"/>
      <c r="M25" s="161"/>
    </row>
    <row r="26" spans="1:252" ht="15.75" customHeight="1" outlineLevel="1" x14ac:dyDescent="0.25">
      <c r="A26" s="84"/>
      <c r="B26" s="33" t="s">
        <v>1244</v>
      </c>
      <c r="C26" s="2" t="s">
        <v>8</v>
      </c>
      <c r="D26" s="2">
        <f>[1]Д2!D28+[1]Ек!D28+[1]Д!D28+[1]Е!D26</f>
        <v>27.66</v>
      </c>
      <c r="E26" s="2"/>
      <c r="F26" s="164">
        <f>ROUND(4100*1.1,2)</f>
        <v>4510</v>
      </c>
      <c r="G26" s="2"/>
      <c r="H26" s="2">
        <f>ROUND(D26*F26,2)</f>
        <v>124746.6</v>
      </c>
      <c r="I26" s="11">
        <f>G26+H26</f>
        <v>124746.6</v>
      </c>
      <c r="J26" s="25">
        <v>4510</v>
      </c>
      <c r="K26" s="407"/>
      <c r="L26" s="161"/>
      <c r="M26" s="161"/>
    </row>
    <row r="27" spans="1:252" ht="15.75" customHeight="1" outlineLevel="1" x14ac:dyDescent="0.25">
      <c r="A27" s="107" t="s">
        <v>493</v>
      </c>
      <c r="B27" s="29" t="s">
        <v>731</v>
      </c>
      <c r="C27" s="31" t="s">
        <v>12</v>
      </c>
      <c r="D27" s="31">
        <f>SUM(D28:D33)</f>
        <v>1047</v>
      </c>
      <c r="E27" s="256">
        <v>550</v>
      </c>
      <c r="F27" s="60"/>
      <c r="G27" s="2">
        <f>ROUND(E27*D27,2)</f>
        <v>575850</v>
      </c>
      <c r="H27" s="18"/>
      <c r="I27" s="60">
        <f t="shared" si="0"/>
        <v>575850</v>
      </c>
      <c r="J27" s="25">
        <v>300</v>
      </c>
      <c r="K27" s="407"/>
      <c r="L27" s="161"/>
      <c r="M27" s="161"/>
    </row>
    <row r="28" spans="1:252" ht="15.75" customHeight="1" outlineLevel="1" x14ac:dyDescent="0.25">
      <c r="A28" s="84"/>
      <c r="B28" s="33" t="s">
        <v>732</v>
      </c>
      <c r="C28" s="2" t="s">
        <v>12</v>
      </c>
      <c r="D28" s="2">
        <f>[1]Д2!D30+[1]Ек!D30+[1]Д!D30+[1]Е!D28</f>
        <v>378</v>
      </c>
      <c r="E28" s="31"/>
      <c r="F28" s="664">
        <v>1935.11</v>
      </c>
      <c r="G28" s="2"/>
      <c r="H28" s="2">
        <f t="shared" ref="H28:H35" si="1">ROUND(D28*F28,2)</f>
        <v>731471.58</v>
      </c>
      <c r="I28" s="60">
        <f t="shared" si="0"/>
        <v>731471.58</v>
      </c>
      <c r="J28" s="25">
        <f>F28</f>
        <v>1935.11</v>
      </c>
      <c r="K28" s="407"/>
      <c r="L28" s="161"/>
      <c r="M28" s="161"/>
    </row>
    <row r="29" spans="1:252" ht="15.75" customHeight="1" outlineLevel="1" x14ac:dyDescent="0.25">
      <c r="A29" s="84"/>
      <c r="B29" s="33" t="s">
        <v>733</v>
      </c>
      <c r="C29" s="2" t="s">
        <v>12</v>
      </c>
      <c r="D29" s="2">
        <f>[1]Д2!D31+[1]Ек!D31+[1]Д!D31+[1]Е!D29</f>
        <v>158</v>
      </c>
      <c r="E29" s="31"/>
      <c r="F29" s="664">
        <v>944.39</v>
      </c>
      <c r="G29" s="2"/>
      <c r="H29" s="2">
        <f t="shared" si="1"/>
        <v>149213.62</v>
      </c>
      <c r="I29" s="60">
        <f t="shared" si="0"/>
        <v>149213.62</v>
      </c>
      <c r="J29" s="25">
        <f t="shared" ref="J29:J35" si="2">F29</f>
        <v>944.39</v>
      </c>
      <c r="K29" s="407"/>
      <c r="L29" s="161"/>
      <c r="M29" s="161"/>
    </row>
    <row r="30" spans="1:252" outlineLevel="1" x14ac:dyDescent="0.25">
      <c r="A30" s="84"/>
      <c r="B30" s="33" t="s">
        <v>735</v>
      </c>
      <c r="C30" s="2" t="s">
        <v>12</v>
      </c>
      <c r="D30" s="2">
        <f>[1]Д2!D32+[1]Ек!D32+[1]Д!D32+[1]Е!D30</f>
        <v>400</v>
      </c>
      <c r="E30" s="18"/>
      <c r="F30" s="664">
        <v>694.93</v>
      </c>
      <c r="G30" s="18"/>
      <c r="H30" s="2">
        <f t="shared" si="1"/>
        <v>277972</v>
      </c>
      <c r="I30" s="60">
        <f t="shared" si="0"/>
        <v>277972</v>
      </c>
      <c r="J30" s="25">
        <f t="shared" si="2"/>
        <v>694.93</v>
      </c>
      <c r="K30" s="407"/>
      <c r="L30" s="161"/>
      <c r="M30" s="161"/>
    </row>
    <row r="31" spans="1:252" outlineLevel="1" x14ac:dyDescent="0.25">
      <c r="A31" s="84"/>
      <c r="B31" s="33" t="s">
        <v>1302</v>
      </c>
      <c r="C31" s="2" t="s">
        <v>12</v>
      </c>
      <c r="D31" s="2">
        <f>[1]Д2!D33+[1]Ек!D33+[1]Д!D33+[1]Е!D31</f>
        <v>45</v>
      </c>
      <c r="E31" s="18"/>
      <c r="F31" s="363">
        <v>900</v>
      </c>
      <c r="G31" s="18"/>
      <c r="H31" s="2">
        <f t="shared" si="1"/>
        <v>40500</v>
      </c>
      <c r="I31" s="60">
        <f>G31+H31</f>
        <v>40500</v>
      </c>
      <c r="J31" s="25">
        <f t="shared" si="2"/>
        <v>900</v>
      </c>
      <c r="K31" s="161"/>
      <c r="L31" s="161"/>
      <c r="M31" s="161"/>
    </row>
    <row r="32" spans="1:252" outlineLevel="1" x14ac:dyDescent="0.25">
      <c r="A32" s="84"/>
      <c r="B32" s="33" t="s">
        <v>1313</v>
      </c>
      <c r="C32" s="2" t="s">
        <v>12</v>
      </c>
      <c r="D32" s="2">
        <f>[1]Д2!D34+[1]Ек!D34</f>
        <v>17</v>
      </c>
      <c r="E32" s="18"/>
      <c r="F32" s="664">
        <v>1365.97</v>
      </c>
      <c r="G32" s="18"/>
      <c r="H32" s="2">
        <f t="shared" si="1"/>
        <v>23221.49</v>
      </c>
      <c r="I32" s="60">
        <f t="shared" si="0"/>
        <v>23221.49</v>
      </c>
      <c r="J32" s="25">
        <f t="shared" si="2"/>
        <v>1365.97</v>
      </c>
      <c r="K32" s="638"/>
      <c r="L32" s="161"/>
      <c r="M32" s="161"/>
    </row>
    <row r="33" spans="1:13" outlineLevel="1" x14ac:dyDescent="0.25">
      <c r="A33" s="84"/>
      <c r="B33" s="33" t="s">
        <v>734</v>
      </c>
      <c r="C33" s="2" t="s">
        <v>12</v>
      </c>
      <c r="D33" s="2">
        <f>[1]Ек!D35</f>
        <v>49</v>
      </c>
      <c r="E33" s="31"/>
      <c r="F33" s="664">
        <v>452.6</v>
      </c>
      <c r="G33" s="2"/>
      <c r="H33" s="2">
        <f>ROUND(D33*F33,2)</f>
        <v>22177.4</v>
      </c>
      <c r="I33" s="663">
        <f>G33+H33</f>
        <v>22177.4</v>
      </c>
      <c r="J33" s="25">
        <f t="shared" si="2"/>
        <v>452.6</v>
      </c>
      <c r="K33" s="638"/>
      <c r="L33" s="161"/>
      <c r="M33" s="161"/>
    </row>
    <row r="34" spans="1:13" outlineLevel="1" x14ac:dyDescent="0.25">
      <c r="A34" s="84"/>
      <c r="B34" s="11" t="s">
        <v>72</v>
      </c>
      <c r="C34" s="2" t="s">
        <v>8</v>
      </c>
      <c r="D34" s="2">
        <f>D27*0.05</f>
        <v>52.35</v>
      </c>
      <c r="E34" s="18"/>
      <c r="F34" s="361">
        <v>2600</v>
      </c>
      <c r="G34" s="18"/>
      <c r="H34" s="2">
        <f t="shared" si="1"/>
        <v>136110</v>
      </c>
      <c r="I34" s="60">
        <f t="shared" si="0"/>
        <v>136110</v>
      </c>
      <c r="J34" s="25">
        <f t="shared" si="2"/>
        <v>2600</v>
      </c>
      <c r="K34" s="638"/>
      <c r="L34" s="161"/>
      <c r="M34" s="161"/>
    </row>
    <row r="35" spans="1:13" outlineLevel="1" x14ac:dyDescent="0.25">
      <c r="A35" s="92"/>
      <c r="B35" s="47" t="s">
        <v>1528</v>
      </c>
      <c r="C35" s="41" t="s">
        <v>15</v>
      </c>
      <c r="D35" s="42">
        <f>[1]Д2!D36+[1]Ек!D37+[1]Д!D35+[1]Е!D33</f>
        <v>513.08000000000004</v>
      </c>
      <c r="E35" s="2"/>
      <c r="F35" s="364">
        <v>42</v>
      </c>
      <c r="G35" s="10"/>
      <c r="H35" s="2">
        <f t="shared" si="1"/>
        <v>21549.360000000001</v>
      </c>
      <c r="I35" s="11">
        <f t="shared" si="0"/>
        <v>21549.360000000001</v>
      </c>
      <c r="J35" s="25">
        <f t="shared" si="2"/>
        <v>42</v>
      </c>
      <c r="K35" s="259"/>
      <c r="L35" s="161"/>
      <c r="M35" s="161"/>
    </row>
    <row r="36" spans="1:13" ht="31.2" outlineLevel="1" x14ac:dyDescent="0.25">
      <c r="A36" s="107" t="s">
        <v>1246</v>
      </c>
      <c r="B36" s="29" t="s">
        <v>1245</v>
      </c>
      <c r="C36" s="41" t="s">
        <v>8</v>
      </c>
      <c r="D36" s="42">
        <f>[1]Д2!D37+[1]Ек!D38+[1]Д!D36+[1]Е!D34</f>
        <v>19.2</v>
      </c>
      <c r="E36" s="256">
        <v>800</v>
      </c>
      <c r="F36" s="60"/>
      <c r="G36" s="2">
        <f>ROUND(E36*D36,2)</f>
        <v>15360</v>
      </c>
      <c r="H36" s="18"/>
      <c r="I36" s="60">
        <f t="shared" si="0"/>
        <v>15360</v>
      </c>
      <c r="J36" s="25">
        <v>800</v>
      </c>
      <c r="K36" s="161"/>
      <c r="L36" s="161"/>
      <c r="M36" s="161"/>
    </row>
    <row r="37" spans="1:13" outlineLevel="1" x14ac:dyDescent="0.25">
      <c r="A37" s="92"/>
      <c r="B37" s="11" t="s">
        <v>738</v>
      </c>
      <c r="C37" s="2" t="s">
        <v>8</v>
      </c>
      <c r="D37" s="2">
        <f>D36*1.015</f>
        <v>19.487999999999996</v>
      </c>
      <c r="E37" s="2"/>
      <c r="F37" s="664">
        <v>4200</v>
      </c>
      <c r="G37" s="2"/>
      <c r="H37" s="2">
        <f>ROUND(D37*F37,2)</f>
        <v>81849.600000000006</v>
      </c>
      <c r="I37" s="11">
        <f t="shared" si="0"/>
        <v>81849.600000000006</v>
      </c>
      <c r="J37" s="25">
        <v>4200</v>
      </c>
      <c r="K37" s="407"/>
      <c r="L37" s="161"/>
      <c r="M37" s="161"/>
    </row>
    <row r="38" spans="1:13" ht="31.2" outlineLevel="1" x14ac:dyDescent="0.25">
      <c r="A38" s="107" t="s">
        <v>1247</v>
      </c>
      <c r="B38" s="9" t="s">
        <v>1516</v>
      </c>
      <c r="C38" s="31" t="s">
        <v>14</v>
      </c>
      <c r="D38" s="670">
        <f>[1]Д2!D39+[1]Ек!D44+[1]Д!D38+[1]Е!D40</f>
        <v>921.61959999999999</v>
      </c>
      <c r="E38" s="256">
        <v>150</v>
      </c>
      <c r="F38" s="11"/>
      <c r="G38" s="2">
        <f>ROUND(E38*D38,2)</f>
        <v>138242.94</v>
      </c>
      <c r="H38" s="18"/>
      <c r="I38" s="11">
        <f t="shared" si="0"/>
        <v>138242.94</v>
      </c>
      <c r="K38" s="161"/>
      <c r="L38" s="161"/>
      <c r="M38" s="161"/>
    </row>
    <row r="39" spans="1:13" s="36" customFormat="1" ht="33" customHeight="1" outlineLevel="1" x14ac:dyDescent="0.25">
      <c r="A39" s="84"/>
      <c r="B39" s="11" t="s">
        <v>1311</v>
      </c>
      <c r="C39" s="2" t="s">
        <v>15</v>
      </c>
      <c r="D39" s="2">
        <f>2.5*D38</f>
        <v>2304.049</v>
      </c>
      <c r="E39" s="2"/>
      <c r="F39" s="361">
        <v>55</v>
      </c>
      <c r="G39" s="18"/>
      <c r="H39" s="2">
        <f>ROUND(D39*F39,2)</f>
        <v>126722.7</v>
      </c>
      <c r="I39" s="60">
        <f t="shared" si="0"/>
        <v>126722.7</v>
      </c>
      <c r="K39" s="162"/>
      <c r="L39" s="162"/>
      <c r="M39" s="162"/>
    </row>
    <row r="40" spans="1:13" s="36" customFormat="1" outlineLevel="1" x14ac:dyDescent="0.25">
      <c r="A40" s="84"/>
      <c r="B40" s="11" t="s">
        <v>1312</v>
      </c>
      <c r="C40" s="2" t="s">
        <v>30</v>
      </c>
      <c r="D40" s="2">
        <f>0.35*D38</f>
        <v>322.56685999999996</v>
      </c>
      <c r="E40" s="2"/>
      <c r="F40" s="361">
        <v>44</v>
      </c>
      <c r="G40" s="18"/>
      <c r="H40" s="2">
        <f>ROUND(D40*F40,2)</f>
        <v>14192.94</v>
      </c>
      <c r="I40" s="60">
        <f t="shared" si="0"/>
        <v>14192.94</v>
      </c>
      <c r="K40" s="162"/>
      <c r="L40" s="162"/>
      <c r="M40" s="162"/>
    </row>
    <row r="41" spans="1:13" s="36" customFormat="1" outlineLevel="1" x14ac:dyDescent="0.25">
      <c r="A41" s="107" t="s">
        <v>1496</v>
      </c>
      <c r="B41" s="29" t="s">
        <v>1317</v>
      </c>
      <c r="C41" s="31" t="s">
        <v>8</v>
      </c>
      <c r="D41" s="31">
        <f>[1]Д2!D42+[1]Ек!D40+[1]Д!D43+[1]Е!D36</f>
        <v>65.8</v>
      </c>
      <c r="E41" s="256">
        <v>2600</v>
      </c>
      <c r="F41" s="60"/>
      <c r="G41" s="2">
        <f>ROUND(E41*D41,2)</f>
        <v>171080</v>
      </c>
      <c r="H41" s="18"/>
      <c r="I41" s="60">
        <f t="shared" si="0"/>
        <v>171080</v>
      </c>
      <c r="K41" s="162"/>
      <c r="L41" s="162"/>
      <c r="M41" s="162"/>
    </row>
    <row r="42" spans="1:13" s="36" customFormat="1" outlineLevel="1" x14ac:dyDescent="0.25">
      <c r="A42" s="83"/>
      <c r="B42" s="11" t="s">
        <v>738</v>
      </c>
      <c r="C42" s="2" t="s">
        <v>8</v>
      </c>
      <c r="D42" s="2">
        <f>D41*1.015</f>
        <v>66.786999999999992</v>
      </c>
      <c r="E42" s="2"/>
      <c r="F42" s="664">
        <v>4200</v>
      </c>
      <c r="G42" s="2"/>
      <c r="H42" s="2">
        <f>ROUND(D42*F42,2)</f>
        <v>280505.40000000002</v>
      </c>
      <c r="I42" s="11">
        <f t="shared" si="0"/>
        <v>280505.40000000002</v>
      </c>
      <c r="K42" s="162"/>
      <c r="L42" s="162"/>
      <c r="M42" s="162"/>
    </row>
    <row r="43" spans="1:13" s="36" customFormat="1" outlineLevel="1" x14ac:dyDescent="0.25">
      <c r="A43" s="83"/>
      <c r="B43" s="33" t="s">
        <v>358</v>
      </c>
      <c r="C43" s="2" t="s">
        <v>9</v>
      </c>
      <c r="D43" s="161">
        <f>[1]Д2!D44+[1]Ек!D42+[1]Д!D45+[1]Е!D38</f>
        <v>1.2056</v>
      </c>
      <c r="E43" s="2"/>
      <c r="F43" s="361">
        <v>38000</v>
      </c>
      <c r="G43" s="2"/>
      <c r="H43" s="2">
        <f>ROUND(D43*F43,2)</f>
        <v>45812.800000000003</v>
      </c>
      <c r="I43" s="11">
        <f t="shared" si="0"/>
        <v>45812.800000000003</v>
      </c>
      <c r="K43" s="162"/>
      <c r="L43" s="162"/>
      <c r="M43" s="162"/>
    </row>
    <row r="44" spans="1:13" s="36" customFormat="1" outlineLevel="1" x14ac:dyDescent="0.25">
      <c r="A44" s="83"/>
      <c r="B44" s="11" t="s">
        <v>11</v>
      </c>
      <c r="C44" s="2" t="s">
        <v>8</v>
      </c>
      <c r="D44" s="2">
        <f>0.0061*D41</f>
        <v>0.40138000000000001</v>
      </c>
      <c r="E44" s="2"/>
      <c r="F44" s="361">
        <v>7500</v>
      </c>
      <c r="G44" s="2"/>
      <c r="H44" s="2">
        <f>ROUND(D44*F44,2)</f>
        <v>3010.35</v>
      </c>
      <c r="I44" s="11">
        <f t="shared" si="0"/>
        <v>3010.35</v>
      </c>
      <c r="K44" s="162"/>
      <c r="L44" s="162"/>
      <c r="M44" s="162"/>
    </row>
    <row r="45" spans="1:13" s="36" customFormat="1" ht="31.2" outlineLevel="1" x14ac:dyDescent="0.25">
      <c r="A45" s="107" t="s">
        <v>1497</v>
      </c>
      <c r="B45" s="9" t="s">
        <v>1517</v>
      </c>
      <c r="C45" s="31" t="s">
        <v>14</v>
      </c>
      <c r="D45" s="65">
        <f>[1]Д2!D46+[1]Ек!D47+[1]Д!D41+[1]Е!D43</f>
        <v>233.81399999999999</v>
      </c>
      <c r="E45" s="264">
        <v>250</v>
      </c>
      <c r="F45" s="140"/>
      <c r="G45" s="51">
        <f>E45*D45</f>
        <v>58453.5</v>
      </c>
      <c r="H45" s="51"/>
      <c r="I45" s="140">
        <f>H45+G45</f>
        <v>58453.5</v>
      </c>
      <c r="K45" s="162"/>
      <c r="L45" s="162"/>
      <c r="M45" s="162"/>
    </row>
    <row r="46" spans="1:13" s="36" customFormat="1" outlineLevel="1" x14ac:dyDescent="0.25">
      <c r="A46" s="553"/>
      <c r="B46" s="33" t="s">
        <v>1318</v>
      </c>
      <c r="C46" s="2" t="s">
        <v>14</v>
      </c>
      <c r="D46" s="2">
        <f>ROUND(D45*2,2)</f>
        <v>467.63</v>
      </c>
      <c r="E46" s="2"/>
      <c r="F46" s="665">
        <v>86.8</v>
      </c>
      <c r="G46" s="2"/>
      <c r="H46" s="2">
        <f>ROUND(D46*F46,2)</f>
        <v>40590.28</v>
      </c>
      <c r="I46" s="11">
        <f>G46+H46</f>
        <v>40590.28</v>
      </c>
      <c r="K46" s="162"/>
      <c r="L46" s="162"/>
      <c r="M46" s="162"/>
    </row>
    <row r="47" spans="1:13" s="36" customFormat="1" outlineLevel="1" x14ac:dyDescent="0.25">
      <c r="A47" s="107" t="s">
        <v>1499</v>
      </c>
      <c r="B47" s="29" t="s">
        <v>1500</v>
      </c>
      <c r="C47" s="2" t="s">
        <v>8</v>
      </c>
      <c r="D47" s="31">
        <f>[1]Д2!D48+[1]Ек!D49+[1]Д!D47+[1]Е!D45</f>
        <v>2.52</v>
      </c>
      <c r="E47" s="256">
        <v>1500</v>
      </c>
      <c r="F47" s="164"/>
      <c r="G47" s="2">
        <f>ROUND(E47*D47,2)</f>
        <v>3780</v>
      </c>
      <c r="H47" s="2"/>
      <c r="I47" s="11">
        <f>G47+H47</f>
        <v>3780</v>
      </c>
      <c r="K47" s="162"/>
      <c r="L47" s="162"/>
      <c r="M47" s="162"/>
    </row>
    <row r="48" spans="1:13" s="36" customFormat="1" outlineLevel="1" x14ac:dyDescent="0.25">
      <c r="A48" s="84"/>
      <c r="B48" s="11" t="s">
        <v>736</v>
      </c>
      <c r="C48" s="2" t="s">
        <v>8</v>
      </c>
      <c r="D48" s="2">
        <f>D47*1.02</f>
        <v>2.5704000000000002</v>
      </c>
      <c r="E48" s="2"/>
      <c r="F48" s="664">
        <v>4200</v>
      </c>
      <c r="G48" s="2"/>
      <c r="H48" s="2">
        <f>ROUND(D48*F48,2)</f>
        <v>10795.68</v>
      </c>
      <c r="I48" s="60">
        <f>G48+H48</f>
        <v>10795.68</v>
      </c>
      <c r="K48" s="162"/>
      <c r="L48" s="162"/>
      <c r="M48" s="162"/>
    </row>
    <row r="49" spans="1:14" s="36" customFormat="1" outlineLevel="1" x14ac:dyDescent="0.25">
      <c r="A49" s="84"/>
      <c r="B49" s="11" t="s">
        <v>737</v>
      </c>
      <c r="C49" s="41" t="s">
        <v>15</v>
      </c>
      <c r="D49" s="42">
        <f>[1]Д2!D50+[1]Ек!D51+[1]Д!D49+[1]Е!D47</f>
        <v>158.42999999999998</v>
      </c>
      <c r="E49" s="2"/>
      <c r="F49" s="364">
        <v>42</v>
      </c>
      <c r="G49" s="10"/>
      <c r="H49" s="2">
        <f>ROUND(D49*F49,2)</f>
        <v>6654.06</v>
      </c>
      <c r="I49" s="11">
        <f>G49+H49</f>
        <v>6654.06</v>
      </c>
      <c r="K49" s="162"/>
      <c r="L49" s="162"/>
      <c r="M49" s="162"/>
    </row>
    <row r="50" spans="1:14" s="36" customFormat="1" outlineLevel="1" x14ac:dyDescent="0.25">
      <c r="A50" s="92"/>
      <c r="B50" s="750" t="s">
        <v>1547</v>
      </c>
      <c r="C50" s="744" t="s">
        <v>1548</v>
      </c>
      <c r="D50" s="745">
        <f>2*20*8</f>
        <v>320</v>
      </c>
      <c r="E50" s="746">
        <v>1300</v>
      </c>
      <c r="F50" s="747"/>
      <c r="G50" s="2">
        <f>ROUND(E50*D50,2)</f>
        <v>416000</v>
      </c>
      <c r="H50" s="2"/>
      <c r="I50" s="11">
        <f>G50+H50</f>
        <v>416000</v>
      </c>
      <c r="K50" s="162"/>
      <c r="L50" s="162"/>
      <c r="M50" s="162"/>
    </row>
    <row r="51" spans="1:14" s="36" customFormat="1" outlineLevel="1" x14ac:dyDescent="0.25">
      <c r="A51" s="92"/>
      <c r="B51" s="748" t="s">
        <v>1543</v>
      </c>
      <c r="C51" s="744"/>
      <c r="D51" s="745"/>
      <c r="E51" s="746"/>
      <c r="F51" s="747"/>
      <c r="G51" s="474">
        <f>SUM(G16:G50)</f>
        <v>3038049.9</v>
      </c>
      <c r="H51" s="746"/>
      <c r="I51" s="749">
        <f>G51</f>
        <v>3038049.9</v>
      </c>
      <c r="K51" s="162"/>
      <c r="L51" s="162"/>
      <c r="M51" s="162"/>
    </row>
    <row r="52" spans="1:14" s="36" customFormat="1" outlineLevel="1" x14ac:dyDescent="0.25">
      <c r="A52" s="92"/>
      <c r="B52" s="748" t="s">
        <v>1546</v>
      </c>
      <c r="C52" s="744"/>
      <c r="D52" s="745"/>
      <c r="E52" s="746"/>
      <c r="F52" s="747"/>
      <c r="G52" s="474"/>
      <c r="H52" s="473">
        <f>SUM(H16:H49)</f>
        <v>7236192.9699999997</v>
      </c>
      <c r="I52" s="749">
        <f>H52</f>
        <v>7236192.9699999997</v>
      </c>
      <c r="K52" s="162"/>
      <c r="L52" s="162"/>
      <c r="M52" s="162"/>
    </row>
    <row r="53" spans="1:14" s="36" customFormat="1" outlineLevel="1" x14ac:dyDescent="0.25">
      <c r="A53" s="92"/>
      <c r="B53" s="748" t="s">
        <v>1544</v>
      </c>
      <c r="C53" s="744"/>
      <c r="D53" s="745"/>
      <c r="E53" s="746"/>
      <c r="F53" s="747"/>
      <c r="G53" s="474">
        <f>G51*0.35</f>
        <v>1063317.4649999999</v>
      </c>
      <c r="H53" s="746"/>
      <c r="I53" s="749">
        <f>G53</f>
        <v>1063317.4649999999</v>
      </c>
      <c r="K53" s="162"/>
      <c r="L53" s="162"/>
      <c r="M53" s="162"/>
    </row>
    <row r="54" spans="1:14" s="36" customFormat="1" outlineLevel="1" x14ac:dyDescent="0.25">
      <c r="A54" s="92"/>
      <c r="B54" s="748" t="s">
        <v>1545</v>
      </c>
      <c r="C54" s="744"/>
      <c r="D54" s="745"/>
      <c r="E54" s="746"/>
      <c r="F54" s="747"/>
      <c r="G54" s="474">
        <f>G51*0.05</f>
        <v>151902.495</v>
      </c>
      <c r="H54" s="746"/>
      <c r="I54" s="749">
        <f>G54</f>
        <v>151902.495</v>
      </c>
      <c r="K54" s="162"/>
      <c r="L54" s="162"/>
      <c r="M54" s="162"/>
    </row>
    <row r="55" spans="1:14" s="36" customFormat="1" ht="46.8" x14ac:dyDescent="0.25">
      <c r="A55" s="212"/>
      <c r="B55" s="213" t="s">
        <v>739</v>
      </c>
      <c r="C55" s="222"/>
      <c r="D55" s="215"/>
      <c r="E55" s="216"/>
      <c r="F55" s="217"/>
      <c r="G55" s="216">
        <f>G51+G53+G54</f>
        <v>4253269.8599999994</v>
      </c>
      <c r="H55" s="216">
        <f>SUM(H16:H49)</f>
        <v>7236192.9699999997</v>
      </c>
      <c r="I55" s="215">
        <f>I51+I52+I53+I54</f>
        <v>11489462.829999998</v>
      </c>
      <c r="J55" s="691"/>
      <c r="K55" s="162"/>
      <c r="L55" s="162"/>
      <c r="M55" s="162"/>
    </row>
    <row r="56" spans="1:14" s="36" customFormat="1" x14ac:dyDescent="0.25">
      <c r="A56" s="85"/>
      <c r="B56" s="58" t="s">
        <v>624</v>
      </c>
      <c r="C56" s="9"/>
      <c r="D56" s="31"/>
      <c r="E56" s="10"/>
      <c r="F56" s="57"/>
      <c r="G56" s="10"/>
      <c r="H56" s="10"/>
      <c r="I56" s="31">
        <f>ROUND(I55/1.18*0.18,2)</f>
        <v>1752629.92</v>
      </c>
      <c r="K56" s="162"/>
      <c r="L56" s="162"/>
      <c r="M56" s="162"/>
    </row>
    <row r="57" spans="1:14" ht="18.75" customHeight="1" x14ac:dyDescent="0.25">
      <c r="A57" s="104"/>
      <c r="B57" s="771" t="s">
        <v>494</v>
      </c>
      <c r="C57" s="771"/>
      <c r="D57" s="771"/>
      <c r="E57" s="771"/>
      <c r="F57" s="771"/>
      <c r="G57" s="105"/>
      <c r="H57" s="105"/>
      <c r="I57" s="106"/>
      <c r="K57" s="129"/>
      <c r="L57" s="133"/>
      <c r="M57" s="133"/>
    </row>
    <row r="58" spans="1:14" ht="20.25" customHeight="1" outlineLevel="2" x14ac:dyDescent="0.25">
      <c r="A58" s="107" t="s">
        <v>204</v>
      </c>
      <c r="B58" s="29" t="s">
        <v>755</v>
      </c>
      <c r="C58" s="31" t="s">
        <v>8</v>
      </c>
      <c r="D58" s="31">
        <f>Д2!D54+Ек!D55+Д!D52+Е!D51</f>
        <v>4.6438499999999987</v>
      </c>
      <c r="E58" s="256">
        <v>550</v>
      </c>
      <c r="F58" s="11"/>
      <c r="G58" s="2">
        <f>ROUND(E58*D58,2)</f>
        <v>2554.12</v>
      </c>
      <c r="H58" s="2"/>
      <c r="I58" s="11">
        <f>G58+H58</f>
        <v>2554.12</v>
      </c>
      <c r="K58" s="161"/>
      <c r="L58" s="161"/>
      <c r="M58" s="161"/>
    </row>
    <row r="59" spans="1:14" ht="31.2" outlineLevel="2" x14ac:dyDescent="0.25">
      <c r="A59" s="84"/>
      <c r="B59" s="11" t="s">
        <v>764</v>
      </c>
      <c r="C59" s="2" t="s">
        <v>12</v>
      </c>
      <c r="D59" s="64">
        <v>1830</v>
      </c>
      <c r="E59" s="2"/>
      <c r="F59" s="664">
        <v>10.75</v>
      </c>
      <c r="G59" s="2"/>
      <c r="H59" s="2">
        <f>ROUND(D59*F59,2)</f>
        <v>19672.5</v>
      </c>
      <c r="I59" s="11">
        <f>G59+H59</f>
        <v>19672.5</v>
      </c>
      <c r="K59" s="161"/>
      <c r="L59" s="161"/>
      <c r="M59" s="161"/>
    </row>
    <row r="60" spans="1:14" outlineLevel="2" x14ac:dyDescent="0.25">
      <c r="A60" s="84"/>
      <c r="B60" s="11" t="s">
        <v>756</v>
      </c>
      <c r="C60" s="2" t="s">
        <v>8</v>
      </c>
      <c r="D60" s="64">
        <f>Д2!D56+Ек!D57+Д!D54+Е!D53</f>
        <v>1.08</v>
      </c>
      <c r="E60" s="2"/>
      <c r="F60" s="164">
        <v>2600</v>
      </c>
      <c r="G60" s="2"/>
      <c r="H60" s="2">
        <f>ROUND(D60*F60,2)</f>
        <v>2808</v>
      </c>
      <c r="I60" s="11">
        <f>G60+H60</f>
        <v>2808</v>
      </c>
      <c r="K60" s="161"/>
      <c r="L60" s="161"/>
      <c r="M60" s="161"/>
    </row>
    <row r="61" spans="1:14" outlineLevel="2" x14ac:dyDescent="0.25">
      <c r="A61" s="107" t="s">
        <v>205</v>
      </c>
      <c r="B61" s="205" t="s">
        <v>16</v>
      </c>
      <c r="C61" s="31" t="s">
        <v>12</v>
      </c>
      <c r="D61" s="160">
        <f>D62+D63</f>
        <v>14</v>
      </c>
      <c r="E61" s="256">
        <v>100</v>
      </c>
      <c r="F61" s="11"/>
      <c r="G61" s="2">
        <f>ROUND(E61*D61,2)</f>
        <v>1400</v>
      </c>
      <c r="H61" s="2"/>
      <c r="I61" s="11">
        <f t="shared" ref="I61:I68" si="3">G61+H61</f>
        <v>1400</v>
      </c>
      <c r="K61" s="163"/>
      <c r="L61" s="163"/>
      <c r="M61" s="163"/>
      <c r="N61" s="5"/>
    </row>
    <row r="62" spans="1:14" outlineLevel="2" x14ac:dyDescent="0.25">
      <c r="A62" s="84"/>
      <c r="B62" s="33" t="s">
        <v>754</v>
      </c>
      <c r="C62" s="2" t="s">
        <v>12</v>
      </c>
      <c r="D62" s="64">
        <f>Д!D56+Е!D55</f>
        <v>2</v>
      </c>
      <c r="E62" s="2"/>
      <c r="F62" s="664">
        <v>203</v>
      </c>
      <c r="G62" s="2"/>
      <c r="H62" s="2">
        <f>ROUND(D62*F62,2)</f>
        <v>406</v>
      </c>
      <c r="I62" s="11">
        <f t="shared" si="3"/>
        <v>406</v>
      </c>
      <c r="K62" s="163"/>
      <c r="L62" s="163"/>
      <c r="M62" s="163"/>
      <c r="N62" s="5"/>
    </row>
    <row r="63" spans="1:14" outlineLevel="2" x14ac:dyDescent="0.25">
      <c r="A63" s="84"/>
      <c r="B63" s="33" t="s">
        <v>880</v>
      </c>
      <c r="C63" s="2" t="s">
        <v>12</v>
      </c>
      <c r="D63" s="64">
        <f>Ек!D59</f>
        <v>12</v>
      </c>
      <c r="E63" s="2"/>
      <c r="F63" s="664">
        <v>386</v>
      </c>
      <c r="G63" s="2"/>
      <c r="H63" s="2">
        <f>ROUND(D63*F63,2)</f>
        <v>4632</v>
      </c>
      <c r="I63" s="11">
        <f t="shared" si="3"/>
        <v>4632</v>
      </c>
      <c r="K63" s="163"/>
      <c r="L63" s="163"/>
      <c r="M63" s="163"/>
      <c r="N63" s="5"/>
    </row>
    <row r="64" spans="1:14" outlineLevel="2" x14ac:dyDescent="0.25">
      <c r="A64" s="84"/>
      <c r="B64" s="11" t="s">
        <v>72</v>
      </c>
      <c r="C64" s="2" t="s">
        <v>8</v>
      </c>
      <c r="D64" s="64">
        <f>ROUND(0.23*D61,2)</f>
        <v>3.22</v>
      </c>
      <c r="E64" s="2"/>
      <c r="F64" s="361">
        <v>2600</v>
      </c>
      <c r="G64" s="2"/>
      <c r="H64" s="2">
        <f>ROUND(D64*F64,2)</f>
        <v>8372</v>
      </c>
      <c r="I64" s="11">
        <f t="shared" si="3"/>
        <v>8372</v>
      </c>
      <c r="K64" s="163"/>
      <c r="L64" s="163"/>
      <c r="M64" s="163"/>
      <c r="N64" s="5"/>
    </row>
    <row r="65" spans="1:14" outlineLevel="2" x14ac:dyDescent="0.25">
      <c r="A65" s="107" t="s">
        <v>207</v>
      </c>
      <c r="B65" s="44" t="s">
        <v>784</v>
      </c>
      <c r="C65" s="46" t="s">
        <v>12</v>
      </c>
      <c r="D65" s="50">
        <f>Д2!D60+Ек!D61+Д!D58+Е!D57</f>
        <v>5</v>
      </c>
      <c r="E65" s="166">
        <v>1000</v>
      </c>
      <c r="F65" s="43"/>
      <c r="G65" s="2">
        <f>ROUND(E65*D65,2)</f>
        <v>5000</v>
      </c>
      <c r="H65" s="11">
        <f>D65*F65</f>
        <v>0</v>
      </c>
      <c r="I65" s="11">
        <f t="shared" si="3"/>
        <v>5000</v>
      </c>
      <c r="K65" s="163"/>
      <c r="L65" s="163"/>
      <c r="M65" s="163"/>
      <c r="N65" s="5"/>
    </row>
    <row r="66" spans="1:14" outlineLevel="2" x14ac:dyDescent="0.25">
      <c r="A66" s="84"/>
      <c r="B66" s="11" t="s">
        <v>785</v>
      </c>
      <c r="C66" s="2" t="s">
        <v>12</v>
      </c>
      <c r="D66" s="64">
        <f>Д2!D61+Ек!D62+Д!D59+Е!D58</f>
        <v>24</v>
      </c>
      <c r="E66" s="2"/>
      <c r="F66" s="164">
        <v>1300</v>
      </c>
      <c r="G66" s="2"/>
      <c r="H66" s="2">
        <f t="shared" ref="H66:H79" si="4">ROUND(D66*F66,2)</f>
        <v>31200</v>
      </c>
      <c r="I66" s="11">
        <f t="shared" si="3"/>
        <v>31200</v>
      </c>
      <c r="K66" s="163"/>
      <c r="L66" s="163"/>
      <c r="M66" s="163"/>
      <c r="N66" s="5"/>
    </row>
    <row r="67" spans="1:14" outlineLevel="2" x14ac:dyDescent="0.25">
      <c r="A67" s="84"/>
      <c r="B67" s="11" t="s">
        <v>1326</v>
      </c>
      <c r="C67" s="2" t="s">
        <v>12</v>
      </c>
      <c r="D67" s="64">
        <f>Д2!D62+Ек!D63+Д!D60+Е!D59</f>
        <v>4</v>
      </c>
      <c r="E67" s="2"/>
      <c r="F67" s="164">
        <v>1300</v>
      </c>
      <c r="G67" s="2"/>
      <c r="H67" s="2">
        <f t="shared" si="4"/>
        <v>5200</v>
      </c>
      <c r="I67" s="11">
        <f t="shared" si="3"/>
        <v>5200</v>
      </c>
      <c r="K67" s="163"/>
      <c r="L67" s="163"/>
      <c r="M67" s="163"/>
      <c r="N67" s="5"/>
    </row>
    <row r="68" spans="1:14" outlineLevel="2" x14ac:dyDescent="0.25">
      <c r="A68" s="84"/>
      <c r="B68" s="11" t="s">
        <v>786</v>
      </c>
      <c r="C68" s="2" t="s">
        <v>12</v>
      </c>
      <c r="D68" s="64">
        <f>Д2!D63+Ек!D64+Д!D61+Е!D60</f>
        <v>31</v>
      </c>
      <c r="E68" s="2"/>
      <c r="F68" s="164">
        <v>1300</v>
      </c>
      <c r="G68" s="2"/>
      <c r="H68" s="2">
        <f t="shared" si="4"/>
        <v>40300</v>
      </c>
      <c r="I68" s="11">
        <f t="shared" si="3"/>
        <v>40300</v>
      </c>
      <c r="K68" s="163"/>
      <c r="L68" s="163"/>
      <c r="M68" s="163"/>
      <c r="N68" s="5"/>
    </row>
    <row r="69" spans="1:14" outlineLevel="2" x14ac:dyDescent="0.25">
      <c r="A69" s="84"/>
      <c r="B69" s="11" t="s">
        <v>1327</v>
      </c>
      <c r="C69" s="2" t="s">
        <v>12</v>
      </c>
      <c r="D69" s="64">
        <f>Д2!D64+Ек!D65+Д!D62+Е!D61</f>
        <v>5</v>
      </c>
      <c r="E69" s="2"/>
      <c r="F69" s="164">
        <v>1300</v>
      </c>
      <c r="G69" s="2"/>
      <c r="H69" s="2">
        <f t="shared" si="4"/>
        <v>6500</v>
      </c>
      <c r="I69" s="11">
        <f>G69+H69</f>
        <v>6500</v>
      </c>
      <c r="K69" s="163"/>
      <c r="L69" s="163"/>
      <c r="M69" s="163"/>
      <c r="N69" s="5"/>
    </row>
    <row r="70" spans="1:14" outlineLevel="2" x14ac:dyDescent="0.25">
      <c r="A70" s="84"/>
      <c r="B70" s="11" t="s">
        <v>1518</v>
      </c>
      <c r="C70" s="2" t="s">
        <v>12</v>
      </c>
      <c r="D70" s="64">
        <f>Д2!D65+Ек!D66+Д!D63+Е!D62</f>
        <v>4</v>
      </c>
      <c r="E70" s="2"/>
      <c r="F70" s="164">
        <v>1300</v>
      </c>
      <c r="G70" s="2"/>
      <c r="H70" s="2">
        <f t="shared" si="4"/>
        <v>5200</v>
      </c>
      <c r="I70" s="11">
        <f>G70+H70</f>
        <v>5200</v>
      </c>
      <c r="K70" s="163"/>
      <c r="L70" s="163"/>
      <c r="M70" s="163"/>
      <c r="N70" s="5"/>
    </row>
    <row r="71" spans="1:14" outlineLevel="2" x14ac:dyDescent="0.25">
      <c r="A71" s="84"/>
      <c r="B71" s="11" t="s">
        <v>738</v>
      </c>
      <c r="C71" s="2" t="s">
        <v>8</v>
      </c>
      <c r="D71" s="2">
        <f>Д2!D66+Ек!D67+Д!D64+Е!D63</f>
        <v>0.2</v>
      </c>
      <c r="E71" s="2"/>
      <c r="F71" s="664">
        <v>4200</v>
      </c>
      <c r="G71" s="2"/>
      <c r="H71" s="2">
        <f t="shared" si="4"/>
        <v>840</v>
      </c>
      <c r="I71" s="11">
        <f>G71+H71</f>
        <v>840</v>
      </c>
      <c r="K71" s="163"/>
      <c r="L71" s="163"/>
      <c r="M71" s="163"/>
      <c r="N71" s="5"/>
    </row>
    <row r="72" spans="1:14" outlineLevel="2" x14ac:dyDescent="0.25">
      <c r="A72" s="84"/>
      <c r="B72" s="11" t="s">
        <v>763</v>
      </c>
      <c r="C72" s="2" t="s">
        <v>1323</v>
      </c>
      <c r="D72" s="64">
        <f>Д2!D67+Ек!D68+Д!D65+Е!D64</f>
        <v>54.000000000000007</v>
      </c>
      <c r="E72" s="2"/>
      <c r="F72" s="164">
        <v>300</v>
      </c>
      <c r="G72" s="2"/>
      <c r="H72" s="2">
        <f t="shared" si="4"/>
        <v>16200</v>
      </c>
      <c r="I72" s="11">
        <f>G72+H72</f>
        <v>16200</v>
      </c>
      <c r="K72" s="163"/>
      <c r="L72" s="163"/>
      <c r="M72" s="163"/>
      <c r="N72" s="5"/>
    </row>
    <row r="73" spans="1:14" outlineLevel="2" x14ac:dyDescent="0.25">
      <c r="A73" s="84"/>
      <c r="B73" s="11" t="s">
        <v>767</v>
      </c>
      <c r="C73" s="2" t="s">
        <v>15</v>
      </c>
      <c r="D73" s="64">
        <f>Д2!D68+Ек!D69+Д!D66+Е!D65</f>
        <v>610</v>
      </c>
      <c r="E73" s="2"/>
      <c r="F73" s="361">
        <v>40</v>
      </c>
      <c r="G73" s="2"/>
      <c r="H73" s="2">
        <f t="shared" si="4"/>
        <v>24400</v>
      </c>
      <c r="I73" s="11">
        <f t="shared" ref="I73:I79" si="5">G73+H73</f>
        <v>24400</v>
      </c>
      <c r="K73" s="163"/>
      <c r="L73" s="163"/>
      <c r="M73" s="163"/>
      <c r="N73" s="5"/>
    </row>
    <row r="74" spans="1:14" outlineLevel="2" x14ac:dyDescent="0.25">
      <c r="A74" s="84"/>
      <c r="B74" s="11" t="s">
        <v>768</v>
      </c>
      <c r="C74" s="2" t="s">
        <v>15</v>
      </c>
      <c r="D74" s="64">
        <f>Д2!D69+Ек!D70+Д!D67+Е!D66</f>
        <v>1380</v>
      </c>
      <c r="E74" s="2"/>
      <c r="F74" s="361">
        <v>40</v>
      </c>
      <c r="G74" s="2"/>
      <c r="H74" s="2">
        <f t="shared" si="4"/>
        <v>55200</v>
      </c>
      <c r="I74" s="11">
        <f t="shared" si="5"/>
        <v>55200</v>
      </c>
      <c r="K74" s="163"/>
      <c r="L74" s="163"/>
      <c r="M74" s="163"/>
      <c r="N74" s="5"/>
    </row>
    <row r="75" spans="1:14" outlineLevel="2" x14ac:dyDescent="0.25">
      <c r="A75" s="84"/>
      <c r="B75" s="11" t="s">
        <v>770</v>
      </c>
      <c r="C75" s="2" t="s">
        <v>15</v>
      </c>
      <c r="D75" s="64">
        <f>Д2!D70+Ек!D71+Д!D68+Е!D67</f>
        <v>23</v>
      </c>
      <c r="E75" s="2"/>
      <c r="F75" s="361">
        <v>36</v>
      </c>
      <c r="G75" s="2"/>
      <c r="H75" s="2">
        <f t="shared" si="4"/>
        <v>828</v>
      </c>
      <c r="I75" s="11">
        <f t="shared" si="5"/>
        <v>828</v>
      </c>
      <c r="K75" s="163"/>
      <c r="L75" s="163"/>
      <c r="M75" s="163"/>
      <c r="N75" s="5"/>
    </row>
    <row r="76" spans="1:14" outlineLevel="2" x14ac:dyDescent="0.25">
      <c r="A76" s="84"/>
      <c r="B76" s="11" t="s">
        <v>1331</v>
      </c>
      <c r="C76" s="2" t="s">
        <v>15</v>
      </c>
      <c r="D76" s="64">
        <f>Д2!D71+Ек!D72+Д!D69+Е!D68</f>
        <v>284</v>
      </c>
      <c r="E76" s="2"/>
      <c r="F76" s="361">
        <v>36</v>
      </c>
      <c r="G76" s="2"/>
      <c r="H76" s="2">
        <f t="shared" si="4"/>
        <v>10224</v>
      </c>
      <c r="I76" s="11">
        <f t="shared" si="5"/>
        <v>10224</v>
      </c>
      <c r="K76" s="163"/>
      <c r="L76" s="163"/>
      <c r="M76" s="163"/>
      <c r="N76" s="5"/>
    </row>
    <row r="77" spans="1:14" outlineLevel="2" x14ac:dyDescent="0.25">
      <c r="A77" s="84"/>
      <c r="B77" s="11" t="s">
        <v>771</v>
      </c>
      <c r="C77" s="2" t="s">
        <v>15</v>
      </c>
      <c r="D77" s="64">
        <f>Е!D69</f>
        <v>40</v>
      </c>
      <c r="E77" s="2"/>
      <c r="F77" s="361">
        <v>36</v>
      </c>
      <c r="G77" s="2"/>
      <c r="H77" s="2">
        <f>ROUND(D77*F77,2)</f>
        <v>1440</v>
      </c>
      <c r="I77" s="11">
        <f>G77+H77</f>
        <v>1440</v>
      </c>
      <c r="K77" s="163"/>
      <c r="L77" s="163"/>
      <c r="M77" s="163"/>
      <c r="N77" s="5"/>
    </row>
    <row r="78" spans="1:14" outlineLevel="2" x14ac:dyDescent="0.25">
      <c r="A78" s="84"/>
      <c r="B78" s="11" t="s">
        <v>772</v>
      </c>
      <c r="C78" s="2" t="s">
        <v>15</v>
      </c>
      <c r="D78" s="64">
        <f>Д2!D72+Ек!D74+Д!D70+Е!D70</f>
        <v>130</v>
      </c>
      <c r="E78" s="2"/>
      <c r="F78" s="361">
        <v>33</v>
      </c>
      <c r="G78" s="2"/>
      <c r="H78" s="2">
        <f t="shared" si="4"/>
        <v>4290</v>
      </c>
      <c r="I78" s="11">
        <f t="shared" si="5"/>
        <v>4290</v>
      </c>
      <c r="K78" s="163"/>
      <c r="L78" s="163"/>
      <c r="M78" s="163"/>
      <c r="N78" s="5"/>
    </row>
    <row r="79" spans="1:14" outlineLevel="2" x14ac:dyDescent="0.25">
      <c r="A79" s="84"/>
      <c r="B79" s="11" t="s">
        <v>773</v>
      </c>
      <c r="C79" s="2" t="s">
        <v>15</v>
      </c>
      <c r="D79" s="64">
        <f>Д2!D73+Ек!D75+Д!D71+Е!D71</f>
        <v>206</v>
      </c>
      <c r="E79" s="2"/>
      <c r="F79" s="361">
        <v>33</v>
      </c>
      <c r="G79" s="2"/>
      <c r="H79" s="2">
        <f t="shared" si="4"/>
        <v>6798</v>
      </c>
      <c r="I79" s="11">
        <f t="shared" si="5"/>
        <v>6798</v>
      </c>
      <c r="K79" s="163"/>
      <c r="L79" s="163"/>
      <c r="M79" s="163"/>
      <c r="N79" s="5"/>
    </row>
    <row r="80" spans="1:14" outlineLevel="2" x14ac:dyDescent="0.25">
      <c r="A80" s="107" t="s">
        <v>66</v>
      </c>
      <c r="B80" s="49" t="s">
        <v>807</v>
      </c>
      <c r="C80" s="41" t="s">
        <v>14</v>
      </c>
      <c r="D80" s="2">
        <f>SUM(D72:D79)*27/1000</f>
        <v>73.629000000000005</v>
      </c>
      <c r="E80" s="353">
        <v>150</v>
      </c>
      <c r="F80" s="363"/>
      <c r="G80" s="2">
        <f>D80*E80</f>
        <v>11044.35</v>
      </c>
      <c r="H80" s="2"/>
      <c r="I80" s="11">
        <f>G80</f>
        <v>11044.35</v>
      </c>
      <c r="K80" s="163"/>
      <c r="L80" s="163"/>
      <c r="M80" s="163"/>
      <c r="N80" s="5"/>
    </row>
    <row r="81" spans="1:14" outlineLevel="2" x14ac:dyDescent="0.25">
      <c r="A81" s="84"/>
      <c r="B81" s="47" t="s">
        <v>908</v>
      </c>
      <c r="C81" s="41" t="s">
        <v>15</v>
      </c>
      <c r="D81" s="2">
        <f>D80*0.2</f>
        <v>14.725800000000001</v>
      </c>
      <c r="E81" s="390"/>
      <c r="F81" s="362">
        <v>85</v>
      </c>
      <c r="G81" s="2"/>
      <c r="H81" s="2">
        <f>F81*D81</f>
        <v>1251.6930000000002</v>
      </c>
      <c r="I81" s="11">
        <f>H81</f>
        <v>1251.6930000000002</v>
      </c>
      <c r="K81" s="163"/>
      <c r="L81" s="163"/>
      <c r="M81" s="163"/>
      <c r="N81" s="5"/>
    </row>
    <row r="82" spans="1:14" outlineLevel="2" x14ac:dyDescent="0.25">
      <c r="A82" s="84"/>
      <c r="B82" s="47" t="s">
        <v>809</v>
      </c>
      <c r="C82" s="41" t="s">
        <v>15</v>
      </c>
      <c r="D82" s="2">
        <f>D80*0.3</f>
        <v>22.088699999999999</v>
      </c>
      <c r="E82" s="390"/>
      <c r="F82" s="362">
        <v>115</v>
      </c>
      <c r="G82" s="2"/>
      <c r="H82" s="2">
        <f>F82*D82</f>
        <v>2540.2004999999999</v>
      </c>
      <c r="I82" s="11">
        <f>H82</f>
        <v>2540.2004999999999</v>
      </c>
      <c r="K82" s="163"/>
      <c r="L82" s="163"/>
      <c r="M82" s="163"/>
      <c r="N82" s="5"/>
    </row>
    <row r="83" spans="1:14" outlineLevel="2" x14ac:dyDescent="0.25">
      <c r="A83" s="107" t="s">
        <v>349</v>
      </c>
      <c r="B83" s="29" t="s">
        <v>787</v>
      </c>
      <c r="C83" s="31" t="s">
        <v>8</v>
      </c>
      <c r="D83" s="31">
        <f>Д2!D77+Ек!D79+Д!D75+Е!D75</f>
        <v>3.5600000000000005</v>
      </c>
      <c r="E83" s="256">
        <v>800</v>
      </c>
      <c r="F83" s="11"/>
      <c r="G83" s="2">
        <f>ROUND(E83*D83,2)</f>
        <v>2848</v>
      </c>
      <c r="H83" s="2"/>
      <c r="I83" s="11">
        <f t="shared" ref="I83:I111" si="6">G83+H83</f>
        <v>2848</v>
      </c>
      <c r="K83" s="163"/>
      <c r="L83" s="163"/>
      <c r="M83" s="163"/>
      <c r="N83" s="5"/>
    </row>
    <row r="84" spans="1:14" outlineLevel="2" x14ac:dyDescent="0.25">
      <c r="A84" s="84"/>
      <c r="B84" s="11" t="s">
        <v>738</v>
      </c>
      <c r="C84" s="2" t="s">
        <v>8</v>
      </c>
      <c r="D84" s="2">
        <f>D83*1.02</f>
        <v>3.6312000000000006</v>
      </c>
      <c r="E84" s="2"/>
      <c r="F84" s="664">
        <v>4200</v>
      </c>
      <c r="G84" s="2"/>
      <c r="H84" s="2">
        <f>ROUND(D84*F84,2)</f>
        <v>15251.04</v>
      </c>
      <c r="I84" s="11">
        <f t="shared" si="6"/>
        <v>15251.04</v>
      </c>
      <c r="K84" s="163"/>
      <c r="L84" s="163"/>
      <c r="M84" s="163"/>
      <c r="N84" s="5"/>
    </row>
    <row r="85" spans="1:14" outlineLevel="2" x14ac:dyDescent="0.25">
      <c r="A85" s="84"/>
      <c r="B85" s="47" t="s">
        <v>1529</v>
      </c>
      <c r="C85" s="41" t="s">
        <v>15</v>
      </c>
      <c r="D85" s="42">
        <f>Д2!D79+Ек!D81+Д!D77+Е!D77</f>
        <v>151.48000000000002</v>
      </c>
      <c r="E85" s="2"/>
      <c r="F85" s="364">
        <v>42</v>
      </c>
      <c r="G85" s="10"/>
      <c r="H85" s="2">
        <f>ROUND(D85*F85,2)</f>
        <v>6362.16</v>
      </c>
      <c r="I85" s="11">
        <f t="shared" si="6"/>
        <v>6362.16</v>
      </c>
      <c r="K85" s="163"/>
      <c r="L85" s="163"/>
      <c r="M85" s="163"/>
      <c r="N85" s="5"/>
    </row>
    <row r="86" spans="1:14" ht="18.75" customHeight="1" outlineLevel="2" x14ac:dyDescent="0.25">
      <c r="A86" s="107" t="s">
        <v>495</v>
      </c>
      <c r="B86" s="29" t="s">
        <v>1305</v>
      </c>
      <c r="C86" s="2" t="s">
        <v>8</v>
      </c>
      <c r="D86" s="31">
        <f>Д2!D80+Ек!D82+Д!D78+Е!D78</f>
        <v>2.52</v>
      </c>
      <c r="E86" s="256">
        <v>1500</v>
      </c>
      <c r="F86" s="164"/>
      <c r="G86" s="2">
        <f>ROUND(E86*D86,2)</f>
        <v>3780</v>
      </c>
      <c r="H86" s="2"/>
      <c r="I86" s="11">
        <f t="shared" si="6"/>
        <v>3780</v>
      </c>
      <c r="K86" s="161"/>
      <c r="L86" s="161"/>
      <c r="M86" s="161"/>
      <c r="N86" s="5"/>
    </row>
    <row r="87" spans="1:14" outlineLevel="2" x14ac:dyDescent="0.25">
      <c r="A87" s="84"/>
      <c r="B87" s="11" t="s">
        <v>738</v>
      </c>
      <c r="C87" s="2" t="s">
        <v>8</v>
      </c>
      <c r="D87" s="2">
        <f>D86*1.02</f>
        <v>2.5704000000000002</v>
      </c>
      <c r="E87" s="2"/>
      <c r="F87" s="664">
        <v>4200</v>
      </c>
      <c r="G87" s="2"/>
      <c r="H87" s="2">
        <f>ROUND(D87*F87,2)</f>
        <v>10795.68</v>
      </c>
      <c r="I87" s="60">
        <f t="shared" si="6"/>
        <v>10795.68</v>
      </c>
      <c r="K87" s="161"/>
      <c r="L87" s="161"/>
      <c r="M87" s="161"/>
      <c r="N87" s="5"/>
    </row>
    <row r="88" spans="1:14" outlineLevel="2" x14ac:dyDescent="0.25">
      <c r="A88" s="84"/>
      <c r="B88" s="11" t="s">
        <v>737</v>
      </c>
      <c r="C88" s="41" t="s">
        <v>15</v>
      </c>
      <c r="D88" s="42">
        <f>Д2!D82+Ек!D84+Д!D80+Е!D80</f>
        <v>158.42999999999998</v>
      </c>
      <c r="E88" s="2"/>
      <c r="F88" s="364">
        <v>42</v>
      </c>
      <c r="G88" s="10"/>
      <c r="H88" s="2">
        <f>ROUND(D88*F88,2)</f>
        <v>6654.06</v>
      </c>
      <c r="I88" s="11">
        <f t="shared" si="6"/>
        <v>6654.06</v>
      </c>
      <c r="K88" s="161"/>
      <c r="L88" s="161"/>
      <c r="M88" s="161"/>
      <c r="N88" s="5"/>
    </row>
    <row r="89" spans="1:14" ht="31.2" outlineLevel="2" x14ac:dyDescent="0.25">
      <c r="A89" s="84"/>
      <c r="B89" s="29" t="s">
        <v>1352</v>
      </c>
      <c r="C89" s="2" t="s">
        <v>8</v>
      </c>
      <c r="D89" s="31">
        <f>Ек!D85</f>
        <v>0.16800000000000001</v>
      </c>
      <c r="E89" s="256">
        <v>600</v>
      </c>
      <c r="F89" s="164"/>
      <c r="G89" s="2">
        <f>ROUND(E89*D89,2)</f>
        <v>100.8</v>
      </c>
      <c r="H89" s="2"/>
      <c r="I89" s="11">
        <f t="shared" si="6"/>
        <v>100.8</v>
      </c>
      <c r="K89" s="161"/>
      <c r="L89" s="161"/>
      <c r="M89" s="161"/>
      <c r="N89" s="5"/>
    </row>
    <row r="90" spans="1:14" outlineLevel="2" x14ac:dyDescent="0.25">
      <c r="A90" s="84"/>
      <c r="B90" s="11" t="s">
        <v>738</v>
      </c>
      <c r="C90" s="2" t="s">
        <v>8</v>
      </c>
      <c r="D90" s="2">
        <f>D89*1.02</f>
        <v>0.17136000000000001</v>
      </c>
      <c r="E90" s="2"/>
      <c r="F90" s="664">
        <v>4200</v>
      </c>
      <c r="G90" s="2"/>
      <c r="H90" s="2">
        <f>ROUND(D90*F90,2)</f>
        <v>719.71</v>
      </c>
      <c r="I90" s="60">
        <f t="shared" si="6"/>
        <v>719.71</v>
      </c>
      <c r="K90" s="161"/>
      <c r="L90" s="161"/>
      <c r="M90" s="161"/>
      <c r="N90" s="5"/>
    </row>
    <row r="91" spans="1:14" outlineLevel="2" x14ac:dyDescent="0.25">
      <c r="A91" s="84"/>
      <c r="B91" s="11" t="s">
        <v>737</v>
      </c>
      <c r="C91" s="41" t="s">
        <v>15</v>
      </c>
      <c r="D91" s="42">
        <f>Ек!D87</f>
        <v>15.36</v>
      </c>
      <c r="E91" s="2"/>
      <c r="F91" s="364">
        <v>42</v>
      </c>
      <c r="G91" s="10"/>
      <c r="H91" s="2">
        <f>ROUND(D91*F91,2)</f>
        <v>645.12</v>
      </c>
      <c r="I91" s="11">
        <f t="shared" si="6"/>
        <v>645.12</v>
      </c>
      <c r="K91" s="161"/>
      <c r="L91" s="161"/>
      <c r="M91" s="161"/>
      <c r="N91" s="5"/>
    </row>
    <row r="92" spans="1:14" outlineLevel="2" x14ac:dyDescent="0.25">
      <c r="A92" s="107" t="s">
        <v>496</v>
      </c>
      <c r="B92" s="48" t="s">
        <v>740</v>
      </c>
      <c r="C92" s="46" t="s">
        <v>12</v>
      </c>
      <c r="D92" s="50">
        <f>SUM(D93:D105)</f>
        <v>192</v>
      </c>
      <c r="E92" s="275">
        <v>600</v>
      </c>
      <c r="F92" s="43"/>
      <c r="G92" s="2">
        <f>ROUND(E92*D92,2)</f>
        <v>115200</v>
      </c>
      <c r="H92" s="11"/>
      <c r="I92" s="11">
        <f t="shared" si="6"/>
        <v>115200</v>
      </c>
      <c r="K92" s="161"/>
      <c r="L92" s="161"/>
      <c r="M92" s="161"/>
      <c r="N92" s="5"/>
    </row>
    <row r="93" spans="1:14" outlineLevel="2" x14ac:dyDescent="0.25">
      <c r="A93" s="84"/>
      <c r="B93" s="47" t="s">
        <v>751</v>
      </c>
      <c r="C93" s="2" t="s">
        <v>12</v>
      </c>
      <c r="D93" s="2">
        <f>Ек!D89+Е!D82</f>
        <v>38</v>
      </c>
      <c r="E93" s="31"/>
      <c r="F93" s="363">
        <v>15000</v>
      </c>
      <c r="G93" s="2"/>
      <c r="H93" s="2">
        <f t="shared" ref="H93:H105" si="7">ROUND(D93*F93,2)</f>
        <v>570000</v>
      </c>
      <c r="I93" s="60">
        <f t="shared" si="6"/>
        <v>570000</v>
      </c>
      <c r="K93" s="161"/>
      <c r="L93" s="161"/>
      <c r="M93" s="161"/>
      <c r="N93" s="5"/>
    </row>
    <row r="94" spans="1:14" outlineLevel="2" x14ac:dyDescent="0.25">
      <c r="A94" s="84"/>
      <c r="B94" s="47" t="s">
        <v>752</v>
      </c>
      <c r="C94" s="2" t="s">
        <v>12</v>
      </c>
      <c r="D94" s="2">
        <f>Ек!D90+Е!D83</f>
        <v>10</v>
      </c>
      <c r="E94" s="31"/>
      <c r="F94" s="363">
        <v>15000</v>
      </c>
      <c r="G94" s="2"/>
      <c r="H94" s="2">
        <f t="shared" si="7"/>
        <v>150000</v>
      </c>
      <c r="I94" s="60">
        <f t="shared" si="6"/>
        <v>150000</v>
      </c>
      <c r="K94" s="161"/>
      <c r="L94" s="161"/>
      <c r="M94" s="161"/>
      <c r="N94" s="5"/>
    </row>
    <row r="95" spans="1:14" outlineLevel="2" x14ac:dyDescent="0.25">
      <c r="A95" s="84"/>
      <c r="B95" s="47" t="s">
        <v>742</v>
      </c>
      <c r="C95" s="2" t="s">
        <v>12</v>
      </c>
      <c r="D95" s="2">
        <f>Д2!D84+Д!D82</f>
        <v>12</v>
      </c>
      <c r="E95" s="31"/>
      <c r="F95" s="664">
        <v>12796</v>
      </c>
      <c r="G95" s="2"/>
      <c r="H95" s="2">
        <f t="shared" si="7"/>
        <v>153552</v>
      </c>
      <c r="I95" s="60">
        <f t="shared" si="6"/>
        <v>153552</v>
      </c>
      <c r="K95" s="161"/>
      <c r="L95" s="161"/>
      <c r="M95" s="161"/>
      <c r="N95" s="5"/>
    </row>
    <row r="96" spans="1:14" outlineLevel="2" x14ac:dyDescent="0.25">
      <c r="A96" s="84"/>
      <c r="B96" s="47" t="s">
        <v>741</v>
      </c>
      <c r="C96" s="2" t="s">
        <v>12</v>
      </c>
      <c r="D96" s="2">
        <f>Д2!D85+Е!D83</f>
        <v>10</v>
      </c>
      <c r="E96" s="31"/>
      <c r="F96" s="664">
        <v>14406</v>
      </c>
      <c r="G96" s="2"/>
      <c r="H96" s="2">
        <f t="shared" si="7"/>
        <v>144060</v>
      </c>
      <c r="I96" s="60">
        <f t="shared" si="6"/>
        <v>144060</v>
      </c>
      <c r="K96" s="161"/>
      <c r="L96" s="161"/>
      <c r="M96" s="161"/>
      <c r="N96" s="5"/>
    </row>
    <row r="97" spans="1:14" outlineLevel="2" x14ac:dyDescent="0.25">
      <c r="A97" s="84"/>
      <c r="B97" s="47" t="s">
        <v>743</v>
      </c>
      <c r="C97" s="2" t="s">
        <v>12</v>
      </c>
      <c r="D97" s="2">
        <f>Д2!D86+Ек!D91+Д!D84+Е!D84</f>
        <v>68</v>
      </c>
      <c r="E97" s="31"/>
      <c r="F97" s="362">
        <v>9631</v>
      </c>
      <c r="G97" s="2"/>
      <c r="H97" s="2">
        <f t="shared" si="7"/>
        <v>654908</v>
      </c>
      <c r="I97" s="60">
        <f t="shared" si="6"/>
        <v>654908</v>
      </c>
      <c r="K97" s="161"/>
      <c r="L97" s="161"/>
      <c r="M97" s="161"/>
      <c r="N97" s="5"/>
    </row>
    <row r="98" spans="1:14" outlineLevel="2" x14ac:dyDescent="0.25">
      <c r="A98" s="84"/>
      <c r="B98" s="47" t="s">
        <v>744</v>
      </c>
      <c r="C98" s="2" t="s">
        <v>12</v>
      </c>
      <c r="D98" s="2">
        <f>Д2!D87+Ек!D92+Д!D85+Е!D85</f>
        <v>20</v>
      </c>
      <c r="E98" s="31"/>
      <c r="F98" s="362">
        <v>11987</v>
      </c>
      <c r="G98" s="2"/>
      <c r="H98" s="2">
        <f t="shared" si="7"/>
        <v>239740</v>
      </c>
      <c r="I98" s="60">
        <f t="shared" si="6"/>
        <v>239740</v>
      </c>
      <c r="K98" s="161"/>
      <c r="L98" s="161"/>
      <c r="M98" s="161"/>
      <c r="N98" s="5"/>
    </row>
    <row r="99" spans="1:14" outlineLevel="2" x14ac:dyDescent="0.25">
      <c r="A99" s="84"/>
      <c r="B99" s="47" t="s">
        <v>745</v>
      </c>
      <c r="C99" s="2" t="s">
        <v>12</v>
      </c>
      <c r="D99" s="2">
        <f>Д2!D88+Д!D86</f>
        <v>2</v>
      </c>
      <c r="E99" s="31"/>
      <c r="F99" s="664">
        <v>5621</v>
      </c>
      <c r="G99" s="2"/>
      <c r="H99" s="2">
        <f t="shared" si="7"/>
        <v>11242</v>
      </c>
      <c r="I99" s="60">
        <f t="shared" si="6"/>
        <v>11242</v>
      </c>
      <c r="K99" s="161"/>
      <c r="L99" s="161"/>
      <c r="M99" s="161"/>
      <c r="N99" s="5"/>
    </row>
    <row r="100" spans="1:14" outlineLevel="2" x14ac:dyDescent="0.25">
      <c r="A100" s="84"/>
      <c r="B100" s="47" t="s">
        <v>746</v>
      </c>
      <c r="C100" s="2" t="s">
        <v>12</v>
      </c>
      <c r="D100" s="2">
        <f>Д2!D89+Д!D87</f>
        <v>2</v>
      </c>
      <c r="E100" s="31"/>
      <c r="F100" s="666">
        <v>4222</v>
      </c>
      <c r="G100" s="2"/>
      <c r="H100" s="2">
        <f>ROUND(D100*F100,2)</f>
        <v>8444</v>
      </c>
      <c r="I100" s="60">
        <f>G100+H100</f>
        <v>8444</v>
      </c>
      <c r="K100" s="161"/>
      <c r="L100" s="161"/>
      <c r="M100" s="161"/>
      <c r="N100" s="5"/>
    </row>
    <row r="101" spans="1:14" outlineLevel="2" x14ac:dyDescent="0.25">
      <c r="A101" s="84"/>
      <c r="B101" s="47" t="s">
        <v>1519</v>
      </c>
      <c r="C101" s="2" t="s">
        <v>12</v>
      </c>
      <c r="D101" s="2">
        <f>Ек!D93+Е!D86</f>
        <v>4</v>
      </c>
      <c r="E101" s="31"/>
      <c r="F101" s="362">
        <v>4100</v>
      </c>
      <c r="G101" s="2"/>
      <c r="H101" s="2">
        <f t="shared" si="7"/>
        <v>16400</v>
      </c>
      <c r="I101" s="60">
        <f t="shared" si="6"/>
        <v>16400</v>
      </c>
      <c r="K101" s="161"/>
      <c r="L101" s="161"/>
      <c r="M101" s="161"/>
      <c r="N101" s="5"/>
    </row>
    <row r="102" spans="1:14" outlineLevel="2" x14ac:dyDescent="0.25">
      <c r="A102" s="84"/>
      <c r="B102" s="47" t="s">
        <v>1338</v>
      </c>
      <c r="C102" s="2" t="s">
        <v>12</v>
      </c>
      <c r="D102" s="2">
        <f>Ек!D94+Е!D87</f>
        <v>3</v>
      </c>
      <c r="E102" s="31"/>
      <c r="F102" s="363">
        <v>12000</v>
      </c>
      <c r="G102" s="2"/>
      <c r="H102" s="2">
        <f t="shared" si="7"/>
        <v>36000</v>
      </c>
      <c r="I102" s="60">
        <f t="shared" si="6"/>
        <v>36000</v>
      </c>
      <c r="K102" s="161"/>
      <c r="L102" s="161"/>
      <c r="M102" s="161"/>
      <c r="N102" s="5"/>
    </row>
    <row r="103" spans="1:14" outlineLevel="2" x14ac:dyDescent="0.25">
      <c r="A103" s="84"/>
      <c r="B103" s="47" t="s">
        <v>1319</v>
      </c>
      <c r="C103" s="2" t="s">
        <v>12</v>
      </c>
      <c r="D103" s="2">
        <f>Д2!D90+Ек!D95+Е!D88</f>
        <v>6</v>
      </c>
      <c r="E103" s="31"/>
      <c r="F103" s="363">
        <v>15000</v>
      </c>
      <c r="G103" s="2"/>
      <c r="H103" s="2">
        <f t="shared" si="7"/>
        <v>90000</v>
      </c>
      <c r="I103" s="60">
        <f t="shared" si="6"/>
        <v>90000</v>
      </c>
      <c r="K103" s="161"/>
      <c r="L103" s="161"/>
      <c r="M103" s="161"/>
      <c r="N103" s="5"/>
    </row>
    <row r="104" spans="1:14" outlineLevel="2" x14ac:dyDescent="0.25">
      <c r="A104" s="84"/>
      <c r="B104" s="47" t="s">
        <v>1307</v>
      </c>
      <c r="C104" s="2" t="s">
        <v>12</v>
      </c>
      <c r="D104" s="2">
        <f>Д2!D91+Ек!D96+Д!D88+Е!D89</f>
        <v>15</v>
      </c>
      <c r="E104" s="31"/>
      <c r="F104" s="362">
        <v>18060</v>
      </c>
      <c r="G104" s="2"/>
      <c r="H104" s="2">
        <f t="shared" si="7"/>
        <v>270900</v>
      </c>
      <c r="I104" s="60">
        <f t="shared" si="6"/>
        <v>270900</v>
      </c>
      <c r="K104" s="161"/>
      <c r="L104" s="161"/>
      <c r="M104" s="161"/>
      <c r="N104" s="5"/>
    </row>
    <row r="105" spans="1:14" outlineLevel="2" x14ac:dyDescent="0.25">
      <c r="A105" s="84"/>
      <c r="B105" s="47" t="s">
        <v>1320</v>
      </c>
      <c r="C105" s="2" t="s">
        <v>12</v>
      </c>
      <c r="D105" s="2">
        <f>Д2!D92</f>
        <v>2</v>
      </c>
      <c r="E105" s="31"/>
      <c r="F105" s="362">
        <v>20377</v>
      </c>
      <c r="G105" s="2"/>
      <c r="H105" s="2">
        <f t="shared" si="7"/>
        <v>40754</v>
      </c>
      <c r="I105" s="60">
        <f t="shared" si="6"/>
        <v>40754</v>
      </c>
      <c r="K105" s="161"/>
      <c r="L105" s="161"/>
      <c r="M105" s="161"/>
      <c r="N105" s="5"/>
    </row>
    <row r="106" spans="1:14" outlineLevel="2" x14ac:dyDescent="0.25">
      <c r="A106" s="84"/>
      <c r="B106" s="45" t="s">
        <v>480</v>
      </c>
      <c r="C106" s="41" t="s">
        <v>9</v>
      </c>
      <c r="D106" s="722">
        <f>Д2!D93+Ек!D97+Д!D89+Е!D90</f>
        <v>0.36610999999999999</v>
      </c>
      <c r="E106" s="43"/>
      <c r="F106" s="364">
        <v>40000</v>
      </c>
      <c r="G106" s="18"/>
      <c r="H106" s="2">
        <f>ROUND(D106*F106,2)</f>
        <v>14644.4</v>
      </c>
      <c r="I106" s="11">
        <f t="shared" si="6"/>
        <v>14644.4</v>
      </c>
      <c r="K106" s="161"/>
      <c r="L106" s="161"/>
      <c r="M106" s="161"/>
      <c r="N106" s="5"/>
    </row>
    <row r="107" spans="1:14" outlineLevel="2" x14ac:dyDescent="0.25">
      <c r="A107" s="84"/>
      <c r="B107" s="45" t="s">
        <v>198</v>
      </c>
      <c r="C107" s="41" t="s">
        <v>9</v>
      </c>
      <c r="D107" s="42">
        <f>0.11/334.51*D88</f>
        <v>5.2097994080894439E-2</v>
      </c>
      <c r="E107" s="43"/>
      <c r="F107" s="364">
        <f>65*1.1*1000</f>
        <v>71500</v>
      </c>
      <c r="G107" s="2"/>
      <c r="H107" s="2">
        <f>ROUND(D107*F107,2)</f>
        <v>3725.01</v>
      </c>
      <c r="I107" s="11">
        <f t="shared" si="6"/>
        <v>3725.01</v>
      </c>
      <c r="K107" s="161"/>
      <c r="L107" s="161"/>
      <c r="M107" s="161"/>
      <c r="N107" s="5"/>
    </row>
    <row r="108" spans="1:14" outlineLevel="2" x14ac:dyDescent="0.25">
      <c r="A108" s="107" t="s">
        <v>621</v>
      </c>
      <c r="B108" s="49" t="s">
        <v>788</v>
      </c>
      <c r="C108" s="203" t="s">
        <v>8</v>
      </c>
      <c r="D108" s="46">
        <f>Д2!D95+Ек!D99+Д!D91+Е!D92</f>
        <v>6.8599999999999994</v>
      </c>
      <c r="E108" s="353">
        <v>800</v>
      </c>
      <c r="F108" s="139"/>
      <c r="G108" s="2">
        <f>ROUND(E108*D108,2)</f>
        <v>5488</v>
      </c>
      <c r="H108" s="26"/>
      <c r="I108" s="11">
        <f t="shared" si="6"/>
        <v>5488</v>
      </c>
      <c r="K108" s="161"/>
      <c r="L108" s="161"/>
      <c r="M108" s="161"/>
      <c r="N108" s="5"/>
    </row>
    <row r="109" spans="1:14" outlineLevel="2" x14ac:dyDescent="0.25">
      <c r="A109" s="84"/>
      <c r="B109" s="47" t="s">
        <v>366</v>
      </c>
      <c r="C109" s="41" t="s">
        <v>15</v>
      </c>
      <c r="D109" s="42">
        <f>Д2!D96+Ек!D100+Д!D92+Е!D93</f>
        <v>896.65</v>
      </c>
      <c r="E109" s="2"/>
      <c r="F109" s="364">
        <v>34</v>
      </c>
      <c r="G109" s="10"/>
      <c r="H109" s="2">
        <f>ROUND(D109*F109,2)</f>
        <v>30486.1</v>
      </c>
      <c r="I109" s="11">
        <f t="shared" si="6"/>
        <v>30486.1</v>
      </c>
      <c r="K109" s="161"/>
      <c r="L109" s="161"/>
      <c r="M109" s="161"/>
      <c r="N109" s="5"/>
    </row>
    <row r="110" spans="1:14" outlineLevel="2" x14ac:dyDescent="0.25">
      <c r="A110" s="84"/>
      <c r="B110" s="47" t="s">
        <v>1530</v>
      </c>
      <c r="C110" s="41" t="s">
        <v>15</v>
      </c>
      <c r="D110" s="42">
        <f>Д2!D97+Ек!D101+Д!D93+Е!D94</f>
        <v>24.44</v>
      </c>
      <c r="E110" s="2"/>
      <c r="F110" s="364">
        <v>42</v>
      </c>
      <c r="G110" s="10"/>
      <c r="H110" s="2">
        <f>ROUND(D110*F110,2)</f>
        <v>1026.48</v>
      </c>
      <c r="I110" s="11">
        <f t="shared" si="6"/>
        <v>1026.48</v>
      </c>
      <c r="K110" s="161"/>
      <c r="L110" s="161"/>
      <c r="M110" s="161"/>
      <c r="N110" s="5"/>
    </row>
    <row r="111" spans="1:14" outlineLevel="2" x14ac:dyDescent="0.25">
      <c r="A111" s="84"/>
      <c r="B111" s="47" t="s">
        <v>483</v>
      </c>
      <c r="C111" s="41" t="s">
        <v>8</v>
      </c>
      <c r="D111" s="42">
        <f>Д2!D98+Ек!D102+Д!D94+Е!D95</f>
        <v>6.9629000000000003</v>
      </c>
      <c r="E111" s="2"/>
      <c r="F111" s="664">
        <v>4200</v>
      </c>
      <c r="G111" s="31"/>
      <c r="H111" s="2">
        <f>ROUND(D111*F111,2)</f>
        <v>29244.18</v>
      </c>
      <c r="I111" s="11">
        <f t="shared" si="6"/>
        <v>29244.18</v>
      </c>
      <c r="K111" s="161"/>
      <c r="L111" s="161"/>
      <c r="M111" s="161"/>
      <c r="N111" s="5"/>
    </row>
    <row r="112" spans="1:14" outlineLevel="1" x14ac:dyDescent="0.25">
      <c r="A112" s="84"/>
      <c r="B112" s="309"/>
      <c r="C112" s="2"/>
      <c r="D112" s="340"/>
      <c r="E112" s="2"/>
      <c r="F112" s="164"/>
      <c r="G112" s="2"/>
      <c r="H112" s="2"/>
      <c r="I112" s="60"/>
      <c r="K112" s="161"/>
      <c r="L112" s="161"/>
      <c r="M112" s="161"/>
      <c r="N112" s="5"/>
    </row>
    <row r="113" spans="1:252" s="6" customFormat="1" outlineLevel="1" x14ac:dyDescent="0.25">
      <c r="A113" s="269" t="s">
        <v>496</v>
      </c>
      <c r="B113" s="313" t="s">
        <v>27</v>
      </c>
      <c r="C113" s="31" t="s">
        <v>14</v>
      </c>
      <c r="D113" s="306">
        <v>0</v>
      </c>
      <c r="E113" s="256">
        <v>100</v>
      </c>
      <c r="F113" s="11"/>
      <c r="G113" s="2">
        <f>ROUND(E113*D113,2)</f>
        <v>0</v>
      </c>
      <c r="H113" s="2"/>
      <c r="I113" s="11">
        <f t="shared" ref="I113:I118" si="8">G113+H113</f>
        <v>0</v>
      </c>
      <c r="K113" s="161"/>
      <c r="L113" s="161"/>
      <c r="M113" s="161"/>
      <c r="N113" s="5"/>
    </row>
    <row r="114" spans="1:252" ht="31.2" outlineLevel="1" x14ac:dyDescent="0.25">
      <c r="A114" s="86"/>
      <c r="B114" s="309" t="s">
        <v>28</v>
      </c>
      <c r="C114" s="2" t="s">
        <v>8</v>
      </c>
      <c r="D114" s="340">
        <f>ROUND(D113*0.1*1.03,2)</f>
        <v>0</v>
      </c>
      <c r="E114" s="2"/>
      <c r="F114" s="164">
        <v>4100</v>
      </c>
      <c r="G114" s="2"/>
      <c r="H114" s="2">
        <f>ROUND(D114*F114,2)</f>
        <v>0</v>
      </c>
      <c r="I114" s="11">
        <f t="shared" si="8"/>
        <v>0</v>
      </c>
      <c r="K114" s="161"/>
      <c r="L114" s="161"/>
      <c r="M114" s="161"/>
      <c r="N114" s="5"/>
    </row>
    <row r="115" spans="1:252" s="36" customFormat="1" ht="36" customHeight="1" outlineLevel="1" x14ac:dyDescent="0.25">
      <c r="A115" s="261" t="s">
        <v>621</v>
      </c>
      <c r="B115" s="307" t="s">
        <v>209</v>
      </c>
      <c r="C115" s="31" t="s">
        <v>14</v>
      </c>
      <c r="D115" s="306">
        <v>0</v>
      </c>
      <c r="E115" s="256">
        <v>150</v>
      </c>
      <c r="F115" s="11"/>
      <c r="G115" s="2">
        <f>ROUND(E115*D115,2)</f>
        <v>0</v>
      </c>
      <c r="H115" s="2"/>
      <c r="I115" s="11">
        <f t="shared" si="8"/>
        <v>0</v>
      </c>
      <c r="K115" s="161"/>
      <c r="L115" s="161"/>
      <c r="M115" s="161"/>
      <c r="N115" s="5"/>
    </row>
    <row r="116" spans="1:252" outlineLevel="1" x14ac:dyDescent="0.25">
      <c r="A116" s="84"/>
      <c r="B116" s="309" t="s">
        <v>65</v>
      </c>
      <c r="C116" s="2" t="s">
        <v>15</v>
      </c>
      <c r="D116" s="340">
        <f>2.5*D115</f>
        <v>0</v>
      </c>
      <c r="E116" s="2"/>
      <c r="F116" s="361">
        <v>55</v>
      </c>
      <c r="G116" s="2"/>
      <c r="H116" s="2">
        <f>ROUND(D116*F116,2)</f>
        <v>0</v>
      </c>
      <c r="I116" s="11">
        <f t="shared" si="8"/>
        <v>0</v>
      </c>
      <c r="K116" s="161"/>
      <c r="L116" s="161"/>
      <c r="M116" s="161"/>
      <c r="N116" s="5"/>
    </row>
    <row r="117" spans="1:252" outlineLevel="1" x14ac:dyDescent="0.25">
      <c r="A117" s="84"/>
      <c r="B117" s="309" t="s">
        <v>68</v>
      </c>
      <c r="C117" s="2" t="s">
        <v>30</v>
      </c>
      <c r="D117" s="340">
        <f>0.35*D115</f>
        <v>0</v>
      </c>
      <c r="E117" s="2"/>
      <c r="F117" s="361">
        <v>44</v>
      </c>
      <c r="G117" s="2"/>
      <c r="H117" s="2">
        <f>ROUND(D117*F117,2)</f>
        <v>0</v>
      </c>
      <c r="I117" s="11">
        <f t="shared" si="8"/>
        <v>0</v>
      </c>
      <c r="K117" s="161"/>
      <c r="L117" s="161"/>
      <c r="M117" s="161"/>
      <c r="N117" s="5"/>
    </row>
    <row r="118" spans="1:252" s="36" customFormat="1" outlineLevel="1" x14ac:dyDescent="0.25">
      <c r="A118" s="92"/>
      <c r="B118" s="750" t="s">
        <v>1547</v>
      </c>
      <c r="C118" s="744" t="s">
        <v>1548</v>
      </c>
      <c r="D118" s="745">
        <v>96</v>
      </c>
      <c r="E118" s="746">
        <v>1300</v>
      </c>
      <c r="F118" s="747"/>
      <c r="G118" s="2">
        <f>ROUND(E118*D118,2)</f>
        <v>124800</v>
      </c>
      <c r="H118" s="2"/>
      <c r="I118" s="11">
        <f t="shared" si="8"/>
        <v>124800</v>
      </c>
      <c r="K118" s="162"/>
      <c r="L118" s="162"/>
      <c r="M118" s="162"/>
    </row>
    <row r="119" spans="1:252" s="36" customFormat="1" outlineLevel="1" x14ac:dyDescent="0.25">
      <c r="A119" s="92"/>
      <c r="B119" s="748" t="s">
        <v>1543</v>
      </c>
      <c r="C119" s="744"/>
      <c r="D119" s="745"/>
      <c r="E119" s="746"/>
      <c r="F119" s="747"/>
      <c r="G119" s="474">
        <f>SUM(G58:G118)</f>
        <v>272215.27</v>
      </c>
      <c r="H119" s="746"/>
      <c r="I119" s="749">
        <f>G119</f>
        <v>272215.27</v>
      </c>
      <c r="K119" s="162"/>
      <c r="L119" s="162"/>
      <c r="M119" s="162"/>
    </row>
    <row r="120" spans="1:252" s="36" customFormat="1" outlineLevel="1" x14ac:dyDescent="0.25">
      <c r="A120" s="92"/>
      <c r="B120" s="748" t="s">
        <v>1546</v>
      </c>
      <c r="C120" s="744"/>
      <c r="D120" s="745"/>
      <c r="E120" s="746"/>
      <c r="F120" s="747"/>
      <c r="G120" s="474"/>
      <c r="H120" s="473">
        <f>SUM(H58:H117)</f>
        <v>2753856.3334999997</v>
      </c>
      <c r="I120" s="749">
        <f>H120</f>
        <v>2753856.3334999997</v>
      </c>
      <c r="K120" s="162"/>
      <c r="L120" s="162"/>
      <c r="M120" s="162"/>
    </row>
    <row r="121" spans="1:252" s="36" customFormat="1" outlineLevel="1" x14ac:dyDescent="0.25">
      <c r="A121" s="92"/>
      <c r="B121" s="748" t="s">
        <v>1544</v>
      </c>
      <c r="C121" s="744"/>
      <c r="D121" s="745"/>
      <c r="E121" s="746"/>
      <c r="F121" s="747"/>
      <c r="G121" s="474">
        <f>G119*0.25</f>
        <v>68053.817500000005</v>
      </c>
      <c r="H121" s="746"/>
      <c r="I121" s="749">
        <f>G121</f>
        <v>68053.817500000005</v>
      </c>
      <c r="K121" s="162"/>
      <c r="L121" s="162"/>
      <c r="M121" s="162"/>
    </row>
    <row r="122" spans="1:252" s="36" customFormat="1" outlineLevel="1" x14ac:dyDescent="0.25">
      <c r="A122" s="92"/>
      <c r="B122" s="748" t="s">
        <v>1545</v>
      </c>
      <c r="C122" s="744"/>
      <c r="D122" s="745"/>
      <c r="E122" s="746"/>
      <c r="F122" s="747"/>
      <c r="G122" s="474">
        <f>G119*0.05</f>
        <v>13610.763500000001</v>
      </c>
      <c r="H122" s="746"/>
      <c r="I122" s="749">
        <f>G122</f>
        <v>13610.763500000001</v>
      </c>
      <c r="K122" s="162"/>
      <c r="L122" s="162"/>
      <c r="M122" s="162"/>
    </row>
    <row r="123" spans="1:252" s="36" customFormat="1" ht="31.2" x14ac:dyDescent="0.25">
      <c r="A123" s="212"/>
      <c r="B123" s="213" t="s">
        <v>577</v>
      </c>
      <c r="C123" s="222"/>
      <c r="D123" s="215"/>
      <c r="E123" s="216"/>
      <c r="F123" s="217"/>
      <c r="G123" s="216">
        <f>G119+G121+G122</f>
        <v>353879.85100000002</v>
      </c>
      <c r="H123" s="216">
        <f>H120</f>
        <v>2753856.3334999997</v>
      </c>
      <c r="I123" s="215">
        <f>I120+I121+I122+I119</f>
        <v>3107736.1844999995</v>
      </c>
      <c r="J123" s="691"/>
    </row>
    <row r="124" spans="1:252" s="39" customFormat="1" ht="18.600000000000001" customHeight="1" x14ac:dyDescent="0.25">
      <c r="A124" s="754"/>
      <c r="B124" s="58" t="s">
        <v>624</v>
      </c>
      <c r="C124" s="9"/>
      <c r="D124" s="31"/>
      <c r="E124" s="10"/>
      <c r="F124" s="57"/>
      <c r="G124" s="10"/>
      <c r="H124" s="10"/>
      <c r="I124" s="31">
        <f>ROUND(I123/1.18*0.18,2)</f>
        <v>474061.45</v>
      </c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25"/>
      <c r="IH124" s="25"/>
      <c r="II124" s="25"/>
      <c r="IJ124" s="25"/>
      <c r="IK124" s="25"/>
      <c r="IL124" s="25"/>
      <c r="IM124" s="25"/>
      <c r="IN124" s="25"/>
      <c r="IO124" s="25"/>
      <c r="IP124" s="25"/>
      <c r="IQ124" s="25"/>
      <c r="IR124" s="25"/>
    </row>
    <row r="125" spans="1:252" ht="18.75" customHeight="1" x14ac:dyDescent="0.25">
      <c r="A125" s="104"/>
      <c r="B125" s="752" t="s">
        <v>789</v>
      </c>
      <c r="C125" s="105"/>
      <c r="D125" s="105"/>
      <c r="E125" s="105"/>
      <c r="F125" s="138"/>
      <c r="G125" s="105"/>
      <c r="H125" s="105"/>
      <c r="I125" s="106"/>
    </row>
    <row r="126" spans="1:252" ht="33.75" hidden="1" customHeight="1" x14ac:dyDescent="0.25">
      <c r="A126" s="107" t="s">
        <v>219</v>
      </c>
      <c r="B126" s="379" t="s">
        <v>1270</v>
      </c>
      <c r="C126" s="31" t="s">
        <v>8</v>
      </c>
      <c r="D126" s="166">
        <v>0</v>
      </c>
      <c r="E126" s="166">
        <v>1500</v>
      </c>
      <c r="F126" s="11"/>
      <c r="G126" s="2">
        <f>ROUND(E126*D126,2)</f>
        <v>0</v>
      </c>
      <c r="H126" s="2"/>
      <c r="I126" s="11">
        <f>G126+H126</f>
        <v>0</v>
      </c>
      <c r="J126" s="351"/>
      <c r="K126" s="351"/>
    </row>
    <row r="127" spans="1:252" ht="18" hidden="1" customHeight="1" x14ac:dyDescent="0.25">
      <c r="A127" s="332"/>
      <c r="B127" s="368" t="s">
        <v>790</v>
      </c>
      <c r="C127" s="2" t="s">
        <v>8</v>
      </c>
      <c r="D127" s="403">
        <f>D126*1.05</f>
        <v>0</v>
      </c>
      <c r="E127" s="2"/>
      <c r="F127" s="361">
        <v>11.7</v>
      </c>
      <c r="G127" s="2"/>
      <c r="H127" s="2">
        <f>ROUND(D127*F127,2)</f>
        <v>0</v>
      </c>
      <c r="I127" s="11">
        <f>G127+H127</f>
        <v>0</v>
      </c>
    </row>
    <row r="128" spans="1:252" ht="18.75" hidden="1" customHeight="1" x14ac:dyDescent="0.25">
      <c r="A128" s="332"/>
      <c r="B128" s="368" t="s">
        <v>791</v>
      </c>
      <c r="C128" s="2" t="s">
        <v>8</v>
      </c>
      <c r="D128" s="403">
        <f>ROUND(0.23*D126,2)</f>
        <v>0</v>
      </c>
      <c r="E128" s="2"/>
      <c r="F128" s="361">
        <v>2700</v>
      </c>
      <c r="G128" s="2"/>
      <c r="H128" s="2">
        <f>ROUND(D128*F128,2)</f>
        <v>0</v>
      </c>
      <c r="I128" s="11">
        <f>G128+H128</f>
        <v>0</v>
      </c>
    </row>
    <row r="129" spans="1:11" ht="17.25" customHeight="1" outlineLevel="1" x14ac:dyDescent="0.25">
      <c r="A129" s="84"/>
      <c r="B129" s="382" t="s">
        <v>869</v>
      </c>
      <c r="C129" s="2" t="s">
        <v>9</v>
      </c>
      <c r="D129" s="401">
        <v>0</v>
      </c>
      <c r="E129" s="31"/>
      <c r="F129" s="361">
        <v>42000</v>
      </c>
      <c r="G129" s="2"/>
      <c r="H129" s="2">
        <f>ROUND(D129*F129,2)</f>
        <v>0</v>
      </c>
      <c r="I129" s="11">
        <f t="shared" ref="I129:I186" si="9">G129+H129</f>
        <v>0</v>
      </c>
      <c r="K129" s="280"/>
    </row>
    <row r="130" spans="1:11" ht="17.25" customHeight="1" outlineLevel="1" x14ac:dyDescent="0.25">
      <c r="A130" s="84"/>
      <c r="B130" s="382" t="s">
        <v>870</v>
      </c>
      <c r="C130" s="2" t="s">
        <v>9</v>
      </c>
      <c r="D130" s="401">
        <v>0</v>
      </c>
      <c r="E130" s="31"/>
      <c r="F130" s="361">
        <v>42000</v>
      </c>
      <c r="G130" s="2"/>
      <c r="H130" s="2">
        <f>ROUND(D130*F130,2)</f>
        <v>0</v>
      </c>
      <c r="I130" s="11">
        <f t="shared" si="9"/>
        <v>0</v>
      </c>
      <c r="K130" s="280"/>
    </row>
    <row r="131" spans="1:11" ht="17.25" customHeight="1" outlineLevel="1" x14ac:dyDescent="0.25">
      <c r="A131" s="84"/>
      <c r="B131" s="382" t="s">
        <v>868</v>
      </c>
      <c r="C131" s="2" t="s">
        <v>9</v>
      </c>
      <c r="D131" s="401">
        <v>0</v>
      </c>
      <c r="E131" s="31"/>
      <c r="F131" s="361">
        <v>42000</v>
      </c>
      <c r="G131" s="2"/>
      <c r="H131" s="2">
        <f>ROUND(D131*F131,2)</f>
        <v>0</v>
      </c>
      <c r="I131" s="11">
        <f t="shared" si="9"/>
        <v>0</v>
      </c>
      <c r="K131" s="280"/>
    </row>
    <row r="132" spans="1:11" ht="32.25" customHeight="1" outlineLevel="2" x14ac:dyDescent="0.25">
      <c r="A132" s="107" t="s">
        <v>219</v>
      </c>
      <c r="B132" s="29" t="s">
        <v>1285</v>
      </c>
      <c r="C132" s="30" t="s">
        <v>8</v>
      </c>
      <c r="D132" s="31">
        <f>Д2!D108+Ек!D112+Д!D104+Е!D105</f>
        <v>1586.6671670000003</v>
      </c>
      <c r="E132" s="256">
        <v>1700</v>
      </c>
      <c r="F132" s="11"/>
      <c r="G132" s="2">
        <f>ROUND(E132*D132,2)</f>
        <v>2697334.18</v>
      </c>
      <c r="H132" s="2"/>
      <c r="I132" s="11">
        <f>G132+H132</f>
        <v>2697334.18</v>
      </c>
      <c r="K132" s="280"/>
    </row>
    <row r="133" spans="1:11" ht="17.25" customHeight="1" outlineLevel="2" x14ac:dyDescent="0.25">
      <c r="A133" s="84"/>
      <c r="B133" s="11" t="s">
        <v>796</v>
      </c>
      <c r="C133" s="2" t="s">
        <v>12</v>
      </c>
      <c r="D133" s="2">
        <f>D132*306</f>
        <v>485520.15310200007</v>
      </c>
      <c r="E133" s="158"/>
      <c r="F133" s="664">
        <v>8.8000000000000007</v>
      </c>
      <c r="G133" s="2"/>
      <c r="H133" s="2">
        <f>ROUND(D133*F133,2)</f>
        <v>4272577.3499999996</v>
      </c>
      <c r="I133" s="11">
        <f>G133+H133</f>
        <v>4272577.3499999996</v>
      </c>
      <c r="K133" s="280"/>
    </row>
    <row r="134" spans="1:11" ht="17.25" customHeight="1" outlineLevel="2" x14ac:dyDescent="0.25">
      <c r="A134" s="84"/>
      <c r="B134" s="11" t="s">
        <v>797</v>
      </c>
      <c r="C134" s="2" t="s">
        <v>8</v>
      </c>
      <c r="D134" s="2">
        <f>ROUND(0.23*D132,2)</f>
        <v>364.93</v>
      </c>
      <c r="E134" s="158"/>
      <c r="F134" s="361">
        <v>2600</v>
      </c>
      <c r="G134" s="2"/>
      <c r="H134" s="2">
        <f>ROUND(D134*F134,2)</f>
        <v>948818</v>
      </c>
      <c r="I134" s="11">
        <f>G134+H134</f>
        <v>948818</v>
      </c>
      <c r="K134" s="280"/>
    </row>
    <row r="135" spans="1:11" ht="17.25" customHeight="1" outlineLevel="2" x14ac:dyDescent="0.25">
      <c r="A135" s="84"/>
      <c r="B135" s="11" t="s">
        <v>862</v>
      </c>
      <c r="C135" s="2" t="s">
        <v>9</v>
      </c>
      <c r="D135" s="2">
        <v>14.6</v>
      </c>
      <c r="E135" s="158"/>
      <c r="F135" s="361">
        <v>42000</v>
      </c>
      <c r="G135" s="2"/>
      <c r="H135" s="2">
        <f>ROUND(D135*F135,2)</f>
        <v>613200</v>
      </c>
      <c r="I135" s="11">
        <f>G135+H135</f>
        <v>613200</v>
      </c>
      <c r="K135" s="280"/>
    </row>
    <row r="136" spans="1:11" ht="33.75" customHeight="1" outlineLevel="2" x14ac:dyDescent="0.25">
      <c r="A136" s="107" t="s">
        <v>498</v>
      </c>
      <c r="B136" s="29" t="s">
        <v>963</v>
      </c>
      <c r="C136" s="30" t="s">
        <v>8</v>
      </c>
      <c r="D136" s="31">
        <f>кладка!N51</f>
        <v>179.6014725</v>
      </c>
      <c r="E136" s="256">
        <v>1700</v>
      </c>
      <c r="F136" s="11"/>
      <c r="G136" s="2">
        <f>ROUND(E136*D136,2)</f>
        <v>305322.5</v>
      </c>
      <c r="H136" s="2"/>
      <c r="I136" s="11">
        <f t="shared" si="9"/>
        <v>305322.5</v>
      </c>
      <c r="K136" s="280"/>
    </row>
    <row r="137" spans="1:11" ht="33.75" customHeight="1" outlineLevel="2" x14ac:dyDescent="0.25">
      <c r="A137" s="84"/>
      <c r="B137" s="11" t="s">
        <v>793</v>
      </c>
      <c r="C137" s="2" t="s">
        <v>12</v>
      </c>
      <c r="D137" s="2">
        <f>D136*394</f>
        <v>70762.980165000001</v>
      </c>
      <c r="E137" s="158"/>
      <c r="F137" s="664">
        <v>10.75</v>
      </c>
      <c r="G137" s="2"/>
      <c r="H137" s="2">
        <f>ROUND(D137*F137,2)</f>
        <v>760702.04</v>
      </c>
      <c r="I137" s="11">
        <f t="shared" si="9"/>
        <v>760702.04</v>
      </c>
      <c r="K137" s="280"/>
    </row>
    <row r="138" spans="1:11" ht="15" customHeight="1" outlineLevel="2" x14ac:dyDescent="0.25">
      <c r="A138" s="84"/>
      <c r="B138" s="11" t="s">
        <v>797</v>
      </c>
      <c r="C138" s="2" t="s">
        <v>8</v>
      </c>
      <c r="D138" s="2">
        <f>ROUND(0.23*D136,2)</f>
        <v>41.31</v>
      </c>
      <c r="E138" s="158"/>
      <c r="F138" s="361">
        <v>2600</v>
      </c>
      <c r="G138" s="2"/>
      <c r="H138" s="2">
        <f>ROUND(D138*F138,2)</f>
        <v>107406</v>
      </c>
      <c r="I138" s="11">
        <f t="shared" si="9"/>
        <v>107406</v>
      </c>
      <c r="K138" s="280"/>
    </row>
    <row r="139" spans="1:11" ht="16.5" customHeight="1" outlineLevel="2" x14ac:dyDescent="0.25">
      <c r="A139" s="84"/>
      <c r="B139" s="11" t="s">
        <v>794</v>
      </c>
      <c r="C139" s="2" t="s">
        <v>8</v>
      </c>
      <c r="D139" s="2">
        <v>0</v>
      </c>
      <c r="E139" s="158"/>
      <c r="F139" s="664">
        <v>3196</v>
      </c>
      <c r="G139" s="2"/>
      <c r="H139" s="2">
        <f>ROUND(D139*F139,2)</f>
        <v>0</v>
      </c>
      <c r="I139" s="11">
        <f t="shared" si="9"/>
        <v>0</v>
      </c>
      <c r="K139" s="280"/>
    </row>
    <row r="140" spans="1:11" ht="15" customHeight="1" outlineLevel="2" x14ac:dyDescent="0.25">
      <c r="A140" s="107" t="s">
        <v>501</v>
      </c>
      <c r="B140" s="29" t="s">
        <v>964</v>
      </c>
      <c r="C140" s="30" t="s">
        <v>8</v>
      </c>
      <c r="D140" s="31">
        <v>0</v>
      </c>
      <c r="E140" s="166">
        <v>1500</v>
      </c>
      <c r="F140" s="11"/>
      <c r="G140" s="2">
        <f>ROUND(E140*D140,2)</f>
        <v>0</v>
      </c>
      <c r="H140" s="2"/>
      <c r="I140" s="11">
        <f t="shared" si="9"/>
        <v>0</v>
      </c>
      <c r="K140" s="280"/>
    </row>
    <row r="141" spans="1:11" ht="15" customHeight="1" outlineLevel="2" x14ac:dyDescent="0.25">
      <c r="A141" s="84"/>
      <c r="B141" s="11" t="s">
        <v>796</v>
      </c>
      <c r="C141" s="2" t="s">
        <v>12</v>
      </c>
      <c r="D141" s="2">
        <f>D140*400</f>
        <v>0</v>
      </c>
      <c r="E141" s="158"/>
      <c r="F141" s="361">
        <v>11.7</v>
      </c>
      <c r="G141" s="2"/>
      <c r="H141" s="2">
        <f>ROUND(D141*F141,2)</f>
        <v>0</v>
      </c>
      <c r="I141" s="11">
        <f t="shared" si="9"/>
        <v>0</v>
      </c>
      <c r="K141" s="280"/>
    </row>
    <row r="142" spans="1:11" ht="15" customHeight="1" outlineLevel="2" x14ac:dyDescent="0.25">
      <c r="A142" s="84"/>
      <c r="B142" s="11" t="s">
        <v>756</v>
      </c>
      <c r="C142" s="2" t="s">
        <v>8</v>
      </c>
      <c r="D142" s="2">
        <f>ROUND(0.23*D140,2)</f>
        <v>0</v>
      </c>
      <c r="E142" s="158"/>
      <c r="F142" s="361">
        <v>2700</v>
      </c>
      <c r="G142" s="2"/>
      <c r="H142" s="2">
        <f>ROUND(D142*F142,2)</f>
        <v>0</v>
      </c>
      <c r="I142" s="11">
        <f t="shared" si="9"/>
        <v>0</v>
      </c>
      <c r="K142" s="280"/>
    </row>
    <row r="143" spans="1:11" ht="18.899999999999999" customHeight="1" outlineLevel="2" x14ac:dyDescent="0.25">
      <c r="A143" s="107" t="s">
        <v>502</v>
      </c>
      <c r="B143" s="29" t="s">
        <v>795</v>
      </c>
      <c r="C143" s="30" t="s">
        <v>8</v>
      </c>
      <c r="D143" s="31">
        <v>0</v>
      </c>
      <c r="E143" s="166">
        <v>1500</v>
      </c>
      <c r="F143" s="11"/>
      <c r="G143" s="2">
        <f>ROUND(E143*D143,2)</f>
        <v>0</v>
      </c>
      <c r="H143" s="2"/>
      <c r="I143" s="11">
        <f t="shared" si="9"/>
        <v>0</v>
      </c>
      <c r="K143" s="280"/>
    </row>
    <row r="144" spans="1:11" ht="15.75" customHeight="1" outlineLevel="2" x14ac:dyDescent="0.25">
      <c r="A144" s="84"/>
      <c r="B144" s="11" t="s">
        <v>796</v>
      </c>
      <c r="C144" s="2" t="s">
        <v>12</v>
      </c>
      <c r="D144" s="2">
        <f>D143*400</f>
        <v>0</v>
      </c>
      <c r="E144" s="158"/>
      <c r="F144" s="361">
        <v>11.7</v>
      </c>
      <c r="G144" s="2"/>
      <c r="H144" s="2">
        <f>ROUND(D144*F144,2)</f>
        <v>0</v>
      </c>
      <c r="I144" s="11">
        <f t="shared" si="9"/>
        <v>0</v>
      </c>
      <c r="K144" s="280"/>
    </row>
    <row r="145" spans="1:12" ht="15" customHeight="1" outlineLevel="2" x14ac:dyDescent="0.25">
      <c r="A145" s="84"/>
      <c r="B145" s="11" t="s">
        <v>756</v>
      </c>
      <c r="C145" s="2" t="s">
        <v>8</v>
      </c>
      <c r="D145" s="2">
        <f>ROUND(0.23*D143,2)</f>
        <v>0</v>
      </c>
      <c r="E145" s="158"/>
      <c r="F145" s="361">
        <v>2700</v>
      </c>
      <c r="G145" s="2"/>
      <c r="H145" s="2">
        <f>ROUND(D145*F145,2)</f>
        <v>0</v>
      </c>
      <c r="I145" s="11">
        <f t="shared" si="9"/>
        <v>0</v>
      </c>
      <c r="K145" s="280"/>
    </row>
    <row r="146" spans="1:12" ht="31.2" outlineLevel="2" x14ac:dyDescent="0.25">
      <c r="A146" s="107" t="s">
        <v>499</v>
      </c>
      <c r="B146" s="29" t="s">
        <v>798</v>
      </c>
      <c r="C146" s="30" t="s">
        <v>8</v>
      </c>
      <c r="D146" s="31">
        <f>Д2!D122+Ек!D126+Д!D117+Е!D119</f>
        <v>70.625047999999964</v>
      </c>
      <c r="E146" s="256">
        <v>1700</v>
      </c>
      <c r="F146" s="11"/>
      <c r="G146" s="2">
        <f>ROUND(E146*D146,2)</f>
        <v>120062.58</v>
      </c>
      <c r="H146" s="2"/>
      <c r="I146" s="11">
        <f t="shared" si="9"/>
        <v>120062.58</v>
      </c>
      <c r="K146" s="5"/>
      <c r="L146" s="132"/>
    </row>
    <row r="147" spans="1:12" s="17" customFormat="1" ht="31.2" outlineLevel="2" x14ac:dyDescent="0.25">
      <c r="A147" s="86"/>
      <c r="B147" s="11" t="s">
        <v>799</v>
      </c>
      <c r="C147" s="2" t="s">
        <v>12</v>
      </c>
      <c r="D147" s="2">
        <f>D146*394</f>
        <v>27826.268911999985</v>
      </c>
      <c r="E147" s="2"/>
      <c r="F147" s="664">
        <v>10.75</v>
      </c>
      <c r="G147" s="2"/>
      <c r="H147" s="2">
        <f>ROUND(D147*F147,2)</f>
        <v>299132.39</v>
      </c>
      <c r="I147" s="11">
        <f t="shared" si="9"/>
        <v>299132.39</v>
      </c>
    </row>
    <row r="148" spans="1:12" s="6" customFormat="1" outlineLevel="2" x14ac:dyDescent="0.25">
      <c r="A148" s="88"/>
      <c r="B148" s="11" t="s">
        <v>800</v>
      </c>
      <c r="C148" s="2" t="s">
        <v>8</v>
      </c>
      <c r="D148" s="2">
        <f>ROUND(0.23*D146,2)</f>
        <v>16.239999999999998</v>
      </c>
      <c r="E148" s="2"/>
      <c r="F148" s="361">
        <v>2500</v>
      </c>
      <c r="G148" s="2"/>
      <c r="H148" s="2">
        <f>ROUND(D148*F148,2)</f>
        <v>40600</v>
      </c>
      <c r="I148" s="11">
        <f t="shared" si="9"/>
        <v>40600</v>
      </c>
      <c r="J148" s="693"/>
    </row>
    <row r="149" spans="1:12" s="6" customFormat="1" outlineLevel="2" x14ac:dyDescent="0.25">
      <c r="A149" s="83"/>
      <c r="B149" s="11" t="s">
        <v>794</v>
      </c>
      <c r="C149" s="2" t="s">
        <v>8</v>
      </c>
      <c r="D149" s="2">
        <f>Д2!D125+Ек!D129+Д!D120+Е!D122</f>
        <v>69.262199999999964</v>
      </c>
      <c r="E149" s="2"/>
      <c r="F149" s="664">
        <v>3196</v>
      </c>
      <c r="G149" s="2"/>
      <c r="H149" s="2">
        <f>ROUND(D149*F149,2)</f>
        <v>221361.99</v>
      </c>
      <c r="I149" s="11">
        <f t="shared" si="9"/>
        <v>221361.99</v>
      </c>
      <c r="J149" s="693"/>
    </row>
    <row r="150" spans="1:12" s="6" customFormat="1" outlineLevel="2" x14ac:dyDescent="0.25">
      <c r="A150" s="107" t="s">
        <v>500</v>
      </c>
      <c r="B150" s="205" t="s">
        <v>16</v>
      </c>
      <c r="C150" s="31" t="s">
        <v>12</v>
      </c>
      <c r="D150" s="160">
        <f>SUM(D151:D167)</f>
        <v>561</v>
      </c>
      <c r="E150" s="256">
        <v>100</v>
      </c>
      <c r="F150" s="11"/>
      <c r="G150" s="2">
        <f>ROUND(E150*D150,2)</f>
        <v>56100</v>
      </c>
      <c r="H150" s="2"/>
      <c r="I150" s="11">
        <f t="shared" si="9"/>
        <v>56100</v>
      </c>
      <c r="J150" s="693"/>
    </row>
    <row r="151" spans="1:12" s="6" customFormat="1" outlineLevel="2" x14ac:dyDescent="0.25">
      <c r="A151" s="83"/>
      <c r="B151" s="33" t="s">
        <v>855</v>
      </c>
      <c r="C151" s="2" t="s">
        <v>12</v>
      </c>
      <c r="D151" s="64">
        <f>Д2!D127+Ек!D131+Д!D122+Е!D124</f>
        <v>116</v>
      </c>
      <c r="E151" s="2"/>
      <c r="F151" s="664">
        <v>2147</v>
      </c>
      <c r="G151" s="2"/>
      <c r="H151" s="2">
        <f>ROUND(D151*F151,2)</f>
        <v>249052</v>
      </c>
      <c r="I151" s="11">
        <f t="shared" si="9"/>
        <v>249052</v>
      </c>
      <c r="J151" s="693"/>
    </row>
    <row r="152" spans="1:12" s="6" customFormat="1" outlineLevel="2" x14ac:dyDescent="0.25">
      <c r="A152" s="83"/>
      <c r="B152" s="33" t="s">
        <v>857</v>
      </c>
      <c r="C152" s="2" t="s">
        <v>12</v>
      </c>
      <c r="D152" s="64">
        <f>Д2!D128+Ек!D132+Е!D125</f>
        <v>30</v>
      </c>
      <c r="E152" s="2"/>
      <c r="F152" s="664">
        <v>1415</v>
      </c>
      <c r="G152" s="2"/>
      <c r="H152" s="2">
        <f t="shared" ref="H152:H170" si="10">ROUND(D152*F152,2)</f>
        <v>42450</v>
      </c>
      <c r="I152" s="11">
        <f t="shared" si="9"/>
        <v>42450</v>
      </c>
      <c r="J152" s="693"/>
    </row>
    <row r="153" spans="1:12" s="6" customFormat="1" outlineLevel="2" x14ac:dyDescent="0.25">
      <c r="A153" s="83"/>
      <c r="B153" s="33" t="s">
        <v>871</v>
      </c>
      <c r="C153" s="2" t="s">
        <v>12</v>
      </c>
      <c r="D153" s="64">
        <f>Ек!D133+Д!D123+Е!D126</f>
        <v>43</v>
      </c>
      <c r="E153" s="2"/>
      <c r="F153" s="164">
        <v>2500</v>
      </c>
      <c r="G153" s="2"/>
      <c r="H153" s="2">
        <f t="shared" si="10"/>
        <v>107500</v>
      </c>
      <c r="I153" s="11">
        <f t="shared" si="9"/>
        <v>107500</v>
      </c>
      <c r="J153" s="693"/>
    </row>
    <row r="154" spans="1:12" s="6" customFormat="1" outlineLevel="2" x14ac:dyDescent="0.25">
      <c r="A154" s="83"/>
      <c r="B154" s="33" t="s">
        <v>858</v>
      </c>
      <c r="C154" s="2" t="s">
        <v>12</v>
      </c>
      <c r="D154" s="64">
        <f>Ек!D134+Е!D127</f>
        <v>11</v>
      </c>
      <c r="E154" s="2"/>
      <c r="F154" s="164">
        <v>1900</v>
      </c>
      <c r="G154" s="2"/>
      <c r="H154" s="2">
        <f t="shared" si="10"/>
        <v>20900</v>
      </c>
      <c r="I154" s="11">
        <f t="shared" si="9"/>
        <v>20900</v>
      </c>
      <c r="J154" s="693"/>
    </row>
    <row r="155" spans="1:12" s="6" customFormat="1" outlineLevel="2" x14ac:dyDescent="0.25">
      <c r="A155" s="83"/>
      <c r="B155" s="33" t="s">
        <v>859</v>
      </c>
      <c r="C155" s="2" t="s">
        <v>12</v>
      </c>
      <c r="D155" s="64">
        <f>Д2!D129+Ек!D135</f>
        <v>18</v>
      </c>
      <c r="E155" s="2"/>
      <c r="F155" s="664">
        <v>1317</v>
      </c>
      <c r="G155" s="2"/>
      <c r="H155" s="2">
        <f t="shared" si="10"/>
        <v>23706</v>
      </c>
      <c r="I155" s="11">
        <f t="shared" si="9"/>
        <v>23706</v>
      </c>
      <c r="J155" s="693"/>
    </row>
    <row r="156" spans="1:12" s="6" customFormat="1" outlineLevel="2" x14ac:dyDescent="0.25">
      <c r="A156" s="83"/>
      <c r="B156" s="11" t="s">
        <v>872</v>
      </c>
      <c r="C156" s="2" t="s">
        <v>12</v>
      </c>
      <c r="D156" s="42">
        <f>Д2!D130+Ек!D136+Д!D124+Е!D128</f>
        <v>177</v>
      </c>
      <c r="E156" s="2"/>
      <c r="F156" s="664">
        <v>495</v>
      </c>
      <c r="G156" s="2"/>
      <c r="H156" s="2">
        <f t="shared" si="10"/>
        <v>87615</v>
      </c>
      <c r="I156" s="11">
        <f t="shared" si="9"/>
        <v>87615</v>
      </c>
      <c r="J156" s="693"/>
    </row>
    <row r="157" spans="1:12" s="6" customFormat="1" outlineLevel="2" x14ac:dyDescent="0.25">
      <c r="A157" s="83"/>
      <c r="B157" s="11" t="s">
        <v>754</v>
      </c>
      <c r="C157" s="2" t="s">
        <v>12</v>
      </c>
      <c r="D157" s="42">
        <f>Д!D126</f>
        <v>2</v>
      </c>
      <c r="E157" s="2"/>
      <c r="F157" s="164">
        <v>300</v>
      </c>
      <c r="G157" s="2"/>
      <c r="H157" s="2">
        <f>ROUND(D157*F157,2)</f>
        <v>600</v>
      </c>
      <c r="I157" s="11">
        <f>G157+H157</f>
        <v>600</v>
      </c>
      <c r="J157" s="693"/>
    </row>
    <row r="158" spans="1:12" s="6" customFormat="1" outlineLevel="2" x14ac:dyDescent="0.25">
      <c r="A158" s="83"/>
      <c r="B158" s="11" t="s">
        <v>873</v>
      </c>
      <c r="C158" s="2" t="s">
        <v>12</v>
      </c>
      <c r="D158" s="42">
        <f>Д2!D131+Д!D125</f>
        <v>10</v>
      </c>
      <c r="E158" s="2"/>
      <c r="F158" s="664">
        <v>310</v>
      </c>
      <c r="G158" s="2"/>
      <c r="H158" s="2">
        <f t="shared" si="10"/>
        <v>3100</v>
      </c>
      <c r="I158" s="11">
        <f t="shared" si="9"/>
        <v>3100</v>
      </c>
      <c r="J158" s="693"/>
    </row>
    <row r="159" spans="1:12" s="6" customFormat="1" outlineLevel="2" x14ac:dyDescent="0.25">
      <c r="A159" s="83"/>
      <c r="B159" s="11" t="s">
        <v>1394</v>
      </c>
      <c r="C159" s="2" t="s">
        <v>12</v>
      </c>
      <c r="D159" s="42">
        <f>Ек!D137</f>
        <v>2</v>
      </c>
      <c r="E159" s="2"/>
      <c r="F159" s="164">
        <v>280</v>
      </c>
      <c r="G159" s="2"/>
      <c r="H159" s="2">
        <f t="shared" si="10"/>
        <v>560</v>
      </c>
      <c r="I159" s="11">
        <f t="shared" si="9"/>
        <v>560</v>
      </c>
      <c r="J159" s="693"/>
    </row>
    <row r="160" spans="1:12" s="6" customFormat="1" outlineLevel="2" x14ac:dyDescent="0.25">
      <c r="A160" s="83"/>
      <c r="B160" s="45" t="s">
        <v>876</v>
      </c>
      <c r="C160" s="2" t="s">
        <v>12</v>
      </c>
      <c r="D160" s="42">
        <f>Д2!D132+Ек!D138+Е!D129</f>
        <v>56</v>
      </c>
      <c r="E160" s="2"/>
      <c r="F160" s="664">
        <v>631</v>
      </c>
      <c r="G160" s="2"/>
      <c r="H160" s="2">
        <f t="shared" si="10"/>
        <v>35336</v>
      </c>
      <c r="I160" s="11">
        <f t="shared" si="9"/>
        <v>35336</v>
      </c>
      <c r="J160" s="693"/>
    </row>
    <row r="161" spans="1:11" s="6" customFormat="1" outlineLevel="2" x14ac:dyDescent="0.25">
      <c r="A161" s="83"/>
      <c r="B161" s="45" t="s">
        <v>361</v>
      </c>
      <c r="C161" s="2" t="s">
        <v>12</v>
      </c>
      <c r="D161" s="42">
        <f>Ек!D139</f>
        <v>4</v>
      </c>
      <c r="E161" s="2"/>
      <c r="F161" s="164">
        <v>300</v>
      </c>
      <c r="G161" s="2"/>
      <c r="H161" s="2">
        <f t="shared" si="10"/>
        <v>1200</v>
      </c>
      <c r="I161" s="11">
        <f t="shared" si="9"/>
        <v>1200</v>
      </c>
      <c r="J161" s="693"/>
    </row>
    <row r="162" spans="1:11" s="6" customFormat="1" outlineLevel="2" x14ac:dyDescent="0.25">
      <c r="A162" s="83"/>
      <c r="B162" s="45" t="s">
        <v>880</v>
      </c>
      <c r="C162" s="2" t="s">
        <v>12</v>
      </c>
      <c r="D162" s="42">
        <f>Д2!D133+Ек!D140+Д!D127+Е!D131</f>
        <v>34</v>
      </c>
      <c r="E162" s="2"/>
      <c r="F162" s="664">
        <v>386</v>
      </c>
      <c r="G162" s="2"/>
      <c r="H162" s="2">
        <f t="shared" si="10"/>
        <v>13124</v>
      </c>
      <c r="I162" s="11">
        <f t="shared" si="9"/>
        <v>13124</v>
      </c>
      <c r="J162" s="693"/>
    </row>
    <row r="163" spans="1:11" s="6" customFormat="1" outlineLevel="2" x14ac:dyDescent="0.25">
      <c r="A163" s="83"/>
      <c r="B163" s="45" t="s">
        <v>1395</v>
      </c>
      <c r="C163" s="2" t="s">
        <v>12</v>
      </c>
      <c r="D163" s="42">
        <f>Ек!D141</f>
        <v>2</v>
      </c>
      <c r="E163" s="2"/>
      <c r="F163" s="164">
        <v>800</v>
      </c>
      <c r="G163" s="2"/>
      <c r="H163" s="2">
        <f t="shared" si="10"/>
        <v>1600</v>
      </c>
      <c r="I163" s="11">
        <f t="shared" si="9"/>
        <v>1600</v>
      </c>
      <c r="J163" s="693"/>
    </row>
    <row r="164" spans="1:11" s="6" customFormat="1" outlineLevel="2" x14ac:dyDescent="0.25">
      <c r="A164" s="83"/>
      <c r="B164" s="45" t="s">
        <v>1396</v>
      </c>
      <c r="C164" s="2" t="s">
        <v>12</v>
      </c>
      <c r="D164" s="42">
        <f>Ек!D142+Е!D130</f>
        <v>10</v>
      </c>
      <c r="E164" s="2"/>
      <c r="F164" s="164">
        <v>2000</v>
      </c>
      <c r="G164" s="2"/>
      <c r="H164" s="2">
        <f>ROUND(D164*F164,2)</f>
        <v>20000</v>
      </c>
      <c r="I164" s="11">
        <f>G164+H164</f>
        <v>20000</v>
      </c>
      <c r="J164" s="693"/>
    </row>
    <row r="165" spans="1:11" s="6" customFormat="1" outlineLevel="2" x14ac:dyDescent="0.25">
      <c r="A165" s="83"/>
      <c r="B165" s="45" t="s">
        <v>1355</v>
      </c>
      <c r="C165" s="2" t="s">
        <v>12</v>
      </c>
      <c r="D165" s="42">
        <f>Ек!D143+Е!D132</f>
        <v>6</v>
      </c>
      <c r="E165" s="2"/>
      <c r="F165" s="164">
        <v>1000</v>
      </c>
      <c r="G165" s="2"/>
      <c r="H165" s="2">
        <f>ROUND(D165*F165,2)</f>
        <v>6000</v>
      </c>
      <c r="I165" s="11">
        <f>G165+H165</f>
        <v>6000</v>
      </c>
      <c r="J165" s="693"/>
    </row>
    <row r="166" spans="1:11" s="6" customFormat="1" outlineLevel="2" x14ac:dyDescent="0.25">
      <c r="A166" s="83"/>
      <c r="B166" s="45" t="s">
        <v>861</v>
      </c>
      <c r="C166" s="2" t="s">
        <v>12</v>
      </c>
      <c r="D166" s="42">
        <f>Д2!D134+Д!D128</f>
        <v>4</v>
      </c>
      <c r="E166" s="2"/>
      <c r="F166" s="664">
        <v>2139</v>
      </c>
      <c r="G166" s="2"/>
      <c r="H166" s="2">
        <f t="shared" si="10"/>
        <v>8556</v>
      </c>
      <c r="I166" s="11">
        <f t="shared" si="9"/>
        <v>8556</v>
      </c>
      <c r="J166" s="693"/>
    </row>
    <row r="167" spans="1:11" s="6" customFormat="1" outlineLevel="2" x14ac:dyDescent="0.25">
      <c r="A167" s="83"/>
      <c r="B167" s="45" t="s">
        <v>882</v>
      </c>
      <c r="C167" s="41" t="s">
        <v>12</v>
      </c>
      <c r="D167" s="42">
        <f>Д2!D135+Ек!D144+Д!D129+Е!D133</f>
        <v>36</v>
      </c>
      <c r="E167" s="2"/>
      <c r="F167" s="361">
        <v>454</v>
      </c>
      <c r="G167" s="2"/>
      <c r="H167" s="2">
        <f t="shared" si="10"/>
        <v>16344</v>
      </c>
      <c r="I167" s="11">
        <f t="shared" si="9"/>
        <v>16344</v>
      </c>
      <c r="J167" s="693"/>
    </row>
    <row r="168" spans="1:11" s="6" customFormat="1" outlineLevel="2" x14ac:dyDescent="0.25">
      <c r="A168" s="83"/>
      <c r="B168" s="45" t="s">
        <v>875</v>
      </c>
      <c r="C168" s="41" t="s">
        <v>15</v>
      </c>
      <c r="D168" s="42">
        <f>Д2!D136+Ек!D145+Д!D130+Е!D134</f>
        <v>856.06</v>
      </c>
      <c r="E168" s="2"/>
      <c r="F168" s="364">
        <v>36</v>
      </c>
      <c r="G168" s="2"/>
      <c r="H168" s="2">
        <f t="shared" si="10"/>
        <v>30818.16</v>
      </c>
      <c r="I168" s="11">
        <f t="shared" si="9"/>
        <v>30818.16</v>
      </c>
      <c r="J168" s="693"/>
    </row>
    <row r="169" spans="1:11" s="6" customFormat="1" outlineLevel="2" x14ac:dyDescent="0.25">
      <c r="A169" s="83"/>
      <c r="B169" s="45" t="s">
        <v>368</v>
      </c>
      <c r="C169" s="41" t="s">
        <v>15</v>
      </c>
      <c r="D169" s="50">
        <f>Д2!D137+Д2!D138+Ек!D146+Ек!D147+Ек!D148+Д!D131+Д!D132+Е!D135+Е!D136</f>
        <v>134.74</v>
      </c>
      <c r="E169" s="351"/>
      <c r="F169" s="364">
        <v>33</v>
      </c>
      <c r="G169" s="2"/>
      <c r="H169" s="2">
        <f>ROUND(D169*F169,2)</f>
        <v>4446.42</v>
      </c>
      <c r="I169" s="11">
        <f>G169+H169</f>
        <v>4446.42</v>
      </c>
      <c r="J169" s="693"/>
      <c r="K169" s="5"/>
    </row>
    <row r="170" spans="1:11" s="6" customFormat="1" outlineLevel="2" x14ac:dyDescent="0.25">
      <c r="A170" s="76"/>
      <c r="B170" s="45" t="s">
        <v>1520</v>
      </c>
      <c r="C170" s="41" t="s">
        <v>15</v>
      </c>
      <c r="D170" s="42">
        <f>Д2!D139+Ек!D149+Д!D133+Е!D137</f>
        <v>1140.3499999999999</v>
      </c>
      <c r="E170" s="2"/>
      <c r="F170" s="364">
        <v>33</v>
      </c>
      <c r="G170" s="2"/>
      <c r="H170" s="2">
        <f t="shared" si="10"/>
        <v>37631.550000000003</v>
      </c>
      <c r="I170" s="11">
        <f t="shared" si="9"/>
        <v>37631.550000000003</v>
      </c>
      <c r="J170" s="693"/>
      <c r="K170" s="5"/>
    </row>
    <row r="171" spans="1:11" s="6" customFormat="1" outlineLevel="2" x14ac:dyDescent="0.25">
      <c r="A171" s="107" t="s">
        <v>501</v>
      </c>
      <c r="B171" s="29" t="s">
        <v>965</v>
      </c>
      <c r="C171" s="30" t="s">
        <v>8</v>
      </c>
      <c r="D171" s="31">
        <f>Д2!D140+Ек!D150+Д!D134+Е!D138</f>
        <v>197.4</v>
      </c>
      <c r="E171" s="256">
        <v>1700</v>
      </c>
      <c r="F171" s="11"/>
      <c r="G171" s="2">
        <f>ROUND(E171*D171,2)</f>
        <v>335580</v>
      </c>
      <c r="H171" s="2"/>
      <c r="I171" s="11">
        <f t="shared" si="9"/>
        <v>335580</v>
      </c>
      <c r="J171" s="693"/>
      <c r="K171" s="5"/>
    </row>
    <row r="172" spans="1:11" s="6" customFormat="1" outlineLevel="2" x14ac:dyDescent="0.25">
      <c r="A172" s="76"/>
      <c r="B172" s="11" t="s">
        <v>966</v>
      </c>
      <c r="C172" s="2" t="s">
        <v>8</v>
      </c>
      <c r="D172" s="64">
        <f>D171*1.05</f>
        <v>207.27</v>
      </c>
      <c r="E172" s="2"/>
      <c r="F172" s="361">
        <v>3450</v>
      </c>
      <c r="G172" s="2"/>
      <c r="H172" s="2">
        <f>ROUND(D172*F172,2)</f>
        <v>715081.5</v>
      </c>
      <c r="I172" s="11">
        <f t="shared" si="9"/>
        <v>715081.5</v>
      </c>
      <c r="J172" s="693"/>
      <c r="K172" s="5"/>
    </row>
    <row r="173" spans="1:11" s="6" customFormat="1" outlineLevel="2" x14ac:dyDescent="0.25">
      <c r="A173" s="76"/>
      <c r="B173" s="11" t="s">
        <v>756</v>
      </c>
      <c r="C173" s="2" t="s">
        <v>8</v>
      </c>
      <c r="D173" s="2">
        <f>ROUND(0.23*D171,2)</f>
        <v>45.4</v>
      </c>
      <c r="E173" s="2"/>
      <c r="F173" s="361">
        <v>2500</v>
      </c>
      <c r="G173" s="2"/>
      <c r="H173" s="2">
        <f>ROUND(D173*F173,2)</f>
        <v>113500</v>
      </c>
      <c r="I173" s="11">
        <f t="shared" si="9"/>
        <v>113500</v>
      </c>
      <c r="J173" s="693"/>
      <c r="K173" s="5"/>
    </row>
    <row r="174" spans="1:11" s="6" customFormat="1" ht="32.25" customHeight="1" outlineLevel="2" x14ac:dyDescent="0.25">
      <c r="A174" s="107" t="s">
        <v>502</v>
      </c>
      <c r="B174" s="29" t="s">
        <v>645</v>
      </c>
      <c r="C174" s="174" t="s">
        <v>14</v>
      </c>
      <c r="D174" s="31">
        <f>Д2!D143+Ек!D153+Д!D137+Е!D141</f>
        <v>1501</v>
      </c>
      <c r="E174" s="256">
        <v>500</v>
      </c>
      <c r="F174" s="11"/>
      <c r="G174" s="2">
        <f>ROUND(E174*D174,2)</f>
        <v>750500</v>
      </c>
      <c r="H174" s="2"/>
      <c r="I174" s="11">
        <f t="shared" si="9"/>
        <v>750500</v>
      </c>
      <c r="J174" s="693"/>
      <c r="K174" s="5"/>
    </row>
    <row r="175" spans="1:11" s="6" customFormat="1" ht="31.2" outlineLevel="2" x14ac:dyDescent="0.25">
      <c r="A175" s="76"/>
      <c r="B175" s="11" t="s">
        <v>968</v>
      </c>
      <c r="C175" s="2" t="s">
        <v>12</v>
      </c>
      <c r="D175" s="2">
        <f>D174*3</f>
        <v>4503</v>
      </c>
      <c r="E175" s="2"/>
      <c r="F175" s="664">
        <v>129</v>
      </c>
      <c r="G175" s="2"/>
      <c r="H175" s="2">
        <f>ROUND(D175*F175,2)</f>
        <v>580887</v>
      </c>
      <c r="I175" s="11">
        <f t="shared" si="9"/>
        <v>580887</v>
      </c>
      <c r="J175" s="693"/>
      <c r="K175" s="5"/>
    </row>
    <row r="176" spans="1:11" s="6" customFormat="1" outlineLevel="2" x14ac:dyDescent="0.25">
      <c r="A176" s="76"/>
      <c r="B176" s="11" t="s">
        <v>642</v>
      </c>
      <c r="C176" s="2" t="s">
        <v>12</v>
      </c>
      <c r="D176" s="2">
        <f>D174*0.75</f>
        <v>1125.75</v>
      </c>
      <c r="E176" s="2"/>
      <c r="F176" s="164">
        <v>2.79</v>
      </c>
      <c r="G176" s="2"/>
      <c r="H176" s="2">
        <f>ROUND(D176*F176,2)</f>
        <v>3140.84</v>
      </c>
      <c r="I176" s="11">
        <f t="shared" si="9"/>
        <v>3140.84</v>
      </c>
      <c r="J176" s="693"/>
      <c r="K176" s="5"/>
    </row>
    <row r="177" spans="1:13" s="6" customFormat="1" ht="15.75" customHeight="1" outlineLevel="2" x14ac:dyDescent="0.25">
      <c r="A177" s="76"/>
      <c r="B177" s="11" t="s">
        <v>644</v>
      </c>
      <c r="C177" s="2" t="s">
        <v>643</v>
      </c>
      <c r="D177" s="2">
        <f>D174*0.026</f>
        <v>39.025999999999996</v>
      </c>
      <c r="E177" s="2"/>
      <c r="F177" s="164">
        <v>110</v>
      </c>
      <c r="G177" s="2"/>
      <c r="H177" s="2">
        <f>ROUND(D177*F177,2)</f>
        <v>4292.8599999999997</v>
      </c>
      <c r="I177" s="11">
        <f t="shared" si="9"/>
        <v>4292.8599999999997</v>
      </c>
      <c r="J177" s="693"/>
      <c r="K177" s="5"/>
    </row>
    <row r="178" spans="1:13" s="6" customFormat="1" outlineLevel="2" x14ac:dyDescent="0.25">
      <c r="B178" s="11" t="s">
        <v>967</v>
      </c>
      <c r="C178" s="2" t="s">
        <v>15</v>
      </c>
      <c r="D178" s="2">
        <f>D174*2</f>
        <v>3002</v>
      </c>
      <c r="E178" s="2"/>
      <c r="F178" s="164">
        <v>8.9700000000000006</v>
      </c>
      <c r="G178" s="2"/>
      <c r="H178" s="2">
        <f>ROUND(D178*F178,2)</f>
        <v>26927.94</v>
      </c>
      <c r="I178" s="11">
        <f t="shared" si="9"/>
        <v>26927.94</v>
      </c>
      <c r="J178" s="693"/>
      <c r="K178" s="5"/>
    </row>
    <row r="179" spans="1:13" s="6" customFormat="1" ht="31.2" outlineLevel="2" x14ac:dyDescent="0.25">
      <c r="A179" s="107" t="s">
        <v>503</v>
      </c>
      <c r="B179" s="29" t="s">
        <v>646</v>
      </c>
      <c r="C179" s="174" t="s">
        <v>14</v>
      </c>
      <c r="D179" s="31">
        <f>Д2!D148+Ек!D158+Д!D142+Е!D146</f>
        <v>849</v>
      </c>
      <c r="E179" s="256">
        <v>500</v>
      </c>
      <c r="F179" s="164"/>
      <c r="G179" s="2">
        <f>ROUND(E179*D179,2)</f>
        <v>424500</v>
      </c>
      <c r="H179" s="2"/>
      <c r="I179" s="11">
        <f t="shared" si="9"/>
        <v>424500</v>
      </c>
      <c r="J179" s="693"/>
      <c r="K179" s="5"/>
    </row>
    <row r="180" spans="1:13" s="6" customFormat="1" ht="31.2" outlineLevel="2" x14ac:dyDescent="0.25">
      <c r="A180" s="76"/>
      <c r="B180" s="11" t="s">
        <v>647</v>
      </c>
      <c r="C180" s="2" t="s">
        <v>12</v>
      </c>
      <c r="D180" s="2">
        <f>D179*3</f>
        <v>2547</v>
      </c>
      <c r="E180" s="2"/>
      <c r="F180" s="664">
        <v>150</v>
      </c>
      <c r="G180" s="2"/>
      <c r="H180" s="2">
        <f>ROUND(D180*F180,2)</f>
        <v>382050</v>
      </c>
      <c r="I180" s="11">
        <f t="shared" si="9"/>
        <v>382050</v>
      </c>
      <c r="J180" s="693"/>
      <c r="K180" s="5"/>
    </row>
    <row r="181" spans="1:13" s="6" customFormat="1" outlineLevel="2" x14ac:dyDescent="0.25">
      <c r="A181" s="76"/>
      <c r="B181" s="11" t="s">
        <v>642</v>
      </c>
      <c r="C181" s="2" t="s">
        <v>12</v>
      </c>
      <c r="D181" s="2">
        <f>D179*0.75</f>
        <v>636.75</v>
      </c>
      <c r="E181" s="2"/>
      <c r="F181" s="164">
        <v>2.79</v>
      </c>
      <c r="G181" s="2"/>
      <c r="H181" s="2">
        <f>ROUND(D181*F181,2)</f>
        <v>1776.53</v>
      </c>
      <c r="I181" s="11">
        <f t="shared" si="9"/>
        <v>1776.53</v>
      </c>
      <c r="J181" s="693"/>
      <c r="K181" s="5"/>
    </row>
    <row r="182" spans="1:13" s="6" customFormat="1" ht="31.2" outlineLevel="2" x14ac:dyDescent="0.25">
      <c r="A182" s="76"/>
      <c r="B182" s="11" t="s">
        <v>644</v>
      </c>
      <c r="C182" s="2" t="s">
        <v>643</v>
      </c>
      <c r="D182" s="2">
        <f>D179*0.026</f>
        <v>22.073999999999998</v>
      </c>
      <c r="E182" s="2"/>
      <c r="F182" s="164">
        <v>110</v>
      </c>
      <c r="G182" s="2"/>
      <c r="H182" s="2">
        <f>ROUND(D182*F182,2)</f>
        <v>2428.14</v>
      </c>
      <c r="I182" s="11">
        <f t="shared" si="9"/>
        <v>2428.14</v>
      </c>
      <c r="J182" s="693"/>
      <c r="K182" s="5"/>
    </row>
    <row r="183" spans="1:13" s="6" customFormat="1" outlineLevel="2" x14ac:dyDescent="0.25">
      <c r="A183" s="76"/>
      <c r="B183" s="11" t="s">
        <v>967</v>
      </c>
      <c r="C183" s="2" t="s">
        <v>15</v>
      </c>
      <c r="D183" s="2">
        <f>D179*2</f>
        <v>1698</v>
      </c>
      <c r="E183" s="2"/>
      <c r="F183" s="164">
        <v>8.9700000000000006</v>
      </c>
      <c r="G183" s="2"/>
      <c r="H183" s="2">
        <f>ROUND(D183*F183,2)</f>
        <v>15231.06</v>
      </c>
      <c r="I183" s="11">
        <f t="shared" si="9"/>
        <v>15231.06</v>
      </c>
      <c r="J183" s="693"/>
      <c r="K183" s="5"/>
    </row>
    <row r="184" spans="1:13" s="6" customFormat="1" outlineLevel="2" x14ac:dyDescent="0.25">
      <c r="A184" s="107" t="s">
        <v>978</v>
      </c>
      <c r="B184" s="29" t="s">
        <v>367</v>
      </c>
      <c r="C184" s="30" t="s">
        <v>8</v>
      </c>
      <c r="D184" s="31">
        <f>Ек!D163+Е!D151</f>
        <v>4.84</v>
      </c>
      <c r="E184" s="256">
        <v>1700</v>
      </c>
      <c r="F184" s="11"/>
      <c r="G184" s="2">
        <f>ROUND(E184*D184,2)</f>
        <v>8228</v>
      </c>
      <c r="H184" s="2"/>
      <c r="I184" s="11">
        <f t="shared" si="9"/>
        <v>8228</v>
      </c>
      <c r="J184" s="693"/>
      <c r="K184" s="5"/>
    </row>
    <row r="185" spans="1:13" s="6" customFormat="1" outlineLevel="2" x14ac:dyDescent="0.25">
      <c r="A185" s="76"/>
      <c r="B185" s="11" t="s">
        <v>966</v>
      </c>
      <c r="C185" s="2" t="s">
        <v>8</v>
      </c>
      <c r="D185" s="64">
        <f>D184*1.05</f>
        <v>5.0819999999999999</v>
      </c>
      <c r="E185" s="2"/>
      <c r="F185" s="361">
        <v>3450</v>
      </c>
      <c r="G185" s="2"/>
      <c r="H185" s="2">
        <f>ROUND(D185*F185,2)</f>
        <v>17532.900000000001</v>
      </c>
      <c r="I185" s="11">
        <f t="shared" si="9"/>
        <v>17532.900000000001</v>
      </c>
      <c r="J185" s="693"/>
      <c r="K185" s="5"/>
    </row>
    <row r="186" spans="1:13" s="6" customFormat="1" outlineLevel="2" x14ac:dyDescent="0.25">
      <c r="A186" s="76"/>
      <c r="B186" s="11" t="s">
        <v>756</v>
      </c>
      <c r="C186" s="2" t="s">
        <v>8</v>
      </c>
      <c r="D186" s="2">
        <f>ROUND(0.23*D184,2)</f>
        <v>1.1100000000000001</v>
      </c>
      <c r="E186" s="2"/>
      <c r="F186" s="361">
        <v>2500</v>
      </c>
      <c r="G186" s="2"/>
      <c r="H186" s="2">
        <f>ROUND(D186*F186,2)</f>
        <v>2775</v>
      </c>
      <c r="I186" s="11">
        <f t="shared" si="9"/>
        <v>2775</v>
      </c>
      <c r="J186" s="693"/>
      <c r="K186" s="5"/>
    </row>
    <row r="187" spans="1:13" s="6" customFormat="1" outlineLevel="1" x14ac:dyDescent="0.25">
      <c r="A187" s="754" t="s">
        <v>504</v>
      </c>
      <c r="B187" s="330" t="s">
        <v>376</v>
      </c>
      <c r="C187" s="46" t="s">
        <v>9</v>
      </c>
      <c r="D187" s="336">
        <v>0</v>
      </c>
      <c r="E187" s="256">
        <v>15000</v>
      </c>
      <c r="F187" s="56"/>
      <c r="G187" s="2">
        <f>ROUND(E187*D187,2)</f>
        <v>0</v>
      </c>
      <c r="H187" s="11"/>
      <c r="I187" s="11">
        <f>G187+H187</f>
        <v>0</v>
      </c>
    </row>
    <row r="188" spans="1:13" s="6" customFormat="1" outlineLevel="1" x14ac:dyDescent="0.25">
      <c r="A188" s="265"/>
      <c r="B188" s="335" t="s">
        <v>377</v>
      </c>
      <c r="C188" s="41" t="s">
        <v>9</v>
      </c>
      <c r="D188" s="324">
        <v>0</v>
      </c>
      <c r="E188" s="31"/>
      <c r="F188" s="164">
        <v>32000</v>
      </c>
      <c r="G188" s="10"/>
      <c r="H188" s="2">
        <f>ROUND(D188*F188,2)</f>
        <v>0</v>
      </c>
      <c r="I188" s="11">
        <f>G188+H188</f>
        <v>0</v>
      </c>
    </row>
    <row r="189" spans="1:13" s="6" customFormat="1" outlineLevel="1" x14ac:dyDescent="0.25">
      <c r="A189" s="265"/>
      <c r="B189" s="335" t="s">
        <v>378</v>
      </c>
      <c r="C189" s="41" t="s">
        <v>9</v>
      </c>
      <c r="D189" s="324">
        <v>0</v>
      </c>
      <c r="E189" s="31"/>
      <c r="F189" s="164">
        <v>32000</v>
      </c>
      <c r="G189" s="10"/>
      <c r="H189" s="2">
        <f>ROUND(D189*F189,2)</f>
        <v>0</v>
      </c>
      <c r="I189" s="11">
        <f>G189+H189</f>
        <v>0</v>
      </c>
    </row>
    <row r="190" spans="1:13" s="6" customFormat="1" outlineLevel="1" x14ac:dyDescent="0.25">
      <c r="A190" s="265"/>
      <c r="B190" s="335" t="s">
        <v>379</v>
      </c>
      <c r="C190" s="41" t="s">
        <v>9</v>
      </c>
      <c r="D190" s="324">
        <v>0</v>
      </c>
      <c r="E190" s="31"/>
      <c r="F190" s="164">
        <v>32000</v>
      </c>
      <c r="G190" s="10"/>
      <c r="H190" s="2">
        <f>ROUND(D190*F190,2)</f>
        <v>0</v>
      </c>
      <c r="I190" s="11">
        <f>G190+H190</f>
        <v>0</v>
      </c>
    </row>
    <row r="191" spans="1:13" s="36" customFormat="1" outlineLevel="1" x14ac:dyDescent="0.25">
      <c r="A191" s="92"/>
      <c r="B191" s="750" t="s">
        <v>1547</v>
      </c>
      <c r="C191" s="744" t="s">
        <v>1548</v>
      </c>
      <c r="D191" s="745">
        <f>2*3*8*24</f>
        <v>1152</v>
      </c>
      <c r="E191" s="746">
        <v>1300</v>
      </c>
      <c r="F191" s="747"/>
      <c r="G191" s="2">
        <f>ROUND(E191*D191,2)</f>
        <v>1497600</v>
      </c>
      <c r="H191" s="2"/>
      <c r="I191" s="11">
        <f>G191+H191</f>
        <v>1497600</v>
      </c>
      <c r="K191" s="162"/>
      <c r="L191" s="162"/>
      <c r="M191" s="162"/>
    </row>
    <row r="192" spans="1:13" s="36" customFormat="1" outlineLevel="1" x14ac:dyDescent="0.25">
      <c r="A192" s="92"/>
      <c r="B192" s="748" t="s">
        <v>1543</v>
      </c>
      <c r="C192" s="744"/>
      <c r="D192" s="745"/>
      <c r="E192" s="746"/>
      <c r="F192" s="747"/>
      <c r="G192" s="474">
        <f>SUM(G131:G191)</f>
        <v>6195227.2599999998</v>
      </c>
      <c r="H192" s="746"/>
      <c r="I192" s="749">
        <f>G192</f>
        <v>6195227.2599999998</v>
      </c>
      <c r="K192" s="162"/>
      <c r="L192" s="162"/>
      <c r="M192" s="162"/>
    </row>
    <row r="193" spans="1:13" s="36" customFormat="1" outlineLevel="1" x14ac:dyDescent="0.25">
      <c r="A193" s="92"/>
      <c r="B193" s="748" t="s">
        <v>1546</v>
      </c>
      <c r="C193" s="744"/>
      <c r="D193" s="745"/>
      <c r="E193" s="746"/>
      <c r="F193" s="747"/>
      <c r="G193" s="474"/>
      <c r="H193" s="473">
        <f>SUM(H131:H190)</f>
        <v>9839960.6699999981</v>
      </c>
      <c r="I193" s="749">
        <f>H193</f>
        <v>9839960.6699999981</v>
      </c>
      <c r="K193" s="162"/>
      <c r="L193" s="162"/>
      <c r="M193" s="162"/>
    </row>
    <row r="194" spans="1:13" s="36" customFormat="1" outlineLevel="1" x14ac:dyDescent="0.25">
      <c r="A194" s="92"/>
      <c r="B194" s="748" t="s">
        <v>1544</v>
      </c>
      <c r="C194" s="744"/>
      <c r="D194" s="745"/>
      <c r="E194" s="746"/>
      <c r="F194" s="747"/>
      <c r="G194" s="474">
        <f>G192*0.25</f>
        <v>1548806.8149999999</v>
      </c>
      <c r="H194" s="746"/>
      <c r="I194" s="749">
        <f>G194</f>
        <v>1548806.8149999999</v>
      </c>
      <c r="K194" s="162"/>
      <c r="L194" s="162"/>
      <c r="M194" s="162"/>
    </row>
    <row r="195" spans="1:13" s="36" customFormat="1" outlineLevel="1" x14ac:dyDescent="0.25">
      <c r="A195" s="92"/>
      <c r="B195" s="748" t="s">
        <v>1545</v>
      </c>
      <c r="C195" s="744"/>
      <c r="D195" s="745"/>
      <c r="E195" s="746"/>
      <c r="F195" s="747"/>
      <c r="G195" s="474">
        <f>G192*0.05</f>
        <v>309761.36300000001</v>
      </c>
      <c r="H195" s="746"/>
      <c r="I195" s="749">
        <f>G195</f>
        <v>309761.36300000001</v>
      </c>
      <c r="K195" s="162"/>
      <c r="L195" s="162"/>
      <c r="M195" s="162"/>
    </row>
    <row r="196" spans="1:13" ht="24" customHeight="1" x14ac:dyDescent="0.25">
      <c r="A196" s="223"/>
      <c r="B196" s="224" t="s">
        <v>801</v>
      </c>
      <c r="C196" s="225"/>
      <c r="D196" s="226"/>
      <c r="E196" s="227"/>
      <c r="F196" s="228"/>
      <c r="G196" s="227">
        <f>G192+G194+G195</f>
        <v>8053795.4379999992</v>
      </c>
      <c r="H196" s="227">
        <f>H193</f>
        <v>9839960.6699999981</v>
      </c>
      <c r="I196" s="230">
        <f>I192+I193+I194+I195</f>
        <v>17893756.107999999</v>
      </c>
      <c r="J196" s="693"/>
      <c r="K196" s="133"/>
    </row>
    <row r="197" spans="1:13" s="5" customFormat="1" ht="15.6" customHeight="1" x14ac:dyDescent="0.25">
      <c r="A197" s="89"/>
      <c r="B197" s="58" t="s">
        <v>624</v>
      </c>
      <c r="C197" s="9"/>
      <c r="D197" s="31"/>
      <c r="E197" s="10"/>
      <c r="F197" s="57"/>
      <c r="G197" s="10"/>
      <c r="H197" s="10"/>
      <c r="I197" s="31">
        <f>ROUND(I196/1.18*0.18,2)</f>
        <v>2729556.02</v>
      </c>
    </row>
    <row r="198" spans="1:13" s="5" customFormat="1" ht="21" customHeight="1" x14ac:dyDescent="0.25">
      <c r="A198" s="108"/>
      <c r="B198" s="752" t="s">
        <v>802</v>
      </c>
      <c r="C198" s="105"/>
      <c r="D198" s="105"/>
      <c r="E198" s="105"/>
      <c r="F198" s="138"/>
      <c r="G198" s="105"/>
      <c r="H198" s="105"/>
      <c r="I198" s="106"/>
    </row>
    <row r="199" spans="1:13" s="5" customFormat="1" ht="15.6" customHeight="1" outlineLevel="1" x14ac:dyDescent="0.25">
      <c r="A199" s="107" t="s">
        <v>223</v>
      </c>
      <c r="B199" s="48" t="s">
        <v>740</v>
      </c>
      <c r="C199" s="46" t="s">
        <v>12</v>
      </c>
      <c r="D199" s="50">
        <f>SUM(D200:D216)</f>
        <v>586</v>
      </c>
      <c r="E199" s="275">
        <v>600</v>
      </c>
      <c r="F199" s="43"/>
      <c r="G199" s="2">
        <f>ROUND(E199*D199,2)</f>
        <v>351600</v>
      </c>
      <c r="H199" s="11"/>
      <c r="I199" s="11">
        <f>G199+H199</f>
        <v>351600</v>
      </c>
    </row>
    <row r="200" spans="1:13" s="5" customFormat="1" ht="15.6" customHeight="1" outlineLevel="1" x14ac:dyDescent="0.25">
      <c r="A200" s="84"/>
      <c r="B200" s="47" t="s">
        <v>751</v>
      </c>
      <c r="C200" s="2" t="s">
        <v>12</v>
      </c>
      <c r="D200" s="42">
        <f>Ек!D174+Е!D162</f>
        <v>102</v>
      </c>
      <c r="E200" s="31"/>
      <c r="F200" s="363">
        <v>15000</v>
      </c>
      <c r="G200" s="2"/>
      <c r="H200" s="2">
        <f t="shared" ref="H200:H216" si="11">ROUND(D200*F200,2)</f>
        <v>1530000</v>
      </c>
      <c r="I200" s="60">
        <f t="shared" ref="I200:I222" si="12">G200+H200</f>
        <v>1530000</v>
      </c>
    </row>
    <row r="201" spans="1:13" s="5" customFormat="1" ht="15.6" customHeight="1" outlineLevel="1" x14ac:dyDescent="0.25">
      <c r="A201" s="84"/>
      <c r="B201" s="47" t="s">
        <v>887</v>
      </c>
      <c r="C201" s="2" t="s">
        <v>12</v>
      </c>
      <c r="D201" s="42">
        <f>Ек!D175+Е!D163</f>
        <v>42</v>
      </c>
      <c r="E201" s="31"/>
      <c r="F201" s="363">
        <v>15000</v>
      </c>
      <c r="G201" s="2"/>
      <c r="H201" s="2">
        <f t="shared" si="11"/>
        <v>630000</v>
      </c>
      <c r="I201" s="60">
        <f t="shared" si="12"/>
        <v>630000</v>
      </c>
    </row>
    <row r="202" spans="1:13" s="5" customFormat="1" ht="15.6" customHeight="1" outlineLevel="1" x14ac:dyDescent="0.25">
      <c r="A202" s="84"/>
      <c r="B202" s="47" t="s">
        <v>742</v>
      </c>
      <c r="C202" s="2" t="s">
        <v>12</v>
      </c>
      <c r="D202" s="42">
        <f>Д2!D165+Д!D159</f>
        <v>63</v>
      </c>
      <c r="E202" s="31"/>
      <c r="F202" s="664">
        <v>12796</v>
      </c>
      <c r="G202" s="2"/>
      <c r="H202" s="2">
        <f t="shared" si="11"/>
        <v>806148</v>
      </c>
      <c r="I202" s="60">
        <f t="shared" si="12"/>
        <v>806148</v>
      </c>
    </row>
    <row r="203" spans="1:13" s="5" customFormat="1" ht="15.6" customHeight="1" outlineLevel="1" x14ac:dyDescent="0.25">
      <c r="A203" s="84"/>
      <c r="B203" s="47" t="s">
        <v>892</v>
      </c>
      <c r="C203" s="2" t="s">
        <v>12</v>
      </c>
      <c r="D203" s="42">
        <f>Д2!D166+Д!D160</f>
        <v>15</v>
      </c>
      <c r="E203" s="31"/>
      <c r="F203" s="664">
        <v>10346.25</v>
      </c>
      <c r="G203" s="2"/>
      <c r="H203" s="2">
        <f t="shared" si="11"/>
        <v>155193.75</v>
      </c>
      <c r="I203" s="60">
        <f t="shared" si="12"/>
        <v>155193.75</v>
      </c>
    </row>
    <row r="204" spans="1:13" s="5" customFormat="1" ht="15.6" customHeight="1" outlineLevel="1" x14ac:dyDescent="0.25">
      <c r="A204" s="84"/>
      <c r="B204" s="47" t="s">
        <v>888</v>
      </c>
      <c r="C204" s="2" t="s">
        <v>12</v>
      </c>
      <c r="D204" s="42">
        <f>Д2!D161+Д!D155</f>
        <v>21</v>
      </c>
      <c r="E204" s="31"/>
      <c r="F204" s="362">
        <v>9478.9</v>
      </c>
      <c r="G204" s="2"/>
      <c r="H204" s="2">
        <f t="shared" si="11"/>
        <v>199056.9</v>
      </c>
      <c r="I204" s="60">
        <f t="shared" si="12"/>
        <v>199056.9</v>
      </c>
    </row>
    <row r="205" spans="1:13" s="5" customFormat="1" ht="15.6" customHeight="1" outlineLevel="1" x14ac:dyDescent="0.25">
      <c r="A205" s="84"/>
      <c r="B205" s="47" t="s">
        <v>889</v>
      </c>
      <c r="C205" s="2" t="s">
        <v>12</v>
      </c>
      <c r="D205" s="42">
        <f>Д2!D162+Ек!D176+Д!D156+Е!D164</f>
        <v>213</v>
      </c>
      <c r="E205" s="31"/>
      <c r="F205" s="362">
        <v>9631</v>
      </c>
      <c r="G205" s="2"/>
      <c r="H205" s="2">
        <f t="shared" si="11"/>
        <v>2051403</v>
      </c>
      <c r="I205" s="60">
        <f t="shared" si="12"/>
        <v>2051403</v>
      </c>
    </row>
    <row r="206" spans="1:13" s="5" customFormat="1" ht="15.6" customHeight="1" outlineLevel="1" x14ac:dyDescent="0.25">
      <c r="A206" s="84"/>
      <c r="B206" s="47" t="s">
        <v>744</v>
      </c>
      <c r="C206" s="2" t="s">
        <v>12</v>
      </c>
      <c r="D206" s="42">
        <f>Ек!D177+Е!D165</f>
        <v>24</v>
      </c>
      <c r="E206" s="31"/>
      <c r="F206" s="362">
        <v>11987</v>
      </c>
      <c r="G206" s="2"/>
      <c r="H206" s="2">
        <f t="shared" si="11"/>
        <v>287688</v>
      </c>
      <c r="I206" s="60">
        <f t="shared" si="12"/>
        <v>287688</v>
      </c>
    </row>
    <row r="207" spans="1:13" s="5" customFormat="1" ht="15.6" customHeight="1" outlineLevel="1" x14ac:dyDescent="0.25">
      <c r="A207" s="84"/>
      <c r="B207" s="47" t="s">
        <v>1371</v>
      </c>
      <c r="C207" s="2" t="s">
        <v>12</v>
      </c>
      <c r="D207" s="42">
        <f>Д2!D163+Д!D157</f>
        <v>4</v>
      </c>
      <c r="E207" s="31"/>
      <c r="F207" s="664">
        <v>5615</v>
      </c>
      <c r="G207" s="2"/>
      <c r="H207" s="2">
        <f t="shared" si="11"/>
        <v>22460</v>
      </c>
      <c r="I207" s="60">
        <f t="shared" si="12"/>
        <v>22460</v>
      </c>
    </row>
    <row r="208" spans="1:13" s="5" customFormat="1" ht="15.6" customHeight="1" outlineLevel="1" x14ac:dyDescent="0.25">
      <c r="A208" s="84"/>
      <c r="B208" s="47" t="s">
        <v>890</v>
      </c>
      <c r="C208" s="2" t="s">
        <v>12</v>
      </c>
      <c r="D208" s="42">
        <f>Д2!D164+Д!D158</f>
        <v>14</v>
      </c>
      <c r="E208" s="31"/>
      <c r="F208" s="664">
        <v>4445</v>
      </c>
      <c r="G208" s="2"/>
      <c r="H208" s="2">
        <f t="shared" si="11"/>
        <v>62230</v>
      </c>
      <c r="I208" s="60">
        <f t="shared" si="12"/>
        <v>62230</v>
      </c>
    </row>
    <row r="209" spans="1:13" s="5" customFormat="1" ht="15.6" customHeight="1" outlineLevel="1" x14ac:dyDescent="0.25">
      <c r="A209" s="84"/>
      <c r="B209" s="47" t="s">
        <v>893</v>
      </c>
      <c r="C209" s="2" t="s">
        <v>12</v>
      </c>
      <c r="D209" s="42">
        <f>Д2!D167+Д!D161</f>
        <v>6</v>
      </c>
      <c r="E209" s="31"/>
      <c r="F209" s="664">
        <v>4457</v>
      </c>
      <c r="G209" s="2"/>
      <c r="H209" s="2">
        <f t="shared" si="11"/>
        <v>26742</v>
      </c>
      <c r="I209" s="60">
        <f t="shared" si="12"/>
        <v>26742</v>
      </c>
    </row>
    <row r="210" spans="1:13" s="5" customFormat="1" ht="15.6" customHeight="1" outlineLevel="1" x14ac:dyDescent="0.25">
      <c r="A210" s="84"/>
      <c r="B210" s="47" t="s">
        <v>1337</v>
      </c>
      <c r="C210" s="2" t="s">
        <v>12</v>
      </c>
      <c r="D210" s="42">
        <f>Ек!D178+Е!D166</f>
        <v>14</v>
      </c>
      <c r="E210" s="31"/>
      <c r="F210" s="363">
        <v>4100</v>
      </c>
      <c r="G210" s="2"/>
      <c r="H210" s="2">
        <f t="shared" si="11"/>
        <v>57400</v>
      </c>
      <c r="I210" s="60">
        <f t="shared" si="12"/>
        <v>57400</v>
      </c>
    </row>
    <row r="211" spans="1:13" s="5" customFormat="1" ht="15.6" customHeight="1" outlineLevel="1" x14ac:dyDescent="0.25">
      <c r="A211" s="84"/>
      <c r="B211" s="47" t="s">
        <v>1306</v>
      </c>
      <c r="C211" s="2" t="s">
        <v>12</v>
      </c>
      <c r="D211" s="42">
        <f>Ек!D179+Е!D167</f>
        <v>8</v>
      </c>
      <c r="E211" s="31"/>
      <c r="F211" s="664">
        <v>5621</v>
      </c>
      <c r="G211" s="2"/>
      <c r="H211" s="2">
        <f t="shared" si="11"/>
        <v>44968</v>
      </c>
      <c r="I211" s="60">
        <f t="shared" si="12"/>
        <v>44968</v>
      </c>
    </row>
    <row r="212" spans="1:13" s="5" customFormat="1" ht="15.6" customHeight="1" outlineLevel="1" x14ac:dyDescent="0.25">
      <c r="A212" s="89"/>
      <c r="B212" s="47" t="s">
        <v>747</v>
      </c>
      <c r="C212" s="2" t="s">
        <v>12</v>
      </c>
      <c r="D212" s="42">
        <f>Д2!D168+Ек!D180+Е!D170</f>
        <v>28</v>
      </c>
      <c r="E212" s="31"/>
      <c r="F212" s="362">
        <v>10206.120000000001</v>
      </c>
      <c r="G212" s="2"/>
      <c r="H212" s="2">
        <f t="shared" si="11"/>
        <v>285771.36</v>
      </c>
      <c r="I212" s="60">
        <f t="shared" si="12"/>
        <v>285771.36</v>
      </c>
    </row>
    <row r="213" spans="1:13" s="5" customFormat="1" ht="15.6" customHeight="1" outlineLevel="1" x14ac:dyDescent="0.25">
      <c r="A213" s="89"/>
      <c r="B213" s="47" t="s">
        <v>749</v>
      </c>
      <c r="C213" s="2" t="s">
        <v>12</v>
      </c>
      <c r="D213" s="42">
        <f>Ек!D181+Е!D168</f>
        <v>8</v>
      </c>
      <c r="E213" s="31"/>
      <c r="F213" s="362">
        <v>14953.2</v>
      </c>
      <c r="G213" s="2"/>
      <c r="H213" s="2">
        <f t="shared" si="11"/>
        <v>119625.60000000001</v>
      </c>
      <c r="I213" s="60">
        <f t="shared" si="12"/>
        <v>119625.60000000001</v>
      </c>
    </row>
    <row r="214" spans="1:13" s="5" customFormat="1" ht="15.6" customHeight="1" outlineLevel="1" x14ac:dyDescent="0.25">
      <c r="A214" s="89"/>
      <c r="B214" s="47" t="s">
        <v>750</v>
      </c>
      <c r="C214" s="2" t="s">
        <v>12</v>
      </c>
      <c r="D214" s="42">
        <f>Д2!D170+Ек!D182+Е!D169</f>
        <v>12</v>
      </c>
      <c r="E214" s="31"/>
      <c r="F214" s="362">
        <v>10358.1</v>
      </c>
      <c r="G214" s="2"/>
      <c r="H214" s="2">
        <f t="shared" si="11"/>
        <v>124297.2</v>
      </c>
      <c r="I214" s="60">
        <f t="shared" si="12"/>
        <v>124297.2</v>
      </c>
    </row>
    <row r="215" spans="1:13" s="5" customFormat="1" ht="15.6" customHeight="1" outlineLevel="1" x14ac:dyDescent="0.25">
      <c r="A215" s="89"/>
      <c r="B215" s="47" t="s">
        <v>748</v>
      </c>
      <c r="C215" s="2" t="s">
        <v>12</v>
      </c>
      <c r="D215" s="42">
        <f>Д2!D169</f>
        <v>4</v>
      </c>
      <c r="E215" s="31"/>
      <c r="F215" s="363">
        <v>10500</v>
      </c>
      <c r="G215" s="2"/>
      <c r="H215" s="2">
        <f t="shared" si="11"/>
        <v>42000</v>
      </c>
      <c r="I215" s="60">
        <f t="shared" si="12"/>
        <v>42000</v>
      </c>
    </row>
    <row r="216" spans="1:13" s="5" customFormat="1" ht="15.6" customHeight="1" outlineLevel="1" x14ac:dyDescent="0.25">
      <c r="A216" s="89"/>
      <c r="B216" s="47" t="s">
        <v>1403</v>
      </c>
      <c r="C216" s="2" t="s">
        <v>12</v>
      </c>
      <c r="D216" s="42">
        <f>Д!D162</f>
        <v>8</v>
      </c>
      <c r="E216" s="31"/>
      <c r="F216" s="362">
        <v>14953.2</v>
      </c>
      <c r="G216" s="2"/>
      <c r="H216" s="2">
        <f t="shared" si="11"/>
        <v>119625.60000000001</v>
      </c>
      <c r="I216" s="60">
        <f t="shared" si="12"/>
        <v>119625.60000000001</v>
      </c>
    </row>
    <row r="217" spans="1:13" s="5" customFormat="1" ht="15.75" customHeight="1" outlineLevel="1" x14ac:dyDescent="0.25">
      <c r="A217" s="89"/>
      <c r="B217" s="47" t="s">
        <v>902</v>
      </c>
      <c r="C217" s="41" t="s">
        <v>9</v>
      </c>
      <c r="D217" s="42">
        <f>Д2!D171+Ек!D183+Д!D163+Е!D171</f>
        <v>3.5432200000000007</v>
      </c>
      <c r="E217" s="43"/>
      <c r="F217" s="364">
        <v>33000</v>
      </c>
      <c r="G217" s="18"/>
      <c r="H217" s="2">
        <f>ROUND(D217*F217,2)</f>
        <v>116926.26</v>
      </c>
      <c r="I217" s="11">
        <f t="shared" si="12"/>
        <v>116926.26</v>
      </c>
    </row>
    <row r="218" spans="1:13" s="5" customFormat="1" ht="15.6" customHeight="1" outlineLevel="1" x14ac:dyDescent="0.25">
      <c r="A218" s="89"/>
      <c r="B218" s="47" t="s">
        <v>901</v>
      </c>
      <c r="C218" s="41" t="s">
        <v>15</v>
      </c>
      <c r="D218" s="42">
        <f>Д2!D172+Ек!D184+Д!D164+Е!D172</f>
        <v>136.72999999999999</v>
      </c>
      <c r="E218" s="43"/>
      <c r="F218" s="364">
        <v>33</v>
      </c>
      <c r="G218" s="18"/>
      <c r="H218" s="2">
        <f>ROUND(D218*F218,2)</f>
        <v>4512.09</v>
      </c>
      <c r="I218" s="11">
        <f t="shared" si="12"/>
        <v>4512.09</v>
      </c>
    </row>
    <row r="219" spans="1:13" s="5" customFormat="1" ht="15.6" customHeight="1" outlineLevel="1" x14ac:dyDescent="0.25">
      <c r="A219" s="89"/>
      <c r="B219" s="47" t="s">
        <v>875</v>
      </c>
      <c r="C219" s="41" t="s">
        <v>15</v>
      </c>
      <c r="D219" s="42">
        <f>Д2!D173+Е!D173</f>
        <v>24.36</v>
      </c>
      <c r="E219" s="43"/>
      <c r="F219" s="364">
        <v>36</v>
      </c>
      <c r="G219" s="18"/>
      <c r="H219" s="2">
        <f>ROUND(D219*F219,2)</f>
        <v>876.96</v>
      </c>
      <c r="I219" s="11">
        <f t="shared" si="12"/>
        <v>876.96</v>
      </c>
    </row>
    <row r="220" spans="1:13" s="5" customFormat="1" ht="15.6" customHeight="1" outlineLevel="1" x14ac:dyDescent="0.25">
      <c r="A220" s="107" t="s">
        <v>224</v>
      </c>
      <c r="B220" s="49" t="s">
        <v>788</v>
      </c>
      <c r="C220" s="203" t="s">
        <v>8</v>
      </c>
      <c r="D220" s="46">
        <f>Д2!D174+Ек!D185+Д!D165+Е!D174</f>
        <v>30.200000000000003</v>
      </c>
      <c r="E220" s="353">
        <v>800</v>
      </c>
      <c r="F220" s="139"/>
      <c r="G220" s="2">
        <f>ROUND(E220*D220,2)</f>
        <v>24160</v>
      </c>
      <c r="H220" s="26"/>
      <c r="I220" s="11">
        <f t="shared" si="12"/>
        <v>24160</v>
      </c>
    </row>
    <row r="221" spans="1:13" s="5" customFormat="1" ht="15.6" customHeight="1" outlineLevel="1" x14ac:dyDescent="0.25">
      <c r="A221" s="89"/>
      <c r="B221" s="47" t="s">
        <v>366</v>
      </c>
      <c r="C221" s="41" t="s">
        <v>9</v>
      </c>
      <c r="D221" s="42">
        <f>Д2!D175+Ек!D186+Д!D166+Е!D175</f>
        <v>5.43384</v>
      </c>
      <c r="E221" s="2"/>
      <c r="F221" s="364">
        <v>34000</v>
      </c>
      <c r="G221" s="10"/>
      <c r="H221" s="2">
        <f>ROUND(D221*F221,2)</f>
        <v>184750.56</v>
      </c>
      <c r="I221" s="11">
        <f t="shared" si="12"/>
        <v>184750.56</v>
      </c>
    </row>
    <row r="222" spans="1:13" s="5" customFormat="1" ht="15.6" customHeight="1" outlineLevel="1" x14ac:dyDescent="0.25">
      <c r="A222" s="89"/>
      <c r="B222" s="47" t="s">
        <v>483</v>
      </c>
      <c r="C222" s="41" t="s">
        <v>8</v>
      </c>
      <c r="D222" s="42">
        <f>D220*1.015</f>
        <v>30.652999999999999</v>
      </c>
      <c r="E222" s="2"/>
      <c r="F222" s="664">
        <v>4200</v>
      </c>
      <c r="G222" s="31"/>
      <c r="H222" s="2">
        <f>ROUND(D222*F222,2)</f>
        <v>128742.6</v>
      </c>
      <c r="I222" s="11">
        <f t="shared" si="12"/>
        <v>128742.6</v>
      </c>
    </row>
    <row r="223" spans="1:13" s="36" customFormat="1" outlineLevel="1" x14ac:dyDescent="0.25">
      <c r="A223" s="92"/>
      <c r="B223" s="750" t="s">
        <v>1547</v>
      </c>
      <c r="C223" s="744" t="s">
        <v>1548</v>
      </c>
      <c r="D223" s="745">
        <v>124</v>
      </c>
      <c r="E223" s="746">
        <v>1400</v>
      </c>
      <c r="F223" s="747"/>
      <c r="G223" s="2">
        <f>ROUND(E223*D223,2)</f>
        <v>173600</v>
      </c>
      <c r="H223" s="2"/>
      <c r="I223" s="11">
        <f>G223+H223</f>
        <v>173600</v>
      </c>
      <c r="K223" s="162"/>
      <c r="L223" s="162"/>
      <c r="M223" s="162"/>
    </row>
    <row r="224" spans="1:13" s="36" customFormat="1" outlineLevel="1" x14ac:dyDescent="0.25">
      <c r="A224" s="92"/>
      <c r="B224" s="748" t="s">
        <v>1543</v>
      </c>
      <c r="C224" s="744"/>
      <c r="D224" s="745"/>
      <c r="E224" s="746"/>
      <c r="F224" s="747"/>
      <c r="G224" s="474">
        <f>SUM(G199:G223)</f>
        <v>549360</v>
      </c>
      <c r="H224" s="746"/>
      <c r="I224" s="749">
        <f>G224</f>
        <v>549360</v>
      </c>
      <c r="K224" s="162"/>
      <c r="L224" s="162"/>
      <c r="M224" s="162"/>
    </row>
    <row r="225" spans="1:13" s="36" customFormat="1" outlineLevel="1" x14ac:dyDescent="0.25">
      <c r="A225" s="92"/>
      <c r="B225" s="748" t="s">
        <v>1546</v>
      </c>
      <c r="C225" s="744"/>
      <c r="D225" s="745"/>
      <c r="E225" s="746"/>
      <c r="F225" s="747"/>
      <c r="G225" s="474"/>
      <c r="H225" s="473">
        <f>SUM(H199:H222)</f>
        <v>7000417.879999999</v>
      </c>
      <c r="I225" s="749">
        <f>H225</f>
        <v>7000417.879999999</v>
      </c>
      <c r="K225" s="162"/>
      <c r="L225" s="162"/>
      <c r="M225" s="162"/>
    </row>
    <row r="226" spans="1:13" s="36" customFormat="1" outlineLevel="1" x14ac:dyDescent="0.25">
      <c r="A226" s="92"/>
      <c r="B226" s="748" t="s">
        <v>1544</v>
      </c>
      <c r="C226" s="744"/>
      <c r="D226" s="745"/>
      <c r="E226" s="746"/>
      <c r="F226" s="747"/>
      <c r="G226" s="474">
        <f>G224*0.25</f>
        <v>137340</v>
      </c>
      <c r="H226" s="746"/>
      <c r="I226" s="749">
        <f>G226</f>
        <v>137340</v>
      </c>
      <c r="K226" s="162"/>
      <c r="L226" s="162"/>
      <c r="M226" s="162"/>
    </row>
    <row r="227" spans="1:13" s="36" customFormat="1" outlineLevel="1" x14ac:dyDescent="0.25">
      <c r="A227" s="92"/>
      <c r="B227" s="748" t="s">
        <v>1545</v>
      </c>
      <c r="C227" s="744"/>
      <c r="D227" s="745"/>
      <c r="E227" s="746"/>
      <c r="F227" s="747"/>
      <c r="G227" s="474">
        <f>G224*0.05</f>
        <v>27468</v>
      </c>
      <c r="H227" s="746"/>
      <c r="I227" s="749">
        <f>G227</f>
        <v>27468</v>
      </c>
      <c r="K227" s="162"/>
      <c r="L227" s="162"/>
      <c r="M227" s="162"/>
    </row>
    <row r="228" spans="1:13" s="5" customFormat="1" ht="36" customHeight="1" x14ac:dyDescent="0.25">
      <c r="A228" s="223"/>
      <c r="B228" s="232" t="s">
        <v>803</v>
      </c>
      <c r="C228" s="225"/>
      <c r="D228" s="239"/>
      <c r="E228" s="230"/>
      <c r="F228" s="240"/>
      <c r="G228" s="230">
        <f>G224+G226+G227</f>
        <v>714168</v>
      </c>
      <c r="H228" s="230">
        <f>H225</f>
        <v>7000417.879999999</v>
      </c>
      <c r="I228" s="230">
        <f>I225+I224+I226+I227</f>
        <v>7714585.879999999</v>
      </c>
      <c r="J228" s="691"/>
    </row>
    <row r="229" spans="1:13" s="5" customFormat="1" ht="15.6" customHeight="1" x14ac:dyDescent="0.25">
      <c r="A229" s="90"/>
      <c r="B229" s="58" t="s">
        <v>624</v>
      </c>
      <c r="C229" s="9"/>
      <c r="D229" s="31"/>
      <c r="E229" s="10"/>
      <c r="F229" s="57"/>
      <c r="G229" s="10"/>
      <c r="H229" s="10"/>
      <c r="I229" s="31">
        <f>ROUND(I228/1.18*0.18,2)</f>
        <v>1176801.24</v>
      </c>
    </row>
    <row r="230" spans="1:13" s="5" customFormat="1" ht="21" customHeight="1" x14ac:dyDescent="0.25">
      <c r="A230" s="108"/>
      <c r="B230" s="757" t="s">
        <v>810</v>
      </c>
      <c r="C230" s="105"/>
      <c r="D230" s="105"/>
      <c r="E230" s="105"/>
      <c r="F230" s="138"/>
      <c r="G230" s="105"/>
      <c r="H230" s="105"/>
      <c r="I230" s="106"/>
    </row>
    <row r="231" spans="1:13" s="5" customFormat="1" ht="15.6" customHeight="1" outlineLevel="1" x14ac:dyDescent="0.25">
      <c r="A231" s="107" t="s">
        <v>979</v>
      </c>
      <c r="B231" s="49" t="s">
        <v>384</v>
      </c>
      <c r="C231" s="203" t="s">
        <v>12</v>
      </c>
      <c r="D231" s="42">
        <f>D232</f>
        <v>150</v>
      </c>
      <c r="E231" s="353">
        <v>100</v>
      </c>
      <c r="F231" s="139"/>
      <c r="G231" s="2">
        <f>ROUND(E231*D231,2)</f>
        <v>15000</v>
      </c>
      <c r="H231" s="26"/>
      <c r="I231" s="11">
        <f t="shared" ref="I231:I236" si="13">G231+H231</f>
        <v>15000</v>
      </c>
    </row>
    <row r="232" spans="1:13" s="5" customFormat="1" ht="15.6" customHeight="1" outlineLevel="1" x14ac:dyDescent="0.25">
      <c r="A232" s="391"/>
      <c r="B232" s="47" t="s">
        <v>1375</v>
      </c>
      <c r="C232" s="41" t="s">
        <v>12</v>
      </c>
      <c r="D232" s="42">
        <f>Д2!D182+Ек!D193+Д!D173+Е!D182</f>
        <v>150</v>
      </c>
      <c r="E232" s="282"/>
      <c r="F232" s="668">
        <v>784</v>
      </c>
      <c r="G232" s="10"/>
      <c r="H232" s="2">
        <f>ROUND(D232*F232,2)</f>
        <v>117600</v>
      </c>
      <c r="I232" s="11">
        <f t="shared" si="13"/>
        <v>117600</v>
      </c>
    </row>
    <row r="233" spans="1:13" s="5" customFormat="1" ht="15.6" customHeight="1" outlineLevel="1" x14ac:dyDescent="0.25">
      <c r="A233" s="391"/>
      <c r="B233" s="47" t="s">
        <v>804</v>
      </c>
      <c r="C233" s="41" t="s">
        <v>8</v>
      </c>
      <c r="D233" s="42">
        <f>Д2!D183+Д!D174</f>
        <v>0.12075</v>
      </c>
      <c r="E233" s="390"/>
      <c r="F233" s="664">
        <v>4200</v>
      </c>
      <c r="G233" s="31"/>
      <c r="H233" s="2">
        <f>ROUND(D233*F233,2)</f>
        <v>507.15</v>
      </c>
      <c r="I233" s="11">
        <f t="shared" si="13"/>
        <v>507.15</v>
      </c>
    </row>
    <row r="234" spans="1:13" s="5" customFormat="1" ht="15.6" customHeight="1" outlineLevel="1" x14ac:dyDescent="0.25">
      <c r="A234" s="107" t="s">
        <v>980</v>
      </c>
      <c r="B234" s="49" t="s">
        <v>824</v>
      </c>
      <c r="C234" s="203" t="s">
        <v>9</v>
      </c>
      <c r="D234" s="733">
        <f>D235</f>
        <v>1.7501199999999999</v>
      </c>
      <c r="E234" s="353">
        <v>30000</v>
      </c>
      <c r="F234" s="139"/>
      <c r="G234" s="2">
        <f>ROUND(E234*D234,2)</f>
        <v>52503.6</v>
      </c>
      <c r="H234" s="26"/>
      <c r="I234" s="11">
        <f t="shared" si="13"/>
        <v>52503.6</v>
      </c>
    </row>
    <row r="235" spans="1:13" s="5" customFormat="1" ht="15.6" customHeight="1" outlineLevel="1" x14ac:dyDescent="0.25">
      <c r="A235" s="391"/>
      <c r="B235" s="47" t="s">
        <v>1376</v>
      </c>
      <c r="C235" s="41" t="s">
        <v>9</v>
      </c>
      <c r="D235" s="42">
        <f>Д2!D185+Ек!D195+Д!D176+Е!D184</f>
        <v>1.7501199999999999</v>
      </c>
      <c r="E235" s="282"/>
      <c r="F235" s="364">
        <v>40000</v>
      </c>
      <c r="G235" s="10"/>
      <c r="H235" s="2">
        <f>ROUND(D235*F235,2)</f>
        <v>70004.800000000003</v>
      </c>
      <c r="I235" s="11">
        <f t="shared" si="13"/>
        <v>70004.800000000003</v>
      </c>
    </row>
    <row r="236" spans="1:13" s="5" customFormat="1" ht="15.6" customHeight="1" outlineLevel="1" x14ac:dyDescent="0.3">
      <c r="A236" s="107" t="s">
        <v>981</v>
      </c>
      <c r="B236" s="49" t="s">
        <v>903</v>
      </c>
      <c r="C236" s="41" t="s">
        <v>12</v>
      </c>
      <c r="D236" s="31">
        <f>Д2!D186+Ек!D196+Д!D177+Е!D185</f>
        <v>16</v>
      </c>
      <c r="E236" s="353">
        <v>600</v>
      </c>
      <c r="F236" s="392"/>
      <c r="G236" s="2">
        <f>D236*E236</f>
        <v>9600</v>
      </c>
      <c r="H236" s="2"/>
      <c r="I236" s="11">
        <f t="shared" si="13"/>
        <v>9600</v>
      </c>
    </row>
    <row r="237" spans="1:13" s="5" customFormat="1" ht="15.6" customHeight="1" outlineLevel="1" x14ac:dyDescent="0.25">
      <c r="A237" s="391"/>
      <c r="B237" s="47" t="s">
        <v>1524</v>
      </c>
      <c r="C237" s="41" t="s">
        <v>9</v>
      </c>
      <c r="D237" s="2">
        <f>Д2!D187+Д2!D188+Ек!D197+Д!D178+Д!D179+Е!D186</f>
        <v>1.2767540000000002</v>
      </c>
      <c r="E237" s="353"/>
      <c r="F237" s="364">
        <v>42000</v>
      </c>
      <c r="G237" s="2"/>
      <c r="H237" s="2">
        <f>D237*F237</f>
        <v>53623.668000000005</v>
      </c>
      <c r="I237" s="11">
        <f>H237</f>
        <v>53623.668000000005</v>
      </c>
    </row>
    <row r="238" spans="1:13" s="5" customFormat="1" ht="15.6" customHeight="1" outlineLevel="1" x14ac:dyDescent="0.25">
      <c r="A238" s="107" t="s">
        <v>982</v>
      </c>
      <c r="B238" s="49" t="s">
        <v>788</v>
      </c>
      <c r="C238" s="41" t="s">
        <v>8</v>
      </c>
      <c r="D238" s="2">
        <f>Ек!D198+Е!D187</f>
        <v>0.19600000000000001</v>
      </c>
      <c r="E238" s="353">
        <v>500</v>
      </c>
      <c r="F238" s="363"/>
      <c r="G238" s="2">
        <f>E238*D238</f>
        <v>98</v>
      </c>
      <c r="H238" s="2"/>
      <c r="I238" s="11">
        <f>G238</f>
        <v>98</v>
      </c>
    </row>
    <row r="239" spans="1:13" s="5" customFormat="1" ht="15.6" customHeight="1" outlineLevel="1" x14ac:dyDescent="0.25">
      <c r="A239" s="391"/>
      <c r="B239" s="47" t="s">
        <v>804</v>
      </c>
      <c r="C239" s="41" t="s">
        <v>8</v>
      </c>
      <c r="D239" s="42">
        <f>D238*1.015</f>
        <v>0.19893999999999998</v>
      </c>
      <c r="E239" s="353"/>
      <c r="F239" s="664">
        <v>4200</v>
      </c>
      <c r="G239" s="31"/>
      <c r="H239" s="2">
        <f>ROUND(D239*F239,2)</f>
        <v>835.55</v>
      </c>
      <c r="I239" s="11">
        <f>G239+H239</f>
        <v>835.55</v>
      </c>
    </row>
    <row r="240" spans="1:13" s="5" customFormat="1" ht="15.6" customHeight="1" outlineLevel="1" x14ac:dyDescent="0.25">
      <c r="A240" s="391"/>
      <c r="B240" s="47" t="s">
        <v>998</v>
      </c>
      <c r="C240" s="41" t="s">
        <v>15</v>
      </c>
      <c r="D240" s="2">
        <f>Ек!D200+Е!D189</f>
        <v>42.52</v>
      </c>
      <c r="E240" s="353"/>
      <c r="F240" s="364">
        <v>34</v>
      </c>
      <c r="G240" s="2"/>
      <c r="H240" s="2">
        <f>F240*D240</f>
        <v>1445.68</v>
      </c>
      <c r="I240" s="11">
        <f>H240</f>
        <v>1445.68</v>
      </c>
    </row>
    <row r="241" spans="1:13" s="5" customFormat="1" ht="15.6" customHeight="1" outlineLevel="1" x14ac:dyDescent="0.25">
      <c r="A241" s="107" t="s">
        <v>983</v>
      </c>
      <c r="B241" s="49" t="s">
        <v>805</v>
      </c>
      <c r="C241" s="41" t="s">
        <v>12</v>
      </c>
      <c r="D241" s="2">
        <f>Д2!D189+Ек!D201+Д!D180+Е!D190</f>
        <v>20</v>
      </c>
      <c r="E241" s="353">
        <v>3000</v>
      </c>
      <c r="F241" s="363"/>
      <c r="G241" s="2">
        <f>D241*E241</f>
        <v>60000</v>
      </c>
      <c r="H241" s="2"/>
      <c r="I241" s="11">
        <f>G241</f>
        <v>60000</v>
      </c>
    </row>
    <row r="242" spans="1:13" s="5" customFormat="1" ht="15.6" customHeight="1" outlineLevel="1" x14ac:dyDescent="0.25">
      <c r="A242" s="391"/>
      <c r="B242" s="47" t="s">
        <v>904</v>
      </c>
      <c r="C242" s="41" t="s">
        <v>9</v>
      </c>
      <c r="D242" s="2">
        <f>Ек!D202+Е!D191</f>
        <v>0.15519999999999998</v>
      </c>
      <c r="E242" s="353"/>
      <c r="F242" s="363">
        <v>40000</v>
      </c>
      <c r="G242" s="2"/>
      <c r="H242" s="2">
        <f>F242*D242</f>
        <v>6207.9999999999991</v>
      </c>
      <c r="I242" s="11">
        <f>H242</f>
        <v>6207.9999999999991</v>
      </c>
    </row>
    <row r="243" spans="1:13" s="5" customFormat="1" ht="15.6" customHeight="1" outlineLevel="1" x14ac:dyDescent="0.25">
      <c r="A243" s="391"/>
      <c r="B243" s="47" t="s">
        <v>1380</v>
      </c>
      <c r="C243" s="41" t="s">
        <v>9</v>
      </c>
      <c r="D243" s="2">
        <f>Д2!D190+Ек!D203+Д!D181+Е!D192</f>
        <v>0.48120000000000002</v>
      </c>
      <c r="E243" s="353"/>
      <c r="F243" s="363">
        <v>40000</v>
      </c>
      <c r="G243" s="2"/>
      <c r="H243" s="2">
        <f>F243*D243</f>
        <v>19248</v>
      </c>
      <c r="I243" s="11">
        <f>H243</f>
        <v>19248</v>
      </c>
    </row>
    <row r="244" spans="1:13" s="5" customFormat="1" ht="15.6" customHeight="1" outlineLevel="1" x14ac:dyDescent="0.25">
      <c r="A244" s="391"/>
      <c r="B244" s="47" t="s">
        <v>806</v>
      </c>
      <c r="C244" s="41" t="s">
        <v>9</v>
      </c>
      <c r="D244" s="2">
        <f>Д2!D191+Ек!D204+Д!D182+Е!D193</f>
        <v>8.4400000000000003E-2</v>
      </c>
      <c r="E244" s="353"/>
      <c r="F244" s="363">
        <v>40000</v>
      </c>
      <c r="G244" s="2"/>
      <c r="H244" s="2">
        <f>F244*D244</f>
        <v>3376</v>
      </c>
      <c r="I244" s="11">
        <f>H244</f>
        <v>3376</v>
      </c>
    </row>
    <row r="245" spans="1:13" s="5" customFormat="1" ht="15.6" customHeight="1" outlineLevel="1" x14ac:dyDescent="0.25">
      <c r="A245" s="107" t="s">
        <v>1405</v>
      </c>
      <c r="B245" s="49" t="s">
        <v>1398</v>
      </c>
      <c r="C245" s="41" t="s">
        <v>12</v>
      </c>
      <c r="D245" s="2">
        <f>Ек!D205+Е!D194</f>
        <v>2</v>
      </c>
      <c r="E245" s="353">
        <v>1500</v>
      </c>
      <c r="F245" s="363"/>
      <c r="G245" s="2">
        <f>E245*D245</f>
        <v>3000</v>
      </c>
      <c r="H245" s="2"/>
      <c r="I245" s="11">
        <f>G245</f>
        <v>3000</v>
      </c>
    </row>
    <row r="246" spans="1:13" s="5" customFormat="1" ht="15.6" customHeight="1" outlineLevel="1" x14ac:dyDescent="0.25">
      <c r="A246" s="391"/>
      <c r="B246" s="47" t="s">
        <v>91</v>
      </c>
      <c r="C246" s="41" t="s">
        <v>9</v>
      </c>
      <c r="D246" s="42">
        <f>Ек!D206+Е!D195</f>
        <v>0.108</v>
      </c>
      <c r="E246" s="282"/>
      <c r="F246" s="364">
        <v>40000</v>
      </c>
      <c r="G246" s="10"/>
      <c r="H246" s="2">
        <f>ROUND(D246*F246,2)</f>
        <v>4320</v>
      </c>
      <c r="I246" s="11">
        <f>G246+H246</f>
        <v>4320</v>
      </c>
    </row>
    <row r="247" spans="1:13" s="5" customFormat="1" ht="15.6" customHeight="1" outlineLevel="1" x14ac:dyDescent="0.3">
      <c r="A247" s="107" t="s">
        <v>1406</v>
      </c>
      <c r="B247" s="49" t="s">
        <v>807</v>
      </c>
      <c r="C247" s="41" t="s">
        <v>14</v>
      </c>
      <c r="D247" s="31">
        <f>(D235+D242+D243+D244+D246+D237)*27</f>
        <v>104.10319800000002</v>
      </c>
      <c r="E247" s="256">
        <v>150</v>
      </c>
      <c r="F247" s="484"/>
      <c r="G247" s="2">
        <f>D247*E247</f>
        <v>15615.479700000004</v>
      </c>
      <c r="H247" s="484"/>
      <c r="I247" s="11">
        <f>G247</f>
        <v>15615.479700000004</v>
      </c>
    </row>
    <row r="248" spans="1:13" s="5" customFormat="1" ht="15.6" customHeight="1" outlineLevel="1" x14ac:dyDescent="0.3">
      <c r="A248" s="391"/>
      <c r="B248" s="47" t="s">
        <v>1166</v>
      </c>
      <c r="C248" s="41" t="s">
        <v>15</v>
      </c>
      <c r="D248" s="2">
        <f>D247*0.2</f>
        <v>20.820639600000007</v>
      </c>
      <c r="E248" s="484"/>
      <c r="F248" s="362">
        <v>85</v>
      </c>
      <c r="G248" s="484"/>
      <c r="H248" s="2">
        <f>F248*D248</f>
        <v>1769.7543660000006</v>
      </c>
      <c r="I248" s="11">
        <f>H248</f>
        <v>1769.7543660000006</v>
      </c>
    </row>
    <row r="249" spans="1:13" s="5" customFormat="1" ht="15.6" customHeight="1" outlineLevel="1" x14ac:dyDescent="0.3">
      <c r="A249" s="391"/>
      <c r="B249" s="47" t="s">
        <v>1162</v>
      </c>
      <c r="C249" s="41" t="s">
        <v>15</v>
      </c>
      <c r="D249" s="2">
        <f>D247*0.3</f>
        <v>31.230959400000003</v>
      </c>
      <c r="E249" s="484"/>
      <c r="F249" s="362">
        <v>115</v>
      </c>
      <c r="G249" s="484"/>
      <c r="H249" s="2">
        <f>F249*D249</f>
        <v>3591.5603310000006</v>
      </c>
      <c r="I249" s="11">
        <f>H249</f>
        <v>3591.5603310000006</v>
      </c>
    </row>
    <row r="250" spans="1:13" s="36" customFormat="1" outlineLevel="1" x14ac:dyDescent="0.25">
      <c r="A250" s="92"/>
      <c r="B250" s="748" t="s">
        <v>1543</v>
      </c>
      <c r="C250" s="744"/>
      <c r="D250" s="745"/>
      <c r="E250" s="746"/>
      <c r="F250" s="747"/>
      <c r="G250" s="474">
        <f>SUM(G231:G249)</f>
        <v>155817.0797</v>
      </c>
      <c r="H250" s="746"/>
      <c r="I250" s="749">
        <f>G250</f>
        <v>155817.0797</v>
      </c>
      <c r="K250" s="162"/>
      <c r="L250" s="162"/>
      <c r="M250" s="162"/>
    </row>
    <row r="251" spans="1:13" s="36" customFormat="1" outlineLevel="1" x14ac:dyDescent="0.25">
      <c r="A251" s="92"/>
      <c r="B251" s="748" t="s">
        <v>1546</v>
      </c>
      <c r="C251" s="744"/>
      <c r="D251" s="745"/>
      <c r="E251" s="746"/>
      <c r="F251" s="747"/>
      <c r="G251" s="474"/>
      <c r="H251" s="473">
        <f>SUM(H231:H249)</f>
        <v>282530.16269700002</v>
      </c>
      <c r="I251" s="749">
        <f>H251</f>
        <v>282530.16269700002</v>
      </c>
      <c r="K251" s="162"/>
      <c r="L251" s="162"/>
      <c r="M251" s="162"/>
    </row>
    <row r="252" spans="1:13" s="36" customFormat="1" outlineLevel="1" x14ac:dyDescent="0.25">
      <c r="A252" s="92"/>
      <c r="B252" s="748" t="s">
        <v>1544</v>
      </c>
      <c r="C252" s="744"/>
      <c r="D252" s="745"/>
      <c r="E252" s="746"/>
      <c r="F252" s="747"/>
      <c r="G252" s="474">
        <f>G250*0.25</f>
        <v>38954.269925000001</v>
      </c>
      <c r="H252" s="746"/>
      <c r="I252" s="749">
        <f>G252</f>
        <v>38954.269925000001</v>
      </c>
      <c r="K252" s="162"/>
      <c r="L252" s="162"/>
      <c r="M252" s="162"/>
    </row>
    <row r="253" spans="1:13" s="36" customFormat="1" outlineLevel="1" x14ac:dyDescent="0.25">
      <c r="A253" s="92"/>
      <c r="B253" s="748" t="s">
        <v>1545</v>
      </c>
      <c r="C253" s="744"/>
      <c r="D253" s="745"/>
      <c r="E253" s="746"/>
      <c r="F253" s="747"/>
      <c r="G253" s="474">
        <f>G250*0.05</f>
        <v>7790.8539850000006</v>
      </c>
      <c r="H253" s="746"/>
      <c r="I253" s="749">
        <f>G253</f>
        <v>7790.8539850000006</v>
      </c>
      <c r="K253" s="162"/>
      <c r="L253" s="162"/>
      <c r="M253" s="162"/>
    </row>
    <row r="254" spans="1:13" s="5" customFormat="1" ht="15.6" customHeight="1" x14ac:dyDescent="0.25">
      <c r="A254" s="391"/>
      <c r="B254" s="232" t="s">
        <v>811</v>
      </c>
      <c r="C254" s="225"/>
      <c r="D254" s="239"/>
      <c r="E254" s="230"/>
      <c r="F254" s="240"/>
      <c r="G254" s="230">
        <f>G250+G252+G253</f>
        <v>202562.20361</v>
      </c>
      <c r="H254" s="230">
        <f>H251</f>
        <v>282530.16269700002</v>
      </c>
      <c r="I254" s="230">
        <f>I250+I251+I252+I253</f>
        <v>485092.36630699999</v>
      </c>
      <c r="J254" s="691"/>
    </row>
    <row r="255" spans="1:13" s="5" customFormat="1" ht="15.6" customHeight="1" x14ac:dyDescent="0.25">
      <c r="A255" s="391"/>
      <c r="B255" s="58" t="s">
        <v>624</v>
      </c>
      <c r="C255" s="9"/>
      <c r="D255" s="31"/>
      <c r="E255" s="10"/>
      <c r="F255" s="57"/>
      <c r="G255" s="10"/>
      <c r="H255" s="10"/>
      <c r="I255" s="31">
        <f>ROUND(I254/1.18*0.18,2)</f>
        <v>73997.14</v>
      </c>
    </row>
    <row r="256" spans="1:13" s="5" customFormat="1" ht="21" hidden="1" customHeight="1" x14ac:dyDescent="0.25">
      <c r="A256" s="108"/>
      <c r="B256" s="757" t="s">
        <v>812</v>
      </c>
      <c r="C256" s="105"/>
      <c r="D256" s="105"/>
      <c r="E256" s="105"/>
      <c r="F256" s="138"/>
      <c r="G256" s="105"/>
      <c r="H256" s="105"/>
      <c r="I256" s="106"/>
    </row>
    <row r="257" spans="1:9" s="5" customFormat="1" ht="15.6" hidden="1" customHeight="1" x14ac:dyDescent="0.25">
      <c r="A257" s="391"/>
      <c r="B257" s="383" t="s">
        <v>813</v>
      </c>
      <c r="C257" s="41" t="s">
        <v>12</v>
      </c>
      <c r="D257" s="282">
        <v>0</v>
      </c>
      <c r="E257" s="390">
        <v>500</v>
      </c>
      <c r="F257" s="363">
        <v>24000</v>
      </c>
      <c r="G257" s="2">
        <f>D257*E257</f>
        <v>0</v>
      </c>
      <c r="H257" s="2">
        <f>D257*F257</f>
        <v>0</v>
      </c>
      <c r="I257" s="11">
        <f>H257+G257</f>
        <v>0</v>
      </c>
    </row>
    <row r="258" spans="1:9" s="5" customFormat="1" ht="15.6" hidden="1" customHeight="1" x14ac:dyDescent="0.25">
      <c r="A258" s="391"/>
      <c r="B258" s="383" t="s">
        <v>814</v>
      </c>
      <c r="C258" s="41" t="s">
        <v>8</v>
      </c>
      <c r="D258" s="282">
        <v>0</v>
      </c>
      <c r="E258" s="390">
        <v>2500</v>
      </c>
      <c r="F258" s="363"/>
      <c r="G258" s="2">
        <f>D258*E258</f>
        <v>0</v>
      </c>
      <c r="H258" s="2"/>
      <c r="I258" s="11">
        <f>G258</f>
        <v>0</v>
      </c>
    </row>
    <row r="259" spans="1:9" s="5" customFormat="1" ht="15.6" hidden="1" customHeight="1" x14ac:dyDescent="0.3">
      <c r="A259" s="391"/>
      <c r="B259" s="394" t="s">
        <v>815</v>
      </c>
      <c r="C259" s="41" t="s">
        <v>8</v>
      </c>
      <c r="D259" s="282">
        <f>D258*1.05</f>
        <v>0</v>
      </c>
      <c r="E259" s="390"/>
      <c r="F259" s="363">
        <f>F108</f>
        <v>0</v>
      </c>
      <c r="G259" s="2"/>
      <c r="H259" s="2">
        <f>F259*D259</f>
        <v>0</v>
      </c>
      <c r="I259" s="11">
        <f>G259+H259</f>
        <v>0</v>
      </c>
    </row>
    <row r="260" spans="1:9" s="5" customFormat="1" ht="15.6" hidden="1" customHeight="1" x14ac:dyDescent="0.3">
      <c r="A260" s="391"/>
      <c r="B260" s="395" t="s">
        <v>816</v>
      </c>
      <c r="C260" s="41" t="s">
        <v>9</v>
      </c>
      <c r="D260" s="282">
        <v>0</v>
      </c>
      <c r="E260" s="390"/>
      <c r="F260" s="363">
        <v>31000</v>
      </c>
      <c r="G260" s="2"/>
      <c r="H260" s="2">
        <f>F260*D260</f>
        <v>0</v>
      </c>
      <c r="I260" s="11">
        <f>G260+H260</f>
        <v>0</v>
      </c>
    </row>
    <row r="261" spans="1:9" s="5" customFormat="1" ht="15.6" hidden="1" customHeight="1" x14ac:dyDescent="0.3">
      <c r="A261" s="391"/>
      <c r="B261" s="395" t="s">
        <v>817</v>
      </c>
      <c r="C261" s="41" t="s">
        <v>9</v>
      </c>
      <c r="D261" s="282">
        <v>0</v>
      </c>
      <c r="E261" s="390"/>
      <c r="F261" s="363">
        <v>31000</v>
      </c>
      <c r="G261" s="2"/>
      <c r="H261" s="2">
        <f>F261*D261</f>
        <v>0</v>
      </c>
      <c r="I261" s="11">
        <f>G261+H261</f>
        <v>0</v>
      </c>
    </row>
    <row r="262" spans="1:9" s="5" customFormat="1" ht="15.6" hidden="1" customHeight="1" x14ac:dyDescent="0.3">
      <c r="A262" s="391"/>
      <c r="B262" s="396" t="s">
        <v>818</v>
      </c>
      <c r="C262" s="41" t="s">
        <v>9</v>
      </c>
      <c r="D262" s="282">
        <v>0</v>
      </c>
      <c r="E262" s="390"/>
      <c r="F262" s="363">
        <v>31000</v>
      </c>
      <c r="G262" s="2"/>
      <c r="H262" s="2">
        <f>F262*D262</f>
        <v>0</v>
      </c>
      <c r="I262" s="11">
        <f>G262+H262</f>
        <v>0</v>
      </c>
    </row>
    <row r="263" spans="1:9" s="5" customFormat="1" ht="15.6" hidden="1" customHeight="1" x14ac:dyDescent="0.25">
      <c r="A263" s="391"/>
      <c r="B263" s="383" t="s">
        <v>819</v>
      </c>
      <c r="C263" s="41" t="s">
        <v>853</v>
      </c>
      <c r="D263" s="282">
        <v>0</v>
      </c>
      <c r="E263" s="390">
        <v>25000</v>
      </c>
      <c r="F263" s="363"/>
      <c r="G263" s="2">
        <f>D263*E263</f>
        <v>0</v>
      </c>
      <c r="H263" s="2">
        <f>D263*F263</f>
        <v>0</v>
      </c>
      <c r="I263" s="11">
        <f>H263+G263</f>
        <v>0</v>
      </c>
    </row>
    <row r="264" spans="1:9" s="5" customFormat="1" ht="15.6" hidden="1" customHeight="1" x14ac:dyDescent="0.3">
      <c r="A264" s="391"/>
      <c r="B264" s="393" t="s">
        <v>820</v>
      </c>
      <c r="C264" s="41" t="s">
        <v>853</v>
      </c>
      <c r="D264" s="282">
        <v>0</v>
      </c>
      <c r="E264" s="390"/>
      <c r="F264" s="363">
        <v>33000</v>
      </c>
      <c r="G264" s="2"/>
      <c r="H264" s="2">
        <f>D264*F264</f>
        <v>0</v>
      </c>
      <c r="I264" s="11">
        <f>H264</f>
        <v>0</v>
      </c>
    </row>
    <row r="265" spans="1:9" s="5" customFormat="1" ht="15.6" hidden="1" customHeight="1" x14ac:dyDescent="0.3">
      <c r="A265" s="391"/>
      <c r="B265" s="393" t="s">
        <v>821</v>
      </c>
      <c r="C265" s="41" t="s">
        <v>853</v>
      </c>
      <c r="D265" s="282">
        <v>0</v>
      </c>
      <c r="E265" s="390"/>
      <c r="F265" s="363">
        <v>33000</v>
      </c>
      <c r="G265" s="2"/>
      <c r="H265" s="2">
        <f>D265*F265</f>
        <v>0</v>
      </c>
      <c r="I265" s="11">
        <f>H265</f>
        <v>0</v>
      </c>
    </row>
    <row r="266" spans="1:9" s="5" customFormat="1" ht="15.6" hidden="1" customHeight="1" x14ac:dyDescent="0.3">
      <c r="A266" s="391"/>
      <c r="B266" s="393" t="s">
        <v>822</v>
      </c>
      <c r="C266" s="41" t="s">
        <v>14</v>
      </c>
      <c r="D266" s="282">
        <v>0</v>
      </c>
      <c r="E266" s="390"/>
      <c r="F266" s="363">
        <v>250</v>
      </c>
      <c r="G266" s="2"/>
      <c r="H266" s="2">
        <f>D266*F266</f>
        <v>0</v>
      </c>
      <c r="I266" s="11">
        <f>H266</f>
        <v>0</v>
      </c>
    </row>
    <row r="267" spans="1:9" s="5" customFormat="1" ht="15.6" hidden="1" customHeight="1" x14ac:dyDescent="0.3">
      <c r="A267" s="391"/>
      <c r="B267" s="397" t="s">
        <v>823</v>
      </c>
      <c r="C267" s="41"/>
      <c r="D267" s="282"/>
      <c r="E267" s="390"/>
      <c r="F267" s="363"/>
      <c r="G267" s="2"/>
      <c r="H267" s="2"/>
      <c r="I267" s="11"/>
    </row>
    <row r="268" spans="1:9" s="5" customFormat="1" ht="15.6" hidden="1" customHeight="1" x14ac:dyDescent="0.25">
      <c r="A268" s="391"/>
      <c r="B268" s="383" t="s">
        <v>824</v>
      </c>
      <c r="C268" s="41" t="s">
        <v>853</v>
      </c>
      <c r="D268" s="282">
        <v>0</v>
      </c>
      <c r="E268" s="390">
        <v>25000</v>
      </c>
      <c r="F268" s="363"/>
      <c r="G268" s="2">
        <f>D268*E268</f>
        <v>0</v>
      </c>
      <c r="H268" s="2">
        <f t="shared" ref="H268:H277" si="14">D268*F268</f>
        <v>0</v>
      </c>
      <c r="I268" s="11">
        <f>H268+G268</f>
        <v>0</v>
      </c>
    </row>
    <row r="269" spans="1:9" s="5" customFormat="1" ht="15.6" hidden="1" customHeight="1" x14ac:dyDescent="0.3">
      <c r="A269" s="391"/>
      <c r="B269" s="393" t="s">
        <v>825</v>
      </c>
      <c r="C269" s="41" t="s">
        <v>853</v>
      </c>
      <c r="D269" s="282">
        <v>0</v>
      </c>
      <c r="E269" s="390"/>
      <c r="F269" s="363">
        <v>33000</v>
      </c>
      <c r="G269" s="2"/>
      <c r="H269" s="2">
        <f t="shared" si="14"/>
        <v>0</v>
      </c>
      <c r="I269" s="11">
        <f>H269</f>
        <v>0</v>
      </c>
    </row>
    <row r="270" spans="1:9" s="5" customFormat="1" ht="15.6" hidden="1" customHeight="1" x14ac:dyDescent="0.3">
      <c r="A270" s="391"/>
      <c r="B270" s="393" t="s">
        <v>826</v>
      </c>
      <c r="C270" s="41" t="s">
        <v>853</v>
      </c>
      <c r="D270" s="282">
        <v>0</v>
      </c>
      <c r="E270" s="390"/>
      <c r="F270" s="363">
        <v>33000</v>
      </c>
      <c r="G270" s="2"/>
      <c r="H270" s="2">
        <f t="shared" si="14"/>
        <v>0</v>
      </c>
      <c r="I270" s="11">
        <f t="shared" ref="I270:I277" si="15">H270</f>
        <v>0</v>
      </c>
    </row>
    <row r="271" spans="1:9" s="5" customFormat="1" ht="15.6" hidden="1" customHeight="1" x14ac:dyDescent="0.3">
      <c r="A271" s="391"/>
      <c r="B271" s="393" t="s">
        <v>827</v>
      </c>
      <c r="C271" s="41" t="s">
        <v>853</v>
      </c>
      <c r="D271" s="282">
        <v>0</v>
      </c>
      <c r="E271" s="390"/>
      <c r="F271" s="363">
        <v>33000</v>
      </c>
      <c r="G271" s="2"/>
      <c r="H271" s="2">
        <f t="shared" si="14"/>
        <v>0</v>
      </c>
      <c r="I271" s="11">
        <f>H271</f>
        <v>0</v>
      </c>
    </row>
    <row r="272" spans="1:9" s="5" customFormat="1" ht="15.6" hidden="1" customHeight="1" x14ac:dyDescent="0.3">
      <c r="A272" s="391"/>
      <c r="B272" s="393" t="s">
        <v>828</v>
      </c>
      <c r="C272" s="41" t="s">
        <v>853</v>
      </c>
      <c r="D272" s="282">
        <v>0</v>
      </c>
      <c r="E272" s="390"/>
      <c r="F272" s="363">
        <v>33000</v>
      </c>
      <c r="G272" s="2"/>
      <c r="H272" s="2">
        <f t="shared" si="14"/>
        <v>0</v>
      </c>
      <c r="I272" s="11">
        <f t="shared" si="15"/>
        <v>0</v>
      </c>
    </row>
    <row r="273" spans="1:9" s="5" customFormat="1" ht="15.6" hidden="1" customHeight="1" x14ac:dyDescent="0.3">
      <c r="A273" s="391"/>
      <c r="B273" s="393" t="s">
        <v>822</v>
      </c>
      <c r="C273" s="41" t="s">
        <v>14</v>
      </c>
      <c r="D273" s="282">
        <v>0</v>
      </c>
      <c r="E273" s="390"/>
      <c r="F273" s="363">
        <v>250</v>
      </c>
      <c r="G273" s="2"/>
      <c r="H273" s="2">
        <f t="shared" si="14"/>
        <v>0</v>
      </c>
      <c r="I273" s="11">
        <f t="shared" si="15"/>
        <v>0</v>
      </c>
    </row>
    <row r="274" spans="1:9" s="5" customFormat="1" ht="15.6" hidden="1" customHeight="1" x14ac:dyDescent="0.3">
      <c r="A274" s="391"/>
      <c r="B274" s="393" t="s">
        <v>829</v>
      </c>
      <c r="C274" s="41" t="s">
        <v>14</v>
      </c>
      <c r="D274" s="282">
        <v>0</v>
      </c>
      <c r="E274" s="390"/>
      <c r="F274" s="363">
        <v>250</v>
      </c>
      <c r="G274" s="2"/>
      <c r="H274" s="2">
        <f t="shared" si="14"/>
        <v>0</v>
      </c>
      <c r="I274" s="11">
        <f t="shared" si="15"/>
        <v>0</v>
      </c>
    </row>
    <row r="275" spans="1:9" s="5" customFormat="1" ht="15.6" hidden="1" customHeight="1" x14ac:dyDescent="0.3">
      <c r="A275" s="391"/>
      <c r="B275" s="393" t="s">
        <v>830</v>
      </c>
      <c r="C275" s="41" t="s">
        <v>14</v>
      </c>
      <c r="D275" s="282">
        <v>0</v>
      </c>
      <c r="E275" s="390"/>
      <c r="F275" s="363">
        <v>250</v>
      </c>
      <c r="G275" s="2"/>
      <c r="H275" s="2">
        <f t="shared" si="14"/>
        <v>0</v>
      </c>
      <c r="I275" s="11">
        <f t="shared" si="15"/>
        <v>0</v>
      </c>
    </row>
    <row r="276" spans="1:9" s="5" customFormat="1" ht="15.6" hidden="1" customHeight="1" x14ac:dyDescent="0.3">
      <c r="A276" s="391"/>
      <c r="B276" s="393" t="s">
        <v>831</v>
      </c>
      <c r="C276" s="41" t="s">
        <v>12</v>
      </c>
      <c r="D276" s="282">
        <v>0</v>
      </c>
      <c r="E276" s="390"/>
      <c r="F276" s="363">
        <v>250</v>
      </c>
      <c r="G276" s="2"/>
      <c r="H276" s="2">
        <f t="shared" si="14"/>
        <v>0</v>
      </c>
      <c r="I276" s="11">
        <f t="shared" si="15"/>
        <v>0</v>
      </c>
    </row>
    <row r="277" spans="1:9" s="5" customFormat="1" ht="15.6" hidden="1" customHeight="1" x14ac:dyDescent="0.3">
      <c r="A277" s="391"/>
      <c r="B277" s="393" t="s">
        <v>832</v>
      </c>
      <c r="C277" s="41" t="s">
        <v>14</v>
      </c>
      <c r="D277" s="282">
        <v>0</v>
      </c>
      <c r="E277" s="390"/>
      <c r="F277" s="363">
        <v>200</v>
      </c>
      <c r="G277" s="2"/>
      <c r="H277" s="2">
        <f t="shared" si="14"/>
        <v>0</v>
      </c>
      <c r="I277" s="11">
        <f t="shared" si="15"/>
        <v>0</v>
      </c>
    </row>
    <row r="278" spans="1:9" s="5" customFormat="1" ht="15.6" hidden="1" customHeight="1" x14ac:dyDescent="0.25">
      <c r="A278" s="391"/>
      <c r="B278" s="383" t="s">
        <v>807</v>
      </c>
      <c r="C278" s="41" t="s">
        <v>14</v>
      </c>
      <c r="D278" s="282">
        <f>(D263+D268)*27</f>
        <v>0</v>
      </c>
      <c r="E278" s="390">
        <v>150</v>
      </c>
      <c r="F278" s="363"/>
      <c r="G278" s="2">
        <f>D278*E278</f>
        <v>0</v>
      </c>
      <c r="H278" s="2"/>
      <c r="I278" s="11">
        <f>G278</f>
        <v>0</v>
      </c>
    </row>
    <row r="279" spans="1:9" s="5" customFormat="1" ht="15.6" hidden="1" customHeight="1" x14ac:dyDescent="0.3">
      <c r="A279" s="391"/>
      <c r="B279" s="393" t="s">
        <v>808</v>
      </c>
      <c r="C279" s="41" t="s">
        <v>15</v>
      </c>
      <c r="D279" s="282">
        <f>D278*0.2</f>
        <v>0</v>
      </c>
      <c r="E279" s="390"/>
      <c r="F279" s="363">
        <v>85</v>
      </c>
      <c r="G279" s="2"/>
      <c r="H279" s="2">
        <f>F279*D279</f>
        <v>0</v>
      </c>
      <c r="I279" s="11">
        <f>H279</f>
        <v>0</v>
      </c>
    </row>
    <row r="280" spans="1:9" s="5" customFormat="1" ht="15.6" hidden="1" customHeight="1" x14ac:dyDescent="0.3">
      <c r="A280" s="391"/>
      <c r="B280" s="393" t="s">
        <v>809</v>
      </c>
      <c r="C280" s="41" t="s">
        <v>15</v>
      </c>
      <c r="D280" s="282">
        <f>D278*0.3</f>
        <v>0</v>
      </c>
      <c r="E280" s="390"/>
      <c r="F280" s="363">
        <v>115</v>
      </c>
      <c r="G280" s="2"/>
      <c r="H280" s="2">
        <f>F280*D280</f>
        <v>0</v>
      </c>
      <c r="I280" s="11">
        <f>H280</f>
        <v>0</v>
      </c>
    </row>
    <row r="281" spans="1:9" s="5" customFormat="1" ht="15.6" hidden="1" customHeight="1" x14ac:dyDescent="0.3">
      <c r="A281" s="391"/>
      <c r="B281" s="398" t="s">
        <v>833</v>
      </c>
      <c r="C281" s="41"/>
      <c r="D281" s="282"/>
      <c r="E281" s="390"/>
      <c r="F281" s="363"/>
      <c r="G281" s="2"/>
      <c r="H281" s="2"/>
      <c r="I281" s="11"/>
    </row>
    <row r="282" spans="1:9" s="5" customFormat="1" ht="15.6" hidden="1" customHeight="1" x14ac:dyDescent="0.25">
      <c r="A282" s="391"/>
      <c r="B282" s="383" t="s">
        <v>824</v>
      </c>
      <c r="C282" s="41" t="s">
        <v>853</v>
      </c>
      <c r="D282" s="282">
        <v>0</v>
      </c>
      <c r="E282" s="390">
        <v>25000</v>
      </c>
      <c r="F282" s="363"/>
      <c r="G282" s="2">
        <f>D282*E282</f>
        <v>0</v>
      </c>
      <c r="H282" s="2">
        <f t="shared" ref="H282:H295" si="16">D282*F282</f>
        <v>0</v>
      </c>
      <c r="I282" s="11">
        <f t="shared" ref="I282:I296" si="17">H282+G282</f>
        <v>0</v>
      </c>
    </row>
    <row r="283" spans="1:9" s="5" customFormat="1" ht="15.6" hidden="1" customHeight="1" x14ac:dyDescent="0.3">
      <c r="A283" s="391"/>
      <c r="B283" s="399" t="s">
        <v>834</v>
      </c>
      <c r="C283" s="41" t="s">
        <v>853</v>
      </c>
      <c r="D283" s="282">
        <v>0</v>
      </c>
      <c r="E283" s="390"/>
      <c r="F283" s="363">
        <v>33000</v>
      </c>
      <c r="G283" s="2"/>
      <c r="H283" s="2">
        <f t="shared" si="16"/>
        <v>0</v>
      </c>
      <c r="I283" s="11">
        <f t="shared" si="17"/>
        <v>0</v>
      </c>
    </row>
    <row r="284" spans="1:9" s="5" customFormat="1" ht="15.6" hidden="1" customHeight="1" x14ac:dyDescent="0.3">
      <c r="A284" s="391"/>
      <c r="B284" s="400" t="s">
        <v>835</v>
      </c>
      <c r="C284" s="41" t="s">
        <v>853</v>
      </c>
      <c r="D284" s="282">
        <v>0</v>
      </c>
      <c r="E284" s="390"/>
      <c r="F284" s="363">
        <v>33000</v>
      </c>
      <c r="G284" s="2"/>
      <c r="H284" s="2">
        <f t="shared" si="16"/>
        <v>0</v>
      </c>
      <c r="I284" s="11">
        <f t="shared" si="17"/>
        <v>0</v>
      </c>
    </row>
    <row r="285" spans="1:9" s="5" customFormat="1" ht="15.6" hidden="1" customHeight="1" x14ac:dyDescent="0.3">
      <c r="A285" s="391"/>
      <c r="B285" s="400" t="s">
        <v>836</v>
      </c>
      <c r="C285" s="41" t="s">
        <v>853</v>
      </c>
      <c r="D285" s="282">
        <v>0</v>
      </c>
      <c r="E285" s="390"/>
      <c r="F285" s="363">
        <v>33000</v>
      </c>
      <c r="G285" s="2"/>
      <c r="H285" s="2">
        <f t="shared" si="16"/>
        <v>0</v>
      </c>
      <c r="I285" s="11">
        <f t="shared" si="17"/>
        <v>0</v>
      </c>
    </row>
    <row r="286" spans="1:9" s="5" customFormat="1" ht="15.6" hidden="1" customHeight="1" x14ac:dyDescent="0.3">
      <c r="A286" s="391"/>
      <c r="B286" s="400" t="s">
        <v>837</v>
      </c>
      <c r="C286" s="41" t="s">
        <v>853</v>
      </c>
      <c r="D286" s="282">
        <v>0</v>
      </c>
      <c r="E286" s="390"/>
      <c r="F286" s="363">
        <v>33000</v>
      </c>
      <c r="G286" s="2"/>
      <c r="H286" s="2">
        <f t="shared" si="16"/>
        <v>0</v>
      </c>
      <c r="I286" s="11">
        <f t="shared" si="17"/>
        <v>0</v>
      </c>
    </row>
    <row r="287" spans="1:9" s="5" customFormat="1" ht="15.6" hidden="1" customHeight="1" x14ac:dyDescent="0.3">
      <c r="A287" s="391"/>
      <c r="B287" s="400" t="s">
        <v>838</v>
      </c>
      <c r="C287" s="41" t="s">
        <v>853</v>
      </c>
      <c r="D287" s="282">
        <v>0</v>
      </c>
      <c r="E287" s="390"/>
      <c r="F287" s="363">
        <v>33000</v>
      </c>
      <c r="G287" s="2"/>
      <c r="H287" s="2">
        <f t="shared" si="16"/>
        <v>0</v>
      </c>
      <c r="I287" s="11">
        <f t="shared" si="17"/>
        <v>0</v>
      </c>
    </row>
    <row r="288" spans="1:9" s="5" customFormat="1" ht="15.6" hidden="1" customHeight="1" x14ac:dyDescent="0.3">
      <c r="A288" s="391"/>
      <c r="B288" s="400" t="s">
        <v>839</v>
      </c>
      <c r="C288" s="41" t="s">
        <v>853</v>
      </c>
      <c r="D288" s="282">
        <v>0</v>
      </c>
      <c r="E288" s="390"/>
      <c r="F288" s="363">
        <v>33000</v>
      </c>
      <c r="G288" s="2"/>
      <c r="H288" s="2">
        <f t="shared" si="16"/>
        <v>0</v>
      </c>
      <c r="I288" s="11">
        <f t="shared" si="17"/>
        <v>0</v>
      </c>
    </row>
    <row r="289" spans="1:9" s="5" customFormat="1" ht="15.6" hidden="1" customHeight="1" x14ac:dyDescent="0.3">
      <c r="A289" s="391"/>
      <c r="B289" s="400" t="s">
        <v>840</v>
      </c>
      <c r="C289" s="41" t="s">
        <v>853</v>
      </c>
      <c r="D289" s="282">
        <v>0</v>
      </c>
      <c r="E289" s="390"/>
      <c r="F289" s="363">
        <v>33000</v>
      </c>
      <c r="G289" s="2"/>
      <c r="H289" s="2">
        <f t="shared" si="16"/>
        <v>0</v>
      </c>
      <c r="I289" s="11">
        <f t="shared" si="17"/>
        <v>0</v>
      </c>
    </row>
    <row r="290" spans="1:9" s="5" customFormat="1" ht="15.6" hidden="1" customHeight="1" x14ac:dyDescent="0.3">
      <c r="A290" s="391"/>
      <c r="B290" s="400" t="s">
        <v>841</v>
      </c>
      <c r="C290" s="41" t="s">
        <v>853</v>
      </c>
      <c r="D290" s="282">
        <v>0</v>
      </c>
      <c r="E290" s="390"/>
      <c r="F290" s="363">
        <v>33000</v>
      </c>
      <c r="G290" s="2"/>
      <c r="H290" s="2">
        <f t="shared" si="16"/>
        <v>0</v>
      </c>
      <c r="I290" s="11">
        <f t="shared" si="17"/>
        <v>0</v>
      </c>
    </row>
    <row r="291" spans="1:9" s="5" customFormat="1" ht="15.6" hidden="1" customHeight="1" x14ac:dyDescent="0.3">
      <c r="A291" s="391"/>
      <c r="B291" s="400" t="s">
        <v>842</v>
      </c>
      <c r="C291" s="41" t="s">
        <v>853</v>
      </c>
      <c r="D291" s="282">
        <v>0</v>
      </c>
      <c r="E291" s="390"/>
      <c r="F291" s="363">
        <v>33000</v>
      </c>
      <c r="G291" s="2"/>
      <c r="H291" s="2">
        <f t="shared" si="16"/>
        <v>0</v>
      </c>
      <c r="I291" s="11">
        <f t="shared" si="17"/>
        <v>0</v>
      </c>
    </row>
    <row r="292" spans="1:9" s="5" customFormat="1" ht="15.6" hidden="1" customHeight="1" x14ac:dyDescent="0.3">
      <c r="A292" s="391"/>
      <c r="B292" s="400" t="s">
        <v>843</v>
      </c>
      <c r="C292" s="41" t="s">
        <v>853</v>
      </c>
      <c r="D292" s="282">
        <v>0</v>
      </c>
      <c r="E292" s="390"/>
      <c r="F292" s="363">
        <v>31000</v>
      </c>
      <c r="G292" s="2"/>
      <c r="H292" s="2">
        <f t="shared" si="16"/>
        <v>0</v>
      </c>
      <c r="I292" s="11">
        <f t="shared" si="17"/>
        <v>0</v>
      </c>
    </row>
    <row r="293" spans="1:9" s="5" customFormat="1" ht="15.6" hidden="1" customHeight="1" x14ac:dyDescent="0.3">
      <c r="A293" s="391"/>
      <c r="B293" s="400" t="s">
        <v>844</v>
      </c>
      <c r="C293" s="41" t="s">
        <v>853</v>
      </c>
      <c r="D293" s="282">
        <v>0</v>
      </c>
      <c r="E293" s="390"/>
      <c r="F293" s="363">
        <v>33000</v>
      </c>
      <c r="G293" s="2"/>
      <c r="H293" s="2">
        <f t="shared" si="16"/>
        <v>0</v>
      </c>
      <c r="I293" s="11">
        <f t="shared" si="17"/>
        <v>0</v>
      </c>
    </row>
    <row r="294" spans="1:9" s="5" customFormat="1" ht="15.6" hidden="1" customHeight="1" x14ac:dyDescent="0.3">
      <c r="A294" s="391"/>
      <c r="B294" s="393" t="s">
        <v>845</v>
      </c>
      <c r="C294" s="41" t="s">
        <v>14</v>
      </c>
      <c r="D294" s="282">
        <v>0</v>
      </c>
      <c r="E294" s="390"/>
      <c r="F294" s="363">
        <v>250</v>
      </c>
      <c r="G294" s="2"/>
      <c r="H294" s="2">
        <f t="shared" si="16"/>
        <v>0</v>
      </c>
      <c r="I294" s="11">
        <f t="shared" si="17"/>
        <v>0</v>
      </c>
    </row>
    <row r="295" spans="1:9" s="5" customFormat="1" ht="15.6" hidden="1" customHeight="1" x14ac:dyDescent="0.3">
      <c r="A295" s="391"/>
      <c r="B295" s="393" t="s">
        <v>846</v>
      </c>
      <c r="C295" s="41" t="s">
        <v>14</v>
      </c>
      <c r="D295" s="282">
        <v>0</v>
      </c>
      <c r="E295" s="390"/>
      <c r="F295" s="363">
        <v>250</v>
      </c>
      <c r="G295" s="2"/>
      <c r="H295" s="2">
        <f t="shared" si="16"/>
        <v>0</v>
      </c>
      <c r="I295" s="11">
        <f t="shared" si="17"/>
        <v>0</v>
      </c>
    </row>
    <row r="296" spans="1:9" s="5" customFormat="1" ht="15.6" hidden="1" customHeight="1" x14ac:dyDescent="0.3">
      <c r="A296" s="391"/>
      <c r="B296" s="393" t="s">
        <v>847</v>
      </c>
      <c r="C296" s="41"/>
      <c r="D296" s="282"/>
      <c r="E296" s="390"/>
      <c r="F296" s="363"/>
      <c r="G296" s="2"/>
      <c r="H296" s="2">
        <v>0</v>
      </c>
      <c r="I296" s="11">
        <f t="shared" si="17"/>
        <v>0</v>
      </c>
    </row>
    <row r="297" spans="1:9" s="5" customFormat="1" ht="15.6" hidden="1" customHeight="1" x14ac:dyDescent="0.25">
      <c r="A297" s="391"/>
      <c r="B297" s="383" t="s">
        <v>848</v>
      </c>
      <c r="C297" s="41" t="s">
        <v>8</v>
      </c>
      <c r="D297" s="282">
        <v>0</v>
      </c>
      <c r="E297" s="390">
        <v>2500</v>
      </c>
      <c r="F297" s="363"/>
      <c r="G297" s="2">
        <f>D297*E297</f>
        <v>0</v>
      </c>
      <c r="H297" s="2"/>
      <c r="I297" s="11">
        <f>G297</f>
        <v>0</v>
      </c>
    </row>
    <row r="298" spans="1:9" s="5" customFormat="1" ht="15.6" hidden="1" customHeight="1" x14ac:dyDescent="0.3">
      <c r="A298" s="391"/>
      <c r="B298" s="393" t="s">
        <v>849</v>
      </c>
      <c r="C298" s="41" t="s">
        <v>8</v>
      </c>
      <c r="D298" s="282">
        <v>0</v>
      </c>
      <c r="E298" s="390"/>
      <c r="F298" s="363">
        <v>4975</v>
      </c>
      <c r="G298" s="2"/>
      <c r="H298" s="2">
        <f>F298*D298</f>
        <v>0</v>
      </c>
      <c r="I298" s="11">
        <f>H298</f>
        <v>0</v>
      </c>
    </row>
    <row r="299" spans="1:9" s="5" customFormat="1" ht="15.6" hidden="1" customHeight="1" x14ac:dyDescent="0.3">
      <c r="A299" s="391"/>
      <c r="B299" s="393" t="s">
        <v>850</v>
      </c>
      <c r="C299" s="41" t="s">
        <v>8</v>
      </c>
      <c r="D299" s="282">
        <v>0</v>
      </c>
      <c r="E299" s="390"/>
      <c r="F299" s="363">
        <f>F210</f>
        <v>4100</v>
      </c>
      <c r="G299" s="2"/>
      <c r="H299" s="2">
        <f>F299*D299</f>
        <v>0</v>
      </c>
      <c r="I299" s="11">
        <f>H299</f>
        <v>0</v>
      </c>
    </row>
    <row r="300" spans="1:9" s="5" customFormat="1" ht="15.6" hidden="1" customHeight="1" x14ac:dyDescent="0.3">
      <c r="A300" s="391"/>
      <c r="B300" s="393" t="s">
        <v>851</v>
      </c>
      <c r="C300" s="41" t="s">
        <v>853</v>
      </c>
      <c r="D300" s="282">
        <v>0</v>
      </c>
      <c r="E300" s="390"/>
      <c r="F300" s="363">
        <v>42000</v>
      </c>
      <c r="G300" s="2"/>
      <c r="H300" s="2">
        <f>F300*D300</f>
        <v>0</v>
      </c>
      <c r="I300" s="11">
        <f>H300</f>
        <v>0</v>
      </c>
    </row>
    <row r="301" spans="1:9" s="5" customFormat="1" ht="15.6" hidden="1" customHeight="1" x14ac:dyDescent="0.3">
      <c r="A301" s="391"/>
      <c r="B301" s="393" t="s">
        <v>852</v>
      </c>
      <c r="C301" s="41" t="s">
        <v>853</v>
      </c>
      <c r="D301" s="282">
        <v>0</v>
      </c>
      <c r="E301" s="390"/>
      <c r="F301" s="363">
        <v>35000</v>
      </c>
      <c r="G301" s="2"/>
      <c r="H301" s="2">
        <f>F301*D301</f>
        <v>0</v>
      </c>
      <c r="I301" s="11">
        <f>H301</f>
        <v>0</v>
      </c>
    </row>
    <row r="302" spans="1:9" s="5" customFormat="1" ht="15.6" hidden="1" customHeight="1" x14ac:dyDescent="0.25">
      <c r="A302" s="391"/>
      <c r="B302" s="383" t="s">
        <v>807</v>
      </c>
      <c r="C302" s="41" t="s">
        <v>14</v>
      </c>
      <c r="D302" s="282">
        <f>D282*27</f>
        <v>0</v>
      </c>
      <c r="E302" s="390">
        <v>150</v>
      </c>
      <c r="F302" s="363"/>
      <c r="G302" s="2">
        <f>D302*E302</f>
        <v>0</v>
      </c>
      <c r="H302" s="2"/>
      <c r="I302" s="11">
        <f>G302</f>
        <v>0</v>
      </c>
    </row>
    <row r="303" spans="1:9" s="5" customFormat="1" ht="15.6" hidden="1" customHeight="1" x14ac:dyDescent="0.3">
      <c r="A303" s="391"/>
      <c r="B303" s="393" t="s">
        <v>808</v>
      </c>
      <c r="C303" s="41" t="s">
        <v>15</v>
      </c>
      <c r="D303" s="282">
        <f>D302*0.2</f>
        <v>0</v>
      </c>
      <c r="E303" s="390"/>
      <c r="F303" s="363">
        <v>85</v>
      </c>
      <c r="G303" s="2"/>
      <c r="H303" s="2">
        <f>F303*D303</f>
        <v>0</v>
      </c>
      <c r="I303" s="11">
        <f>H303</f>
        <v>0</v>
      </c>
    </row>
    <row r="304" spans="1:9" s="5" customFormat="1" ht="15.6" hidden="1" customHeight="1" x14ac:dyDescent="0.3">
      <c r="A304" s="391"/>
      <c r="B304" s="393" t="s">
        <v>809</v>
      </c>
      <c r="C304" s="41" t="s">
        <v>15</v>
      </c>
      <c r="D304" s="282">
        <f>D302*0.3</f>
        <v>0</v>
      </c>
      <c r="E304" s="390"/>
      <c r="F304" s="363">
        <v>115</v>
      </c>
      <c r="G304" s="2"/>
      <c r="H304" s="2">
        <f>F304*D304</f>
        <v>0</v>
      </c>
      <c r="I304" s="11">
        <f>H304</f>
        <v>0</v>
      </c>
    </row>
    <row r="305" spans="1:10" s="5" customFormat="1" ht="15.6" hidden="1" customHeight="1" x14ac:dyDescent="0.25">
      <c r="A305" s="391"/>
      <c r="B305" s="232" t="s">
        <v>854</v>
      </c>
      <c r="C305" s="225"/>
      <c r="D305" s="239"/>
      <c r="E305" s="230"/>
      <c r="F305" s="240"/>
      <c r="G305" s="230">
        <f>SUM(G257:G304)</f>
        <v>0</v>
      </c>
      <c r="H305" s="230">
        <f>SUM(H257:H304)</f>
        <v>0</v>
      </c>
      <c r="I305" s="230">
        <f>ROUND(SUM(I257:I304),2)</f>
        <v>0</v>
      </c>
    </row>
    <row r="306" spans="1:10" s="5" customFormat="1" ht="15.6" hidden="1" customHeight="1" x14ac:dyDescent="0.25">
      <c r="A306" s="391"/>
      <c r="B306" s="58" t="s">
        <v>624</v>
      </c>
      <c r="C306" s="9"/>
      <c r="D306" s="31"/>
      <c r="E306" s="10"/>
      <c r="F306" s="57"/>
      <c r="G306" s="10"/>
      <c r="H306" s="10"/>
      <c r="I306" s="31">
        <f>ROUND(I305/1.18*0.18,2)</f>
        <v>0</v>
      </c>
    </row>
    <row r="307" spans="1:10" s="5" customFormat="1" ht="23.25" customHeight="1" x14ac:dyDescent="0.25">
      <c r="A307" s="757"/>
      <c r="B307" s="752" t="s">
        <v>812</v>
      </c>
      <c r="C307" s="757"/>
      <c r="D307" s="757"/>
      <c r="E307" s="757"/>
      <c r="F307" s="757"/>
      <c r="G307" s="757"/>
      <c r="H307" s="757"/>
      <c r="I307" s="757"/>
    </row>
    <row r="308" spans="1:10" s="5" customFormat="1" ht="15.6" customHeight="1" outlineLevel="1" x14ac:dyDescent="0.25">
      <c r="A308" s="107" t="s">
        <v>313</v>
      </c>
      <c r="B308" s="49" t="s">
        <v>1163</v>
      </c>
      <c r="C308" s="46" t="s">
        <v>9</v>
      </c>
      <c r="D308" s="31">
        <f>Д2!D249+Ек!D264+Д!D240+Е!D253</f>
        <v>13.648199999999999</v>
      </c>
      <c r="E308" s="256">
        <v>30000</v>
      </c>
      <c r="F308" s="56"/>
      <c r="G308" s="2">
        <f>ROUND(E308*D308,2)</f>
        <v>409446</v>
      </c>
      <c r="H308" s="11"/>
      <c r="I308" s="11">
        <f>G308+H308</f>
        <v>409446</v>
      </c>
    </row>
    <row r="309" spans="1:10" s="5" customFormat="1" ht="15.6" customHeight="1" outlineLevel="1" x14ac:dyDescent="0.25">
      <c r="A309" s="90"/>
      <c r="B309" s="47" t="s">
        <v>1443</v>
      </c>
      <c r="C309" s="41" t="s">
        <v>9</v>
      </c>
      <c r="D309" s="2">
        <f>Д2!D250+Ек!D265+Д!D241+Е!D254</f>
        <v>13.648199999999999</v>
      </c>
      <c r="E309" s="166"/>
      <c r="F309" s="362">
        <v>40000</v>
      </c>
      <c r="G309" s="2"/>
      <c r="H309" s="2">
        <f>F309*D309</f>
        <v>545928</v>
      </c>
      <c r="I309" s="11">
        <f>H309</f>
        <v>545928</v>
      </c>
    </row>
    <row r="310" spans="1:10" s="5" customFormat="1" ht="15.6" customHeight="1" outlineLevel="1" x14ac:dyDescent="0.25">
      <c r="A310" s="90"/>
      <c r="B310" s="47" t="s">
        <v>1161</v>
      </c>
      <c r="C310" s="41" t="s">
        <v>14</v>
      </c>
      <c r="D310" s="2">
        <f>Д2!D251+Ек!D266+Д!D242+Е!D255</f>
        <v>508.37</v>
      </c>
      <c r="E310" s="166"/>
      <c r="F310" s="362">
        <v>280</v>
      </c>
      <c r="G310" s="2"/>
      <c r="H310" s="2">
        <f>F310*D310</f>
        <v>142343.6</v>
      </c>
      <c r="I310" s="11">
        <f>H310</f>
        <v>142343.6</v>
      </c>
    </row>
    <row r="311" spans="1:10" s="5" customFormat="1" ht="15.6" customHeight="1" outlineLevel="1" x14ac:dyDescent="0.25">
      <c r="A311" s="107" t="s">
        <v>314</v>
      </c>
      <c r="B311" s="49" t="s">
        <v>1176</v>
      </c>
      <c r="C311" s="46" t="s">
        <v>9</v>
      </c>
      <c r="D311" s="31">
        <f>D312</f>
        <v>2.1160999999999999</v>
      </c>
      <c r="E311" s="256">
        <v>40000</v>
      </c>
      <c r="F311" s="56"/>
      <c r="G311" s="2">
        <f>ROUND(E311*D311,2)</f>
        <v>84644</v>
      </c>
      <c r="H311" s="11"/>
      <c r="I311" s="11">
        <f>G311+H311</f>
        <v>84644</v>
      </c>
    </row>
    <row r="312" spans="1:10" s="5" customFormat="1" ht="15.6" customHeight="1" outlineLevel="1" x14ac:dyDescent="0.25">
      <c r="A312" s="90"/>
      <c r="B312" s="732" t="s">
        <v>1443</v>
      </c>
      <c r="C312" s="41" t="s">
        <v>9</v>
      </c>
      <c r="D312" s="2">
        <f>Д2!D253+Ек!D268+Д!D244+Е!D257</f>
        <v>2.1160999999999999</v>
      </c>
      <c r="E312" s="166"/>
      <c r="F312" s="362">
        <v>33000</v>
      </c>
      <c r="G312" s="2"/>
      <c r="H312" s="2">
        <f>F312*D312</f>
        <v>69831.3</v>
      </c>
      <c r="I312" s="11">
        <f>H312</f>
        <v>69831.3</v>
      </c>
    </row>
    <row r="313" spans="1:10" s="5" customFormat="1" ht="15.6" customHeight="1" outlineLevel="1" x14ac:dyDescent="0.25">
      <c r="A313" s="107" t="s">
        <v>347</v>
      </c>
      <c r="B313" s="49" t="s">
        <v>1444</v>
      </c>
      <c r="C313" s="46" t="s">
        <v>12</v>
      </c>
      <c r="D313" s="31">
        <f>Д2!D254+Ек!D269+Д!D245+Е!D258</f>
        <v>33</v>
      </c>
      <c r="E313" s="256">
        <v>4000</v>
      </c>
      <c r="F313" s="56"/>
      <c r="G313" s="2">
        <f>ROUND(E313*D313,2)</f>
        <v>132000</v>
      </c>
      <c r="H313" s="11"/>
      <c r="I313" s="11">
        <f>G313+H313</f>
        <v>132000</v>
      </c>
    </row>
    <row r="314" spans="1:10" s="5" customFormat="1" ht="15.6" customHeight="1" outlineLevel="1" x14ac:dyDescent="0.25">
      <c r="A314" s="90"/>
      <c r="B314" s="47" t="s">
        <v>1451</v>
      </c>
      <c r="C314" s="41" t="s">
        <v>14</v>
      </c>
      <c r="D314" s="2">
        <f>Д2!D255+Ек!D270+Д!D246+Е!D259</f>
        <v>246.81999999999996</v>
      </c>
      <c r="E314" s="166"/>
      <c r="F314" s="362">
        <v>280</v>
      </c>
      <c r="G314" s="2"/>
      <c r="H314" s="2">
        <f>F314*D314</f>
        <v>69109.599999999991</v>
      </c>
      <c r="I314" s="11">
        <f>H314</f>
        <v>69109.599999999991</v>
      </c>
    </row>
    <row r="315" spans="1:10" s="5" customFormat="1" ht="15.6" customHeight="1" outlineLevel="1" x14ac:dyDescent="0.25">
      <c r="A315" s="90"/>
      <c r="B315" s="47" t="s">
        <v>1117</v>
      </c>
      <c r="C315" s="41" t="s">
        <v>12</v>
      </c>
      <c r="D315" s="2">
        <f>Д2!D256+Ек!D271+Д!D247+Е!D260</f>
        <v>28</v>
      </c>
      <c r="E315" s="10"/>
      <c r="F315" s="362">
        <v>1200</v>
      </c>
      <c r="G315" s="2"/>
      <c r="H315" s="2">
        <f>F315*D315</f>
        <v>33600</v>
      </c>
      <c r="I315" s="11">
        <f>H315</f>
        <v>33600</v>
      </c>
    </row>
    <row r="316" spans="1:10" s="5" customFormat="1" ht="15.6" customHeight="1" outlineLevel="1" x14ac:dyDescent="0.25">
      <c r="A316" s="90"/>
      <c r="B316" s="47" t="s">
        <v>1118</v>
      </c>
      <c r="C316" s="41" t="s">
        <v>14</v>
      </c>
      <c r="D316" s="2">
        <f>Д2!D257+Ек!D272+Д!D248+Е!D261</f>
        <v>39.81</v>
      </c>
      <c r="E316" s="10"/>
      <c r="F316" s="362">
        <v>250</v>
      </c>
      <c r="G316" s="2"/>
      <c r="H316" s="2">
        <f>F316*D316</f>
        <v>9952.5</v>
      </c>
      <c r="I316" s="11">
        <f>H316</f>
        <v>9952.5</v>
      </c>
    </row>
    <row r="317" spans="1:10" s="5" customFormat="1" ht="15.6" customHeight="1" outlineLevel="1" x14ac:dyDescent="0.3">
      <c r="A317" s="107" t="s">
        <v>1452</v>
      </c>
      <c r="B317" s="49" t="s">
        <v>807</v>
      </c>
      <c r="C317" s="41" t="s">
        <v>14</v>
      </c>
      <c r="D317" s="2">
        <f>D308*27+D311*27</f>
        <v>425.6361</v>
      </c>
      <c r="E317" s="256">
        <v>150</v>
      </c>
      <c r="F317" s="484"/>
      <c r="G317" s="2">
        <f>D317*E317</f>
        <v>63845.415000000001</v>
      </c>
      <c r="H317" s="484"/>
      <c r="I317" s="11">
        <f>G317</f>
        <v>63845.415000000001</v>
      </c>
    </row>
    <row r="318" spans="1:10" s="5" customFormat="1" ht="15.6" customHeight="1" outlineLevel="1" x14ac:dyDescent="0.3">
      <c r="A318" s="90"/>
      <c r="B318" s="47" t="s">
        <v>1166</v>
      </c>
      <c r="C318" s="41" t="s">
        <v>15</v>
      </c>
      <c r="D318" s="2">
        <f>D317*0.2</f>
        <v>85.127220000000008</v>
      </c>
      <c r="E318" s="484"/>
      <c r="F318" s="362">
        <v>85</v>
      </c>
      <c r="G318" s="484"/>
      <c r="H318" s="2">
        <f>F318*D318</f>
        <v>7235.8137000000006</v>
      </c>
      <c r="I318" s="11">
        <f>H318</f>
        <v>7235.8137000000006</v>
      </c>
    </row>
    <row r="319" spans="1:10" s="5" customFormat="1" ht="15.6" customHeight="1" outlineLevel="1" x14ac:dyDescent="0.3">
      <c r="A319" s="90"/>
      <c r="B319" s="47" t="s">
        <v>1162</v>
      </c>
      <c r="C319" s="41" t="s">
        <v>15</v>
      </c>
      <c r="D319" s="2">
        <f>D317*0.3</f>
        <v>127.69082999999999</v>
      </c>
      <c r="E319" s="484"/>
      <c r="F319" s="362">
        <v>115</v>
      </c>
      <c r="G319" s="484"/>
      <c r="H319" s="2">
        <f>F319*D319</f>
        <v>14684.445449999999</v>
      </c>
      <c r="I319" s="11">
        <f>H319</f>
        <v>14684.445449999999</v>
      </c>
    </row>
    <row r="320" spans="1:10" s="5" customFormat="1" ht="15.6" customHeight="1" x14ac:dyDescent="0.25">
      <c r="A320" s="90"/>
      <c r="B320" s="232" t="s">
        <v>854</v>
      </c>
      <c r="C320" s="225"/>
      <c r="D320" s="239"/>
      <c r="E320" s="230"/>
      <c r="F320" s="240"/>
      <c r="G320" s="230">
        <f>SUM(G308:G319)</f>
        <v>689935.41500000004</v>
      </c>
      <c r="H320" s="230">
        <f>SUM(H308:H319)</f>
        <v>892685.25915000006</v>
      </c>
      <c r="I320" s="230">
        <f>ROUND(SUM(I308:I319),2)</f>
        <v>1582620.67</v>
      </c>
      <c r="J320" s="691"/>
    </row>
    <row r="321" spans="1:9" s="5" customFormat="1" ht="15.6" customHeight="1" x14ac:dyDescent="0.25">
      <c r="A321" s="90"/>
      <c r="B321" s="58" t="s">
        <v>624</v>
      </c>
      <c r="C321" s="9"/>
      <c r="D321" s="31"/>
      <c r="E321" s="10"/>
      <c r="F321" s="57"/>
      <c r="G321" s="10"/>
      <c r="H321" s="10"/>
      <c r="I321" s="31">
        <f>ROUND(I320/1.18*0.18,2)</f>
        <v>241416.71</v>
      </c>
    </row>
    <row r="322" spans="1:9" ht="21" customHeight="1" x14ac:dyDescent="0.25">
      <c r="A322" s="108"/>
      <c r="B322" s="752" t="s">
        <v>1160</v>
      </c>
      <c r="C322" s="105"/>
      <c r="D322" s="105"/>
      <c r="E322" s="105"/>
      <c r="F322" s="138"/>
      <c r="G322" s="105"/>
      <c r="H322" s="105"/>
      <c r="I322" s="106"/>
    </row>
    <row r="323" spans="1:9" outlineLevel="1" x14ac:dyDescent="0.25">
      <c r="A323" s="107" t="s">
        <v>315</v>
      </c>
      <c r="B323" s="29" t="s">
        <v>473</v>
      </c>
      <c r="C323" s="2" t="s">
        <v>14</v>
      </c>
      <c r="D323" s="65">
        <f>Д2!D264+Ек!D279+Д!D255+Е!D268</f>
        <v>1422.6811999999998</v>
      </c>
      <c r="E323" s="264">
        <v>550</v>
      </c>
      <c r="F323" s="140"/>
      <c r="G323" s="2">
        <f>ROUND(E323*D323,2)</f>
        <v>782474.66</v>
      </c>
      <c r="H323" s="51"/>
      <c r="I323" s="140">
        <f>H323+G323</f>
        <v>782474.66</v>
      </c>
    </row>
    <row r="324" spans="1:9" ht="15" customHeight="1" outlineLevel="1" x14ac:dyDescent="0.25">
      <c r="A324" s="84"/>
      <c r="B324" s="22" t="s">
        <v>1086</v>
      </c>
      <c r="C324" s="23" t="s">
        <v>14</v>
      </c>
      <c r="D324" s="66">
        <f>ROUND(D323*1.1,2)</f>
        <v>1564.95</v>
      </c>
      <c r="E324" s="51"/>
      <c r="F324" s="365">
        <f>ROUND(10.1*1.1,2)</f>
        <v>11.11</v>
      </c>
      <c r="G324" s="51"/>
      <c r="H324" s="2">
        <f t="shared" ref="H324:H330" si="18">ROUND(D324*F324,2)</f>
        <v>17386.59</v>
      </c>
      <c r="I324" s="140">
        <f t="shared" ref="I324:I338" si="19">H324+G324</f>
        <v>17386.59</v>
      </c>
    </row>
    <row r="325" spans="1:9" outlineLevel="1" x14ac:dyDescent="0.25">
      <c r="A325" s="84"/>
      <c r="B325" s="28" t="s">
        <v>32</v>
      </c>
      <c r="C325" s="23" t="s">
        <v>8</v>
      </c>
      <c r="D325" s="66">
        <f>Д2!D266+Ек!D281+Д!D257+Е!D270</f>
        <v>119.52000000000001</v>
      </c>
      <c r="E325" s="51"/>
      <c r="F325" s="365">
        <v>1300</v>
      </c>
      <c r="G325" s="51"/>
      <c r="H325" s="2">
        <f t="shared" si="18"/>
        <v>155376</v>
      </c>
      <c r="I325" s="140">
        <f t="shared" si="19"/>
        <v>155376</v>
      </c>
    </row>
    <row r="326" spans="1:9" ht="31.2" outlineLevel="1" x14ac:dyDescent="0.25">
      <c r="A326" s="84"/>
      <c r="B326" s="28" t="s">
        <v>1087</v>
      </c>
      <c r="C326" s="21" t="s">
        <v>8</v>
      </c>
      <c r="D326" s="66">
        <f>ROUND(D323*0.15,2)</f>
        <v>213.4</v>
      </c>
      <c r="E326" s="51"/>
      <c r="F326" s="365">
        <v>4400</v>
      </c>
      <c r="G326" s="51"/>
      <c r="H326" s="2">
        <f t="shared" si="18"/>
        <v>938960</v>
      </c>
      <c r="I326" s="140">
        <f t="shared" si="19"/>
        <v>938960</v>
      </c>
    </row>
    <row r="327" spans="1:9" ht="27.6" outlineLevel="1" x14ac:dyDescent="0.25">
      <c r="A327" s="84"/>
      <c r="B327" s="372" t="s">
        <v>1068</v>
      </c>
      <c r="C327" s="21" t="s">
        <v>14</v>
      </c>
      <c r="D327" s="66">
        <f>ROUND(D323*2*1.03,2)</f>
        <v>2930.72</v>
      </c>
      <c r="E327" s="51"/>
      <c r="F327" s="365">
        <v>270</v>
      </c>
      <c r="G327" s="51"/>
      <c r="H327" s="2">
        <f t="shared" si="18"/>
        <v>791294.4</v>
      </c>
      <c r="I327" s="140">
        <f t="shared" si="19"/>
        <v>791294.4</v>
      </c>
    </row>
    <row r="328" spans="1:9" outlineLevel="1" x14ac:dyDescent="0.25">
      <c r="A328" s="84"/>
      <c r="B328" s="28" t="s">
        <v>1088</v>
      </c>
      <c r="C328" s="21" t="s">
        <v>15</v>
      </c>
      <c r="D328" s="66">
        <f>ROUND(D323*1.4,2)</f>
        <v>1991.75</v>
      </c>
      <c r="E328" s="51"/>
      <c r="F328" s="361">
        <v>45.4</v>
      </c>
      <c r="G328" s="51"/>
      <c r="H328" s="2">
        <f t="shared" si="18"/>
        <v>90425.45</v>
      </c>
      <c r="I328" s="140">
        <f t="shared" si="19"/>
        <v>90425.45</v>
      </c>
    </row>
    <row r="329" spans="1:9" outlineLevel="1" x14ac:dyDescent="0.25">
      <c r="A329" s="84"/>
      <c r="B329" s="28" t="s">
        <v>400</v>
      </c>
      <c r="C329" s="21" t="s">
        <v>14</v>
      </c>
      <c r="D329" s="66">
        <f>ROUND(D323*1.015,2)</f>
        <v>1444.02</v>
      </c>
      <c r="E329" s="51"/>
      <c r="F329" s="365">
        <v>109.41</v>
      </c>
      <c r="G329" s="51"/>
      <c r="H329" s="2">
        <f t="shared" si="18"/>
        <v>157990.23000000001</v>
      </c>
      <c r="I329" s="140">
        <f t="shared" si="19"/>
        <v>157990.23000000001</v>
      </c>
    </row>
    <row r="330" spans="1:9" outlineLevel="1" x14ac:dyDescent="0.25">
      <c r="A330" s="84"/>
      <c r="B330" s="28" t="s">
        <v>401</v>
      </c>
      <c r="C330" s="2" t="s">
        <v>14</v>
      </c>
      <c r="D330" s="66">
        <f>ROUND(D323*1.01,2)</f>
        <v>1436.91</v>
      </c>
      <c r="E330" s="51"/>
      <c r="F330" s="365">
        <v>154.75</v>
      </c>
      <c r="G330" s="51"/>
      <c r="H330" s="2">
        <f t="shared" si="18"/>
        <v>222361.82</v>
      </c>
      <c r="I330" s="140">
        <f t="shared" si="19"/>
        <v>222361.82</v>
      </c>
    </row>
    <row r="331" spans="1:9" ht="31.2" outlineLevel="1" x14ac:dyDescent="0.25">
      <c r="A331" s="107" t="s">
        <v>513</v>
      </c>
      <c r="B331" s="29" t="s">
        <v>188</v>
      </c>
      <c r="C331" s="31" t="s">
        <v>14</v>
      </c>
      <c r="D331" s="65">
        <f>Д2!D272+Ек!D287+Д!D263+Е!D276</f>
        <v>329.63279999999997</v>
      </c>
      <c r="E331" s="264">
        <v>300</v>
      </c>
      <c r="F331" s="140"/>
      <c r="G331" s="2">
        <f>ROUND(E331*D331,2)</f>
        <v>98889.84</v>
      </c>
      <c r="H331" s="51"/>
      <c r="I331" s="140">
        <f>H331+G331</f>
        <v>98889.84</v>
      </c>
    </row>
    <row r="332" spans="1:9" outlineLevel="1" x14ac:dyDescent="0.25">
      <c r="A332" s="84"/>
      <c r="B332" s="22" t="s">
        <v>400</v>
      </c>
      <c r="C332" s="21" t="s">
        <v>14</v>
      </c>
      <c r="D332" s="66">
        <f>ROUND(D331*1.015,2)</f>
        <v>334.58</v>
      </c>
      <c r="E332" s="51"/>
      <c r="F332" s="365">
        <v>109.41</v>
      </c>
      <c r="G332" s="51"/>
      <c r="H332" s="2">
        <f>ROUND(D332*F332,2)</f>
        <v>36606.400000000001</v>
      </c>
      <c r="I332" s="140">
        <f>H332+G332</f>
        <v>36606.400000000001</v>
      </c>
    </row>
    <row r="333" spans="1:9" outlineLevel="1" x14ac:dyDescent="0.25">
      <c r="A333" s="84"/>
      <c r="B333" s="22" t="s">
        <v>401</v>
      </c>
      <c r="C333" s="2" t="s">
        <v>14</v>
      </c>
      <c r="D333" s="66">
        <f>ROUND(D331*1.01,2)</f>
        <v>332.93</v>
      </c>
      <c r="E333" s="51"/>
      <c r="F333" s="365">
        <v>154.75</v>
      </c>
      <c r="G333" s="51"/>
      <c r="H333" s="2">
        <f>ROUND(D333*F333,2)</f>
        <v>51520.92</v>
      </c>
      <c r="I333" s="140">
        <f>H333+G333</f>
        <v>51520.92</v>
      </c>
    </row>
    <row r="334" spans="1:9" outlineLevel="1" x14ac:dyDescent="0.25">
      <c r="B334" s="22" t="s">
        <v>1384</v>
      </c>
      <c r="C334" s="2" t="s">
        <v>12</v>
      </c>
      <c r="D334" s="184">
        <f>32</f>
        <v>32</v>
      </c>
      <c r="E334" s="51"/>
      <c r="F334" s="365">
        <v>650</v>
      </c>
      <c r="G334" s="51"/>
      <c r="H334" s="2">
        <f>ROUND(D334*F334,2)</f>
        <v>20800</v>
      </c>
      <c r="I334" s="140">
        <f>H334+G334</f>
        <v>20800</v>
      </c>
    </row>
    <row r="335" spans="1:9" outlineLevel="1" x14ac:dyDescent="0.25">
      <c r="A335" s="84"/>
      <c r="B335" s="22" t="s">
        <v>1385</v>
      </c>
      <c r="C335" s="2" t="s">
        <v>12</v>
      </c>
      <c r="D335" s="66">
        <f>54</f>
        <v>54</v>
      </c>
      <c r="E335" s="51"/>
      <c r="F335" s="328">
        <v>650</v>
      </c>
      <c r="G335" s="51"/>
      <c r="H335" s="2">
        <f>ROUND(D335*F335,2)</f>
        <v>35100</v>
      </c>
      <c r="I335" s="140">
        <f>H335+G335</f>
        <v>35100</v>
      </c>
    </row>
    <row r="336" spans="1:9" outlineLevel="1" x14ac:dyDescent="0.25">
      <c r="A336" s="107" t="s">
        <v>514</v>
      </c>
      <c r="B336" s="29" t="s">
        <v>1232</v>
      </c>
      <c r="C336" s="2" t="s">
        <v>14</v>
      </c>
      <c r="D336" s="65">
        <f>Д2!D278+Ек!D292+Д!D269+Е!D281</f>
        <v>201.81599999999997</v>
      </c>
      <c r="E336" s="264">
        <v>150</v>
      </c>
      <c r="F336" s="140"/>
      <c r="G336" s="2">
        <f>ROUND(E336*D336,2)</f>
        <v>30272.400000000001</v>
      </c>
      <c r="H336" s="51"/>
      <c r="I336" s="140">
        <f t="shared" si="19"/>
        <v>30272.400000000001</v>
      </c>
    </row>
    <row r="337" spans="1:9" outlineLevel="1" x14ac:dyDescent="0.25">
      <c r="A337" s="84"/>
      <c r="B337" s="22" t="s">
        <v>1386</v>
      </c>
      <c r="C337" s="21" t="s">
        <v>15</v>
      </c>
      <c r="D337" s="66">
        <f>250*6.48</f>
        <v>1620</v>
      </c>
      <c r="E337" s="51"/>
      <c r="F337" s="328">
        <v>32</v>
      </c>
      <c r="G337" s="51"/>
      <c r="H337" s="2">
        <f>ROUND(D337*F337,2)</f>
        <v>51840</v>
      </c>
      <c r="I337" s="140">
        <f t="shared" si="19"/>
        <v>51840</v>
      </c>
    </row>
    <row r="338" spans="1:9" outlineLevel="1" x14ac:dyDescent="0.25">
      <c r="A338" s="84"/>
      <c r="B338" s="22" t="s">
        <v>1383</v>
      </c>
      <c r="C338" s="2" t="s">
        <v>15</v>
      </c>
      <c r="D338" s="66">
        <f>620*0.82</f>
        <v>508.4</v>
      </c>
      <c r="E338" s="51"/>
      <c r="F338" s="328">
        <v>32</v>
      </c>
      <c r="G338" s="51"/>
      <c r="H338" s="2">
        <f>ROUND(D338*F338,2)</f>
        <v>16268.8</v>
      </c>
      <c r="I338" s="140">
        <f t="shared" si="19"/>
        <v>16268.8</v>
      </c>
    </row>
    <row r="339" spans="1:9" outlineLevel="1" x14ac:dyDescent="0.25">
      <c r="A339" s="84"/>
      <c r="B339" s="22" t="s">
        <v>1387</v>
      </c>
      <c r="C339" s="2" t="s">
        <v>9</v>
      </c>
      <c r="D339" s="66">
        <f>1405*0.92/1000</f>
        <v>1.2926000000000002</v>
      </c>
      <c r="E339" s="51"/>
      <c r="F339" s="365">
        <v>42000</v>
      </c>
      <c r="G339" s="51"/>
      <c r="H339" s="2">
        <f>ROUND(D339*F339,2)</f>
        <v>54289.2</v>
      </c>
      <c r="I339" s="140">
        <f>H339+G339</f>
        <v>54289.2</v>
      </c>
    </row>
    <row r="340" spans="1:9" outlineLevel="1" x14ac:dyDescent="0.25">
      <c r="A340" s="107" t="s">
        <v>1196</v>
      </c>
      <c r="B340" s="29" t="s">
        <v>397</v>
      </c>
      <c r="C340" s="31" t="s">
        <v>33</v>
      </c>
      <c r="D340" s="65">
        <f>Д2!D282+Ек!D296+Д!D273+Е!D285</f>
        <v>302.60000000000002</v>
      </c>
      <c r="E340" s="264">
        <v>800</v>
      </c>
      <c r="F340" s="140"/>
      <c r="G340" s="2">
        <f>ROUND(E340*D340,2)</f>
        <v>242080</v>
      </c>
      <c r="H340" s="51"/>
      <c r="I340" s="140">
        <f>H340+G340</f>
        <v>242080</v>
      </c>
    </row>
    <row r="341" spans="1:9" outlineLevel="1" x14ac:dyDescent="0.25">
      <c r="A341" s="84"/>
      <c r="B341" s="47" t="s">
        <v>1226</v>
      </c>
      <c r="C341" s="21" t="s">
        <v>9</v>
      </c>
      <c r="D341" s="66">
        <f>Д2!D283+Ек!D297+Д!D274+Е!D286</f>
        <v>1.1370199999999999</v>
      </c>
      <c r="E341" s="51"/>
      <c r="F341" s="365">
        <v>32000</v>
      </c>
      <c r="G341" s="51"/>
      <c r="H341" s="2">
        <f>ROUND(D341*F341,2)</f>
        <v>36384.639999999999</v>
      </c>
      <c r="I341" s="140">
        <f>H341+G341</f>
        <v>36384.639999999999</v>
      </c>
    </row>
    <row r="342" spans="1:9" outlineLevel="1" x14ac:dyDescent="0.25">
      <c r="A342" s="107" t="s">
        <v>1197</v>
      </c>
      <c r="B342" s="49" t="s">
        <v>1389</v>
      </c>
      <c r="C342" s="41" t="s">
        <v>12</v>
      </c>
      <c r="D342" s="2">
        <f>Ек!D298+Е!D287</f>
        <v>2</v>
      </c>
      <c r="E342" s="390">
        <v>1500</v>
      </c>
      <c r="F342" s="363"/>
      <c r="G342" s="2">
        <f>E342*D342</f>
        <v>3000</v>
      </c>
      <c r="H342" s="2"/>
      <c r="I342" s="11">
        <f>G342</f>
        <v>3000</v>
      </c>
    </row>
    <row r="343" spans="1:9" outlineLevel="1" x14ac:dyDescent="0.25">
      <c r="A343" s="84"/>
      <c r="B343" s="47" t="s">
        <v>91</v>
      </c>
      <c r="C343" s="41" t="s">
        <v>15</v>
      </c>
      <c r="D343" s="42">
        <f>Ек!D299+Е!D288</f>
        <v>279.83</v>
      </c>
      <c r="E343" s="2"/>
      <c r="F343" s="364">
        <v>40</v>
      </c>
      <c r="G343" s="10"/>
      <c r="H343" s="2">
        <f>ROUND(D343*F343,2)</f>
        <v>11193.2</v>
      </c>
      <c r="I343" s="11">
        <f>G343+H343</f>
        <v>11193.2</v>
      </c>
    </row>
    <row r="344" spans="1:9" outlineLevel="1" x14ac:dyDescent="0.25">
      <c r="A344" s="107" t="s">
        <v>1198</v>
      </c>
      <c r="B344" s="29" t="s">
        <v>1227</v>
      </c>
      <c r="C344" s="21" t="s">
        <v>12</v>
      </c>
      <c r="D344" s="66">
        <f>Ек!D300+Е!D289</f>
        <v>2</v>
      </c>
      <c r="E344" s="390">
        <v>1500</v>
      </c>
      <c r="F344" s="363"/>
      <c r="G344" s="2">
        <f>D344*E344</f>
        <v>3000</v>
      </c>
      <c r="H344" s="2"/>
      <c r="I344" s="11">
        <f>G344</f>
        <v>3000</v>
      </c>
    </row>
    <row r="345" spans="1:9" outlineLevel="1" x14ac:dyDescent="0.25">
      <c r="A345" s="84"/>
      <c r="B345" s="47" t="s">
        <v>1228</v>
      </c>
      <c r="C345" s="21" t="s">
        <v>12</v>
      </c>
      <c r="D345" s="66">
        <f>Ек!D301+Е!D290</f>
        <v>6</v>
      </c>
      <c r="E345" s="51"/>
      <c r="F345" s="363">
        <v>10000</v>
      </c>
      <c r="G345" s="2"/>
      <c r="H345" s="2">
        <f>D345*F345</f>
        <v>60000</v>
      </c>
      <c r="I345" s="11">
        <f>H345</f>
        <v>60000</v>
      </c>
    </row>
    <row r="346" spans="1:9" outlineLevel="1" x14ac:dyDescent="0.25">
      <c r="A346" s="84"/>
      <c r="B346" s="47" t="s">
        <v>875</v>
      </c>
      <c r="C346" s="21" t="s">
        <v>15</v>
      </c>
      <c r="D346" s="66">
        <f>Ек!D302+Е!D291</f>
        <v>23.2</v>
      </c>
      <c r="E346" s="51"/>
      <c r="F346" s="365"/>
      <c r="G346" s="51"/>
      <c r="H346" s="2"/>
      <c r="I346" s="140"/>
    </row>
    <row r="347" spans="1:9" ht="31.2" outlineLevel="1" x14ac:dyDescent="0.25">
      <c r="A347" s="107" t="s">
        <v>1199</v>
      </c>
      <c r="B347" s="29" t="s">
        <v>1236</v>
      </c>
      <c r="C347" s="203" t="s">
        <v>8</v>
      </c>
      <c r="D347" s="46">
        <f>Ек!D305+Е!D292</f>
        <v>1.8</v>
      </c>
      <c r="E347" s="390">
        <v>700</v>
      </c>
      <c r="F347" s="139"/>
      <c r="G347" s="2">
        <f>ROUND(E347*D347,2)</f>
        <v>1260</v>
      </c>
      <c r="H347" s="26"/>
      <c r="I347" s="11">
        <f>G347+H347</f>
        <v>1260</v>
      </c>
    </row>
    <row r="348" spans="1:9" outlineLevel="1" x14ac:dyDescent="0.25">
      <c r="A348" s="84"/>
      <c r="B348" s="22" t="s">
        <v>1237</v>
      </c>
      <c r="C348" s="41" t="s">
        <v>15</v>
      </c>
      <c r="D348" s="42">
        <f>Ек!D306+Е!D293</f>
        <v>2374.4</v>
      </c>
      <c r="E348" s="2"/>
      <c r="F348" s="364">
        <v>46</v>
      </c>
      <c r="G348" s="10"/>
      <c r="H348" s="2">
        <f>ROUND(D348*F348,2)</f>
        <v>109222.39999999999</v>
      </c>
      <c r="I348" s="11">
        <f>G348+H348</f>
        <v>109222.39999999999</v>
      </c>
    </row>
    <row r="349" spans="1:9" outlineLevel="1" x14ac:dyDescent="0.25">
      <c r="A349" s="84"/>
      <c r="B349" s="47" t="s">
        <v>1175</v>
      </c>
      <c r="C349" s="41" t="s">
        <v>15</v>
      </c>
      <c r="D349" s="42">
        <f>Ек!D307+Е!D294</f>
        <v>111.08</v>
      </c>
      <c r="E349" s="2"/>
      <c r="F349" s="361">
        <v>42</v>
      </c>
      <c r="G349" s="31"/>
      <c r="H349" s="2">
        <f>ROUND(D349*F349,2)</f>
        <v>4665.3599999999997</v>
      </c>
      <c r="I349" s="11">
        <f>G349+H349</f>
        <v>4665.3599999999997</v>
      </c>
    </row>
    <row r="350" spans="1:9" s="6" customFormat="1" outlineLevel="1" x14ac:dyDescent="0.25">
      <c r="A350" s="84"/>
      <c r="B350" s="47" t="s">
        <v>1238</v>
      </c>
      <c r="C350" s="21" t="s">
        <v>15</v>
      </c>
      <c r="D350" s="66">
        <f>Ек!D308+Е!D295</f>
        <v>11.12</v>
      </c>
      <c r="E350" s="51"/>
      <c r="F350" s="361">
        <v>42</v>
      </c>
      <c r="G350" s="51"/>
      <c r="H350" s="2">
        <f>ROUND(D350*F350,2)</f>
        <v>467.04</v>
      </c>
      <c r="I350" s="11">
        <f>G350+H350</f>
        <v>467.04</v>
      </c>
    </row>
    <row r="351" spans="1:9" outlineLevel="1" x14ac:dyDescent="0.25">
      <c r="A351" s="84"/>
      <c r="B351" s="47" t="s">
        <v>997</v>
      </c>
      <c r="C351" s="41" t="s">
        <v>8</v>
      </c>
      <c r="D351" s="42">
        <f>D347*1.015</f>
        <v>1.827</v>
      </c>
      <c r="E351" s="2"/>
      <c r="F351" s="164">
        <v>5000</v>
      </c>
      <c r="G351" s="31"/>
      <c r="H351" s="2">
        <f>ROUND(D351*F351,2)</f>
        <v>9135</v>
      </c>
      <c r="I351" s="11">
        <f>G351+H351</f>
        <v>9135</v>
      </c>
    </row>
    <row r="352" spans="1:9" outlineLevel="1" x14ac:dyDescent="0.25">
      <c r="A352" s="84"/>
      <c r="B352" s="53" t="s">
        <v>1174</v>
      </c>
      <c r="C352" s="31"/>
      <c r="D352" s="65"/>
      <c r="E352" s="54"/>
      <c r="F352" s="141"/>
      <c r="G352" s="54"/>
      <c r="H352" s="54"/>
      <c r="I352" s="141"/>
    </row>
    <row r="353" spans="1:9" outlineLevel="1" x14ac:dyDescent="0.3">
      <c r="A353" s="107" t="s">
        <v>1200</v>
      </c>
      <c r="B353" s="49" t="s">
        <v>1399</v>
      </c>
      <c r="C353" s="41" t="s">
        <v>12</v>
      </c>
      <c r="D353" s="31">
        <f>Ек!D311</f>
        <v>4</v>
      </c>
      <c r="E353" s="353">
        <v>600</v>
      </c>
      <c r="F353" s="392"/>
      <c r="G353" s="2">
        <f>D353*E353</f>
        <v>2400</v>
      </c>
      <c r="H353" s="2"/>
      <c r="I353" s="11">
        <f>G353+H353</f>
        <v>2400</v>
      </c>
    </row>
    <row r="354" spans="1:9" outlineLevel="1" x14ac:dyDescent="0.25">
      <c r="A354" s="84"/>
      <c r="B354" s="47" t="s">
        <v>1400</v>
      </c>
      <c r="C354" s="41" t="s">
        <v>15</v>
      </c>
      <c r="D354" s="2">
        <f>Ек!D312</f>
        <v>118.36000000000001</v>
      </c>
      <c r="E354" s="390"/>
      <c r="F354" s="363">
        <v>120</v>
      </c>
      <c r="G354" s="2"/>
      <c r="H354" s="2">
        <f>D354*F354</f>
        <v>14203.2</v>
      </c>
      <c r="I354" s="11">
        <f>H354</f>
        <v>14203.2</v>
      </c>
    </row>
    <row r="355" spans="1:9" outlineLevel="1" x14ac:dyDescent="0.25">
      <c r="A355" s="107" t="s">
        <v>1201</v>
      </c>
      <c r="B355" s="49" t="s">
        <v>1170</v>
      </c>
      <c r="C355" s="41" t="s">
        <v>8</v>
      </c>
      <c r="D355" s="2">
        <f>Д2!D287+Ек!D313+Д!D276+Е!D298</f>
        <v>38.4</v>
      </c>
      <c r="E355" s="353">
        <v>2800</v>
      </c>
      <c r="F355" s="363"/>
      <c r="G355" s="2">
        <f>E355*D355</f>
        <v>107520</v>
      </c>
      <c r="H355" s="2"/>
      <c r="I355" s="11">
        <f>G355</f>
        <v>107520</v>
      </c>
    </row>
    <row r="356" spans="1:9" outlineLevel="1" x14ac:dyDescent="0.25">
      <c r="A356" s="84"/>
      <c r="B356" s="47" t="s">
        <v>1144</v>
      </c>
      <c r="C356" s="41" t="s">
        <v>8</v>
      </c>
      <c r="D356" s="42">
        <f>Д2!D288+Ек!D314+Д!D277+Е!D299</f>
        <v>38.975999999999992</v>
      </c>
      <c r="E356" s="390"/>
      <c r="F356" s="361">
        <v>3450</v>
      </c>
      <c r="G356" s="31"/>
      <c r="H356" s="2">
        <f>ROUND(D356*F356,2)</f>
        <v>134467.20000000001</v>
      </c>
      <c r="I356" s="11">
        <f>G356+H356</f>
        <v>134467.20000000001</v>
      </c>
    </row>
    <row r="357" spans="1:9" outlineLevel="1" x14ac:dyDescent="0.25">
      <c r="A357" s="84"/>
      <c r="B357" s="47" t="s">
        <v>850</v>
      </c>
      <c r="C357" s="41" t="s">
        <v>8</v>
      </c>
      <c r="D357" s="2">
        <f>Д2!D289+Ек!D315+Д!D278+Е!D300</f>
        <v>13.440000000000001</v>
      </c>
      <c r="E357" s="390"/>
      <c r="F357" s="361">
        <v>2800</v>
      </c>
      <c r="G357" s="2"/>
      <c r="H357" s="2">
        <f>F357*D357</f>
        <v>37632</v>
      </c>
      <c r="I357" s="11">
        <f>H357</f>
        <v>37632</v>
      </c>
    </row>
    <row r="358" spans="1:9" outlineLevel="1" x14ac:dyDescent="0.25">
      <c r="A358" s="84"/>
      <c r="B358" s="47" t="s">
        <v>1171</v>
      </c>
      <c r="C358" s="41" t="s">
        <v>15</v>
      </c>
      <c r="D358" s="2">
        <f>Д2!D290+Ек!D316+Д!D279+Е!D301</f>
        <v>380.16</v>
      </c>
      <c r="E358" s="51"/>
      <c r="F358" s="365">
        <v>31</v>
      </c>
      <c r="G358" s="51"/>
      <c r="H358" s="2">
        <f>ROUND(D358*F358,2)</f>
        <v>11784.96</v>
      </c>
      <c r="I358" s="140">
        <f>H358+G358</f>
        <v>11784.96</v>
      </c>
    </row>
    <row r="359" spans="1:9" outlineLevel="1" x14ac:dyDescent="0.25">
      <c r="A359" s="84"/>
      <c r="B359" s="47" t="s">
        <v>1172</v>
      </c>
      <c r="C359" s="41" t="s">
        <v>15</v>
      </c>
      <c r="D359" s="2">
        <f>Д2!D291+Ек!D317+Д!D280+Е!D302</f>
        <v>98.88</v>
      </c>
      <c r="E359" s="51"/>
      <c r="F359" s="365">
        <v>42</v>
      </c>
      <c r="G359" s="51"/>
      <c r="H359" s="2">
        <f>ROUND(D359*F359,2)</f>
        <v>4152.96</v>
      </c>
      <c r="I359" s="140">
        <f>H359+G359</f>
        <v>4152.96</v>
      </c>
    </row>
    <row r="360" spans="1:9" outlineLevel="1" x14ac:dyDescent="0.25">
      <c r="A360" s="107" t="s">
        <v>1239</v>
      </c>
      <c r="B360" s="49" t="s">
        <v>1525</v>
      </c>
      <c r="C360" s="46" t="s">
        <v>12</v>
      </c>
      <c r="D360" s="50">
        <f>Д2!D292+Ек!D318+Ек!D320+Д!D281+Е!D303+Е!D305</f>
        <v>8</v>
      </c>
      <c r="E360" s="373">
        <v>700</v>
      </c>
      <c r="F360" s="43"/>
      <c r="G360" s="2">
        <f>ROUND(E360*D360,2)</f>
        <v>5600</v>
      </c>
      <c r="H360" s="11"/>
      <c r="I360" s="11">
        <f>G360+H360</f>
        <v>5600</v>
      </c>
    </row>
    <row r="361" spans="1:9" outlineLevel="1" x14ac:dyDescent="0.25">
      <c r="A361" s="84"/>
      <c r="B361" s="47" t="s">
        <v>1542</v>
      </c>
      <c r="C361" s="41" t="s">
        <v>15</v>
      </c>
      <c r="D361" s="2">
        <f>Д2!D293+Ек!D319+Ек!D321+Д!D282+Е!D304+Е!D306</f>
        <v>331.44</v>
      </c>
      <c r="E361" s="51"/>
      <c r="F361" s="365">
        <v>42</v>
      </c>
      <c r="G361" s="51"/>
      <c r="H361" s="2">
        <f>ROUND(D361*F361,2)</f>
        <v>13920.48</v>
      </c>
      <c r="I361" s="140">
        <f>H361+G361</f>
        <v>13920.48</v>
      </c>
    </row>
    <row r="362" spans="1:9" outlineLevel="1" x14ac:dyDescent="0.25">
      <c r="A362" s="107" t="s">
        <v>1240</v>
      </c>
      <c r="B362" s="49" t="s">
        <v>1177</v>
      </c>
      <c r="C362" s="46" t="s">
        <v>9</v>
      </c>
      <c r="D362" s="31">
        <f>SUM(D363:D371)*0.04/1000</f>
        <v>0.13174399999999994</v>
      </c>
      <c r="E362" s="256">
        <v>40000</v>
      </c>
      <c r="F362" s="56"/>
      <c r="G362" s="2">
        <f>ROUND(E362*D362,2)</f>
        <v>5269.76</v>
      </c>
      <c r="H362" s="11"/>
      <c r="I362" s="11">
        <f>G362+H362</f>
        <v>5269.76</v>
      </c>
    </row>
    <row r="363" spans="1:9" outlineLevel="1" x14ac:dyDescent="0.25">
      <c r="A363" s="84"/>
      <c r="B363" s="731" t="s">
        <v>1178</v>
      </c>
      <c r="C363" s="41" t="s">
        <v>15</v>
      </c>
      <c r="D363" s="2">
        <f>Д2!D295+Ек!D323+Д!D284+Е!D308</f>
        <v>1550.56</v>
      </c>
      <c r="E363" s="51"/>
      <c r="F363" s="365">
        <v>33</v>
      </c>
      <c r="G363" s="51"/>
      <c r="H363" s="2">
        <f t="shared" ref="H363:H371" si="20">ROUND(D363*F363,2)</f>
        <v>51168.480000000003</v>
      </c>
      <c r="I363" s="140">
        <f t="shared" ref="I363:I371" si="21">H363+G363</f>
        <v>51168.480000000003</v>
      </c>
    </row>
    <row r="364" spans="1:9" outlineLevel="1" x14ac:dyDescent="0.25">
      <c r="A364" s="84"/>
      <c r="B364" s="731" t="s">
        <v>1195</v>
      </c>
      <c r="C364" s="41" t="s">
        <v>15</v>
      </c>
      <c r="D364" s="2">
        <f>Д2!D296+Ек!D324+Д!D285+Е!D309</f>
        <v>435.14</v>
      </c>
      <c r="E364" s="51"/>
      <c r="F364" s="365">
        <v>39</v>
      </c>
      <c r="G364" s="51"/>
      <c r="H364" s="2">
        <f t="shared" si="20"/>
        <v>16970.46</v>
      </c>
      <c r="I364" s="140">
        <f t="shared" si="21"/>
        <v>16970.46</v>
      </c>
    </row>
    <row r="365" spans="1:9" outlineLevel="1" x14ac:dyDescent="0.25">
      <c r="A365" s="84"/>
      <c r="B365" s="47" t="s">
        <v>1179</v>
      </c>
      <c r="C365" s="41" t="s">
        <v>15</v>
      </c>
      <c r="D365" s="2">
        <f>Д2!D297+Ек!D325+Д!D286+Е!D310</f>
        <v>316.31999999999994</v>
      </c>
      <c r="E365" s="51"/>
      <c r="F365" s="365">
        <v>33</v>
      </c>
      <c r="G365" s="51"/>
      <c r="H365" s="2">
        <f t="shared" si="20"/>
        <v>10438.56</v>
      </c>
      <c r="I365" s="140">
        <f t="shared" si="21"/>
        <v>10438.56</v>
      </c>
    </row>
    <row r="366" spans="1:9" outlineLevel="1" x14ac:dyDescent="0.25">
      <c r="A366" s="84"/>
      <c r="B366" s="47" t="s">
        <v>1180</v>
      </c>
      <c r="C366" s="41" t="s">
        <v>15</v>
      </c>
      <c r="D366" s="2">
        <f>Д2!D298+Ек!D326+Д!D287+Е!D311</f>
        <v>319.24</v>
      </c>
      <c r="E366" s="51"/>
      <c r="F366" s="365">
        <v>33</v>
      </c>
      <c r="G366" s="51"/>
      <c r="H366" s="2">
        <f t="shared" si="20"/>
        <v>10534.92</v>
      </c>
      <c r="I366" s="140">
        <f t="shared" si="21"/>
        <v>10534.92</v>
      </c>
    </row>
    <row r="367" spans="1:9" outlineLevel="1" x14ac:dyDescent="0.25">
      <c r="A367" s="84"/>
      <c r="B367" s="47" t="s">
        <v>1181</v>
      </c>
      <c r="C367" s="41" t="s">
        <v>15</v>
      </c>
      <c r="D367" s="2">
        <f>Д2!D299+Ек!D327+Д!D288+Е!D312</f>
        <v>598.53</v>
      </c>
      <c r="E367" s="51"/>
      <c r="F367" s="365">
        <v>33</v>
      </c>
      <c r="G367" s="51"/>
      <c r="H367" s="2">
        <f t="shared" si="20"/>
        <v>19751.490000000002</v>
      </c>
      <c r="I367" s="140">
        <f t="shared" si="21"/>
        <v>19751.490000000002</v>
      </c>
    </row>
    <row r="368" spans="1:9" outlineLevel="1" x14ac:dyDescent="0.25">
      <c r="A368" s="84"/>
      <c r="B368" s="47" t="s">
        <v>1182</v>
      </c>
      <c r="C368" s="41" t="s">
        <v>15</v>
      </c>
      <c r="D368" s="2">
        <f>Д2!D300+Ек!D328+Д!D289+Е!D313</f>
        <v>16.64</v>
      </c>
      <c r="E368" s="51"/>
      <c r="F368" s="365">
        <v>33</v>
      </c>
      <c r="G368" s="51"/>
      <c r="H368" s="2">
        <f t="shared" si="20"/>
        <v>549.12</v>
      </c>
      <c r="I368" s="140">
        <f t="shared" si="21"/>
        <v>549.12</v>
      </c>
    </row>
    <row r="369" spans="1:13" outlineLevel="1" x14ac:dyDescent="0.25">
      <c r="A369" s="84"/>
      <c r="B369" s="731" t="s">
        <v>1183</v>
      </c>
      <c r="C369" s="41" t="s">
        <v>15</v>
      </c>
      <c r="D369" s="2">
        <f>Д2!D301+Ек!D329+Д!D290+Е!D314</f>
        <v>7.89</v>
      </c>
      <c r="E369" s="51"/>
      <c r="F369" s="365">
        <v>31</v>
      </c>
      <c r="G369" s="51"/>
      <c r="H369" s="2">
        <f t="shared" si="20"/>
        <v>244.59</v>
      </c>
      <c r="I369" s="140">
        <f t="shared" si="21"/>
        <v>244.59</v>
      </c>
    </row>
    <row r="370" spans="1:13" outlineLevel="1" x14ac:dyDescent="0.25">
      <c r="A370" s="84"/>
      <c r="B370" s="47" t="s">
        <v>1184</v>
      </c>
      <c r="C370" s="41" t="s">
        <v>15</v>
      </c>
      <c r="D370" s="2">
        <f>Д2!D302+Ек!D330+Д!D291+Е!D315</f>
        <v>14.080000000000002</v>
      </c>
      <c r="E370" s="51"/>
      <c r="F370" s="365">
        <v>33</v>
      </c>
      <c r="G370" s="51"/>
      <c r="H370" s="2">
        <f t="shared" si="20"/>
        <v>464.64</v>
      </c>
      <c r="I370" s="140">
        <f t="shared" si="21"/>
        <v>464.64</v>
      </c>
    </row>
    <row r="371" spans="1:13" outlineLevel="1" x14ac:dyDescent="0.25">
      <c r="A371" s="84"/>
      <c r="B371" s="47" t="s">
        <v>1185</v>
      </c>
      <c r="C371" s="41" t="s">
        <v>15</v>
      </c>
      <c r="D371" s="2">
        <f>Д2!D303+Ек!D331+Д!D292+Е!D316</f>
        <v>35.200000000000003</v>
      </c>
      <c r="E371" s="51"/>
      <c r="F371" s="365">
        <v>33</v>
      </c>
      <c r="G371" s="51"/>
      <c r="H371" s="2">
        <f t="shared" si="20"/>
        <v>1161.5999999999999</v>
      </c>
      <c r="I371" s="140">
        <f t="shared" si="21"/>
        <v>1161.5999999999999</v>
      </c>
    </row>
    <row r="372" spans="1:13" outlineLevel="1" x14ac:dyDescent="0.25">
      <c r="A372" s="84"/>
      <c r="B372" s="47" t="s">
        <v>1135</v>
      </c>
      <c r="C372" s="41" t="s">
        <v>14</v>
      </c>
      <c r="D372" s="2">
        <f>Д2!D304+Ек!D332+Д!D293+Е!D317</f>
        <v>71.44</v>
      </c>
      <c r="E372" s="51"/>
      <c r="F372" s="362">
        <v>280</v>
      </c>
      <c r="G372" s="2"/>
      <c r="H372" s="2">
        <f>F372*D372</f>
        <v>20003.2</v>
      </c>
      <c r="I372" s="11">
        <f>H372</f>
        <v>20003.2</v>
      </c>
    </row>
    <row r="373" spans="1:13" outlineLevel="1" x14ac:dyDescent="0.25">
      <c r="A373" s="84"/>
      <c r="B373" s="47" t="s">
        <v>1186</v>
      </c>
      <c r="C373" s="41" t="s">
        <v>14</v>
      </c>
      <c r="D373" s="2">
        <f>Д2!D305+Ек!D333+Д!D294+Е!D318</f>
        <v>341.88</v>
      </c>
      <c r="E373" s="51"/>
      <c r="F373" s="362">
        <v>280</v>
      </c>
      <c r="G373" s="2"/>
      <c r="H373" s="2">
        <f>F373*D373</f>
        <v>95726.399999999994</v>
      </c>
      <c r="I373" s="11">
        <f>H373</f>
        <v>95726.399999999994</v>
      </c>
    </row>
    <row r="374" spans="1:13" outlineLevel="1" x14ac:dyDescent="0.25">
      <c r="A374" s="84"/>
      <c r="B374" s="45" t="s">
        <v>1462</v>
      </c>
      <c r="C374" s="41" t="s">
        <v>12</v>
      </c>
      <c r="D374" s="2">
        <f>Д2!D306+Ек!D334+Д!D295+Е!D319</f>
        <v>6</v>
      </c>
      <c r="E374" s="51"/>
      <c r="F374" s="328">
        <v>10000</v>
      </c>
      <c r="G374" s="51"/>
      <c r="H374" s="2">
        <f>ROUND(D374*F374,2)</f>
        <v>60000</v>
      </c>
      <c r="I374" s="140">
        <f>H374+G374</f>
        <v>60000</v>
      </c>
    </row>
    <row r="375" spans="1:13" outlineLevel="1" x14ac:dyDescent="0.3">
      <c r="A375" s="107" t="s">
        <v>1241</v>
      </c>
      <c r="B375" s="49" t="s">
        <v>807</v>
      </c>
      <c r="C375" s="41" t="s">
        <v>14</v>
      </c>
      <c r="D375" s="31">
        <f>D362*27</f>
        <v>3.5570879999999985</v>
      </c>
      <c r="E375" s="256">
        <v>150</v>
      </c>
      <c r="F375" s="484"/>
      <c r="G375" s="2">
        <f>D375*E375</f>
        <v>533.56319999999982</v>
      </c>
      <c r="H375" s="484"/>
      <c r="I375" s="11">
        <f>G375</f>
        <v>533.56319999999982</v>
      </c>
    </row>
    <row r="376" spans="1:13" outlineLevel="1" x14ac:dyDescent="0.3">
      <c r="A376" s="84"/>
      <c r="B376" s="47" t="s">
        <v>1166</v>
      </c>
      <c r="C376" s="41" t="s">
        <v>15</v>
      </c>
      <c r="D376" s="2">
        <f>D375*0.2</f>
        <v>0.71141759999999976</v>
      </c>
      <c r="E376" s="484"/>
      <c r="F376" s="362">
        <v>85</v>
      </c>
      <c r="G376" s="484"/>
      <c r="H376" s="2">
        <f>F376*D376</f>
        <v>60.470495999999983</v>
      </c>
      <c r="I376" s="11">
        <f>H376</f>
        <v>60.470495999999983</v>
      </c>
    </row>
    <row r="377" spans="1:13" outlineLevel="1" x14ac:dyDescent="0.3">
      <c r="A377" s="84"/>
      <c r="B377" s="47" t="s">
        <v>1162</v>
      </c>
      <c r="C377" s="41" t="s">
        <v>15</v>
      </c>
      <c r="D377" s="2">
        <f>D375*0.3</f>
        <v>1.0671263999999996</v>
      </c>
      <c r="E377" s="484"/>
      <c r="F377" s="362">
        <v>115</v>
      </c>
      <c r="G377" s="484"/>
      <c r="H377" s="2">
        <f>F377*D377</f>
        <v>122.71953599999995</v>
      </c>
      <c r="I377" s="11">
        <f>H377</f>
        <v>122.71953599999995</v>
      </c>
    </row>
    <row r="378" spans="1:13" s="36" customFormat="1" outlineLevel="1" x14ac:dyDescent="0.25">
      <c r="A378" s="92"/>
      <c r="B378" s="748" t="s">
        <v>1543</v>
      </c>
      <c r="C378" s="744"/>
      <c r="D378" s="745"/>
      <c r="E378" s="746"/>
      <c r="F378" s="747"/>
      <c r="G378" s="474">
        <f>SUM(G323:G377)</f>
        <v>1282300.2231999999</v>
      </c>
      <c r="H378" s="746"/>
      <c r="I378" s="749">
        <f>G378</f>
        <v>1282300.2231999999</v>
      </c>
      <c r="K378" s="162"/>
      <c r="L378" s="162"/>
      <c r="M378" s="162"/>
    </row>
    <row r="379" spans="1:13" s="36" customFormat="1" outlineLevel="1" x14ac:dyDescent="0.25">
      <c r="A379" s="92"/>
      <c r="B379" s="748" t="s">
        <v>1546</v>
      </c>
      <c r="C379" s="744"/>
      <c r="D379" s="745"/>
      <c r="E379" s="746"/>
      <c r="F379" s="747"/>
      <c r="G379" s="474"/>
      <c r="H379" s="473">
        <f>SUM(H323:H377)</f>
        <v>3374644.9000320006</v>
      </c>
      <c r="I379" s="749">
        <f>H379</f>
        <v>3374644.9000320006</v>
      </c>
      <c r="K379" s="162"/>
      <c r="L379" s="162"/>
      <c r="M379" s="162"/>
    </row>
    <row r="380" spans="1:13" s="36" customFormat="1" outlineLevel="1" x14ac:dyDescent="0.25">
      <c r="A380" s="92"/>
      <c r="B380" s="748" t="s">
        <v>1544</v>
      </c>
      <c r="C380" s="744"/>
      <c r="D380" s="745"/>
      <c r="E380" s="746"/>
      <c r="F380" s="747"/>
      <c r="G380" s="474">
        <f>G378*0.25</f>
        <v>320575.05579999997</v>
      </c>
      <c r="H380" s="746"/>
      <c r="I380" s="749">
        <f>G380</f>
        <v>320575.05579999997</v>
      </c>
      <c r="K380" s="162"/>
      <c r="L380" s="162"/>
      <c r="M380" s="162"/>
    </row>
    <row r="381" spans="1:13" s="36" customFormat="1" outlineLevel="1" x14ac:dyDescent="0.25">
      <c r="A381" s="92"/>
      <c r="B381" s="748" t="s">
        <v>1545</v>
      </c>
      <c r="C381" s="744"/>
      <c r="D381" s="745"/>
      <c r="E381" s="746"/>
      <c r="F381" s="747"/>
      <c r="G381" s="474">
        <f>G378*0.05</f>
        <v>64115.011159999995</v>
      </c>
      <c r="H381" s="746"/>
      <c r="I381" s="749">
        <f>G381</f>
        <v>64115.011159999995</v>
      </c>
      <c r="K381" s="162"/>
      <c r="L381" s="162"/>
      <c r="M381" s="162"/>
    </row>
    <row r="382" spans="1:13" x14ac:dyDescent="0.25">
      <c r="A382" s="223"/>
      <c r="B382" s="232" t="s">
        <v>55</v>
      </c>
      <c r="C382" s="225"/>
      <c r="D382" s="239"/>
      <c r="E382" s="230"/>
      <c r="F382" s="240"/>
      <c r="G382" s="230">
        <f>G378+G380+G381</f>
        <v>1666990.2901599999</v>
      </c>
      <c r="H382" s="230">
        <f>H379</f>
        <v>3374644.9000320006</v>
      </c>
      <c r="I382" s="230">
        <f>I378+I379+I380+I381</f>
        <v>5041635.1901920009</v>
      </c>
      <c r="J382" s="693"/>
      <c r="K382" s="133"/>
    </row>
    <row r="383" spans="1:13" ht="15" customHeight="1" x14ac:dyDescent="0.25">
      <c r="A383" s="90"/>
      <c r="B383" s="471" t="s">
        <v>624</v>
      </c>
      <c r="C383" s="9"/>
      <c r="D383" s="31"/>
      <c r="E383" s="10"/>
      <c r="F383" s="57"/>
      <c r="G383" s="10"/>
      <c r="H383" s="10"/>
      <c r="I383" s="31">
        <f>ROUND(I382/1.18*0.18,2)</f>
        <v>769063</v>
      </c>
    </row>
    <row r="384" spans="1:13" ht="18.75" customHeight="1" x14ac:dyDescent="0.25">
      <c r="A384" s="104"/>
      <c r="B384" s="752" t="s">
        <v>1202</v>
      </c>
      <c r="C384" s="105"/>
      <c r="D384" s="105"/>
      <c r="E384" s="105"/>
      <c r="F384" s="138"/>
      <c r="G384" s="105"/>
      <c r="H384" s="105"/>
      <c r="I384" s="106"/>
    </row>
    <row r="385" spans="1:252" s="38" customFormat="1" ht="31.2" outlineLevel="1" x14ac:dyDescent="0.25">
      <c r="A385" s="271" t="s">
        <v>239</v>
      </c>
      <c r="B385" s="730" t="s">
        <v>1013</v>
      </c>
      <c r="C385" s="202" t="s">
        <v>14</v>
      </c>
      <c r="D385" s="202">
        <f>Д2!D320+Ек!D341+Д!D302+Е!D326</f>
        <v>549.28440000000001</v>
      </c>
      <c r="E385" s="353">
        <v>1700</v>
      </c>
      <c r="F385" s="207">
        <v>2900</v>
      </c>
      <c r="G385" s="2">
        <f>ROUND(E385*D385,2)</f>
        <v>933783.48</v>
      </c>
      <c r="H385" s="2">
        <f>ROUND(D385*F385,2)</f>
        <v>1592924.76</v>
      </c>
      <c r="I385" s="3">
        <f>H385+G385</f>
        <v>2526708.2400000002</v>
      </c>
      <c r="J385" s="430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  <c r="EG385" s="15"/>
      <c r="EH385" s="15"/>
      <c r="EI385" s="15"/>
      <c r="EJ385" s="15"/>
      <c r="EK385" s="15"/>
      <c r="EL385" s="15"/>
      <c r="EM385" s="15"/>
      <c r="EN385" s="15"/>
      <c r="EO385" s="15"/>
      <c r="EP385" s="15"/>
      <c r="EQ385" s="15"/>
      <c r="ER385" s="15"/>
      <c r="ES385" s="15"/>
      <c r="ET385" s="15"/>
      <c r="EU385" s="15"/>
      <c r="EV385" s="15"/>
      <c r="EW385" s="15"/>
      <c r="EX385" s="15"/>
      <c r="EY385" s="15"/>
      <c r="EZ385" s="15"/>
      <c r="FA385" s="15"/>
      <c r="FB385" s="15"/>
      <c r="FC385" s="15"/>
      <c r="FD385" s="15"/>
      <c r="FE385" s="15"/>
      <c r="FF385" s="15"/>
      <c r="FG385" s="15"/>
      <c r="FH385" s="15"/>
      <c r="FI385" s="15"/>
      <c r="FJ385" s="15"/>
      <c r="FK385" s="15"/>
      <c r="FL385" s="15"/>
      <c r="FM385" s="15"/>
      <c r="FN385" s="15"/>
      <c r="FO385" s="15"/>
      <c r="FP385" s="15"/>
      <c r="FQ385" s="15"/>
      <c r="FR385" s="15"/>
      <c r="FS385" s="15"/>
      <c r="FT385" s="15"/>
      <c r="FU385" s="15"/>
      <c r="FV385" s="15"/>
      <c r="FW385" s="15"/>
      <c r="FX385" s="15"/>
      <c r="FY385" s="15"/>
      <c r="FZ385" s="15"/>
      <c r="GA385" s="15"/>
      <c r="GB385" s="15"/>
      <c r="GC385" s="15"/>
      <c r="GD385" s="15"/>
      <c r="GE385" s="15"/>
      <c r="GF385" s="15"/>
      <c r="GG385" s="15"/>
      <c r="GH385" s="15"/>
      <c r="GI385" s="15"/>
      <c r="GJ385" s="15"/>
      <c r="GK385" s="15"/>
      <c r="GL385" s="15"/>
      <c r="GM385" s="15"/>
      <c r="GN385" s="15"/>
      <c r="GO385" s="15"/>
      <c r="GP385" s="15"/>
      <c r="GQ385" s="15"/>
      <c r="GR385" s="15"/>
      <c r="GS385" s="15"/>
      <c r="GT385" s="15"/>
      <c r="GU385" s="15"/>
      <c r="GV385" s="15"/>
      <c r="GW385" s="15"/>
      <c r="GX385" s="15"/>
      <c r="GY385" s="15"/>
      <c r="GZ385" s="15"/>
      <c r="HA385" s="15"/>
      <c r="HB385" s="15"/>
      <c r="HC385" s="15"/>
      <c r="HD385" s="15"/>
      <c r="HE385" s="15"/>
      <c r="HF385" s="15"/>
      <c r="HG385" s="15"/>
      <c r="HH385" s="15"/>
      <c r="HI385" s="15"/>
      <c r="HJ385" s="15"/>
      <c r="HK385" s="15"/>
      <c r="HL385" s="15"/>
      <c r="HM385" s="15"/>
      <c r="HN385" s="15"/>
      <c r="HO385" s="15"/>
      <c r="HP385" s="15"/>
      <c r="HQ385" s="15"/>
      <c r="HR385" s="15"/>
      <c r="HS385" s="15"/>
      <c r="HT385" s="15"/>
      <c r="HU385" s="15"/>
      <c r="HV385" s="15"/>
      <c r="HW385" s="15"/>
      <c r="HX385" s="15"/>
      <c r="HY385" s="15"/>
      <c r="HZ385" s="15"/>
      <c r="IA385" s="15"/>
      <c r="IB385" s="15"/>
      <c r="IC385" s="15"/>
      <c r="ID385" s="15"/>
      <c r="IE385" s="15"/>
      <c r="IF385" s="15"/>
      <c r="IG385" s="15"/>
      <c r="IH385" s="15"/>
      <c r="II385" s="15"/>
      <c r="IJ385" s="15"/>
      <c r="IK385" s="15"/>
      <c r="IL385" s="15"/>
      <c r="IM385" s="15"/>
      <c r="IN385" s="15"/>
      <c r="IO385" s="15"/>
      <c r="IP385" s="15"/>
      <c r="IQ385" s="15"/>
      <c r="IR385" s="15"/>
    </row>
    <row r="386" spans="1:252" s="38" customFormat="1" outlineLevel="1" x14ac:dyDescent="0.25">
      <c r="A386" s="90"/>
      <c r="B386" s="52" t="s">
        <v>1322</v>
      </c>
      <c r="C386" s="202" t="s">
        <v>14</v>
      </c>
      <c r="D386" s="202">
        <f>Д2!D321+Ек!D342+Д!D303</f>
        <v>38.135999999999996</v>
      </c>
      <c r="E386" s="353">
        <v>2000</v>
      </c>
      <c r="F386" s="207">
        <v>5200</v>
      </c>
      <c r="G386" s="2">
        <f>ROUND(E386*D386,2)</f>
        <v>76272</v>
      </c>
      <c r="H386" s="2">
        <f>ROUND(D386*F386,2)</f>
        <v>198307.20000000001</v>
      </c>
      <c r="I386" s="3">
        <f>H386+G386</f>
        <v>274579.20000000001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N386" s="15"/>
      <c r="EO386" s="15"/>
      <c r="EP386" s="15"/>
      <c r="EQ386" s="15"/>
      <c r="ER386" s="15"/>
      <c r="ES386" s="15"/>
      <c r="ET386" s="15"/>
      <c r="EU386" s="15"/>
      <c r="EV386" s="15"/>
      <c r="EW386" s="15"/>
      <c r="EX386" s="15"/>
      <c r="EY386" s="15"/>
      <c r="EZ386" s="15"/>
      <c r="FA386" s="15"/>
      <c r="FB386" s="15"/>
      <c r="FC386" s="15"/>
      <c r="FD386" s="15"/>
      <c r="FE386" s="15"/>
      <c r="FF386" s="15"/>
      <c r="FG386" s="15"/>
      <c r="FH386" s="15"/>
      <c r="FI386" s="15"/>
      <c r="FJ386" s="15"/>
      <c r="FK386" s="15"/>
      <c r="FL386" s="15"/>
      <c r="FM386" s="15"/>
      <c r="FN386" s="15"/>
      <c r="FO386" s="15"/>
      <c r="FP386" s="15"/>
      <c r="FQ386" s="15"/>
      <c r="FR386" s="15"/>
      <c r="FS386" s="15"/>
      <c r="FT386" s="15"/>
      <c r="FU386" s="15"/>
      <c r="FV386" s="15"/>
      <c r="FW386" s="15"/>
      <c r="FX386" s="15"/>
      <c r="FY386" s="15"/>
      <c r="FZ386" s="15"/>
      <c r="GA386" s="15"/>
      <c r="GB386" s="15"/>
      <c r="GC386" s="15"/>
      <c r="GD386" s="15"/>
      <c r="GE386" s="15"/>
      <c r="GF386" s="15"/>
      <c r="GG386" s="15"/>
      <c r="GH386" s="15"/>
      <c r="GI386" s="15"/>
      <c r="GJ386" s="15"/>
      <c r="GK386" s="15"/>
      <c r="GL386" s="15"/>
      <c r="GM386" s="15"/>
      <c r="GN386" s="15"/>
      <c r="GO386" s="15"/>
      <c r="GP386" s="15"/>
      <c r="GQ386" s="15"/>
      <c r="GR386" s="15"/>
      <c r="GS386" s="15"/>
      <c r="GT386" s="15"/>
      <c r="GU386" s="15"/>
      <c r="GV386" s="15"/>
      <c r="GW386" s="15"/>
      <c r="GX386" s="15"/>
      <c r="GY386" s="15"/>
      <c r="GZ386" s="15"/>
      <c r="HA386" s="15"/>
      <c r="HB386" s="15"/>
      <c r="HC386" s="15"/>
      <c r="HD386" s="15"/>
      <c r="HE386" s="15"/>
      <c r="HF386" s="15"/>
      <c r="HG386" s="15"/>
      <c r="HH386" s="15"/>
      <c r="HI386" s="15"/>
      <c r="HJ386" s="15"/>
      <c r="HK386" s="15"/>
      <c r="HL386" s="15"/>
      <c r="HM386" s="15"/>
      <c r="HN386" s="15"/>
      <c r="HO386" s="15"/>
      <c r="HP386" s="15"/>
      <c r="HQ386" s="15"/>
      <c r="HR386" s="15"/>
      <c r="HS386" s="15"/>
      <c r="HT386" s="15"/>
      <c r="HU386" s="15"/>
      <c r="HV386" s="15"/>
      <c r="HW386" s="15"/>
      <c r="HX386" s="15"/>
      <c r="HY386" s="15"/>
      <c r="HZ386" s="15"/>
      <c r="IA386" s="15"/>
      <c r="IB386" s="15"/>
      <c r="IC386" s="15"/>
      <c r="ID386" s="15"/>
      <c r="IE386" s="15"/>
      <c r="IF386" s="15"/>
      <c r="IG386" s="15"/>
      <c r="IH386" s="15"/>
      <c r="II386" s="15"/>
      <c r="IJ386" s="15"/>
      <c r="IK386" s="15"/>
      <c r="IL386" s="15"/>
      <c r="IM386" s="15"/>
      <c r="IN386" s="15"/>
      <c r="IO386" s="15"/>
      <c r="IP386" s="15"/>
      <c r="IQ386" s="15"/>
      <c r="IR386" s="15"/>
    </row>
    <row r="387" spans="1:252" s="38" customFormat="1" outlineLevel="1" x14ac:dyDescent="0.25">
      <c r="A387" s="271" t="s">
        <v>1203</v>
      </c>
      <c r="B387" s="52" t="s">
        <v>1014</v>
      </c>
      <c r="C387" s="202" t="s">
        <v>1323</v>
      </c>
      <c r="D387" s="729">
        <f>Д2!D322+Ек!D343+Д!D304+Е!D327</f>
        <v>281.12</v>
      </c>
      <c r="E387" s="353">
        <v>250</v>
      </c>
      <c r="F387" s="207"/>
      <c r="G387" s="2">
        <f>ROUND(E387*D387,2)</f>
        <v>70280</v>
      </c>
      <c r="H387" s="2">
        <f>ROUND(D387*F387,2)</f>
        <v>0</v>
      </c>
      <c r="I387" s="3">
        <f>H387+G387</f>
        <v>70280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  <c r="EP387" s="15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  <c r="FL387" s="15"/>
      <c r="FM387" s="15"/>
      <c r="FN387" s="15"/>
      <c r="FO387" s="15"/>
      <c r="FP387" s="15"/>
      <c r="FQ387" s="15"/>
      <c r="FR387" s="15"/>
      <c r="FS387" s="15"/>
      <c r="FT387" s="15"/>
      <c r="FU387" s="15"/>
      <c r="FV387" s="15"/>
      <c r="FW387" s="15"/>
      <c r="FX387" s="15"/>
      <c r="FY387" s="15"/>
      <c r="FZ387" s="15"/>
      <c r="GA387" s="15"/>
      <c r="GB387" s="15"/>
      <c r="GC387" s="15"/>
      <c r="GD387" s="15"/>
      <c r="GE387" s="15"/>
      <c r="GF387" s="15"/>
      <c r="GG387" s="15"/>
      <c r="GH387" s="15"/>
      <c r="GI387" s="15"/>
      <c r="GJ387" s="15"/>
      <c r="GK387" s="15"/>
      <c r="GL387" s="15"/>
      <c r="GM387" s="15"/>
      <c r="GN387" s="15"/>
      <c r="GO387" s="15"/>
      <c r="GP387" s="15"/>
      <c r="GQ387" s="15"/>
      <c r="GR387" s="15"/>
      <c r="GS387" s="15"/>
      <c r="GT387" s="15"/>
      <c r="GU387" s="15"/>
      <c r="GV387" s="15"/>
      <c r="GW387" s="15"/>
      <c r="GX387" s="15"/>
      <c r="GY387" s="15"/>
      <c r="GZ387" s="15"/>
      <c r="HA387" s="15"/>
      <c r="HB387" s="15"/>
      <c r="HC387" s="15"/>
      <c r="HD387" s="15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5"/>
      <c r="HT387" s="15"/>
      <c r="HU387" s="15"/>
      <c r="HV387" s="15"/>
      <c r="HW387" s="15"/>
      <c r="HX387" s="15"/>
      <c r="HY387" s="15"/>
      <c r="HZ387" s="15"/>
      <c r="IA387" s="15"/>
      <c r="IB387" s="15"/>
      <c r="IC387" s="15"/>
      <c r="ID387" s="15"/>
      <c r="IE387" s="15"/>
      <c r="IF387" s="15"/>
      <c r="IG387" s="15"/>
      <c r="IH387" s="15"/>
      <c r="II387" s="15"/>
      <c r="IJ387" s="15"/>
      <c r="IK387" s="15"/>
      <c r="IL387" s="15"/>
      <c r="IM387" s="15"/>
      <c r="IN387" s="15"/>
      <c r="IO387" s="15"/>
      <c r="IP387" s="15"/>
      <c r="IQ387" s="15"/>
      <c r="IR387" s="15"/>
    </row>
    <row r="388" spans="1:252" x14ac:dyDescent="0.25">
      <c r="A388" s="223"/>
      <c r="B388" s="224" t="s">
        <v>59</v>
      </c>
      <c r="C388" s="225"/>
      <c r="D388" s="226"/>
      <c r="E388" s="227"/>
      <c r="F388" s="228"/>
      <c r="G388" s="227">
        <f>SUM(G385:G387)</f>
        <v>1080335.48</v>
      </c>
      <c r="H388" s="227">
        <f>SUM(H385:H387)</f>
        <v>1791231.96</v>
      </c>
      <c r="I388" s="227">
        <f>SUM(I385:I387)</f>
        <v>2871567.4400000004</v>
      </c>
      <c r="J388" s="693"/>
      <c r="K388" s="734"/>
    </row>
    <row r="389" spans="1:252" ht="16.2" customHeight="1" x14ac:dyDescent="0.25">
      <c r="A389" s="90"/>
      <c r="B389" s="471" t="s">
        <v>624</v>
      </c>
      <c r="C389" s="9"/>
      <c r="D389" s="31"/>
      <c r="E389" s="10"/>
      <c r="F389" s="57"/>
      <c r="G389" s="10"/>
      <c r="H389" s="10"/>
      <c r="I389" s="31">
        <f>ROUND(I388/1.18*0.18,2)</f>
        <v>438035.71</v>
      </c>
    </row>
    <row r="390" spans="1:252" ht="18.75" customHeight="1" x14ac:dyDescent="0.25">
      <c r="A390" s="109"/>
      <c r="B390" s="752" t="s">
        <v>1204</v>
      </c>
      <c r="C390" s="105"/>
      <c r="D390" s="105"/>
      <c r="E390" s="105"/>
      <c r="F390" s="138"/>
      <c r="G390" s="105"/>
      <c r="H390" s="105"/>
      <c r="I390" s="106"/>
    </row>
    <row r="391" spans="1:252" outlineLevel="1" x14ac:dyDescent="0.25">
      <c r="A391" s="271" t="s">
        <v>316</v>
      </c>
      <c r="B391" s="71" t="s">
        <v>37</v>
      </c>
      <c r="C391" s="2" t="s">
        <v>12</v>
      </c>
      <c r="D391" s="160">
        <f>SUM(D392:D397)</f>
        <v>117</v>
      </c>
      <c r="E391" s="256">
        <v>1200</v>
      </c>
      <c r="F391" s="60"/>
      <c r="G391" s="2">
        <f>ROUND(E391*D391,2)</f>
        <v>140400</v>
      </c>
      <c r="H391" s="18"/>
      <c r="I391" s="18">
        <f>G391+H391</f>
        <v>140400</v>
      </c>
    </row>
    <row r="392" spans="1:252" ht="31.2" outlineLevel="1" x14ac:dyDescent="0.25">
      <c r="A392" s="84"/>
      <c r="B392" s="28" t="s">
        <v>225</v>
      </c>
      <c r="C392" s="21" t="s">
        <v>12</v>
      </c>
      <c r="D392" s="726">
        <f>Д2!D327+Ек!D348+Д!D309+Е!D332</f>
        <v>86</v>
      </c>
      <c r="E392" s="2"/>
      <c r="F392" s="361">
        <v>1400</v>
      </c>
      <c r="G392" s="18"/>
      <c r="H392" s="2">
        <f t="shared" ref="H392:H397" si="22">ROUND(D392*F392,2)</f>
        <v>120400</v>
      </c>
      <c r="I392" s="18">
        <f t="shared" ref="I392:I401" si="23">G392+H392</f>
        <v>120400</v>
      </c>
    </row>
    <row r="393" spans="1:252" outlineLevel="1" x14ac:dyDescent="0.25">
      <c r="A393" s="84"/>
      <c r="B393" s="28" t="s">
        <v>1468</v>
      </c>
      <c r="C393" s="21" t="s">
        <v>12</v>
      </c>
      <c r="D393" s="726">
        <f>Д2!D328+Ек!D349+Д!D310+Е!D333</f>
        <v>20</v>
      </c>
      <c r="E393" s="2"/>
      <c r="F393" s="361">
        <v>1400</v>
      </c>
      <c r="G393" s="18"/>
      <c r="H393" s="2">
        <f t="shared" si="22"/>
        <v>28000</v>
      </c>
      <c r="I393" s="18">
        <f>G393+H393</f>
        <v>28000</v>
      </c>
    </row>
    <row r="394" spans="1:252" ht="31.2" outlineLevel="1" x14ac:dyDescent="0.25">
      <c r="A394" s="84"/>
      <c r="B394" s="28" t="s">
        <v>1217</v>
      </c>
      <c r="C394" s="21" t="s">
        <v>12</v>
      </c>
      <c r="D394" s="726">
        <f>Ек!D350+Е!D334</f>
        <v>2</v>
      </c>
      <c r="E394" s="2"/>
      <c r="F394" s="361">
        <v>24500</v>
      </c>
      <c r="G394" s="18"/>
      <c r="H394" s="2">
        <f t="shared" si="22"/>
        <v>49000</v>
      </c>
      <c r="I394" s="18">
        <f>G394+H394</f>
        <v>49000</v>
      </c>
    </row>
    <row r="395" spans="1:252" ht="31.2" outlineLevel="1" x14ac:dyDescent="0.25">
      <c r="A395" s="84"/>
      <c r="B395" s="28" t="s">
        <v>1430</v>
      </c>
      <c r="C395" s="21" t="s">
        <v>12</v>
      </c>
      <c r="D395" s="726">
        <f>Д2!D329+Ек!D351+Д!D311+Е!D335</f>
        <v>4</v>
      </c>
      <c r="E395" s="2"/>
      <c r="F395" s="361">
        <v>24500</v>
      </c>
      <c r="G395" s="18"/>
      <c r="H395" s="2">
        <f t="shared" si="22"/>
        <v>98000</v>
      </c>
      <c r="I395" s="18">
        <f t="shared" si="23"/>
        <v>98000</v>
      </c>
    </row>
    <row r="396" spans="1:252" ht="31.2" outlineLevel="1" x14ac:dyDescent="0.25">
      <c r="A396" s="84"/>
      <c r="B396" s="28" t="s">
        <v>1218</v>
      </c>
      <c r="C396" s="21" t="s">
        <v>12</v>
      </c>
      <c r="D396" s="726">
        <f>Е!D336</f>
        <v>1</v>
      </c>
      <c r="E396" s="2"/>
      <c r="F396" s="361">
        <v>24500</v>
      </c>
      <c r="G396" s="18"/>
      <c r="H396" s="2">
        <f t="shared" si="22"/>
        <v>24500</v>
      </c>
      <c r="I396" s="18">
        <f>G396+H396</f>
        <v>24500</v>
      </c>
    </row>
    <row r="397" spans="1:252" outlineLevel="1" x14ac:dyDescent="0.25">
      <c r="A397" s="84"/>
      <c r="B397" s="28" t="s">
        <v>1463</v>
      </c>
      <c r="C397" s="21" t="s">
        <v>12</v>
      </c>
      <c r="D397" s="726">
        <f>Д2!D330+Ек!D352+Д!D312+Е!D337</f>
        <v>4</v>
      </c>
      <c r="E397" s="2"/>
      <c r="F397" s="164">
        <v>10000</v>
      </c>
      <c r="G397" s="18"/>
      <c r="H397" s="2">
        <f t="shared" si="22"/>
        <v>40000</v>
      </c>
      <c r="I397" s="18">
        <f>G397+H397</f>
        <v>40000</v>
      </c>
    </row>
    <row r="398" spans="1:252" ht="31.5" customHeight="1" outlineLevel="1" x14ac:dyDescent="0.25">
      <c r="A398" s="271" t="s">
        <v>469</v>
      </c>
      <c r="B398" s="9" t="s">
        <v>38</v>
      </c>
      <c r="C398" s="2" t="s">
        <v>12</v>
      </c>
      <c r="D398" s="160">
        <f>SUM(D399:D401)</f>
        <v>9</v>
      </c>
      <c r="E398" s="256">
        <v>1600</v>
      </c>
      <c r="F398" s="164"/>
      <c r="G398" s="2">
        <f>ROUND(E398*D398,2)</f>
        <v>14400</v>
      </c>
      <c r="H398" s="18"/>
      <c r="I398" s="18">
        <f t="shared" si="23"/>
        <v>14400</v>
      </c>
    </row>
    <row r="399" spans="1:252" ht="31.2" outlineLevel="1" x14ac:dyDescent="0.25">
      <c r="A399" s="84"/>
      <c r="B399" s="28" t="s">
        <v>1216</v>
      </c>
      <c r="C399" s="21" t="s">
        <v>12</v>
      </c>
      <c r="D399" s="726">
        <f>Д2!D332+Ек!D354+Д!D315+Е!D339</f>
        <v>4</v>
      </c>
      <c r="E399" s="2"/>
      <c r="F399" s="361">
        <f>10915*1.18</f>
        <v>12879.699999999999</v>
      </c>
      <c r="G399" s="18"/>
      <c r="H399" s="2">
        <f>ROUND(D399*F399,2)</f>
        <v>51518.8</v>
      </c>
      <c r="I399" s="18">
        <f t="shared" si="23"/>
        <v>51518.8</v>
      </c>
    </row>
    <row r="400" spans="1:252" ht="31.2" outlineLevel="1" x14ac:dyDescent="0.25">
      <c r="A400" s="84"/>
      <c r="B400" s="28" t="s">
        <v>1215</v>
      </c>
      <c r="C400" s="21" t="s">
        <v>12</v>
      </c>
      <c r="D400" s="726">
        <f>Д!D314</f>
        <v>1</v>
      </c>
      <c r="E400" s="2"/>
      <c r="F400" s="361">
        <f>10200*1.18</f>
        <v>12036</v>
      </c>
      <c r="G400" s="18"/>
      <c r="H400" s="2">
        <f>ROUND(D400*F400,2)</f>
        <v>12036</v>
      </c>
      <c r="I400" s="18">
        <f t="shared" si="23"/>
        <v>12036</v>
      </c>
    </row>
    <row r="401" spans="1:12" outlineLevel="1" x14ac:dyDescent="0.25">
      <c r="A401" s="84"/>
      <c r="B401" s="28" t="s">
        <v>1464</v>
      </c>
      <c r="C401" s="21" t="s">
        <v>12</v>
      </c>
      <c r="D401" s="726">
        <f>Д2!D333+Ек!D355+Д!D316+Е!D340</f>
        <v>4</v>
      </c>
      <c r="E401" s="2"/>
      <c r="F401" s="361">
        <f>10915*1.18</f>
        <v>12879.699999999999</v>
      </c>
      <c r="G401" s="18"/>
      <c r="H401" s="2">
        <f>ROUND(D401*F401,2)</f>
        <v>51518.8</v>
      </c>
      <c r="I401" s="18">
        <f t="shared" si="23"/>
        <v>51518.8</v>
      </c>
    </row>
    <row r="402" spans="1:12" outlineLevel="1" x14ac:dyDescent="0.25">
      <c r="A402" s="271" t="s">
        <v>522</v>
      </c>
      <c r="B402" s="9" t="s">
        <v>664</v>
      </c>
      <c r="C402" s="2" t="s">
        <v>12</v>
      </c>
      <c r="D402" s="160">
        <f>SUM(D403:D405)</f>
        <v>8</v>
      </c>
      <c r="E402" s="256">
        <v>1300</v>
      </c>
      <c r="F402" s="485">
        <v>10800</v>
      </c>
      <c r="G402" s="2">
        <f>ROUND(E402*D402,2)</f>
        <v>10400</v>
      </c>
      <c r="H402" s="2">
        <f>ROUND(D402*F402,2)</f>
        <v>86400</v>
      </c>
      <c r="I402" s="18">
        <f>G402+H402</f>
        <v>96800</v>
      </c>
    </row>
    <row r="403" spans="1:12" outlineLevel="1" x14ac:dyDescent="0.25">
      <c r="A403" s="84"/>
      <c r="B403" s="22" t="s">
        <v>1465</v>
      </c>
      <c r="C403" s="2" t="s">
        <v>12</v>
      </c>
      <c r="D403" s="727">
        <f>Д2!D335+Ек!D357+Д!D318+Е!D342</f>
        <v>4</v>
      </c>
      <c r="E403" s="158"/>
      <c r="F403" s="60"/>
      <c r="G403" s="18"/>
      <c r="H403" s="18"/>
      <c r="I403" s="18"/>
    </row>
    <row r="404" spans="1:12" outlineLevel="1" x14ac:dyDescent="0.25">
      <c r="A404" s="84"/>
      <c r="B404" s="22" t="s">
        <v>1466</v>
      </c>
      <c r="C404" s="2" t="s">
        <v>12</v>
      </c>
      <c r="D404" s="727">
        <f>Ек!D358+Е!D343</f>
        <v>2</v>
      </c>
      <c r="E404" s="158"/>
      <c r="F404" s="60"/>
      <c r="G404" s="18"/>
      <c r="H404" s="18"/>
      <c r="I404" s="18"/>
    </row>
    <row r="405" spans="1:12" outlineLevel="1" x14ac:dyDescent="0.25">
      <c r="A405" s="84"/>
      <c r="B405" s="22" t="s">
        <v>1467</v>
      </c>
      <c r="C405" s="2" t="s">
        <v>12</v>
      </c>
      <c r="D405" s="727">
        <f>Ек!D359+Е!D344</f>
        <v>2</v>
      </c>
      <c r="E405" s="158"/>
      <c r="F405" s="60"/>
      <c r="G405" s="18"/>
      <c r="H405" s="18"/>
      <c r="I405" s="18"/>
    </row>
    <row r="406" spans="1:12" outlineLevel="1" x14ac:dyDescent="0.25">
      <c r="A406" s="271" t="s">
        <v>523</v>
      </c>
      <c r="B406" s="9" t="s">
        <v>665</v>
      </c>
      <c r="C406" s="2" t="s">
        <v>12</v>
      </c>
      <c r="D406" s="728">
        <f>D407+D408</f>
        <v>44</v>
      </c>
      <c r="E406" s="256">
        <v>1300</v>
      </c>
      <c r="F406" s="60"/>
      <c r="G406" s="2">
        <f>ROUND(E406*D406,2)</f>
        <v>57200</v>
      </c>
      <c r="H406" s="18"/>
      <c r="I406" s="18">
        <f>G406+H406</f>
        <v>57200</v>
      </c>
    </row>
    <row r="407" spans="1:12" outlineLevel="1" x14ac:dyDescent="0.25">
      <c r="A407" s="84"/>
      <c r="B407" s="22" t="s">
        <v>1219</v>
      </c>
      <c r="C407" s="2" t="s">
        <v>12</v>
      </c>
      <c r="D407" s="727">
        <f>Д2!D337+Ек!D361+Д!D320+Е!D346</f>
        <v>22</v>
      </c>
      <c r="E407" s="2"/>
      <c r="F407" s="164">
        <v>700</v>
      </c>
      <c r="G407" s="18"/>
      <c r="H407" s="2">
        <f>ROUND(D407*F407,2)</f>
        <v>15400</v>
      </c>
      <c r="I407" s="18">
        <f>G407+H407</f>
        <v>15400</v>
      </c>
    </row>
    <row r="408" spans="1:12" ht="31.2" outlineLevel="1" x14ac:dyDescent="0.25">
      <c r="A408" s="84"/>
      <c r="B408" s="22" t="s">
        <v>1220</v>
      </c>
      <c r="C408" s="2" t="s">
        <v>12</v>
      </c>
      <c r="D408" s="727">
        <f>Д2!D338+Ек!D362+Д!D321+Е!D347</f>
        <v>22</v>
      </c>
      <c r="E408" s="2"/>
      <c r="F408" s="164">
        <v>2000</v>
      </c>
      <c r="G408" s="18"/>
      <c r="H408" s="2">
        <f>ROUND(D408*F408,2)</f>
        <v>44000</v>
      </c>
      <c r="I408" s="18">
        <f>G408+H408</f>
        <v>44000</v>
      </c>
    </row>
    <row r="409" spans="1:12" x14ac:dyDescent="0.25">
      <c r="A409" s="223"/>
      <c r="B409" s="232" t="s">
        <v>58</v>
      </c>
      <c r="C409" s="225"/>
      <c r="D409" s="226"/>
      <c r="E409" s="227"/>
      <c r="F409" s="228"/>
      <c r="G409" s="227">
        <f>SUM(G391:G408)</f>
        <v>222400</v>
      </c>
      <c r="H409" s="227">
        <f>SUM(H391:H408)</f>
        <v>620773.6</v>
      </c>
      <c r="I409" s="227">
        <f>SUM(I391:I408)</f>
        <v>843173.60000000009</v>
      </c>
      <c r="J409" s="693"/>
    </row>
    <row r="410" spans="1:12" ht="16.95" customHeight="1" x14ac:dyDescent="0.25">
      <c r="A410" s="90"/>
      <c r="B410" s="471" t="s">
        <v>624</v>
      </c>
      <c r="C410" s="9"/>
      <c r="D410" s="31"/>
      <c r="E410" s="10"/>
      <c r="F410" s="57"/>
      <c r="G410" s="10"/>
      <c r="H410" s="10"/>
      <c r="I410" s="31">
        <f>ROUND(I409/1.18*0.18,2)</f>
        <v>128619.7</v>
      </c>
    </row>
    <row r="411" spans="1:12" ht="18.75" customHeight="1" x14ac:dyDescent="0.25">
      <c r="A411" s="108"/>
      <c r="B411" s="752" t="s">
        <v>1205</v>
      </c>
      <c r="C411" s="105"/>
      <c r="D411" s="105"/>
      <c r="E411" s="105"/>
      <c r="F411" s="138"/>
      <c r="G411" s="105"/>
      <c r="H411" s="105"/>
      <c r="I411" s="106"/>
    </row>
    <row r="412" spans="1:12" s="6" customFormat="1" ht="31.5" customHeight="1" outlineLevel="1" x14ac:dyDescent="0.25">
      <c r="A412" s="107" t="s">
        <v>317</v>
      </c>
      <c r="B412" s="494" t="s">
        <v>1005</v>
      </c>
      <c r="C412" s="31" t="s">
        <v>14</v>
      </c>
      <c r="D412" s="160">
        <f>Д2!D342+Ек!D366+Д!D325+Е!D351</f>
        <v>2515.7415999999998</v>
      </c>
      <c r="E412" s="256">
        <v>800</v>
      </c>
      <c r="F412" s="60">
        <v>600</v>
      </c>
      <c r="G412" s="2">
        <f>ROUND(E412*D412,2)</f>
        <v>2012593.28</v>
      </c>
      <c r="H412" s="2">
        <f>ROUND(D412*F412,2)</f>
        <v>1509444.96</v>
      </c>
      <c r="I412" s="18">
        <f>G412+H412</f>
        <v>3522038.24</v>
      </c>
      <c r="J412" s="499"/>
      <c r="K412" s="25"/>
      <c r="L412" s="25"/>
    </row>
    <row r="413" spans="1:12" outlineLevel="1" x14ac:dyDescent="0.25">
      <c r="A413" s="107" t="s">
        <v>318</v>
      </c>
      <c r="B413" s="29" t="s">
        <v>1391</v>
      </c>
      <c r="C413" s="31" t="s">
        <v>14</v>
      </c>
      <c r="D413" s="160">
        <f>Д2!D351+Ек!D371+Д!D330+Е!D356</f>
        <v>329.63279999999997</v>
      </c>
      <c r="E413" s="256">
        <v>350</v>
      </c>
      <c r="F413" s="60"/>
      <c r="G413" s="2">
        <f>ROUND(E413*D413,2)</f>
        <v>115371.48</v>
      </c>
      <c r="H413" s="18"/>
      <c r="I413" s="18">
        <f>G413+H413</f>
        <v>115371.48</v>
      </c>
      <c r="K413" s="430"/>
    </row>
    <row r="414" spans="1:12" ht="31.2" outlineLevel="1" x14ac:dyDescent="0.25">
      <c r="A414" s="84"/>
      <c r="B414" s="11" t="s">
        <v>1390</v>
      </c>
      <c r="C414" s="55" t="s">
        <v>8</v>
      </c>
      <c r="D414" s="42">
        <f>Д2!D352+Ек!D372+Д!D331+Е!D357</f>
        <v>39.54</v>
      </c>
      <c r="E414" s="18"/>
      <c r="F414" s="366">
        <v>3721</v>
      </c>
      <c r="G414" s="18"/>
      <c r="H414" s="2">
        <f>ROUND(D414*F414,2)</f>
        <v>147128.34</v>
      </c>
      <c r="I414" s="18">
        <f>G414+H414</f>
        <v>147128.34</v>
      </c>
    </row>
    <row r="415" spans="1:12" outlineLevel="1" x14ac:dyDescent="0.25">
      <c r="A415" s="84"/>
      <c r="B415" s="725" t="s">
        <v>230</v>
      </c>
      <c r="C415" s="55" t="s">
        <v>12</v>
      </c>
      <c r="D415" s="42">
        <f>ROUND(D413*12,2)</f>
        <v>3955.59</v>
      </c>
      <c r="E415" s="18"/>
      <c r="F415" s="142">
        <v>12</v>
      </c>
      <c r="G415" s="18"/>
      <c r="H415" s="2">
        <f>ROUND(D415*F415,2)</f>
        <v>47467.08</v>
      </c>
      <c r="I415" s="18">
        <f>G415+H415</f>
        <v>47467.08</v>
      </c>
    </row>
    <row r="416" spans="1:12" ht="19.5" customHeight="1" x14ac:dyDescent="0.25">
      <c r="A416" s="223"/>
      <c r="B416" s="232" t="s">
        <v>57</v>
      </c>
      <c r="C416" s="225"/>
      <c r="D416" s="226"/>
      <c r="E416" s="227"/>
      <c r="F416" s="228"/>
      <c r="G416" s="227">
        <f>SUM(G412:G415)</f>
        <v>2127964.7600000002</v>
      </c>
      <c r="H416" s="227">
        <f>SUM(H412:H415)</f>
        <v>1704040.3800000001</v>
      </c>
      <c r="I416" s="227">
        <f>SUM(I412:I415)</f>
        <v>3832005.14</v>
      </c>
      <c r="J416" s="693"/>
      <c r="L416" s="133"/>
    </row>
    <row r="417" spans="1:11" ht="17.399999999999999" customHeight="1" x14ac:dyDescent="0.25">
      <c r="A417" s="90"/>
      <c r="B417" s="471" t="s">
        <v>624</v>
      </c>
      <c r="C417" s="472"/>
      <c r="D417" s="473"/>
      <c r="E417" s="474"/>
      <c r="F417" s="475"/>
      <c r="G417" s="10"/>
      <c r="H417" s="10"/>
      <c r="I417" s="31">
        <f>ROUND(I416/1.18*0.18,2)</f>
        <v>584543.16</v>
      </c>
    </row>
    <row r="418" spans="1:11" ht="20.25" customHeight="1" x14ac:dyDescent="0.25">
      <c r="A418" s="109"/>
      <c r="B418" s="771" t="s">
        <v>1206</v>
      </c>
      <c r="C418" s="771"/>
      <c r="D418" s="771"/>
      <c r="E418" s="771"/>
      <c r="F418" s="771"/>
      <c r="G418" s="105"/>
      <c r="H418" s="105"/>
      <c r="I418" s="106"/>
    </row>
    <row r="419" spans="1:11" ht="19.5" customHeight="1" outlineLevel="1" x14ac:dyDescent="0.25">
      <c r="A419" s="84"/>
      <c r="B419" s="191" t="s">
        <v>1074</v>
      </c>
      <c r="C419" s="481"/>
      <c r="D419" s="482"/>
      <c r="E419" s="486"/>
      <c r="F419" s="487"/>
      <c r="G419" s="77"/>
      <c r="H419" s="77"/>
      <c r="I419" s="77"/>
      <c r="K419" s="670"/>
    </row>
    <row r="420" spans="1:11" ht="16.95" customHeight="1" outlineLevel="1" x14ac:dyDescent="0.25">
      <c r="A420" s="107" t="s">
        <v>319</v>
      </c>
      <c r="B420" s="29" t="s">
        <v>1058</v>
      </c>
      <c r="C420" s="31" t="s">
        <v>14</v>
      </c>
      <c r="D420" s="2">
        <f>97+207.4</f>
        <v>304.39999999999998</v>
      </c>
      <c r="E420" s="256">
        <v>120</v>
      </c>
      <c r="F420" s="60"/>
      <c r="G420" s="2">
        <f>ROUND(E420*D420,2)</f>
        <v>36528</v>
      </c>
      <c r="H420" s="18"/>
      <c r="I420" s="18">
        <f t="shared" ref="I420:I430" si="24">H420+G420</f>
        <v>36528</v>
      </c>
      <c r="K420" s="161"/>
    </row>
    <row r="421" spans="1:11" outlineLevel="1" x14ac:dyDescent="0.25">
      <c r="A421" s="84"/>
      <c r="B421" s="28" t="s">
        <v>1055</v>
      </c>
      <c r="C421" s="21" t="s">
        <v>14</v>
      </c>
      <c r="D421" s="2">
        <f>ROUND(D420*1.1,2)</f>
        <v>334.84</v>
      </c>
      <c r="E421" s="18"/>
      <c r="F421" s="164">
        <f>ROUND(88.7*1.1,2)</f>
        <v>97.57</v>
      </c>
      <c r="G421" s="18"/>
      <c r="H421" s="2">
        <f>ROUND(D421*F421,2)</f>
        <v>32670.34</v>
      </c>
      <c r="I421" s="18">
        <f t="shared" si="24"/>
        <v>32670.34</v>
      </c>
    </row>
    <row r="422" spans="1:11" outlineLevel="1" x14ac:dyDescent="0.25">
      <c r="A422" s="107" t="s">
        <v>320</v>
      </c>
      <c r="B422" s="29" t="s">
        <v>1059</v>
      </c>
      <c r="C422" s="31" t="s">
        <v>14</v>
      </c>
      <c r="D422" s="31">
        <f>1019.1+97+89.2+19.8</f>
        <v>1225.0999999999999</v>
      </c>
      <c r="E422" s="256">
        <v>150</v>
      </c>
      <c r="F422" s="60"/>
      <c r="G422" s="2">
        <f>ROUND(E422*D422,2)</f>
        <v>183765</v>
      </c>
      <c r="H422" s="18"/>
      <c r="I422" s="18">
        <f t="shared" si="24"/>
        <v>183765</v>
      </c>
    </row>
    <row r="423" spans="1:11" outlineLevel="1" x14ac:dyDescent="0.25">
      <c r="A423" s="84"/>
      <c r="B423" s="22" t="s">
        <v>1418</v>
      </c>
      <c r="C423" s="21" t="s">
        <v>8</v>
      </c>
      <c r="D423" s="2">
        <f>ROUND(D422*0.1,2)</f>
        <v>122.51</v>
      </c>
      <c r="E423" s="18"/>
      <c r="F423" s="328">
        <v>4460</v>
      </c>
      <c r="G423" s="18"/>
      <c r="H423" s="2">
        <f>ROUND(D423*F423,2)</f>
        <v>546394.6</v>
      </c>
      <c r="I423" s="18">
        <f t="shared" si="24"/>
        <v>546394.6</v>
      </c>
    </row>
    <row r="424" spans="1:11" outlineLevel="1" x14ac:dyDescent="0.25">
      <c r="A424" s="84"/>
      <c r="B424" s="22" t="s">
        <v>1419</v>
      </c>
      <c r="C424" s="21" t="s">
        <v>14</v>
      </c>
      <c r="D424" s="2">
        <f>1019.1+89.2+19.8</f>
        <v>1128.0999999999999</v>
      </c>
      <c r="E424" s="18"/>
      <c r="F424" s="328"/>
      <c r="G424" s="18"/>
      <c r="H424" s="2"/>
      <c r="I424" s="18"/>
    </row>
    <row r="425" spans="1:11" ht="32.25" customHeight="1" outlineLevel="1" x14ac:dyDescent="0.25">
      <c r="A425" s="107" t="s">
        <v>321</v>
      </c>
      <c r="B425" s="9" t="s">
        <v>1057</v>
      </c>
      <c r="C425" s="31" t="s">
        <v>14</v>
      </c>
      <c r="D425" s="31">
        <f>1019.1+97+89.2+19.8+2040.8+207.4+178.4</f>
        <v>3651.7</v>
      </c>
      <c r="E425" s="256">
        <v>360</v>
      </c>
      <c r="F425" s="60"/>
      <c r="G425" s="2">
        <f>ROUND(E425*D425,2)</f>
        <v>1314612</v>
      </c>
      <c r="H425" s="18"/>
      <c r="I425" s="18">
        <f t="shared" si="24"/>
        <v>1314612</v>
      </c>
    </row>
    <row r="426" spans="1:11" outlineLevel="1" x14ac:dyDescent="0.25">
      <c r="A426" s="84"/>
      <c r="B426" s="22" t="s">
        <v>47</v>
      </c>
      <c r="C426" s="21" t="s">
        <v>8</v>
      </c>
      <c r="D426" s="2">
        <f>ROUND(D425*0.04,2)</f>
        <v>146.07</v>
      </c>
      <c r="E426" s="282"/>
      <c r="F426" s="11"/>
      <c r="G426" s="18"/>
      <c r="H426" s="2">
        <f>ROUND(D426*F426,2)</f>
        <v>0</v>
      </c>
      <c r="I426" s="18">
        <f t="shared" si="24"/>
        <v>0</v>
      </c>
    </row>
    <row r="427" spans="1:11" outlineLevel="1" x14ac:dyDescent="0.25">
      <c r="A427" s="84"/>
      <c r="B427" s="28" t="s">
        <v>1056</v>
      </c>
      <c r="C427" s="21" t="s">
        <v>14</v>
      </c>
      <c r="D427" s="2">
        <f>D425</f>
        <v>3651.7</v>
      </c>
      <c r="E427" s="282"/>
      <c r="F427" s="361">
        <v>31.34</v>
      </c>
      <c r="G427" s="18"/>
      <c r="H427" s="2">
        <f>ROUND(D427*F427,2)</f>
        <v>114444.28</v>
      </c>
      <c r="I427" s="18">
        <f t="shared" si="24"/>
        <v>114444.28</v>
      </c>
    </row>
    <row r="428" spans="1:11" ht="31.2" outlineLevel="1" x14ac:dyDescent="0.25">
      <c r="A428" s="107" t="s">
        <v>322</v>
      </c>
      <c r="B428" s="9" t="s">
        <v>1420</v>
      </c>
      <c r="C428" s="31" t="s">
        <v>14</v>
      </c>
      <c r="D428" s="31">
        <f>9.8+35.7+79.6</f>
        <v>125.1</v>
      </c>
      <c r="E428" s="256">
        <v>380</v>
      </c>
      <c r="F428" s="60"/>
      <c r="G428" s="2">
        <f>ROUND(E428*D428,2)</f>
        <v>47538</v>
      </c>
      <c r="H428" s="18"/>
      <c r="I428" s="18">
        <f t="shared" si="24"/>
        <v>47538</v>
      </c>
    </row>
    <row r="429" spans="1:11" outlineLevel="1" x14ac:dyDescent="0.25">
      <c r="A429" s="84"/>
      <c r="B429" s="22" t="s">
        <v>47</v>
      </c>
      <c r="C429" s="21" t="s">
        <v>8</v>
      </c>
      <c r="D429" s="2">
        <f>ROUND(D428*0.07,2)</f>
        <v>8.76</v>
      </c>
      <c r="E429" s="282"/>
      <c r="F429" s="11"/>
      <c r="G429" s="18"/>
      <c r="H429" s="2">
        <f>ROUND(D429*F429,2)</f>
        <v>0</v>
      </c>
      <c r="I429" s="18">
        <f t="shared" si="24"/>
        <v>0</v>
      </c>
    </row>
    <row r="430" spans="1:11" outlineLevel="1" x14ac:dyDescent="0.25">
      <c r="A430" s="84"/>
      <c r="B430" s="28" t="s">
        <v>1056</v>
      </c>
      <c r="C430" s="21" t="s">
        <v>14</v>
      </c>
      <c r="D430" s="2">
        <f>D428</f>
        <v>125.1</v>
      </c>
      <c r="E430" s="282"/>
      <c r="F430" s="361">
        <v>31.34</v>
      </c>
      <c r="G430" s="18"/>
      <c r="H430" s="2">
        <f>ROUND(D430*F430,2)</f>
        <v>3920.63</v>
      </c>
      <c r="I430" s="18">
        <f t="shared" si="24"/>
        <v>3920.63</v>
      </c>
    </row>
    <row r="431" spans="1:11" ht="31.2" outlineLevel="1" x14ac:dyDescent="0.25">
      <c r="A431" s="107" t="s">
        <v>323</v>
      </c>
      <c r="B431" s="9" t="s">
        <v>407</v>
      </c>
      <c r="C431" s="31" t="s">
        <v>14</v>
      </c>
      <c r="D431" s="31">
        <f>Д2!D369+Ек!D389+Д!D348+Е!D374</f>
        <v>351.5</v>
      </c>
      <c r="E431" s="256">
        <v>500</v>
      </c>
      <c r="F431" s="60"/>
      <c r="G431" s="2">
        <f>ROUND(E431*D431,2)</f>
        <v>175750</v>
      </c>
      <c r="H431" s="18"/>
      <c r="I431" s="18">
        <f>H431+G431</f>
        <v>175750</v>
      </c>
    </row>
    <row r="432" spans="1:11" outlineLevel="1" x14ac:dyDescent="0.25">
      <c r="A432" s="84"/>
      <c r="B432" s="22" t="s">
        <v>1061</v>
      </c>
      <c r="C432" s="21" t="s">
        <v>14</v>
      </c>
      <c r="D432" s="2">
        <f>+ROUND(D431*1.1,2)</f>
        <v>386.65</v>
      </c>
      <c r="E432" s="18"/>
      <c r="F432" s="361">
        <v>280</v>
      </c>
      <c r="G432" s="18"/>
      <c r="H432" s="2">
        <f>ROUND(D432*F432,2)</f>
        <v>108262</v>
      </c>
      <c r="I432" s="18">
        <f>H432+G432</f>
        <v>108262</v>
      </c>
    </row>
    <row r="433" spans="1:13" outlineLevel="1" x14ac:dyDescent="0.25">
      <c r="A433" s="84"/>
      <c r="B433" s="22" t="s">
        <v>49</v>
      </c>
      <c r="C433" s="21" t="s">
        <v>15</v>
      </c>
      <c r="D433" s="2">
        <f>+ROUND(D432*6,2)</f>
        <v>2319.9</v>
      </c>
      <c r="E433" s="18"/>
      <c r="F433" s="361">
        <f>+ROUND(7.5*1.1,2)</f>
        <v>8.25</v>
      </c>
      <c r="G433" s="18"/>
      <c r="H433" s="2">
        <f>ROUND(D433*F433,2)</f>
        <v>19139.18</v>
      </c>
      <c r="I433" s="18">
        <f>H433+G433</f>
        <v>19139.18</v>
      </c>
    </row>
    <row r="434" spans="1:13" outlineLevel="1" x14ac:dyDescent="0.25">
      <c r="A434" s="84"/>
      <c r="B434" s="22" t="s">
        <v>1060</v>
      </c>
      <c r="C434" s="21" t="s">
        <v>15</v>
      </c>
      <c r="D434" s="2">
        <f>+ROUND(D432*0.19,2)</f>
        <v>73.459999999999994</v>
      </c>
      <c r="E434" s="18"/>
      <c r="F434" s="361">
        <v>9</v>
      </c>
      <c r="G434" s="18"/>
      <c r="H434" s="2">
        <f>ROUND(D434*F434,2)</f>
        <v>661.14</v>
      </c>
      <c r="I434" s="18">
        <f>H434+G434</f>
        <v>661.14</v>
      </c>
    </row>
    <row r="435" spans="1:13" ht="22.5" customHeight="1" outlineLevel="1" x14ac:dyDescent="0.25">
      <c r="A435" s="84"/>
      <c r="B435" s="10" t="s">
        <v>1073</v>
      </c>
      <c r="C435" s="21"/>
      <c r="D435" s="2"/>
      <c r="E435" s="18"/>
      <c r="F435" s="361"/>
      <c r="G435" s="18"/>
      <c r="H435" s="2"/>
      <c r="I435" s="18"/>
    </row>
    <row r="436" spans="1:13" outlineLevel="1" x14ac:dyDescent="0.25">
      <c r="A436" s="107" t="s">
        <v>532</v>
      </c>
      <c r="B436" s="9" t="s">
        <v>1549</v>
      </c>
      <c r="C436" s="31" t="s">
        <v>14</v>
      </c>
      <c r="D436" s="31">
        <f>139.8+370.3+289.5+741.4+290.8+116.3+75.6+(162+425.4+295.7+866.7)*2</f>
        <v>5523.2999999999993</v>
      </c>
      <c r="E436" s="256">
        <v>170</v>
      </c>
      <c r="F436" s="60"/>
      <c r="G436" s="2">
        <f>ROUND(E436*D436,2)</f>
        <v>938961</v>
      </c>
      <c r="H436" s="18"/>
      <c r="I436" s="18">
        <f>H436+G436</f>
        <v>938961</v>
      </c>
    </row>
    <row r="437" spans="1:13" outlineLevel="1" x14ac:dyDescent="0.25">
      <c r="A437" s="86"/>
      <c r="B437" s="22" t="s">
        <v>1072</v>
      </c>
      <c r="C437" s="21" t="s">
        <v>15</v>
      </c>
      <c r="D437" s="70">
        <f>+ROUND(30*D436,2)</f>
        <v>165699</v>
      </c>
      <c r="E437" s="282"/>
      <c r="F437" s="361">
        <v>7</v>
      </c>
      <c r="G437" s="18"/>
      <c r="H437" s="2">
        <f>ROUND(D437*F437,2)</f>
        <v>1159893</v>
      </c>
      <c r="I437" s="18">
        <f>H437+G437</f>
        <v>1159893</v>
      </c>
    </row>
    <row r="438" spans="1:13" outlineLevel="1" x14ac:dyDescent="0.25">
      <c r="A438" s="107" t="s">
        <v>533</v>
      </c>
      <c r="B438" s="9" t="s">
        <v>1075</v>
      </c>
      <c r="C438" s="31" t="s">
        <v>14</v>
      </c>
      <c r="D438" s="31">
        <v>650</v>
      </c>
      <c r="E438" s="256">
        <v>170</v>
      </c>
      <c r="F438" s="60"/>
      <c r="G438" s="2">
        <f>ROUND(E438*D438,2)</f>
        <v>110500</v>
      </c>
      <c r="H438" s="18"/>
      <c r="I438" s="18">
        <f>H438+G438</f>
        <v>110500</v>
      </c>
      <c r="J438" s="735"/>
    </row>
    <row r="439" spans="1:13" outlineLevel="1" x14ac:dyDescent="0.25">
      <c r="A439" s="86"/>
      <c r="B439" s="22" t="s">
        <v>1077</v>
      </c>
      <c r="C439" s="21" t="s">
        <v>15</v>
      </c>
      <c r="D439" s="2">
        <f>D438*0.2</f>
        <v>130</v>
      </c>
      <c r="E439" s="18"/>
      <c r="F439" s="361">
        <v>20</v>
      </c>
      <c r="G439" s="18"/>
      <c r="H439" s="2">
        <f>ROUND(D439*F439,2)</f>
        <v>2600</v>
      </c>
      <c r="I439" s="18">
        <f>H439+G439</f>
        <v>2600</v>
      </c>
    </row>
    <row r="440" spans="1:13" outlineLevel="1" x14ac:dyDescent="0.25">
      <c r="A440" s="86"/>
      <c r="B440" s="22" t="s">
        <v>715</v>
      </c>
      <c r="C440" s="21" t="s">
        <v>15</v>
      </c>
      <c r="D440" s="70">
        <f>D438*9*2</f>
        <v>11700</v>
      </c>
      <c r="E440" s="18"/>
      <c r="F440" s="361">
        <v>10</v>
      </c>
      <c r="G440" s="18"/>
      <c r="H440" s="2">
        <f>ROUND(D440*F440,2)</f>
        <v>117000</v>
      </c>
      <c r="I440" s="18">
        <f>H440+G440</f>
        <v>117000</v>
      </c>
    </row>
    <row r="441" spans="1:13" s="36" customFormat="1" outlineLevel="1" x14ac:dyDescent="0.25">
      <c r="A441" s="92"/>
      <c r="B441" s="748" t="s">
        <v>1543</v>
      </c>
      <c r="C441" s="744"/>
      <c r="D441" s="745"/>
      <c r="E441" s="746"/>
      <c r="F441" s="747"/>
      <c r="G441" s="474">
        <f>SUM(G419:G440)</f>
        <v>2807654</v>
      </c>
      <c r="H441" s="746"/>
      <c r="I441" s="749">
        <f>G441</f>
        <v>2807654</v>
      </c>
      <c r="K441" s="162"/>
      <c r="L441" s="162"/>
      <c r="M441" s="162"/>
    </row>
    <row r="442" spans="1:13" s="36" customFormat="1" outlineLevel="1" x14ac:dyDescent="0.25">
      <c r="A442" s="92"/>
      <c r="B442" s="748" t="s">
        <v>1546</v>
      </c>
      <c r="C442" s="744"/>
      <c r="D442" s="745"/>
      <c r="E442" s="746"/>
      <c r="F442" s="747"/>
      <c r="G442" s="474"/>
      <c r="H442" s="473">
        <f>SUM(H419:H441)</f>
        <v>2104985.17</v>
      </c>
      <c r="I442" s="749">
        <f>H442</f>
        <v>2104985.17</v>
      </c>
      <c r="K442" s="162"/>
      <c r="L442" s="162"/>
      <c r="M442" s="162"/>
    </row>
    <row r="443" spans="1:13" s="36" customFormat="1" outlineLevel="1" x14ac:dyDescent="0.25">
      <c r="A443" s="92"/>
      <c r="B443" s="748" t="s">
        <v>1544</v>
      </c>
      <c r="C443" s="744"/>
      <c r="D443" s="745"/>
      <c r="E443" s="746"/>
      <c r="F443" s="747"/>
      <c r="G443" s="474"/>
      <c r="H443" s="746"/>
      <c r="I443" s="749">
        <f>G443</f>
        <v>0</v>
      </c>
      <c r="K443" s="162"/>
      <c r="L443" s="162"/>
      <c r="M443" s="162"/>
    </row>
    <row r="444" spans="1:13" s="36" customFormat="1" outlineLevel="1" x14ac:dyDescent="0.25">
      <c r="A444" s="92"/>
      <c r="B444" s="748" t="s">
        <v>1545</v>
      </c>
      <c r="C444" s="744"/>
      <c r="D444" s="745"/>
      <c r="E444" s="746"/>
      <c r="F444" s="747"/>
      <c r="G444" s="474"/>
      <c r="H444" s="746"/>
      <c r="I444" s="749">
        <f>G444</f>
        <v>0</v>
      </c>
      <c r="K444" s="162"/>
      <c r="L444" s="162"/>
      <c r="M444" s="162"/>
    </row>
    <row r="445" spans="1:13" ht="27.6" x14ac:dyDescent="0.25">
      <c r="A445" s="223"/>
      <c r="B445" s="231" t="s">
        <v>56</v>
      </c>
      <c r="C445" s="225"/>
      <c r="D445" s="226"/>
      <c r="E445" s="227"/>
      <c r="F445" s="228"/>
      <c r="G445" s="227">
        <f>G441+G443+G444</f>
        <v>2807654</v>
      </c>
      <c r="H445" s="227">
        <f>H442</f>
        <v>2104985.17</v>
      </c>
      <c r="I445" s="227">
        <f>I441+I442+I443+I444</f>
        <v>4912639.17</v>
      </c>
      <c r="J445" s="693"/>
    </row>
    <row r="446" spans="1:13" x14ac:dyDescent="0.25">
      <c r="A446" s="90"/>
      <c r="B446" s="471" t="s">
        <v>624</v>
      </c>
      <c r="C446" s="472"/>
      <c r="D446" s="473"/>
      <c r="E446" s="474"/>
      <c r="F446" s="475"/>
      <c r="G446" s="474"/>
      <c r="H446" s="474"/>
      <c r="I446" s="31">
        <f>ROUND(I445/1.18*0.18,2)</f>
        <v>749385.64</v>
      </c>
    </row>
    <row r="447" spans="1:13" ht="62.4" x14ac:dyDescent="0.25">
      <c r="A447" s="758"/>
      <c r="B447" s="752" t="s">
        <v>1408</v>
      </c>
      <c r="C447" s="757"/>
      <c r="D447" s="757"/>
      <c r="E447" s="757"/>
      <c r="F447" s="757"/>
      <c r="G447" s="757"/>
      <c r="H447" s="757"/>
      <c r="I447" s="759"/>
    </row>
    <row r="448" spans="1:13" ht="33.75" customHeight="1" outlineLevel="1" x14ac:dyDescent="0.25">
      <c r="A448" s="107" t="s">
        <v>325</v>
      </c>
      <c r="B448" s="9" t="s">
        <v>1409</v>
      </c>
      <c r="C448" s="31" t="s">
        <v>14</v>
      </c>
      <c r="D448" s="65">
        <f>Д2!D385+Ек!D405+Д!D364+Е!D390</f>
        <v>1302.9000000000001</v>
      </c>
      <c r="E448" s="166">
        <v>250</v>
      </c>
      <c r="F448" s="60"/>
      <c r="G448" s="2">
        <f>ROUND(E448*D448,2)</f>
        <v>325725</v>
      </c>
      <c r="H448" s="18"/>
      <c r="I448" s="18">
        <f>H448+G448</f>
        <v>325725</v>
      </c>
    </row>
    <row r="449" spans="1:9" outlineLevel="1" x14ac:dyDescent="0.25">
      <c r="A449" s="84"/>
      <c r="B449" s="28" t="s">
        <v>1410</v>
      </c>
      <c r="C449" s="21" t="s">
        <v>8</v>
      </c>
      <c r="D449" s="2">
        <f>ROUND(D448*0.1,2)</f>
        <v>130.29</v>
      </c>
      <c r="E449" s="18"/>
      <c r="F449" s="164">
        <v>850</v>
      </c>
      <c r="G449" s="18"/>
      <c r="H449" s="18">
        <f>F449*D449</f>
        <v>110746.5</v>
      </c>
      <c r="I449" s="18">
        <f>H449+G449</f>
        <v>110746.5</v>
      </c>
    </row>
    <row r="450" spans="1:9" ht="31.2" outlineLevel="1" x14ac:dyDescent="0.25">
      <c r="A450" s="107" t="s">
        <v>325</v>
      </c>
      <c r="B450" s="9" t="s">
        <v>1412</v>
      </c>
      <c r="C450" s="31" t="s">
        <v>14</v>
      </c>
      <c r="D450" s="65">
        <v>10</v>
      </c>
      <c r="E450" s="256">
        <v>2500</v>
      </c>
      <c r="F450" s="60"/>
      <c r="G450" s="2">
        <f>ROUND(E450*D450,2)</f>
        <v>25000</v>
      </c>
      <c r="H450" s="18"/>
      <c r="I450" s="18">
        <f>H450+G450</f>
        <v>25000</v>
      </c>
    </row>
    <row r="451" spans="1:9" outlineLevel="1" x14ac:dyDescent="0.25">
      <c r="A451" s="84"/>
      <c r="B451" s="28" t="s">
        <v>1062</v>
      </c>
      <c r="C451" s="21" t="s">
        <v>8</v>
      </c>
      <c r="D451" s="2">
        <f>ROUND(D450*0.1,2)</f>
        <v>1</v>
      </c>
      <c r="E451" s="18"/>
      <c r="F451" s="664">
        <v>3450</v>
      </c>
      <c r="G451" s="18"/>
      <c r="H451" s="18">
        <f>F451*D451</f>
        <v>3450</v>
      </c>
      <c r="I451" s="18">
        <f>H451+G451</f>
        <v>3450</v>
      </c>
    </row>
    <row r="452" spans="1:9" outlineLevel="1" x14ac:dyDescent="0.25">
      <c r="A452" s="84"/>
      <c r="B452" s="28" t="s">
        <v>1413</v>
      </c>
      <c r="C452" s="21" t="s">
        <v>8</v>
      </c>
      <c r="D452" s="2">
        <f>ROUND(D451*0.05,2)</f>
        <v>0.05</v>
      </c>
      <c r="E452" s="18"/>
      <c r="F452" s="164">
        <v>850</v>
      </c>
      <c r="G452" s="18"/>
      <c r="H452" s="18">
        <f>F452*D452</f>
        <v>42.5</v>
      </c>
      <c r="I452" s="18">
        <f>H452+G452</f>
        <v>42.5</v>
      </c>
    </row>
    <row r="453" spans="1:9" outlineLevel="1" x14ac:dyDescent="0.25">
      <c r="A453" s="107" t="s">
        <v>326</v>
      </c>
      <c r="B453" s="29" t="s">
        <v>1064</v>
      </c>
      <c r="C453" s="31" t="s">
        <v>14</v>
      </c>
      <c r="D453" s="2">
        <v>10</v>
      </c>
      <c r="E453" s="256">
        <v>120</v>
      </c>
      <c r="F453" s="60"/>
      <c r="G453" s="2">
        <f>ROUND(E453*D453,2)</f>
        <v>1200</v>
      </c>
      <c r="H453" s="18"/>
      <c r="I453" s="18">
        <f t="shared" ref="I453:I468" si="25">H453+G453</f>
        <v>1200</v>
      </c>
    </row>
    <row r="454" spans="1:9" outlineLevel="1" x14ac:dyDescent="0.25">
      <c r="A454" s="84"/>
      <c r="B454" s="28" t="s">
        <v>1063</v>
      </c>
      <c r="C454" s="21" t="s">
        <v>14</v>
      </c>
      <c r="D454" s="2">
        <f>ROUND(D453*1.1*2,2)</f>
        <v>22</v>
      </c>
      <c r="E454" s="18"/>
      <c r="F454" s="164">
        <f>ROUND(88.7*1.1,2)</f>
        <v>97.57</v>
      </c>
      <c r="G454" s="18"/>
      <c r="H454" s="2">
        <f>ROUND(D454*F454,2)</f>
        <v>2146.54</v>
      </c>
      <c r="I454" s="18">
        <f t="shared" si="25"/>
        <v>2146.54</v>
      </c>
    </row>
    <row r="455" spans="1:9" ht="31.2" outlineLevel="1" x14ac:dyDescent="0.25">
      <c r="A455" s="107" t="s">
        <v>327</v>
      </c>
      <c r="B455" s="29" t="s">
        <v>1069</v>
      </c>
      <c r="C455" s="31" t="s">
        <v>14</v>
      </c>
      <c r="D455" s="31">
        <f>1.7*2</f>
        <v>3.4</v>
      </c>
      <c r="E455" s="18"/>
      <c r="F455" s="60"/>
      <c r="G455" s="18">
        <f>E455*D455</f>
        <v>0</v>
      </c>
      <c r="H455" s="18"/>
      <c r="I455" s="18">
        <f t="shared" si="25"/>
        <v>0</v>
      </c>
    </row>
    <row r="456" spans="1:9" ht="27.6" outlineLevel="1" x14ac:dyDescent="0.25">
      <c r="A456" s="84"/>
      <c r="B456" s="372" t="s">
        <v>1068</v>
      </c>
      <c r="C456" s="21" t="s">
        <v>14</v>
      </c>
      <c r="D456" s="66">
        <f>ROUND(D455*2*1.03,2)</f>
        <v>7</v>
      </c>
      <c r="E456" s="51"/>
      <c r="F456" s="328">
        <f>ROUND(261.9*1.1,2)</f>
        <v>288.08999999999997</v>
      </c>
      <c r="G456" s="51"/>
      <c r="H456" s="2">
        <f>ROUND(D456*F456,2)</f>
        <v>2016.63</v>
      </c>
      <c r="I456" s="51">
        <f t="shared" si="25"/>
        <v>2016.63</v>
      </c>
    </row>
    <row r="457" spans="1:9" outlineLevel="1" x14ac:dyDescent="0.25">
      <c r="A457" s="84"/>
      <c r="B457" s="28" t="s">
        <v>400</v>
      </c>
      <c r="C457" s="21" t="s">
        <v>14</v>
      </c>
      <c r="D457" s="66">
        <f>ROUND(D455*1.015,2)</f>
        <v>3.45</v>
      </c>
      <c r="E457" s="51"/>
      <c r="F457" s="365">
        <v>109.41</v>
      </c>
      <c r="G457" s="51"/>
      <c r="H457" s="2">
        <f>ROUND(D457*F457,2)</f>
        <v>377.46</v>
      </c>
      <c r="I457" s="51">
        <f t="shared" si="25"/>
        <v>377.46</v>
      </c>
    </row>
    <row r="458" spans="1:9" outlineLevel="1" x14ac:dyDescent="0.25">
      <c r="A458" s="84"/>
      <c r="B458" s="28" t="s">
        <v>401</v>
      </c>
      <c r="C458" s="2" t="s">
        <v>14</v>
      </c>
      <c r="D458" s="66">
        <f>ROUND(D455*1.01,2)</f>
        <v>3.43</v>
      </c>
      <c r="E458" s="51"/>
      <c r="F458" s="365">
        <v>154.75</v>
      </c>
      <c r="G458" s="51"/>
      <c r="H458" s="2">
        <f>ROUND(D458*F458,2)</f>
        <v>530.79</v>
      </c>
      <c r="I458" s="51">
        <f t="shared" si="25"/>
        <v>530.79</v>
      </c>
    </row>
    <row r="459" spans="1:9" ht="31.2" outlineLevel="1" x14ac:dyDescent="0.25">
      <c r="A459" s="84"/>
      <c r="B459" s="22" t="s">
        <v>1070</v>
      </c>
      <c r="C459" s="21" t="s">
        <v>8</v>
      </c>
      <c r="D459" s="2">
        <f>ROUND(D455*0.15,2)</f>
        <v>0.51</v>
      </c>
      <c r="E459" s="18"/>
      <c r="F459" s="365">
        <v>4400</v>
      </c>
      <c r="G459" s="18"/>
      <c r="H459" s="2">
        <f>ROUND(D459*F459,2)</f>
        <v>2244</v>
      </c>
      <c r="I459" s="18">
        <f t="shared" si="25"/>
        <v>2244</v>
      </c>
    </row>
    <row r="460" spans="1:9" outlineLevel="1" x14ac:dyDescent="0.25">
      <c r="A460" s="84"/>
      <c r="B460" s="22" t="s">
        <v>1067</v>
      </c>
      <c r="C460" s="21" t="s">
        <v>14</v>
      </c>
      <c r="D460" s="2">
        <f>+ROUND(D455*1.1,2)</f>
        <v>3.74</v>
      </c>
      <c r="E460" s="18"/>
      <c r="F460" s="365">
        <f>10.1*1.1</f>
        <v>11.110000000000001</v>
      </c>
      <c r="G460" s="18"/>
      <c r="H460" s="2">
        <f>ROUND(D460*F460,2)</f>
        <v>41.55</v>
      </c>
      <c r="I460" s="18">
        <f t="shared" si="25"/>
        <v>41.55</v>
      </c>
    </row>
    <row r="461" spans="1:9" ht="31.2" outlineLevel="1" x14ac:dyDescent="0.25">
      <c r="A461" s="107" t="s">
        <v>536</v>
      </c>
      <c r="B461" s="9" t="s">
        <v>1411</v>
      </c>
      <c r="C461" s="31" t="s">
        <v>14</v>
      </c>
      <c r="D461" s="31">
        <f>4.8+4.8</f>
        <v>9.6</v>
      </c>
      <c r="E461" s="256">
        <v>280</v>
      </c>
      <c r="F461" s="60"/>
      <c r="G461" s="2">
        <f>ROUND(E461*D461,2)</f>
        <v>2688</v>
      </c>
      <c r="H461" s="18"/>
      <c r="I461" s="18">
        <f t="shared" si="25"/>
        <v>2688</v>
      </c>
    </row>
    <row r="462" spans="1:9" outlineLevel="1" x14ac:dyDescent="0.25">
      <c r="A462" s="84"/>
      <c r="B462" s="22" t="s">
        <v>1065</v>
      </c>
      <c r="C462" s="21" t="s">
        <v>8</v>
      </c>
      <c r="D462" s="2">
        <f>D461*0.04</f>
        <v>0.38400000000000001</v>
      </c>
      <c r="E462" s="18"/>
      <c r="F462" s="11"/>
      <c r="G462" s="18"/>
      <c r="H462" s="2">
        <f>ROUND(D462*F462,2)</f>
        <v>0</v>
      </c>
      <c r="I462" s="18">
        <f t="shared" si="25"/>
        <v>0</v>
      </c>
    </row>
    <row r="463" spans="1:9" outlineLevel="1" x14ac:dyDescent="0.25">
      <c r="A463" s="84"/>
      <c r="B463" s="28" t="s">
        <v>1056</v>
      </c>
      <c r="C463" s="21" t="s">
        <v>14</v>
      </c>
      <c r="D463" s="2">
        <f>D461</f>
        <v>9.6</v>
      </c>
      <c r="E463" s="18"/>
      <c r="F463" s="361">
        <v>31.34</v>
      </c>
      <c r="G463" s="18"/>
      <c r="H463" s="2">
        <f>ROUND(D463*F463,2)</f>
        <v>300.86</v>
      </c>
      <c r="I463" s="18">
        <f t="shared" si="25"/>
        <v>300.86</v>
      </c>
    </row>
    <row r="464" spans="1:9" ht="31.2" outlineLevel="1" x14ac:dyDescent="0.25">
      <c r="A464" s="107" t="s">
        <v>537</v>
      </c>
      <c r="B464" s="9" t="s">
        <v>1421</v>
      </c>
      <c r="C464" s="31" t="s">
        <v>14</v>
      </c>
      <c r="D464" s="31">
        <f>13.6+15.4+10.1*2</f>
        <v>49.2</v>
      </c>
      <c r="E464" s="256">
        <v>170</v>
      </c>
      <c r="F464" s="60"/>
      <c r="G464" s="2">
        <f>ROUND(E464*D464,2)</f>
        <v>8364</v>
      </c>
      <c r="H464" s="18"/>
      <c r="I464" s="18">
        <f t="shared" si="25"/>
        <v>8364</v>
      </c>
    </row>
    <row r="465" spans="1:12" outlineLevel="1" x14ac:dyDescent="0.25">
      <c r="A465" s="84"/>
      <c r="B465" s="22" t="s">
        <v>1072</v>
      </c>
      <c r="C465" s="21" t="s">
        <v>15</v>
      </c>
      <c r="D465" s="70">
        <f>+ROUND(30*D464,2)</f>
        <v>1476</v>
      </c>
      <c r="E465" s="282"/>
      <c r="F465" s="361">
        <v>7</v>
      </c>
      <c r="G465" s="18"/>
      <c r="H465" s="2">
        <f>ROUND(D465*F465,2)</f>
        <v>10332</v>
      </c>
      <c r="I465" s="18">
        <f t="shared" si="25"/>
        <v>10332</v>
      </c>
    </row>
    <row r="466" spans="1:12" outlineLevel="1" x14ac:dyDescent="0.25">
      <c r="A466" s="84"/>
      <c r="B466" s="22" t="s">
        <v>41</v>
      </c>
      <c r="C466" s="21" t="s">
        <v>15</v>
      </c>
      <c r="D466" s="2">
        <f>D464*0.2</f>
        <v>9.8400000000000016</v>
      </c>
      <c r="E466" s="18"/>
      <c r="F466" s="361">
        <v>20</v>
      </c>
      <c r="G466" s="18"/>
      <c r="H466" s="2">
        <f>ROUND(D466*F466,2)</f>
        <v>196.8</v>
      </c>
      <c r="I466" s="18">
        <f t="shared" si="25"/>
        <v>196.8</v>
      </c>
    </row>
    <row r="467" spans="1:12" outlineLevel="1" x14ac:dyDescent="0.25">
      <c r="A467" s="84"/>
      <c r="B467" s="22" t="s">
        <v>715</v>
      </c>
      <c r="C467" s="21" t="s">
        <v>15</v>
      </c>
      <c r="D467" s="70">
        <f>D464*9*2</f>
        <v>885.6</v>
      </c>
      <c r="E467" s="18"/>
      <c r="F467" s="361">
        <v>10</v>
      </c>
      <c r="G467" s="18"/>
      <c r="H467" s="2">
        <f>ROUND(D467*F467,2)</f>
        <v>8856</v>
      </c>
      <c r="I467" s="18">
        <f t="shared" si="25"/>
        <v>8856</v>
      </c>
    </row>
    <row r="468" spans="1:12" outlineLevel="1" x14ac:dyDescent="0.25">
      <c r="A468" s="84"/>
      <c r="B468" s="28" t="s">
        <v>1071</v>
      </c>
      <c r="C468" s="21" t="s">
        <v>30</v>
      </c>
      <c r="D468" s="64">
        <f>D464*0.4</f>
        <v>19.680000000000003</v>
      </c>
      <c r="E468" s="18"/>
      <c r="F468" s="361">
        <v>120</v>
      </c>
      <c r="G468" s="18"/>
      <c r="H468" s="2">
        <f>ROUND(D468*F468,2)</f>
        <v>2361.6</v>
      </c>
      <c r="I468" s="18">
        <f t="shared" si="25"/>
        <v>2361.6</v>
      </c>
    </row>
    <row r="469" spans="1:12" ht="31.2" outlineLevel="1" x14ac:dyDescent="0.25">
      <c r="A469" s="107" t="s">
        <v>538</v>
      </c>
      <c r="B469" s="9" t="s">
        <v>1076</v>
      </c>
      <c r="C469" s="31" t="s">
        <v>14</v>
      </c>
      <c r="D469" s="724">
        <f>5+5+2.2*2</f>
        <v>14.4</v>
      </c>
      <c r="E469" s="256">
        <v>180</v>
      </c>
      <c r="F469" s="60"/>
      <c r="G469" s="2">
        <f>ROUND(E469*D469,2)</f>
        <v>2592</v>
      </c>
      <c r="H469" s="18"/>
      <c r="I469" s="18">
        <f>H469+G469</f>
        <v>2592</v>
      </c>
    </row>
    <row r="470" spans="1:12" outlineLevel="1" x14ac:dyDescent="0.25">
      <c r="A470" s="84"/>
      <c r="B470" s="22" t="s">
        <v>1072</v>
      </c>
      <c r="C470" s="21" t="s">
        <v>15</v>
      </c>
      <c r="D470" s="70">
        <f>+ROUND(30*D469,2)</f>
        <v>432</v>
      </c>
      <c r="E470" s="282"/>
      <c r="F470" s="361">
        <v>7</v>
      </c>
      <c r="G470" s="18"/>
      <c r="H470" s="2">
        <f>ROUND(D470*F470,2)</f>
        <v>3024</v>
      </c>
      <c r="I470" s="18">
        <f>H470+G470</f>
        <v>3024</v>
      </c>
    </row>
    <row r="471" spans="1:12" outlineLevel="1" x14ac:dyDescent="0.25">
      <c r="A471" s="84"/>
      <c r="B471" s="22" t="s">
        <v>1077</v>
      </c>
      <c r="C471" s="21" t="s">
        <v>15</v>
      </c>
      <c r="D471" s="2">
        <f>D469*0.2</f>
        <v>2.8800000000000003</v>
      </c>
      <c r="E471" s="18"/>
      <c r="F471" s="361">
        <v>20</v>
      </c>
      <c r="G471" s="18"/>
      <c r="H471" s="2">
        <f>ROUND(D471*F471,2)</f>
        <v>57.6</v>
      </c>
      <c r="I471" s="18">
        <f>H471+G471</f>
        <v>57.6</v>
      </c>
    </row>
    <row r="472" spans="1:12" outlineLevel="1" x14ac:dyDescent="0.25">
      <c r="A472" s="84"/>
      <c r="B472" s="22" t="s">
        <v>715</v>
      </c>
      <c r="C472" s="21" t="s">
        <v>15</v>
      </c>
      <c r="D472" s="70">
        <f>D469*9*2</f>
        <v>259.2</v>
      </c>
      <c r="E472" s="18"/>
      <c r="F472" s="361">
        <v>10</v>
      </c>
      <c r="G472" s="18"/>
      <c r="H472" s="2">
        <f>ROUND(D472*F472,2)</f>
        <v>2592</v>
      </c>
      <c r="I472" s="18">
        <f>H472+G472</f>
        <v>2592</v>
      </c>
    </row>
    <row r="473" spans="1:12" outlineLevel="1" x14ac:dyDescent="0.25">
      <c r="A473" s="84"/>
      <c r="B473" s="28" t="s">
        <v>1071</v>
      </c>
      <c r="C473" s="21" t="s">
        <v>30</v>
      </c>
      <c r="D473" s="64">
        <f>D469*0.4</f>
        <v>5.7600000000000007</v>
      </c>
      <c r="E473" s="18"/>
      <c r="F473" s="361">
        <v>120</v>
      </c>
      <c r="G473" s="18"/>
      <c r="H473" s="2">
        <f>ROUND(D473*F473,2)</f>
        <v>691.2</v>
      </c>
      <c r="I473" s="18">
        <f>H473+G473</f>
        <v>691.2</v>
      </c>
    </row>
    <row r="474" spans="1:12" ht="41.4" x14ac:dyDescent="0.25">
      <c r="A474" s="223"/>
      <c r="B474" s="231" t="s">
        <v>1078</v>
      </c>
      <c r="C474" s="225"/>
      <c r="D474" s="226"/>
      <c r="E474" s="227"/>
      <c r="F474" s="228"/>
      <c r="G474" s="227">
        <f>SUM(G448:G473)</f>
        <v>365569</v>
      </c>
      <c r="H474" s="227">
        <f>SUM(H448:H473)</f>
        <v>150008.03000000003</v>
      </c>
      <c r="I474" s="227">
        <f>SUM(I448:I473)</f>
        <v>515577.02999999991</v>
      </c>
      <c r="J474" s="693"/>
      <c r="L474" s="133"/>
    </row>
    <row r="475" spans="1:12" ht="18.600000000000001" customHeight="1" x14ac:dyDescent="0.25">
      <c r="A475" s="90"/>
      <c r="B475" s="471" t="s">
        <v>624</v>
      </c>
      <c r="C475" s="472"/>
      <c r="D475" s="473"/>
      <c r="E475" s="474"/>
      <c r="F475" s="475"/>
      <c r="G475" s="474"/>
      <c r="H475" s="474"/>
      <c r="I475" s="473">
        <f>ROUND(I474/1.18*0.18,2)</f>
        <v>78647.34</v>
      </c>
    </row>
    <row r="476" spans="1:12" ht="39" customHeight="1" x14ac:dyDescent="0.25">
      <c r="A476" s="109"/>
      <c r="B476" s="752" t="s">
        <v>1207</v>
      </c>
      <c r="C476" s="477"/>
      <c r="D476" s="477"/>
      <c r="E476" s="478"/>
      <c r="F476" s="479"/>
      <c r="G476" s="480"/>
      <c r="H476" s="480"/>
      <c r="I476" s="483"/>
    </row>
    <row r="477" spans="1:12" ht="31.5" customHeight="1" outlineLevel="1" x14ac:dyDescent="0.25">
      <c r="A477" s="107" t="s">
        <v>154</v>
      </c>
      <c r="B477" s="71" t="s">
        <v>1550</v>
      </c>
      <c r="C477" s="72" t="s">
        <v>14</v>
      </c>
      <c r="D477" s="72">
        <f>Д2!D390+Ек!D426+Д!D387+Е!D419</f>
        <v>1437.9</v>
      </c>
      <c r="E477" s="355">
        <v>260</v>
      </c>
      <c r="F477" s="146"/>
      <c r="G477" s="476">
        <f>ROUND(E477*D477,2)</f>
        <v>373854</v>
      </c>
      <c r="H477" s="73"/>
      <c r="I477" s="73">
        <f t="shared" ref="I477:I491" si="26">H477+G477</f>
        <v>373854</v>
      </c>
    </row>
    <row r="478" spans="1:12" outlineLevel="1" x14ac:dyDescent="0.25">
      <c r="A478" s="84"/>
      <c r="B478" s="22" t="s">
        <v>1072</v>
      </c>
      <c r="C478" s="21" t="s">
        <v>15</v>
      </c>
      <c r="D478" s="70">
        <f>D477*10</f>
        <v>14379</v>
      </c>
      <c r="E478" s="282"/>
      <c r="F478" s="361">
        <v>9</v>
      </c>
      <c r="G478" s="18"/>
      <c r="H478" s="2">
        <f>ROUND(D478*F478,2)</f>
        <v>129411</v>
      </c>
      <c r="I478" s="18">
        <f t="shared" si="26"/>
        <v>129411</v>
      </c>
    </row>
    <row r="479" spans="1:12" outlineLevel="1" x14ac:dyDescent="0.25">
      <c r="A479" s="84"/>
      <c r="B479" s="22" t="s">
        <v>1077</v>
      </c>
      <c r="C479" s="21" t="s">
        <v>15</v>
      </c>
      <c r="D479" s="2">
        <f>D478*0.2</f>
        <v>2875.8</v>
      </c>
      <c r="E479" s="18"/>
      <c r="F479" s="361">
        <v>20</v>
      </c>
      <c r="G479" s="18"/>
      <c r="H479" s="2">
        <f>ROUND(D479*F479,2)</f>
        <v>57516</v>
      </c>
      <c r="I479" s="18">
        <f>H479+G479</f>
        <v>57516</v>
      </c>
    </row>
    <row r="480" spans="1:12" outlineLevel="1" x14ac:dyDescent="0.25">
      <c r="A480" s="84"/>
      <c r="B480" s="22" t="s">
        <v>715</v>
      </c>
      <c r="C480" s="21" t="s">
        <v>15</v>
      </c>
      <c r="D480" s="70">
        <f>D477*3</f>
        <v>4313.7000000000007</v>
      </c>
      <c r="E480" s="18"/>
      <c r="F480" s="361">
        <v>10</v>
      </c>
      <c r="G480" s="18"/>
      <c r="H480" s="2">
        <f>ROUND(D480*F480,2)</f>
        <v>43137</v>
      </c>
      <c r="I480" s="18">
        <f>H480+G480</f>
        <v>43137</v>
      </c>
    </row>
    <row r="481" spans="1:12" outlineLevel="1" x14ac:dyDescent="0.25">
      <c r="A481" s="84"/>
      <c r="B481" s="28" t="s">
        <v>1423</v>
      </c>
      <c r="C481" s="21" t="s">
        <v>30</v>
      </c>
      <c r="D481" s="64">
        <f>D477*0.4</f>
        <v>575.16000000000008</v>
      </c>
      <c r="E481" s="18"/>
      <c r="F481" s="361">
        <v>120</v>
      </c>
      <c r="G481" s="18"/>
      <c r="H481" s="2">
        <f>ROUND(D481*F481,2)</f>
        <v>69019.199999999997</v>
      </c>
      <c r="I481" s="18">
        <f>H481+G481</f>
        <v>69019.199999999997</v>
      </c>
    </row>
    <row r="482" spans="1:12" ht="32.25" customHeight="1" outlineLevel="1" x14ac:dyDescent="0.25">
      <c r="A482" s="107" t="s">
        <v>157</v>
      </c>
      <c r="B482" s="9" t="s">
        <v>1424</v>
      </c>
      <c r="C482" s="31" t="s">
        <v>14</v>
      </c>
      <c r="D482" s="724">
        <f>Д2!D395+Ек!D431+Д!D392+Е!D424</f>
        <v>23.6</v>
      </c>
      <c r="E482" s="256">
        <v>180</v>
      </c>
      <c r="F482" s="60"/>
      <c r="G482" s="2">
        <f>ROUND(E482*D482,2)</f>
        <v>4248</v>
      </c>
      <c r="H482" s="18"/>
      <c r="I482" s="18">
        <f>H482+G482</f>
        <v>4248</v>
      </c>
    </row>
    <row r="483" spans="1:12" outlineLevel="1" x14ac:dyDescent="0.25">
      <c r="A483" s="84"/>
      <c r="B483" s="22" t="s">
        <v>1077</v>
      </c>
      <c r="C483" s="21" t="s">
        <v>15</v>
      </c>
      <c r="D483" s="2">
        <f>D482*0.2</f>
        <v>4.7200000000000006</v>
      </c>
      <c r="E483" s="18"/>
      <c r="F483" s="361">
        <v>20</v>
      </c>
      <c r="G483" s="18"/>
      <c r="H483" s="2">
        <f>ROUND(D483*F483,2)</f>
        <v>94.4</v>
      </c>
      <c r="I483" s="18">
        <f t="shared" si="26"/>
        <v>94.4</v>
      </c>
    </row>
    <row r="484" spans="1:12" outlineLevel="1" x14ac:dyDescent="0.25">
      <c r="A484" s="84"/>
      <c r="B484" s="22" t="s">
        <v>715</v>
      </c>
      <c r="C484" s="21" t="s">
        <v>15</v>
      </c>
      <c r="D484" s="70">
        <f>D482*9*2</f>
        <v>424.8</v>
      </c>
      <c r="E484" s="18"/>
      <c r="F484" s="361">
        <v>10</v>
      </c>
      <c r="G484" s="18"/>
      <c r="H484" s="2">
        <f>ROUND(D484*F484,2)</f>
        <v>4248</v>
      </c>
      <c r="I484" s="18">
        <f t="shared" si="26"/>
        <v>4248</v>
      </c>
    </row>
    <row r="485" spans="1:12" outlineLevel="1" x14ac:dyDescent="0.25">
      <c r="A485" s="84"/>
      <c r="B485" s="28" t="s">
        <v>1423</v>
      </c>
      <c r="C485" s="21" t="s">
        <v>30</v>
      </c>
      <c r="D485" s="64">
        <f>D482*0.4</f>
        <v>9.4400000000000013</v>
      </c>
      <c r="E485" s="18"/>
      <c r="F485" s="361">
        <v>120</v>
      </c>
      <c r="G485" s="18"/>
      <c r="H485" s="2">
        <f>ROUND(D485*F485,2)</f>
        <v>1132.8</v>
      </c>
      <c r="I485" s="18">
        <f t="shared" si="26"/>
        <v>1132.8</v>
      </c>
    </row>
    <row r="486" spans="1:12" ht="33" customHeight="1" outlineLevel="1" x14ac:dyDescent="0.25">
      <c r="A486" s="107" t="s">
        <v>158</v>
      </c>
      <c r="B486" s="9" t="s">
        <v>1076</v>
      </c>
      <c r="C486" s="31" t="s">
        <v>14</v>
      </c>
      <c r="D486" s="724">
        <f>Д2!D399+Ек!D435+Д!D396+Е!D428</f>
        <v>443.58000000000004</v>
      </c>
      <c r="E486" s="256">
        <v>180</v>
      </c>
      <c r="F486" s="60"/>
      <c r="G486" s="2">
        <f>ROUND(E486*D486,2)</f>
        <v>79844.399999999994</v>
      </c>
      <c r="H486" s="18"/>
      <c r="I486" s="18">
        <f t="shared" si="26"/>
        <v>79844.399999999994</v>
      </c>
    </row>
    <row r="487" spans="1:12" ht="17.25" customHeight="1" outlineLevel="1" x14ac:dyDescent="0.25">
      <c r="A487" s="86"/>
      <c r="B487" s="22" t="s">
        <v>1077</v>
      </c>
      <c r="C487" s="21" t="s">
        <v>15</v>
      </c>
      <c r="D487" s="2">
        <f>D486*0.2</f>
        <v>88.716000000000008</v>
      </c>
      <c r="E487" s="18"/>
      <c r="F487" s="361">
        <v>20</v>
      </c>
      <c r="G487" s="18"/>
      <c r="H487" s="2">
        <f>ROUND(D487*F487,2)</f>
        <v>1774.32</v>
      </c>
      <c r="I487" s="18">
        <f t="shared" si="26"/>
        <v>1774.32</v>
      </c>
    </row>
    <row r="488" spans="1:12" ht="17.25" customHeight="1" outlineLevel="1" x14ac:dyDescent="0.25">
      <c r="A488" s="86"/>
      <c r="B488" s="22" t="s">
        <v>715</v>
      </c>
      <c r="C488" s="21" t="s">
        <v>15</v>
      </c>
      <c r="D488" s="70">
        <f>D486*9*2</f>
        <v>7984.4400000000005</v>
      </c>
      <c r="E488" s="18"/>
      <c r="F488" s="361">
        <v>10</v>
      </c>
      <c r="G488" s="18"/>
      <c r="H488" s="2">
        <f>ROUND(D488*F488,2)</f>
        <v>79844.399999999994</v>
      </c>
      <c r="I488" s="18">
        <f t="shared" si="26"/>
        <v>79844.399999999994</v>
      </c>
    </row>
    <row r="489" spans="1:12" ht="17.25" customHeight="1" outlineLevel="1" x14ac:dyDescent="0.25">
      <c r="A489" s="86"/>
      <c r="B489" s="28" t="s">
        <v>1071</v>
      </c>
      <c r="C489" s="21" t="s">
        <v>30</v>
      </c>
      <c r="D489" s="64">
        <f>D486*0.4</f>
        <v>177.43200000000002</v>
      </c>
      <c r="E489" s="18"/>
      <c r="F489" s="361">
        <v>120</v>
      </c>
      <c r="G489" s="18"/>
      <c r="H489" s="2">
        <f>ROUND(D489*F489,2)</f>
        <v>21291.84</v>
      </c>
      <c r="I489" s="18">
        <f t="shared" si="26"/>
        <v>21291.84</v>
      </c>
    </row>
    <row r="490" spans="1:12" ht="17.25" customHeight="1" outlineLevel="1" x14ac:dyDescent="0.25">
      <c r="A490" s="107" t="s">
        <v>1208</v>
      </c>
      <c r="B490" s="9" t="s">
        <v>74</v>
      </c>
      <c r="C490" s="176" t="s">
        <v>12</v>
      </c>
      <c r="D490" s="31">
        <f>D491</f>
        <v>90</v>
      </c>
      <c r="E490" s="256">
        <v>350</v>
      </c>
      <c r="F490" s="11"/>
      <c r="G490" s="2">
        <f>ROUND(E490*D490,2)</f>
        <v>31500</v>
      </c>
      <c r="H490" s="2"/>
      <c r="I490" s="2">
        <f t="shared" si="26"/>
        <v>31500</v>
      </c>
    </row>
    <row r="491" spans="1:12" ht="17.25" customHeight="1" outlineLevel="1" x14ac:dyDescent="0.25">
      <c r="A491" s="86"/>
      <c r="B491" s="28" t="s">
        <v>75</v>
      </c>
      <c r="C491" s="21" t="s">
        <v>12</v>
      </c>
      <c r="D491" s="2">
        <f>Д2!D404+Ек!D440+Д!D401+Е!D433</f>
        <v>90</v>
      </c>
      <c r="E491" s="2"/>
      <c r="F491" s="361">
        <v>450</v>
      </c>
      <c r="G491" s="2"/>
      <c r="H491" s="2">
        <f>ROUND(D491*F491,2)</f>
        <v>40500</v>
      </c>
      <c r="I491" s="2">
        <f t="shared" si="26"/>
        <v>40500</v>
      </c>
    </row>
    <row r="492" spans="1:12" ht="21.75" customHeight="1" x14ac:dyDescent="0.25">
      <c r="A492" s="223"/>
      <c r="B492" s="231" t="s">
        <v>71</v>
      </c>
      <c r="C492" s="225"/>
      <c r="D492" s="226"/>
      <c r="E492" s="227"/>
      <c r="F492" s="228"/>
      <c r="G492" s="227">
        <f>SUM(G477:G491)</f>
        <v>489446.40000000002</v>
      </c>
      <c r="H492" s="227">
        <f>SUM(H477:H491)</f>
        <v>447968.96</v>
      </c>
      <c r="I492" s="227">
        <f>SUM(I477:I491)</f>
        <v>937415.36</v>
      </c>
      <c r="J492" s="693"/>
      <c r="L492" s="133"/>
    </row>
    <row r="493" spans="1:12" ht="16.95" customHeight="1" x14ac:dyDescent="0.25">
      <c r="A493" s="90"/>
      <c r="B493" s="471" t="s">
        <v>624</v>
      </c>
      <c r="C493" s="9"/>
      <c r="D493" s="31"/>
      <c r="E493" s="10"/>
      <c r="F493" s="57"/>
      <c r="G493" s="10"/>
      <c r="H493" s="10"/>
      <c r="I493" s="31">
        <f>ROUND(I492/1.18*0.18,2)</f>
        <v>142995.56</v>
      </c>
    </row>
    <row r="494" spans="1:12" ht="21" customHeight="1" x14ac:dyDescent="0.25">
      <c r="A494" s="108"/>
      <c r="B494" s="752" t="s">
        <v>1242</v>
      </c>
      <c r="C494" s="105"/>
      <c r="D494" s="105"/>
      <c r="E494" s="105"/>
      <c r="F494" s="138"/>
      <c r="G494" s="105"/>
      <c r="H494" s="105"/>
      <c r="I494" s="106"/>
    </row>
    <row r="495" spans="1:12" s="15" customFormat="1" ht="33" customHeight="1" outlineLevel="1" x14ac:dyDescent="0.25">
      <c r="A495" s="107" t="s">
        <v>76</v>
      </c>
      <c r="B495" s="723" t="s">
        <v>69</v>
      </c>
      <c r="C495" s="31" t="s">
        <v>8</v>
      </c>
      <c r="D495" s="31">
        <f>Д2!D408+Ек!D444+Д!D405+Е!D437</f>
        <v>20.743100000000002</v>
      </c>
      <c r="E495" s="256">
        <v>1600</v>
      </c>
      <c r="F495" s="11"/>
      <c r="G495" s="2">
        <f>ROUND(E495*D495,2)</f>
        <v>33188.959999999999</v>
      </c>
      <c r="H495" s="2"/>
      <c r="I495" s="2">
        <f>H495+G495</f>
        <v>33188.959999999999</v>
      </c>
    </row>
    <row r="496" spans="1:12" s="15" customFormat="1" outlineLevel="1" x14ac:dyDescent="0.25">
      <c r="A496" s="86"/>
      <c r="B496" s="11" t="s">
        <v>240</v>
      </c>
      <c r="C496" s="21" t="s">
        <v>8</v>
      </c>
      <c r="D496" s="2">
        <f>D495*1.1</f>
        <v>22.817410000000002</v>
      </c>
      <c r="E496" s="282"/>
      <c r="F496" s="361">
        <v>280</v>
      </c>
      <c r="G496" s="2"/>
      <c r="H496" s="2">
        <f>ROUND(D496*F496,2)</f>
        <v>6388.87</v>
      </c>
      <c r="I496" s="2">
        <f>H496+G496</f>
        <v>6388.87</v>
      </c>
    </row>
    <row r="497" spans="1:10" s="15" customFormat="1" outlineLevel="1" x14ac:dyDescent="0.25">
      <c r="A497" s="86"/>
      <c r="B497" s="22" t="s">
        <v>1329</v>
      </c>
      <c r="C497" s="21" t="s">
        <v>8</v>
      </c>
      <c r="D497" s="2">
        <f>1.02*D495</f>
        <v>21.157962000000001</v>
      </c>
      <c r="E497" s="282"/>
      <c r="F497" s="164">
        <v>4800</v>
      </c>
      <c r="G497" s="2"/>
      <c r="H497" s="2">
        <f>ROUND(D497*F497,2)</f>
        <v>101558.22</v>
      </c>
      <c r="I497" s="2">
        <f>H497+G497</f>
        <v>101558.22</v>
      </c>
    </row>
    <row r="498" spans="1:10" s="15" customFormat="1" outlineLevel="1" x14ac:dyDescent="0.25">
      <c r="A498" s="107" t="s">
        <v>78</v>
      </c>
      <c r="B498" s="344" t="s">
        <v>470</v>
      </c>
      <c r="C498" s="31" t="s">
        <v>8</v>
      </c>
      <c r="D498" s="306">
        <v>0</v>
      </c>
      <c r="E498" s="256">
        <v>1000</v>
      </c>
      <c r="F498" s="11"/>
      <c r="G498" s="2">
        <f>ROUND(E498*D498,2)</f>
        <v>0</v>
      </c>
      <c r="H498" s="2"/>
      <c r="I498" s="2">
        <f>H498+G498</f>
        <v>0</v>
      </c>
    </row>
    <row r="499" spans="1:10" s="15" customFormat="1" outlineLevel="1" x14ac:dyDescent="0.25">
      <c r="A499" s="86"/>
      <c r="B499" s="308" t="s">
        <v>471</v>
      </c>
      <c r="C499" s="2" t="s">
        <v>8</v>
      </c>
      <c r="D499" s="340">
        <f>D498*1.02</f>
        <v>0</v>
      </c>
      <c r="E499" s="2"/>
      <c r="F499" s="361">
        <v>3200</v>
      </c>
      <c r="G499" s="2"/>
      <c r="H499" s="2">
        <f>ROUND(D499*F499,2)</f>
        <v>0</v>
      </c>
      <c r="I499" s="2">
        <f>G499+H499</f>
        <v>0</v>
      </c>
    </row>
    <row r="500" spans="1:10" s="15" customFormat="1" outlineLevel="1" x14ac:dyDescent="0.25">
      <c r="A500" s="86"/>
      <c r="B500" s="308" t="s">
        <v>667</v>
      </c>
      <c r="C500" s="2" t="s">
        <v>9</v>
      </c>
      <c r="D500" s="340">
        <v>0</v>
      </c>
      <c r="E500" s="2"/>
      <c r="F500" s="361">
        <v>42000</v>
      </c>
      <c r="G500" s="2"/>
      <c r="H500" s="2">
        <f>ROUND(D500*F500,2)</f>
        <v>0</v>
      </c>
      <c r="I500" s="2">
        <f>G500+H500</f>
        <v>0</v>
      </c>
    </row>
    <row r="501" spans="1:10" s="15" customFormat="1" outlineLevel="1" x14ac:dyDescent="0.25">
      <c r="A501" s="86"/>
      <c r="B501" s="343" t="s">
        <v>70</v>
      </c>
      <c r="C501" s="21" t="s">
        <v>8</v>
      </c>
      <c r="D501" s="340">
        <v>0</v>
      </c>
      <c r="E501" s="2"/>
      <c r="F501" s="361">
        <v>2950</v>
      </c>
      <c r="G501" s="2"/>
      <c r="H501" s="2">
        <f>ROUND(D501*F501,2)</f>
        <v>0</v>
      </c>
      <c r="I501" s="2">
        <f>H501+G501</f>
        <v>0</v>
      </c>
    </row>
    <row r="502" spans="1:10" s="15" customFormat="1" outlineLevel="1" x14ac:dyDescent="0.25">
      <c r="A502" s="86"/>
      <c r="B502" s="343" t="s">
        <v>240</v>
      </c>
      <c r="C502" s="21" t="s">
        <v>8</v>
      </c>
      <c r="D502" s="340">
        <f>D501</f>
        <v>0</v>
      </c>
      <c r="E502" s="2"/>
      <c r="F502" s="361">
        <v>250</v>
      </c>
      <c r="G502" s="2"/>
      <c r="H502" s="2">
        <f>ROUND(D502*F502,2)</f>
        <v>0</v>
      </c>
      <c r="I502" s="2">
        <f>H502+G502</f>
        <v>0</v>
      </c>
    </row>
    <row r="503" spans="1:10" x14ac:dyDescent="0.25">
      <c r="A503" s="223"/>
      <c r="B503" s="231" t="s">
        <v>60</v>
      </c>
      <c r="C503" s="225"/>
      <c r="D503" s="226"/>
      <c r="E503" s="227"/>
      <c r="F503" s="228"/>
      <c r="G503" s="227">
        <f>SUM(G495:G502)</f>
        <v>33188.959999999999</v>
      </c>
      <c r="H503" s="227">
        <f>SUM(H495:H502)</f>
        <v>107947.09</v>
      </c>
      <c r="I503" s="227">
        <f>ROUND(SUM(I495:I502),2)</f>
        <v>141136.04999999999</v>
      </c>
      <c r="J503" s="693"/>
    </row>
    <row r="504" spans="1:10" ht="16.2" customHeight="1" x14ac:dyDescent="0.25">
      <c r="A504" s="90"/>
      <c r="B504" s="471" t="s">
        <v>624</v>
      </c>
      <c r="C504" s="472"/>
      <c r="D504" s="473"/>
      <c r="E504" s="10"/>
      <c r="F504" s="57"/>
      <c r="G504" s="10"/>
      <c r="H504" s="10"/>
      <c r="I504" s="31">
        <f>ROUND(I503/1.18*0.18,2)</f>
        <v>21529.23</v>
      </c>
    </row>
    <row r="505" spans="1:10" s="5" customFormat="1" ht="27" customHeight="1" x14ac:dyDescent="0.25">
      <c r="A505" s="109"/>
      <c r="B505" s="771" t="s">
        <v>1209</v>
      </c>
      <c r="C505" s="771"/>
      <c r="D505" s="771"/>
      <c r="E505" s="488"/>
      <c r="F505" s="138"/>
      <c r="G505" s="102"/>
      <c r="H505" s="111"/>
      <c r="I505" s="102"/>
    </row>
    <row r="506" spans="1:10" outlineLevel="1" x14ac:dyDescent="0.25">
      <c r="A506" s="84" t="s">
        <v>319</v>
      </c>
      <c r="B506" s="71" t="s">
        <v>155</v>
      </c>
      <c r="C506" s="72" t="s">
        <v>12</v>
      </c>
      <c r="D506" s="356">
        <v>0</v>
      </c>
      <c r="E506" s="354">
        <v>19000</v>
      </c>
      <c r="F506" s="137"/>
      <c r="G506" s="2">
        <f>ROUND(E506*D506,2)</f>
        <v>0</v>
      </c>
      <c r="H506" s="26"/>
      <c r="I506" s="26">
        <f>G506+H506</f>
        <v>0</v>
      </c>
    </row>
    <row r="507" spans="1:10" outlineLevel="1" x14ac:dyDescent="0.25">
      <c r="A507" s="84"/>
      <c r="B507" s="329" t="s">
        <v>282</v>
      </c>
      <c r="C507" s="21" t="s">
        <v>12</v>
      </c>
      <c r="D507" s="340">
        <v>0</v>
      </c>
      <c r="E507" s="18"/>
      <c r="F507" s="361">
        <v>63000</v>
      </c>
      <c r="G507" s="26"/>
      <c r="H507" s="2">
        <f>ROUND(D507*F507,2)</f>
        <v>0</v>
      </c>
      <c r="I507" s="26">
        <f t="shared" ref="I507:I578" si="27">G507+H507</f>
        <v>0</v>
      </c>
    </row>
    <row r="508" spans="1:10" outlineLevel="1" x14ac:dyDescent="0.25">
      <c r="A508" s="84"/>
      <c r="B508" s="28" t="s">
        <v>176</v>
      </c>
      <c r="C508" s="21" t="s">
        <v>12</v>
      </c>
      <c r="D508" s="2">
        <v>0</v>
      </c>
      <c r="E508" s="18"/>
      <c r="F508" s="361">
        <v>6000</v>
      </c>
      <c r="G508" s="26"/>
      <c r="H508" s="2">
        <f>ROUND(D508*F508,2)</f>
        <v>0</v>
      </c>
      <c r="I508" s="26">
        <f t="shared" si="27"/>
        <v>0</v>
      </c>
    </row>
    <row r="509" spans="1:10" outlineLevel="1" x14ac:dyDescent="0.25">
      <c r="A509" s="84"/>
      <c r="B509" s="329" t="s">
        <v>283</v>
      </c>
      <c r="C509" s="21" t="s">
        <v>12</v>
      </c>
      <c r="D509" s="340">
        <v>0</v>
      </c>
      <c r="E509" s="18"/>
      <c r="F509" s="164">
        <v>380</v>
      </c>
      <c r="G509" s="26"/>
      <c r="H509" s="2">
        <f>ROUND(D509*F509,2)</f>
        <v>0</v>
      </c>
      <c r="I509" s="26">
        <f t="shared" si="27"/>
        <v>0</v>
      </c>
    </row>
    <row r="510" spans="1:10" outlineLevel="1" x14ac:dyDescent="0.25">
      <c r="A510" s="84" t="s">
        <v>320</v>
      </c>
      <c r="B510" s="29" t="s">
        <v>284</v>
      </c>
      <c r="C510" s="31" t="s">
        <v>12</v>
      </c>
      <c r="D510" s="31">
        <v>0</v>
      </c>
      <c r="E510" s="354">
        <v>250</v>
      </c>
      <c r="F510" s="137"/>
      <c r="G510" s="2">
        <f>ROUND(E510*D510,2)</f>
        <v>0</v>
      </c>
      <c r="H510" s="26"/>
      <c r="I510" s="26">
        <f>G510+H510</f>
        <v>0</v>
      </c>
    </row>
    <row r="511" spans="1:10" outlineLevel="1" x14ac:dyDescent="0.25">
      <c r="A511" s="84"/>
      <c r="B511" s="329" t="s">
        <v>285</v>
      </c>
      <c r="C511" s="21" t="s">
        <v>12</v>
      </c>
      <c r="D511" s="340">
        <v>0</v>
      </c>
      <c r="E511" s="18"/>
      <c r="F511" s="164">
        <v>4900</v>
      </c>
      <c r="G511" s="26"/>
      <c r="H511" s="2">
        <f t="shared" ref="H511:H531" si="28">ROUND(D511*F511,2)</f>
        <v>0</v>
      </c>
      <c r="I511" s="26">
        <f>G511+H511</f>
        <v>0</v>
      </c>
    </row>
    <row r="512" spans="1:10" outlineLevel="1" x14ac:dyDescent="0.25">
      <c r="A512" s="84"/>
      <c r="B512" s="329" t="s">
        <v>449</v>
      </c>
      <c r="C512" s="21" t="s">
        <v>12</v>
      </c>
      <c r="D512" s="340">
        <v>0</v>
      </c>
      <c r="E512" s="18"/>
      <c r="F512" s="164">
        <v>4900</v>
      </c>
      <c r="G512" s="26"/>
      <c r="H512" s="2">
        <f t="shared" si="28"/>
        <v>0</v>
      </c>
      <c r="I512" s="26">
        <f>G512+H512</f>
        <v>0</v>
      </c>
    </row>
    <row r="513" spans="1:10" outlineLevel="1" x14ac:dyDescent="0.25">
      <c r="A513" s="84"/>
      <c r="B513" s="329" t="s">
        <v>448</v>
      </c>
      <c r="C513" s="21" t="s">
        <v>12</v>
      </c>
      <c r="D513" s="340">
        <v>0</v>
      </c>
      <c r="E513" s="18"/>
      <c r="F513" s="361">
        <v>1400</v>
      </c>
      <c r="G513" s="26"/>
      <c r="H513" s="2">
        <f t="shared" si="28"/>
        <v>0</v>
      </c>
      <c r="I513" s="26">
        <f>G513+H513</f>
        <v>0</v>
      </c>
    </row>
    <row r="514" spans="1:10" outlineLevel="1" x14ac:dyDescent="0.25">
      <c r="A514" s="84" t="s">
        <v>321</v>
      </c>
      <c r="B514" s="29" t="s">
        <v>156</v>
      </c>
      <c r="C514" s="31" t="s">
        <v>12</v>
      </c>
      <c r="D514" s="31">
        <v>0</v>
      </c>
      <c r="E514" s="354">
        <v>1000</v>
      </c>
      <c r="F514" s="137"/>
      <c r="G514" s="2">
        <f>ROUND(E514*D514,2)</f>
        <v>0</v>
      </c>
      <c r="H514" s="26">
        <f>F514*D514</f>
        <v>0</v>
      </c>
      <c r="I514" s="26">
        <f t="shared" si="27"/>
        <v>0</v>
      </c>
    </row>
    <row r="515" spans="1:10" outlineLevel="1" x14ac:dyDescent="0.25">
      <c r="A515" s="84"/>
      <c r="B515" s="329" t="s">
        <v>674</v>
      </c>
      <c r="C515" s="21" t="s">
        <v>12</v>
      </c>
      <c r="D515" s="340">
        <v>0</v>
      </c>
      <c r="E515" s="18"/>
      <c r="F515" s="309">
        <v>5500</v>
      </c>
      <c r="G515" s="26"/>
      <c r="H515" s="2">
        <f>ROUND(D515*F515,2)</f>
        <v>0</v>
      </c>
      <c r="I515" s="26">
        <f>G515+H515</f>
        <v>0</v>
      </c>
    </row>
    <row r="516" spans="1:10" outlineLevel="1" x14ac:dyDescent="0.25">
      <c r="A516" s="84"/>
      <c r="B516" s="329" t="s">
        <v>675</v>
      </c>
      <c r="C516" s="21" t="s">
        <v>12</v>
      </c>
      <c r="D516" s="340">
        <v>0</v>
      </c>
      <c r="E516" s="18"/>
      <c r="F516" s="309">
        <v>6000</v>
      </c>
      <c r="G516" s="26"/>
      <c r="H516" s="2">
        <f>ROUND(D516*F516,2)</f>
        <v>0</v>
      </c>
      <c r="I516" s="26">
        <f>G516+H516</f>
        <v>0</v>
      </c>
    </row>
    <row r="517" spans="1:10" outlineLevel="1" x14ac:dyDescent="0.25">
      <c r="A517" s="84"/>
      <c r="B517" s="329" t="s">
        <v>453</v>
      </c>
      <c r="C517" s="21" t="s">
        <v>12</v>
      </c>
      <c r="D517" s="340">
        <v>0</v>
      </c>
      <c r="E517" s="18"/>
      <c r="F517" s="60">
        <v>2350</v>
      </c>
      <c r="G517" s="26"/>
      <c r="H517" s="2">
        <f t="shared" si="28"/>
        <v>0</v>
      </c>
      <c r="I517" s="26">
        <f t="shared" si="27"/>
        <v>0</v>
      </c>
    </row>
    <row r="518" spans="1:10" ht="32.4" customHeight="1" outlineLevel="1" x14ac:dyDescent="0.25">
      <c r="A518" s="84"/>
      <c r="B518" s="329" t="s">
        <v>286</v>
      </c>
      <c r="C518" s="21" t="s">
        <v>12</v>
      </c>
      <c r="D518" s="340">
        <v>0</v>
      </c>
      <c r="E518" s="18"/>
      <c r="F518" s="60">
        <v>955</v>
      </c>
      <c r="G518" s="26"/>
      <c r="H518" s="2">
        <f t="shared" si="28"/>
        <v>0</v>
      </c>
      <c r="I518" s="26">
        <f t="shared" si="27"/>
        <v>0</v>
      </c>
    </row>
    <row r="519" spans="1:10" ht="30" customHeight="1" outlineLevel="1" x14ac:dyDescent="0.25">
      <c r="A519" s="84"/>
      <c r="B519" s="329" t="s">
        <v>446</v>
      </c>
      <c r="C519" s="21" t="s">
        <v>12</v>
      </c>
      <c r="D519" s="340">
        <v>0</v>
      </c>
      <c r="E519" s="18"/>
      <c r="F519" s="60">
        <v>130</v>
      </c>
      <c r="G519" s="18"/>
      <c r="H519" s="2">
        <f t="shared" si="28"/>
        <v>0</v>
      </c>
      <c r="I519" s="26">
        <f>G519+H519</f>
        <v>0</v>
      </c>
    </row>
    <row r="520" spans="1:10" ht="20.399999999999999" customHeight="1" outlineLevel="1" x14ac:dyDescent="0.25">
      <c r="A520" s="84"/>
      <c r="B520" s="329" t="s">
        <v>447</v>
      </c>
      <c r="C520" s="21" t="s">
        <v>12</v>
      </c>
      <c r="D520" s="340">
        <v>0</v>
      </c>
      <c r="E520" s="18"/>
      <c r="F520" s="60">
        <v>610</v>
      </c>
      <c r="G520" s="18"/>
      <c r="H520" s="2">
        <f t="shared" si="28"/>
        <v>0</v>
      </c>
      <c r="I520" s="18">
        <f>G520+H520</f>
        <v>0</v>
      </c>
    </row>
    <row r="521" spans="1:10" ht="24.6" customHeight="1" outlineLevel="1" x14ac:dyDescent="0.25">
      <c r="A521" s="84"/>
      <c r="B521" s="329" t="s">
        <v>450</v>
      </c>
      <c r="C521" s="21" t="s">
        <v>12</v>
      </c>
      <c r="D521" s="340">
        <v>0</v>
      </c>
      <c r="E521" s="18"/>
      <c r="F521" s="60">
        <v>303</v>
      </c>
      <c r="G521" s="18"/>
      <c r="H521" s="2">
        <f t="shared" si="28"/>
        <v>0</v>
      </c>
      <c r="I521" s="18">
        <f>G521+H521</f>
        <v>0</v>
      </c>
    </row>
    <row r="522" spans="1:10" ht="27.75" customHeight="1" outlineLevel="1" x14ac:dyDescent="0.25">
      <c r="A522" s="84"/>
      <c r="B522" s="329" t="s">
        <v>454</v>
      </c>
      <c r="C522" s="21" t="s">
        <v>12</v>
      </c>
      <c r="D522" s="340">
        <v>0</v>
      </c>
      <c r="E522" s="18"/>
      <c r="F522" s="60">
        <v>1061</v>
      </c>
      <c r="G522" s="18"/>
      <c r="H522" s="2">
        <f t="shared" si="28"/>
        <v>0</v>
      </c>
      <c r="I522" s="18">
        <f>G522+H522</f>
        <v>0</v>
      </c>
    </row>
    <row r="523" spans="1:10" ht="24.6" customHeight="1" outlineLevel="1" x14ac:dyDescent="0.25">
      <c r="A523" s="84"/>
      <c r="B523" s="329" t="s">
        <v>455</v>
      </c>
      <c r="C523" s="21" t="s">
        <v>12</v>
      </c>
      <c r="D523" s="340">
        <v>0</v>
      </c>
      <c r="E523" s="18"/>
      <c r="F523" s="60">
        <v>386</v>
      </c>
      <c r="G523" s="18"/>
      <c r="H523" s="2">
        <f t="shared" si="28"/>
        <v>0</v>
      </c>
      <c r="I523" s="18">
        <f>G523+H523</f>
        <v>0</v>
      </c>
      <c r="J523" s="5"/>
    </row>
    <row r="524" spans="1:10" outlineLevel="1" x14ac:dyDescent="0.25">
      <c r="A524" s="84" t="s">
        <v>322</v>
      </c>
      <c r="B524" s="29" t="s">
        <v>162</v>
      </c>
      <c r="C524" s="31" t="s">
        <v>12</v>
      </c>
      <c r="D524" s="31">
        <v>0</v>
      </c>
      <c r="E524" s="256">
        <v>500</v>
      </c>
      <c r="F524" s="60"/>
      <c r="G524" s="2">
        <f>ROUND(E524*D524,2)</f>
        <v>0</v>
      </c>
      <c r="H524" s="18">
        <f>F524*D524</f>
        <v>0</v>
      </c>
      <c r="I524" s="18">
        <f t="shared" si="27"/>
        <v>0</v>
      </c>
    </row>
    <row r="525" spans="1:10" outlineLevel="1" x14ac:dyDescent="0.25">
      <c r="A525" s="84"/>
      <c r="B525" s="329" t="s">
        <v>163</v>
      </c>
      <c r="C525" s="21" t="s">
        <v>12</v>
      </c>
      <c r="D525" s="340">
        <v>0</v>
      </c>
      <c r="E525" s="18"/>
      <c r="F525" s="60">
        <f>950*1.1</f>
        <v>1045</v>
      </c>
      <c r="G525" s="18"/>
      <c r="H525" s="2">
        <f t="shared" si="28"/>
        <v>0</v>
      </c>
      <c r="I525" s="18">
        <f t="shared" si="27"/>
        <v>0</v>
      </c>
    </row>
    <row r="526" spans="1:10" outlineLevel="1" x14ac:dyDescent="0.25">
      <c r="A526" s="84" t="s">
        <v>323</v>
      </c>
      <c r="B526" s="29" t="s">
        <v>164</v>
      </c>
      <c r="C526" s="31" t="s">
        <v>12</v>
      </c>
      <c r="D526" s="31">
        <v>0</v>
      </c>
      <c r="E526" s="256">
        <v>250</v>
      </c>
      <c r="F526" s="60"/>
      <c r="G526" s="2">
        <f>ROUND(E526*D526,2)</f>
        <v>0</v>
      </c>
      <c r="H526" s="18">
        <f>F526*D526</f>
        <v>0</v>
      </c>
      <c r="I526" s="18">
        <f t="shared" si="27"/>
        <v>0</v>
      </c>
    </row>
    <row r="527" spans="1:10" outlineLevel="1" x14ac:dyDescent="0.25">
      <c r="A527" s="84"/>
      <c r="B527" s="329" t="s">
        <v>165</v>
      </c>
      <c r="C527" s="21" t="s">
        <v>12</v>
      </c>
      <c r="D527" s="340">
        <v>0</v>
      </c>
      <c r="E527" s="18"/>
      <c r="F527" s="60">
        <v>674.3</v>
      </c>
      <c r="G527" s="18"/>
      <c r="H527" s="2">
        <f t="shared" si="28"/>
        <v>0</v>
      </c>
      <c r="I527" s="18">
        <f t="shared" si="27"/>
        <v>0</v>
      </c>
    </row>
    <row r="528" spans="1:10" outlineLevel="1" x14ac:dyDescent="0.25">
      <c r="A528" s="84"/>
      <c r="B528" s="329" t="s">
        <v>309</v>
      </c>
      <c r="C528" s="21" t="s">
        <v>12</v>
      </c>
      <c r="D528" s="340">
        <v>0</v>
      </c>
      <c r="E528" s="18"/>
      <c r="F528" s="60">
        <v>850</v>
      </c>
      <c r="G528" s="18"/>
      <c r="H528" s="2">
        <f t="shared" si="28"/>
        <v>0</v>
      </c>
      <c r="I528" s="18">
        <f>G528+H528</f>
        <v>0</v>
      </c>
    </row>
    <row r="529" spans="1:9" outlineLevel="1" x14ac:dyDescent="0.25">
      <c r="A529" s="84"/>
      <c r="B529" s="329" t="s">
        <v>345</v>
      </c>
      <c r="C529" s="21" t="s">
        <v>12</v>
      </c>
      <c r="D529" s="340">
        <v>0</v>
      </c>
      <c r="E529" s="18"/>
      <c r="F529" s="60">
        <v>851</v>
      </c>
      <c r="G529" s="18"/>
      <c r="H529" s="2">
        <f>ROUND(D529*F529,2)</f>
        <v>0</v>
      </c>
      <c r="I529" s="18">
        <f>G529+H529</f>
        <v>0</v>
      </c>
    </row>
    <row r="530" spans="1:9" ht="17.25" customHeight="1" outlineLevel="1" x14ac:dyDescent="0.25">
      <c r="A530" s="84"/>
      <c r="B530" s="329" t="s">
        <v>301</v>
      </c>
      <c r="C530" s="21" t="s">
        <v>12</v>
      </c>
      <c r="D530" s="340">
        <v>0</v>
      </c>
      <c r="E530" s="18"/>
      <c r="F530" s="60">
        <v>449</v>
      </c>
      <c r="G530" s="18"/>
      <c r="H530" s="2">
        <f t="shared" si="28"/>
        <v>0</v>
      </c>
      <c r="I530" s="18">
        <f t="shared" si="27"/>
        <v>0</v>
      </c>
    </row>
    <row r="531" spans="1:9" ht="17.25" customHeight="1" outlineLevel="1" x14ac:dyDescent="0.25">
      <c r="A531" s="84"/>
      <c r="B531" s="329" t="s">
        <v>344</v>
      </c>
      <c r="C531" s="21" t="s">
        <v>12</v>
      </c>
      <c r="D531" s="340">
        <v>0</v>
      </c>
      <c r="E531" s="18"/>
      <c r="F531" s="60">
        <v>914</v>
      </c>
      <c r="G531" s="18"/>
      <c r="H531" s="18">
        <f t="shared" si="28"/>
        <v>0</v>
      </c>
      <c r="I531" s="18">
        <f t="shared" si="27"/>
        <v>0</v>
      </c>
    </row>
    <row r="532" spans="1:9" ht="17.25" customHeight="1" outlineLevel="1" x14ac:dyDescent="0.25">
      <c r="A532" s="84"/>
      <c r="B532" s="329" t="s">
        <v>670</v>
      </c>
      <c r="C532" s="21" t="s">
        <v>12</v>
      </c>
      <c r="D532" s="340">
        <v>0</v>
      </c>
      <c r="E532" s="18"/>
      <c r="F532" s="164">
        <v>914</v>
      </c>
      <c r="G532" s="18"/>
      <c r="H532" s="18">
        <f>ROUND(D532*F532,2)</f>
        <v>0</v>
      </c>
      <c r="I532" s="18">
        <f>G532+H532</f>
        <v>0</v>
      </c>
    </row>
    <row r="533" spans="1:9" ht="17.25" customHeight="1" outlineLevel="1" x14ac:dyDescent="0.25">
      <c r="A533" s="84"/>
      <c r="B533" s="329" t="s">
        <v>679</v>
      </c>
      <c r="C533" s="21" t="s">
        <v>12</v>
      </c>
      <c r="D533" s="340">
        <v>0</v>
      </c>
      <c r="E533" s="18"/>
      <c r="F533" s="164">
        <v>100</v>
      </c>
      <c r="G533" s="18"/>
      <c r="H533" s="18">
        <f>ROUND(D533*F533,2)</f>
        <v>0</v>
      </c>
      <c r="I533" s="18">
        <f>G533+H533</f>
        <v>0</v>
      </c>
    </row>
    <row r="534" spans="1:9" ht="17.25" customHeight="1" outlineLevel="1" x14ac:dyDescent="0.25">
      <c r="A534" s="84"/>
      <c r="B534" s="329" t="s">
        <v>680</v>
      </c>
      <c r="C534" s="21" t="s">
        <v>12</v>
      </c>
      <c r="D534" s="340">
        <v>0</v>
      </c>
      <c r="E534" s="18"/>
      <c r="F534" s="164">
        <v>200</v>
      </c>
      <c r="G534" s="18"/>
      <c r="H534" s="18">
        <f>ROUND(D534*F534,2)</f>
        <v>0</v>
      </c>
      <c r="I534" s="18">
        <f>G534+H534</f>
        <v>0</v>
      </c>
    </row>
    <row r="535" spans="1:9" ht="17.25" customHeight="1" outlineLevel="1" x14ac:dyDescent="0.25">
      <c r="A535" s="84"/>
      <c r="B535" s="28"/>
      <c r="C535" s="21"/>
      <c r="D535" s="340"/>
      <c r="E535" s="18"/>
      <c r="F535" s="164"/>
      <c r="G535" s="18"/>
      <c r="H535" s="18"/>
      <c r="I535" s="18"/>
    </row>
    <row r="536" spans="1:9" outlineLevel="1" x14ac:dyDescent="0.25">
      <c r="A536" s="84" t="s">
        <v>324</v>
      </c>
      <c r="B536" s="79" t="s">
        <v>166</v>
      </c>
      <c r="C536" s="31" t="s">
        <v>12</v>
      </c>
      <c r="D536" s="31">
        <v>0</v>
      </c>
      <c r="E536" s="256">
        <v>35</v>
      </c>
      <c r="F536" s="60"/>
      <c r="G536" s="2">
        <f>ROUND(E536*D536,2)</f>
        <v>0</v>
      </c>
      <c r="H536" s="18">
        <f>F536*D536</f>
        <v>0</v>
      </c>
      <c r="I536" s="18">
        <f t="shared" si="27"/>
        <v>0</v>
      </c>
    </row>
    <row r="537" spans="1:9" ht="31.2" outlineLevel="1" x14ac:dyDescent="0.25">
      <c r="A537" s="84"/>
      <c r="B537" s="329" t="s">
        <v>167</v>
      </c>
      <c r="C537" s="21" t="s">
        <v>12</v>
      </c>
      <c r="D537" s="340">
        <v>0</v>
      </c>
      <c r="E537" s="18"/>
      <c r="F537" s="60">
        <v>50</v>
      </c>
      <c r="G537" s="18"/>
      <c r="H537" s="2">
        <f t="shared" ref="H537:H549" si="29">ROUND(D537*F537,2)</f>
        <v>0</v>
      </c>
      <c r="I537" s="18">
        <f t="shared" si="27"/>
        <v>0</v>
      </c>
    </row>
    <row r="538" spans="1:9" ht="46.8" outlineLevel="1" x14ac:dyDescent="0.25">
      <c r="A538" s="84"/>
      <c r="B538" s="329" t="s">
        <v>292</v>
      </c>
      <c r="C538" s="21" t="s">
        <v>12</v>
      </c>
      <c r="D538" s="340">
        <v>0</v>
      </c>
      <c r="E538" s="18"/>
      <c r="F538" s="60">
        <v>30.46</v>
      </c>
      <c r="G538" s="18"/>
      <c r="H538" s="2">
        <f t="shared" si="29"/>
        <v>0</v>
      </c>
      <c r="I538" s="18">
        <f t="shared" si="27"/>
        <v>0</v>
      </c>
    </row>
    <row r="539" spans="1:9" ht="31.2" outlineLevel="1" x14ac:dyDescent="0.25">
      <c r="A539" s="84"/>
      <c r="B539" s="329" t="s">
        <v>293</v>
      </c>
      <c r="C539" s="21" t="s">
        <v>12</v>
      </c>
      <c r="D539" s="340">
        <v>0</v>
      </c>
      <c r="E539" s="18"/>
      <c r="F539" s="60">
        <v>30.46</v>
      </c>
      <c r="G539" s="18"/>
      <c r="H539" s="2">
        <f t="shared" si="29"/>
        <v>0</v>
      </c>
      <c r="I539" s="18">
        <f>G539+H539</f>
        <v>0</v>
      </c>
    </row>
    <row r="540" spans="1:9" ht="31.2" outlineLevel="1" x14ac:dyDescent="0.25">
      <c r="A540" s="84"/>
      <c r="B540" s="329" t="s">
        <v>294</v>
      </c>
      <c r="C540" s="21" t="s">
        <v>12</v>
      </c>
      <c r="D540" s="340">
        <v>0</v>
      </c>
      <c r="E540" s="18"/>
      <c r="F540" s="60">
        <v>41.85</v>
      </c>
      <c r="G540" s="18"/>
      <c r="H540" s="2">
        <f t="shared" si="29"/>
        <v>0</v>
      </c>
      <c r="I540" s="18">
        <f t="shared" si="27"/>
        <v>0</v>
      </c>
    </row>
    <row r="541" spans="1:9" ht="31.2" outlineLevel="1" x14ac:dyDescent="0.25">
      <c r="A541" s="84"/>
      <c r="B541" s="329" t="s">
        <v>289</v>
      </c>
      <c r="C541" s="21" t="s">
        <v>12</v>
      </c>
      <c r="D541" s="340">
        <v>0</v>
      </c>
      <c r="E541" s="18"/>
      <c r="F541" s="60">
        <f>59*1.1</f>
        <v>64.900000000000006</v>
      </c>
      <c r="G541" s="18"/>
      <c r="H541" s="2">
        <f t="shared" si="29"/>
        <v>0</v>
      </c>
      <c r="I541" s="18">
        <f t="shared" si="27"/>
        <v>0</v>
      </c>
    </row>
    <row r="542" spans="1:9" ht="31.2" outlineLevel="1" x14ac:dyDescent="0.25">
      <c r="A542" s="84"/>
      <c r="B542" s="329" t="s">
        <v>288</v>
      </c>
      <c r="C542" s="21" t="s">
        <v>12</v>
      </c>
      <c r="D542" s="340">
        <v>0</v>
      </c>
      <c r="E542" s="18"/>
      <c r="F542" s="60">
        <v>37.25</v>
      </c>
      <c r="G542" s="18"/>
      <c r="H542" s="2">
        <f t="shared" si="29"/>
        <v>0</v>
      </c>
      <c r="I542" s="18">
        <f t="shared" si="27"/>
        <v>0</v>
      </c>
    </row>
    <row r="543" spans="1:9" ht="31.2" outlineLevel="1" x14ac:dyDescent="0.25">
      <c r="A543" s="84"/>
      <c r="B543" s="329" t="s">
        <v>290</v>
      </c>
      <c r="C543" s="21" t="s">
        <v>12</v>
      </c>
      <c r="D543" s="340">
        <v>0</v>
      </c>
      <c r="E543" s="18"/>
      <c r="F543" s="60">
        <v>277</v>
      </c>
      <c r="G543" s="18"/>
      <c r="H543" s="2">
        <f t="shared" si="29"/>
        <v>0</v>
      </c>
      <c r="I543" s="18">
        <f t="shared" si="27"/>
        <v>0</v>
      </c>
    </row>
    <row r="544" spans="1:9" ht="31.2" outlineLevel="1" x14ac:dyDescent="0.25">
      <c r="A544" s="84"/>
      <c r="B544" s="329" t="s">
        <v>291</v>
      </c>
      <c r="C544" s="21" t="s">
        <v>12</v>
      </c>
      <c r="D544" s="340">
        <v>0</v>
      </c>
      <c r="E544" s="18"/>
      <c r="F544" s="60">
        <v>65.900000000000006</v>
      </c>
      <c r="G544" s="18"/>
      <c r="H544" s="2">
        <f t="shared" si="29"/>
        <v>0</v>
      </c>
      <c r="I544" s="18">
        <f t="shared" si="27"/>
        <v>0</v>
      </c>
    </row>
    <row r="545" spans="1:9" outlineLevel="1" x14ac:dyDescent="0.25">
      <c r="A545" s="84"/>
      <c r="B545" s="329" t="s">
        <v>168</v>
      </c>
      <c r="C545" s="21" t="s">
        <v>12</v>
      </c>
      <c r="D545" s="340">
        <v>0</v>
      </c>
      <c r="E545" s="18"/>
      <c r="F545" s="60">
        <v>127</v>
      </c>
      <c r="G545" s="18"/>
      <c r="H545" s="2">
        <f t="shared" si="29"/>
        <v>0</v>
      </c>
      <c r="I545" s="18">
        <f t="shared" si="27"/>
        <v>0</v>
      </c>
    </row>
    <row r="546" spans="1:9" outlineLevel="1" x14ac:dyDescent="0.25">
      <c r="A546" s="84"/>
      <c r="B546" s="329" t="s">
        <v>287</v>
      </c>
      <c r="C546" s="21" t="s">
        <v>12</v>
      </c>
      <c r="D546" s="340">
        <v>0</v>
      </c>
      <c r="E546" s="18"/>
      <c r="F546" s="60">
        <v>20</v>
      </c>
      <c r="G546" s="18"/>
      <c r="H546" s="2">
        <f t="shared" si="29"/>
        <v>0</v>
      </c>
      <c r="I546" s="18">
        <f t="shared" si="27"/>
        <v>0</v>
      </c>
    </row>
    <row r="547" spans="1:9" outlineLevel="1" x14ac:dyDescent="0.25">
      <c r="A547" s="84"/>
      <c r="B547" s="329" t="s">
        <v>677</v>
      </c>
      <c r="C547" s="21" t="s">
        <v>12</v>
      </c>
      <c r="D547" s="340">
        <v>0</v>
      </c>
      <c r="E547" s="18"/>
      <c r="F547" s="60">
        <v>30</v>
      </c>
      <c r="G547" s="18"/>
      <c r="H547" s="2">
        <f t="shared" si="29"/>
        <v>0</v>
      </c>
      <c r="I547" s="18">
        <f>G547+H547</f>
        <v>0</v>
      </c>
    </row>
    <row r="548" spans="1:9" ht="31.2" outlineLevel="1" x14ac:dyDescent="0.25">
      <c r="A548" s="84"/>
      <c r="B548" s="329" t="s">
        <v>442</v>
      </c>
      <c r="C548" s="21" t="s">
        <v>12</v>
      </c>
      <c r="D548" s="340">
        <v>0</v>
      </c>
      <c r="E548" s="18"/>
      <c r="F548" s="60">
        <v>78</v>
      </c>
      <c r="G548" s="18"/>
      <c r="H548" s="2">
        <f t="shared" si="29"/>
        <v>0</v>
      </c>
      <c r="I548" s="18">
        <f>G548+H548</f>
        <v>0</v>
      </c>
    </row>
    <row r="549" spans="1:9" ht="18.75" customHeight="1" outlineLevel="1" x14ac:dyDescent="0.25">
      <c r="A549" s="84"/>
      <c r="B549" s="329" t="s">
        <v>673</v>
      </c>
      <c r="C549" s="21" t="s">
        <v>12</v>
      </c>
      <c r="D549" s="340">
        <v>0</v>
      </c>
      <c r="E549" s="18"/>
      <c r="F549" s="60">
        <v>90</v>
      </c>
      <c r="G549" s="18"/>
      <c r="H549" s="2">
        <f t="shared" si="29"/>
        <v>0</v>
      </c>
      <c r="I549" s="18">
        <f>G549+H549</f>
        <v>0</v>
      </c>
    </row>
    <row r="550" spans="1:9" ht="31.2" outlineLevel="1" x14ac:dyDescent="0.25">
      <c r="A550" s="84"/>
      <c r="B550" s="329" t="s">
        <v>668</v>
      </c>
      <c r="C550" s="21" t="s">
        <v>12</v>
      </c>
      <c r="D550" s="340">
        <v>0</v>
      </c>
      <c r="E550" s="18"/>
      <c r="F550" s="60">
        <v>90</v>
      </c>
      <c r="G550" s="18"/>
      <c r="H550" s="2">
        <f>ROUND(D550*F550,2)</f>
        <v>0</v>
      </c>
      <c r="I550" s="18">
        <f>G550+H550</f>
        <v>0</v>
      </c>
    </row>
    <row r="551" spans="1:9" outlineLevel="1" x14ac:dyDescent="0.25">
      <c r="A551" s="84"/>
      <c r="B551" s="329" t="s">
        <v>678</v>
      </c>
      <c r="C551" s="21" t="s">
        <v>12</v>
      </c>
      <c r="D551" s="340">
        <v>0</v>
      </c>
      <c r="E551" s="18"/>
      <c r="F551" s="164">
        <v>100</v>
      </c>
      <c r="G551" s="18"/>
      <c r="H551" s="2">
        <f>ROUND(D551*F551,2)</f>
        <v>0</v>
      </c>
      <c r="I551" s="18">
        <f>G551+H551</f>
        <v>0</v>
      </c>
    </row>
    <row r="552" spans="1:9" outlineLevel="1" x14ac:dyDescent="0.25">
      <c r="A552" s="84" t="s">
        <v>532</v>
      </c>
      <c r="B552" s="29" t="s">
        <v>489</v>
      </c>
      <c r="C552" s="31" t="s">
        <v>29</v>
      </c>
      <c r="D552" s="31">
        <v>0</v>
      </c>
      <c r="E552" s="256">
        <v>35</v>
      </c>
      <c r="F552" s="60"/>
      <c r="G552" s="2">
        <f>ROUND(E552*D552,2)</f>
        <v>0</v>
      </c>
      <c r="H552" s="18">
        <f>F552*D552</f>
        <v>0</v>
      </c>
      <c r="I552" s="18">
        <f t="shared" si="27"/>
        <v>0</v>
      </c>
    </row>
    <row r="553" spans="1:9" outlineLevel="1" x14ac:dyDescent="0.25">
      <c r="A553" s="84"/>
      <c r="B553" s="329" t="s">
        <v>296</v>
      </c>
      <c r="C553" s="21" t="s">
        <v>29</v>
      </c>
      <c r="D553" s="340">
        <v>0</v>
      </c>
      <c r="E553" s="18"/>
      <c r="F553" s="60">
        <v>31</v>
      </c>
      <c r="G553" s="18"/>
      <c r="H553" s="2">
        <f t="shared" ref="H553:H571" si="30">ROUND(D553*F553,2)</f>
        <v>0</v>
      </c>
      <c r="I553" s="18">
        <f t="shared" si="27"/>
        <v>0</v>
      </c>
    </row>
    <row r="554" spans="1:9" outlineLevel="1" x14ac:dyDescent="0.25">
      <c r="A554" s="84"/>
      <c r="B554" s="329" t="s">
        <v>311</v>
      </c>
      <c r="C554" s="21" t="s">
        <v>29</v>
      </c>
      <c r="D554" s="340">
        <v>0</v>
      </c>
      <c r="E554" s="18"/>
      <c r="F554" s="60">
        <f>459.7*1.1</f>
        <v>505.67</v>
      </c>
      <c r="G554" s="18"/>
      <c r="H554" s="2">
        <f t="shared" si="30"/>
        <v>0</v>
      </c>
      <c r="I554" s="18">
        <f t="shared" si="27"/>
        <v>0</v>
      </c>
    </row>
    <row r="555" spans="1:9" outlineLevel="1" x14ac:dyDescent="0.25">
      <c r="A555" s="84"/>
      <c r="B555" s="329" t="s">
        <v>297</v>
      </c>
      <c r="C555" s="21" t="s">
        <v>29</v>
      </c>
      <c r="D555" s="340">
        <v>0</v>
      </c>
      <c r="E555" s="18"/>
      <c r="F555" s="60">
        <f>10.16*1.1</f>
        <v>11.176000000000002</v>
      </c>
      <c r="G555" s="18"/>
      <c r="H555" s="2">
        <f t="shared" si="30"/>
        <v>0</v>
      </c>
      <c r="I555" s="18">
        <f t="shared" si="27"/>
        <v>0</v>
      </c>
    </row>
    <row r="556" spans="1:9" outlineLevel="1" x14ac:dyDescent="0.25">
      <c r="A556" s="84"/>
      <c r="B556" s="329" t="s">
        <v>299</v>
      </c>
      <c r="C556" s="21" t="s">
        <v>29</v>
      </c>
      <c r="D556" s="340">
        <v>0</v>
      </c>
      <c r="E556" s="18"/>
      <c r="F556" s="60">
        <f>11.4*1.1</f>
        <v>12.540000000000001</v>
      </c>
      <c r="G556" s="18"/>
      <c r="H556" s="2">
        <f t="shared" si="30"/>
        <v>0</v>
      </c>
      <c r="I556" s="18">
        <f>G556+H556</f>
        <v>0</v>
      </c>
    </row>
    <row r="557" spans="1:9" outlineLevel="1" x14ac:dyDescent="0.25">
      <c r="A557" s="84"/>
      <c r="B557" s="329" t="s">
        <v>298</v>
      </c>
      <c r="C557" s="21" t="s">
        <v>29</v>
      </c>
      <c r="D557" s="340">
        <v>0</v>
      </c>
      <c r="E557" s="18"/>
      <c r="F557" s="60">
        <f>19.4*1.1</f>
        <v>21.34</v>
      </c>
      <c r="G557" s="18"/>
      <c r="H557" s="2">
        <f t="shared" si="30"/>
        <v>0</v>
      </c>
      <c r="I557" s="18">
        <f>G557+H557</f>
        <v>0</v>
      </c>
    </row>
    <row r="558" spans="1:9" outlineLevel="1" x14ac:dyDescent="0.25">
      <c r="A558" s="84"/>
      <c r="B558" s="329" t="s">
        <v>171</v>
      </c>
      <c r="C558" s="21" t="s">
        <v>29</v>
      </c>
      <c r="D558" s="340">
        <v>0</v>
      </c>
      <c r="E558" s="18"/>
      <c r="F558" s="60">
        <f>50.41*1.1</f>
        <v>55.451000000000001</v>
      </c>
      <c r="G558" s="18"/>
      <c r="H558" s="2">
        <f t="shared" si="30"/>
        <v>0</v>
      </c>
      <c r="I558" s="18">
        <f t="shared" si="27"/>
        <v>0</v>
      </c>
    </row>
    <row r="559" spans="1:9" outlineLevel="1" x14ac:dyDescent="0.25">
      <c r="A559" s="84"/>
      <c r="B559" s="329" t="s">
        <v>458</v>
      </c>
      <c r="C559" s="21" t="s">
        <v>29</v>
      </c>
      <c r="D559" s="340">
        <v>0</v>
      </c>
      <c r="E559" s="18"/>
      <c r="F559" s="60">
        <v>205</v>
      </c>
      <c r="G559" s="18"/>
      <c r="H559" s="2">
        <f t="shared" si="30"/>
        <v>0</v>
      </c>
      <c r="I559" s="18">
        <f>G559+H559</f>
        <v>0</v>
      </c>
    </row>
    <row r="560" spans="1:9" outlineLevel="1" x14ac:dyDescent="0.25">
      <c r="A560" s="84"/>
      <c r="B560" s="329" t="s">
        <v>169</v>
      </c>
      <c r="C560" s="21" t="s">
        <v>29</v>
      </c>
      <c r="D560" s="340">
        <v>0</v>
      </c>
      <c r="E560" s="18"/>
      <c r="F560" s="60">
        <f>22.48*1.1</f>
        <v>24.728000000000002</v>
      </c>
      <c r="G560" s="18"/>
      <c r="H560" s="2">
        <f t="shared" si="30"/>
        <v>0</v>
      </c>
      <c r="I560" s="18">
        <f t="shared" si="27"/>
        <v>0</v>
      </c>
    </row>
    <row r="561" spans="1:9" outlineLevel="1" x14ac:dyDescent="0.25">
      <c r="A561" s="84"/>
      <c r="B561" s="329" t="s">
        <v>457</v>
      </c>
      <c r="C561" s="21" t="s">
        <v>29</v>
      </c>
      <c r="D561" s="340">
        <v>0</v>
      </c>
      <c r="E561" s="18"/>
      <c r="F561" s="60">
        <f>15.53*1.1</f>
        <v>17.083000000000002</v>
      </c>
      <c r="G561" s="18"/>
      <c r="H561" s="2">
        <f t="shared" si="30"/>
        <v>0</v>
      </c>
      <c r="I561" s="18">
        <f t="shared" si="27"/>
        <v>0</v>
      </c>
    </row>
    <row r="562" spans="1:9" ht="17.25" customHeight="1" outlineLevel="1" x14ac:dyDescent="0.25">
      <c r="A562" s="84"/>
      <c r="B562" s="329" t="s">
        <v>170</v>
      </c>
      <c r="C562" s="21" t="s">
        <v>12</v>
      </c>
      <c r="D562" s="340">
        <v>0</v>
      </c>
      <c r="E562" s="18"/>
      <c r="F562" s="60">
        <v>8</v>
      </c>
      <c r="G562" s="18"/>
      <c r="H562" s="2">
        <f t="shared" si="30"/>
        <v>0</v>
      </c>
      <c r="I562" s="18">
        <f>G562+H562</f>
        <v>0</v>
      </c>
    </row>
    <row r="563" spans="1:9" outlineLevel="1" x14ac:dyDescent="0.25">
      <c r="A563" s="84"/>
      <c r="B563" s="329" t="s">
        <v>302</v>
      </c>
      <c r="C563" s="21" t="s">
        <v>29</v>
      </c>
      <c r="D563" s="340">
        <v>0</v>
      </c>
      <c r="E563" s="18"/>
      <c r="F563" s="60">
        <v>194</v>
      </c>
      <c r="G563" s="18"/>
      <c r="H563" s="2">
        <f t="shared" si="30"/>
        <v>0</v>
      </c>
      <c r="I563" s="18">
        <f t="shared" si="27"/>
        <v>0</v>
      </c>
    </row>
    <row r="564" spans="1:9" outlineLevel="1" x14ac:dyDescent="0.25">
      <c r="A564" s="84"/>
      <c r="B564" s="329" t="s">
        <v>443</v>
      </c>
      <c r="C564" s="21" t="s">
        <v>29</v>
      </c>
      <c r="D564" s="340">
        <v>0</v>
      </c>
      <c r="E564" s="18"/>
      <c r="F564" s="60">
        <v>45</v>
      </c>
      <c r="G564" s="18"/>
      <c r="H564" s="2">
        <f t="shared" si="30"/>
        <v>0</v>
      </c>
      <c r="I564" s="18">
        <f t="shared" si="27"/>
        <v>0</v>
      </c>
    </row>
    <row r="565" spans="1:9" outlineLevel="1" x14ac:dyDescent="0.25">
      <c r="A565" s="84"/>
      <c r="B565" s="329" t="s">
        <v>300</v>
      </c>
      <c r="C565" s="21" t="s">
        <v>29</v>
      </c>
      <c r="D565" s="340">
        <v>0</v>
      </c>
      <c r="E565" s="18"/>
      <c r="F565" s="60">
        <v>78</v>
      </c>
      <c r="G565" s="18"/>
      <c r="H565" s="2">
        <f t="shared" si="30"/>
        <v>0</v>
      </c>
      <c r="I565" s="18">
        <f t="shared" si="27"/>
        <v>0</v>
      </c>
    </row>
    <row r="566" spans="1:9" outlineLevel="1" x14ac:dyDescent="0.25">
      <c r="A566" s="84"/>
      <c r="B566" s="329" t="s">
        <v>91</v>
      </c>
      <c r="C566" s="21" t="s">
        <v>15</v>
      </c>
      <c r="D566" s="340">
        <v>0</v>
      </c>
      <c r="E566" s="18"/>
      <c r="F566" s="164">
        <v>42</v>
      </c>
      <c r="G566" s="18"/>
      <c r="H566" s="2">
        <f>ROUND(D566*F566,2)</f>
        <v>0</v>
      </c>
      <c r="I566" s="18">
        <f t="shared" si="27"/>
        <v>0</v>
      </c>
    </row>
    <row r="567" spans="1:9" outlineLevel="1" x14ac:dyDescent="0.25">
      <c r="A567" s="84"/>
      <c r="B567" s="329" t="s">
        <v>676</v>
      </c>
      <c r="C567" s="21" t="s">
        <v>29</v>
      </c>
      <c r="D567" s="340">
        <v>0</v>
      </c>
      <c r="E567" s="18"/>
      <c r="F567" s="164">
        <v>9.8699999999999992</v>
      </c>
      <c r="G567" s="18"/>
      <c r="H567" s="2">
        <f>ROUND(D567*F567,2)</f>
        <v>0</v>
      </c>
      <c r="I567" s="18">
        <f t="shared" si="27"/>
        <v>0</v>
      </c>
    </row>
    <row r="568" spans="1:9" outlineLevel="1" x14ac:dyDescent="0.25">
      <c r="A568" s="84"/>
      <c r="B568" s="329" t="s">
        <v>669</v>
      </c>
      <c r="C568" s="21" t="s">
        <v>29</v>
      </c>
      <c r="D568" s="340">
        <v>0</v>
      </c>
      <c r="E568" s="18"/>
      <c r="F568" s="164">
        <v>9.8699999999999992</v>
      </c>
      <c r="G568" s="18"/>
      <c r="H568" s="2">
        <f>ROUND(D568*F568,2)</f>
        <v>0</v>
      </c>
      <c r="I568" s="18">
        <f t="shared" si="27"/>
        <v>0</v>
      </c>
    </row>
    <row r="569" spans="1:9" outlineLevel="1" x14ac:dyDescent="0.25">
      <c r="A569" s="84"/>
      <c r="B569" s="329" t="s">
        <v>672</v>
      </c>
      <c r="C569" s="21" t="s">
        <v>29</v>
      </c>
      <c r="D569" s="340">
        <v>0</v>
      </c>
      <c r="E569" s="18"/>
      <c r="F569" s="164">
        <v>9.8699999999999992</v>
      </c>
      <c r="G569" s="18"/>
      <c r="H569" s="2">
        <f>ROUND(D569*F569,2)</f>
        <v>0</v>
      </c>
      <c r="I569" s="18">
        <f t="shared" si="27"/>
        <v>0</v>
      </c>
    </row>
    <row r="570" spans="1:9" outlineLevel="1" x14ac:dyDescent="0.25">
      <c r="A570" s="84"/>
      <c r="B570" s="329" t="s">
        <v>444</v>
      </c>
      <c r="C570" s="21" t="s">
        <v>29</v>
      </c>
      <c r="D570" s="340">
        <v>0</v>
      </c>
      <c r="E570" s="18"/>
      <c r="F570" s="60">
        <v>56</v>
      </c>
      <c r="G570" s="18"/>
      <c r="H570" s="2">
        <f t="shared" si="30"/>
        <v>0</v>
      </c>
      <c r="I570" s="18">
        <f t="shared" si="27"/>
        <v>0</v>
      </c>
    </row>
    <row r="571" spans="1:9" outlineLevel="1" x14ac:dyDescent="0.25">
      <c r="A571" s="84"/>
      <c r="B571" s="329" t="s">
        <v>445</v>
      </c>
      <c r="C571" s="21" t="s">
        <v>29</v>
      </c>
      <c r="D571" s="340">
        <v>0</v>
      </c>
      <c r="E571" s="18"/>
      <c r="F571" s="60">
        <v>70</v>
      </c>
      <c r="G571" s="18"/>
      <c r="H571" s="2">
        <f t="shared" si="30"/>
        <v>0</v>
      </c>
      <c r="I571" s="18">
        <f t="shared" si="27"/>
        <v>0</v>
      </c>
    </row>
    <row r="572" spans="1:9" outlineLevel="1" x14ac:dyDescent="0.25">
      <c r="A572" s="84"/>
      <c r="B572" s="329" t="s">
        <v>671</v>
      </c>
      <c r="C572" s="21" t="s">
        <v>29</v>
      </c>
      <c r="D572" s="340">
        <v>0</v>
      </c>
      <c r="E572" s="18"/>
      <c r="F572" s="164">
        <v>170</v>
      </c>
      <c r="G572" s="18"/>
      <c r="H572" s="2">
        <f>ROUND(D572*F572,2)</f>
        <v>0</v>
      </c>
      <c r="I572" s="18">
        <f t="shared" si="27"/>
        <v>0</v>
      </c>
    </row>
    <row r="573" spans="1:9" outlineLevel="1" x14ac:dyDescent="0.25">
      <c r="A573" s="84" t="s">
        <v>533</v>
      </c>
      <c r="B573" s="29" t="s">
        <v>303</v>
      </c>
      <c r="C573" s="31" t="s">
        <v>12</v>
      </c>
      <c r="D573" s="158"/>
      <c r="E573" s="18"/>
      <c r="F573" s="60"/>
      <c r="G573" s="18">
        <f>E573*D573</f>
        <v>0</v>
      </c>
      <c r="H573" s="18"/>
      <c r="I573" s="18">
        <f t="shared" si="27"/>
        <v>0</v>
      </c>
    </row>
    <row r="574" spans="1:9" outlineLevel="1" x14ac:dyDescent="0.25">
      <c r="A574" s="84"/>
      <c r="B574" s="329" t="s">
        <v>304</v>
      </c>
      <c r="C574" s="21" t="s">
        <v>12</v>
      </c>
      <c r="D574" s="340">
        <v>0</v>
      </c>
      <c r="E574" s="18"/>
      <c r="F574" s="60">
        <v>462</v>
      </c>
      <c r="G574" s="18"/>
      <c r="H574" s="2">
        <f>ROUND(D574*F574,2)</f>
        <v>0</v>
      </c>
      <c r="I574" s="18">
        <f t="shared" si="27"/>
        <v>0</v>
      </c>
    </row>
    <row r="575" spans="1:9" outlineLevel="1" x14ac:dyDescent="0.25">
      <c r="A575" s="84"/>
      <c r="B575" s="329" t="s">
        <v>306</v>
      </c>
      <c r="C575" s="21" t="s">
        <v>12</v>
      </c>
      <c r="D575" s="340">
        <v>0</v>
      </c>
      <c r="E575" s="18"/>
      <c r="F575" s="60">
        <v>216</v>
      </c>
      <c r="G575" s="18"/>
      <c r="H575" s="2">
        <f>ROUND(D575*F575,2)</f>
        <v>0</v>
      </c>
      <c r="I575" s="18">
        <f t="shared" si="27"/>
        <v>0</v>
      </c>
    </row>
    <row r="576" spans="1:9" outlineLevel="1" x14ac:dyDescent="0.25">
      <c r="A576" s="84"/>
      <c r="B576" s="329" t="s">
        <v>305</v>
      </c>
      <c r="C576" s="21" t="s">
        <v>12</v>
      </c>
      <c r="D576" s="340">
        <v>0</v>
      </c>
      <c r="E576" s="18"/>
      <c r="F576" s="60">
        <v>216</v>
      </c>
      <c r="G576" s="18"/>
      <c r="H576" s="2">
        <f>ROUND(D576*F576,2)</f>
        <v>0</v>
      </c>
      <c r="I576" s="18">
        <f t="shared" si="27"/>
        <v>0</v>
      </c>
    </row>
    <row r="577" spans="1:9" outlineLevel="1" x14ac:dyDescent="0.25">
      <c r="A577" s="84"/>
      <c r="B577" s="329" t="s">
        <v>307</v>
      </c>
      <c r="C577" s="21" t="s">
        <v>12</v>
      </c>
      <c r="D577" s="340">
        <v>0</v>
      </c>
      <c r="E577" s="18"/>
      <c r="F577" s="60">
        <v>300</v>
      </c>
      <c r="G577" s="18"/>
      <c r="H577" s="2">
        <f>ROUND(D577*F577,2)</f>
        <v>0</v>
      </c>
      <c r="I577" s="18">
        <f t="shared" si="27"/>
        <v>0</v>
      </c>
    </row>
    <row r="578" spans="1:9" outlineLevel="1" x14ac:dyDescent="0.25">
      <c r="A578" s="84" t="s">
        <v>534</v>
      </c>
      <c r="B578" s="29" t="s">
        <v>310</v>
      </c>
      <c r="C578" s="31" t="s">
        <v>173</v>
      </c>
      <c r="D578" s="31">
        <v>0</v>
      </c>
      <c r="E578" s="18"/>
      <c r="F578" s="60">
        <f>30000</f>
        <v>30000</v>
      </c>
      <c r="G578" s="18"/>
      <c r="H578" s="2">
        <f>ROUND(D578*F578,2)</f>
        <v>0</v>
      </c>
      <c r="I578" s="18">
        <f t="shared" si="27"/>
        <v>0</v>
      </c>
    </row>
    <row r="579" spans="1:9" outlineLevel="1" x14ac:dyDescent="0.25">
      <c r="A579" s="84" t="s">
        <v>611</v>
      </c>
      <c r="B579" s="192" t="s">
        <v>590</v>
      </c>
      <c r="C579" s="31"/>
      <c r="D579" s="18"/>
      <c r="E579" s="256">
        <v>0</v>
      </c>
      <c r="F579" s="60"/>
      <c r="G579" s="18">
        <f>E579</f>
        <v>0</v>
      </c>
      <c r="H579" s="18">
        <v>0</v>
      </c>
      <c r="I579" s="18">
        <f>G579+H579</f>
        <v>0</v>
      </c>
    </row>
    <row r="580" spans="1:9" outlineLevel="1" x14ac:dyDescent="0.25">
      <c r="A580" s="84"/>
      <c r="B580" s="329" t="s">
        <v>591</v>
      </c>
      <c r="C580" s="21" t="s">
        <v>12</v>
      </c>
      <c r="D580" s="340">
        <v>0</v>
      </c>
      <c r="E580" s="18"/>
      <c r="F580" s="60">
        <f>1144.07*1.1</f>
        <v>1258.4770000000001</v>
      </c>
      <c r="G580" s="18"/>
      <c r="H580" s="18">
        <f>F580*D580</f>
        <v>0</v>
      </c>
      <c r="I580" s="18">
        <f>G580+H580</f>
        <v>0</v>
      </c>
    </row>
    <row r="581" spans="1:9" outlineLevel="1" x14ac:dyDescent="0.25">
      <c r="A581" s="84"/>
      <c r="B581" s="329" t="s">
        <v>592</v>
      </c>
      <c r="C581" s="21" t="s">
        <v>12</v>
      </c>
      <c r="D581" s="340">
        <v>0</v>
      </c>
      <c r="E581" s="18"/>
      <c r="F581" s="60">
        <f>1144.07*1.1</f>
        <v>1258.4770000000001</v>
      </c>
      <c r="G581" s="18"/>
      <c r="H581" s="18">
        <f>F581*D581</f>
        <v>0</v>
      </c>
      <c r="I581" s="18">
        <f>G581+H581</f>
        <v>0</v>
      </c>
    </row>
    <row r="582" spans="1:9" outlineLevel="1" x14ac:dyDescent="0.25">
      <c r="A582" s="84"/>
      <c r="B582" s="329" t="s">
        <v>593</v>
      </c>
      <c r="C582" s="21" t="s">
        <v>12</v>
      </c>
      <c r="D582" s="340">
        <v>0</v>
      </c>
      <c r="E582" s="18"/>
      <c r="F582" s="60">
        <f>1144.07*1.1</f>
        <v>1258.4770000000001</v>
      </c>
      <c r="G582" s="18"/>
      <c r="H582" s="18">
        <f>F582*D582</f>
        <v>0</v>
      </c>
      <c r="I582" s="18">
        <f>G582+H582</f>
        <v>0</v>
      </c>
    </row>
    <row r="583" spans="1:9" outlineLevel="1" x14ac:dyDescent="0.25">
      <c r="A583" s="84"/>
      <c r="B583" s="329" t="s">
        <v>594</v>
      </c>
      <c r="C583" s="21" t="s">
        <v>12</v>
      </c>
      <c r="D583" s="340">
        <v>0</v>
      </c>
      <c r="E583" s="18"/>
      <c r="F583" s="60">
        <f>1101.7*1.18</f>
        <v>1300.0060000000001</v>
      </c>
      <c r="G583" s="18"/>
      <c r="H583" s="18">
        <f>F583*D583</f>
        <v>0</v>
      </c>
      <c r="I583" s="18">
        <f>G583+H583</f>
        <v>0</v>
      </c>
    </row>
    <row r="584" spans="1:9" outlineLevel="1" x14ac:dyDescent="0.25">
      <c r="A584" s="84"/>
      <c r="B584" s="308" t="s">
        <v>595</v>
      </c>
      <c r="C584" s="21" t="s">
        <v>12</v>
      </c>
      <c r="D584" s="340">
        <v>0</v>
      </c>
      <c r="E584" s="18"/>
      <c r="F584" s="60">
        <f>120</f>
        <v>120</v>
      </c>
      <c r="G584" s="18"/>
      <c r="H584" s="18">
        <f t="shared" ref="H584:H601" si="31">F584*D584</f>
        <v>0</v>
      </c>
      <c r="I584" s="18">
        <f t="shared" ref="I584:I601" si="32">G584+H584</f>
        <v>0</v>
      </c>
    </row>
    <row r="585" spans="1:9" outlineLevel="1" x14ac:dyDescent="0.25">
      <c r="A585" s="84"/>
      <c r="B585" s="308" t="s">
        <v>596</v>
      </c>
      <c r="C585" s="21" t="s">
        <v>12</v>
      </c>
      <c r="D585" s="340">
        <v>0</v>
      </c>
      <c r="E585" s="18"/>
      <c r="F585" s="60">
        <f>127.12*1.18</f>
        <v>150.0016</v>
      </c>
      <c r="G585" s="18"/>
      <c r="H585" s="18">
        <f t="shared" si="31"/>
        <v>0</v>
      </c>
      <c r="I585" s="18">
        <f t="shared" si="32"/>
        <v>0</v>
      </c>
    </row>
    <row r="586" spans="1:9" outlineLevel="1" x14ac:dyDescent="0.25">
      <c r="A586" s="84"/>
      <c r="B586" s="308" t="s">
        <v>597</v>
      </c>
      <c r="C586" s="21" t="s">
        <v>12</v>
      </c>
      <c r="D586" s="340">
        <v>0</v>
      </c>
      <c r="E586" s="18"/>
      <c r="F586" s="60">
        <f>127.12*1.18</f>
        <v>150.0016</v>
      </c>
      <c r="G586" s="18"/>
      <c r="H586" s="18">
        <f t="shared" si="31"/>
        <v>0</v>
      </c>
      <c r="I586" s="18">
        <f t="shared" si="32"/>
        <v>0</v>
      </c>
    </row>
    <row r="587" spans="1:9" outlineLevel="1" x14ac:dyDescent="0.25">
      <c r="A587" s="84"/>
      <c r="B587" s="308" t="s">
        <v>598</v>
      </c>
      <c r="C587" s="21" t="s">
        <v>12</v>
      </c>
      <c r="D587" s="340">
        <v>0</v>
      </c>
      <c r="E587" s="18"/>
      <c r="F587" s="60">
        <v>50</v>
      </c>
      <c r="G587" s="18"/>
      <c r="H587" s="18">
        <f t="shared" si="31"/>
        <v>0</v>
      </c>
      <c r="I587" s="18">
        <f t="shared" si="32"/>
        <v>0</v>
      </c>
    </row>
    <row r="588" spans="1:9" outlineLevel="1" x14ac:dyDescent="0.25">
      <c r="A588" s="84"/>
      <c r="B588" s="308" t="s">
        <v>599</v>
      </c>
      <c r="C588" s="21" t="s">
        <v>12</v>
      </c>
      <c r="D588" s="340">
        <v>0</v>
      </c>
      <c r="E588" s="18"/>
      <c r="F588" s="60">
        <v>200</v>
      </c>
      <c r="G588" s="18"/>
      <c r="H588" s="18">
        <f t="shared" si="31"/>
        <v>0</v>
      </c>
      <c r="I588" s="18">
        <f t="shared" si="32"/>
        <v>0</v>
      </c>
    </row>
    <row r="589" spans="1:9" outlineLevel="1" x14ac:dyDescent="0.25">
      <c r="A589" s="84"/>
      <c r="B589" s="308" t="s">
        <v>600</v>
      </c>
      <c r="C589" s="21" t="s">
        <v>12</v>
      </c>
      <c r="D589" s="340">
        <v>0</v>
      </c>
      <c r="E589" s="18"/>
      <c r="F589" s="60">
        <v>10</v>
      </c>
      <c r="G589" s="18"/>
      <c r="H589" s="18">
        <f t="shared" si="31"/>
        <v>0</v>
      </c>
      <c r="I589" s="18">
        <f t="shared" si="32"/>
        <v>0</v>
      </c>
    </row>
    <row r="590" spans="1:9" outlineLevel="1" x14ac:dyDescent="0.25">
      <c r="A590" s="84"/>
      <c r="B590" s="308" t="s">
        <v>601</v>
      </c>
      <c r="C590" s="21" t="s">
        <v>12</v>
      </c>
      <c r="D590" s="340">
        <v>0</v>
      </c>
      <c r="E590" s="18"/>
      <c r="F590" s="60">
        <v>18</v>
      </c>
      <c r="G590" s="18"/>
      <c r="H590" s="18">
        <f t="shared" si="31"/>
        <v>0</v>
      </c>
      <c r="I590" s="18">
        <f t="shared" si="32"/>
        <v>0</v>
      </c>
    </row>
    <row r="591" spans="1:9" outlineLevel="1" x14ac:dyDescent="0.25">
      <c r="A591" s="84"/>
      <c r="B591" s="308" t="s">
        <v>602</v>
      </c>
      <c r="C591" s="21" t="s">
        <v>12</v>
      </c>
      <c r="D591" s="340">
        <v>0</v>
      </c>
      <c r="E591" s="18"/>
      <c r="F591" s="60">
        <v>67</v>
      </c>
      <c r="G591" s="18"/>
      <c r="H591" s="18">
        <f t="shared" si="31"/>
        <v>0</v>
      </c>
      <c r="I591" s="18">
        <f t="shared" si="32"/>
        <v>0</v>
      </c>
    </row>
    <row r="592" spans="1:9" outlineLevel="1" x14ac:dyDescent="0.25">
      <c r="A592" s="84"/>
      <c r="B592" s="33" t="s">
        <v>603</v>
      </c>
      <c r="C592" s="21" t="s">
        <v>12</v>
      </c>
      <c r="D592" s="18"/>
      <c r="E592" s="18"/>
      <c r="F592" s="60">
        <v>65</v>
      </c>
      <c r="G592" s="18"/>
      <c r="H592" s="18">
        <f t="shared" si="31"/>
        <v>0</v>
      </c>
      <c r="I592" s="18">
        <f t="shared" si="32"/>
        <v>0</v>
      </c>
    </row>
    <row r="593" spans="1:12" outlineLevel="1" x14ac:dyDescent="0.25">
      <c r="A593" s="84"/>
      <c r="B593" s="308" t="s">
        <v>604</v>
      </c>
      <c r="C593" s="21" t="s">
        <v>12</v>
      </c>
      <c r="D593" s="340">
        <v>0</v>
      </c>
      <c r="E593" s="18"/>
      <c r="F593" s="60">
        <v>150</v>
      </c>
      <c r="G593" s="18"/>
      <c r="H593" s="18">
        <f t="shared" si="31"/>
        <v>0</v>
      </c>
      <c r="I593" s="18">
        <f t="shared" si="32"/>
        <v>0</v>
      </c>
    </row>
    <row r="594" spans="1:12" outlineLevel="1" x14ac:dyDescent="0.25">
      <c r="A594" s="84"/>
      <c r="B594" s="308" t="s">
        <v>605</v>
      </c>
      <c r="C594" s="21" t="s">
        <v>12</v>
      </c>
      <c r="D594" s="340">
        <v>0</v>
      </c>
      <c r="E594" s="18"/>
      <c r="F594" s="60">
        <v>45</v>
      </c>
      <c r="G594" s="18"/>
      <c r="H594" s="18">
        <f t="shared" si="31"/>
        <v>0</v>
      </c>
      <c r="I594" s="18">
        <f t="shared" si="32"/>
        <v>0</v>
      </c>
    </row>
    <row r="595" spans="1:12" outlineLevel="1" x14ac:dyDescent="0.25">
      <c r="A595" s="84"/>
      <c r="B595" s="308" t="s">
        <v>606</v>
      </c>
      <c r="C595" s="21" t="s">
        <v>12</v>
      </c>
      <c r="D595" s="340">
        <v>0</v>
      </c>
      <c r="E595" s="18"/>
      <c r="F595" s="60">
        <v>65</v>
      </c>
      <c r="G595" s="18"/>
      <c r="H595" s="18">
        <f t="shared" si="31"/>
        <v>0</v>
      </c>
      <c r="I595" s="18">
        <f t="shared" si="32"/>
        <v>0</v>
      </c>
    </row>
    <row r="596" spans="1:12" outlineLevel="1" x14ac:dyDescent="0.25">
      <c r="A596" s="84"/>
      <c r="B596" s="308" t="s">
        <v>716</v>
      </c>
      <c r="C596" s="21" t="s">
        <v>12</v>
      </c>
      <c r="D596" s="340">
        <v>0</v>
      </c>
      <c r="E596" s="18"/>
      <c r="F596" s="164">
        <v>100</v>
      </c>
      <c r="G596" s="18"/>
      <c r="H596" s="18">
        <f>F596*D596</f>
        <v>0</v>
      </c>
      <c r="I596" s="18">
        <f>G596+H596</f>
        <v>0</v>
      </c>
    </row>
    <row r="597" spans="1:12" outlineLevel="1" x14ac:dyDescent="0.25">
      <c r="A597" s="84"/>
      <c r="B597" s="308" t="s">
        <v>717</v>
      </c>
      <c r="C597" s="21" t="s">
        <v>12</v>
      </c>
      <c r="D597" s="340">
        <v>0</v>
      </c>
      <c r="E597" s="18"/>
      <c r="F597" s="164">
        <v>100</v>
      </c>
      <c r="G597" s="18"/>
      <c r="H597" s="18">
        <f>F597*D597</f>
        <v>0</v>
      </c>
      <c r="I597" s="18">
        <f>G597+H597</f>
        <v>0</v>
      </c>
    </row>
    <row r="598" spans="1:12" outlineLevel="1" x14ac:dyDescent="0.25">
      <c r="A598" s="84"/>
      <c r="B598" s="308" t="s">
        <v>607</v>
      </c>
      <c r="C598" s="21" t="s">
        <v>29</v>
      </c>
      <c r="D598" s="340">
        <v>0</v>
      </c>
      <c r="E598" s="18"/>
      <c r="F598" s="60">
        <v>50</v>
      </c>
      <c r="G598" s="18"/>
      <c r="H598" s="18">
        <f t="shared" si="31"/>
        <v>0</v>
      </c>
      <c r="I598" s="18">
        <f t="shared" si="32"/>
        <v>0</v>
      </c>
    </row>
    <row r="599" spans="1:12" outlineLevel="1" x14ac:dyDescent="0.25">
      <c r="A599" s="84"/>
      <c r="B599" s="308" t="s">
        <v>608</v>
      </c>
      <c r="C599" s="21" t="s">
        <v>29</v>
      </c>
      <c r="D599" s="340">
        <v>0</v>
      </c>
      <c r="E599" s="18"/>
      <c r="F599" s="60">
        <v>59</v>
      </c>
      <c r="G599" s="18"/>
      <c r="H599" s="18">
        <f t="shared" si="31"/>
        <v>0</v>
      </c>
      <c r="I599" s="18">
        <f t="shared" si="32"/>
        <v>0</v>
      </c>
    </row>
    <row r="600" spans="1:12" outlineLevel="1" x14ac:dyDescent="0.25">
      <c r="A600" s="84"/>
      <c r="B600" s="308" t="s">
        <v>90</v>
      </c>
      <c r="C600" s="2" t="s">
        <v>29</v>
      </c>
      <c r="D600" s="340">
        <v>0</v>
      </c>
      <c r="E600" s="18"/>
      <c r="F600" s="60">
        <v>20</v>
      </c>
      <c r="G600" s="18"/>
      <c r="H600" s="18">
        <f t="shared" si="31"/>
        <v>0</v>
      </c>
      <c r="I600" s="18">
        <f t="shared" si="32"/>
        <v>0</v>
      </c>
    </row>
    <row r="601" spans="1:12" outlineLevel="1" x14ac:dyDescent="0.25">
      <c r="A601" s="84"/>
      <c r="B601" s="308" t="s">
        <v>91</v>
      </c>
      <c r="C601" s="31" t="s">
        <v>15</v>
      </c>
      <c r="D601" s="340">
        <v>0</v>
      </c>
      <c r="E601" s="18"/>
      <c r="F601" s="60">
        <v>42</v>
      </c>
      <c r="G601" s="18"/>
      <c r="H601" s="18">
        <f t="shared" si="31"/>
        <v>0</v>
      </c>
      <c r="I601" s="18">
        <f t="shared" si="32"/>
        <v>0</v>
      </c>
    </row>
    <row r="602" spans="1:12" s="6" customFormat="1" outlineLevel="1" x14ac:dyDescent="0.25">
      <c r="A602" s="84" t="s">
        <v>612</v>
      </c>
      <c r="B602" s="192" t="s">
        <v>609</v>
      </c>
      <c r="C602" s="31"/>
      <c r="D602" s="18"/>
      <c r="E602" s="130"/>
      <c r="F602" s="60"/>
      <c r="G602" s="18"/>
      <c r="H602" s="18"/>
      <c r="I602" s="18"/>
    </row>
    <row r="603" spans="1:12" s="6" customFormat="1" outlineLevel="1" x14ac:dyDescent="0.25">
      <c r="A603" s="84"/>
      <c r="B603" s="308" t="s">
        <v>610</v>
      </c>
      <c r="C603" s="31" t="s">
        <v>12</v>
      </c>
      <c r="D603" s="306">
        <v>0</v>
      </c>
      <c r="E603" s="256">
        <v>0</v>
      </c>
      <c r="F603" s="57">
        <v>350</v>
      </c>
      <c r="G603" s="18">
        <f>E603</f>
        <v>0</v>
      </c>
      <c r="H603" s="18">
        <f>F603*D603</f>
        <v>0</v>
      </c>
      <c r="I603" s="18">
        <f>G603+H603</f>
        <v>0</v>
      </c>
    </row>
    <row r="604" spans="1:12" s="5" customFormat="1" ht="38.4" customHeight="1" x14ac:dyDescent="0.25">
      <c r="A604" s="223"/>
      <c r="B604" s="233" t="s">
        <v>61</v>
      </c>
      <c r="C604" s="234"/>
      <c r="D604" s="235"/>
      <c r="E604" s="236"/>
      <c r="F604" s="237"/>
      <c r="G604" s="236">
        <v>1456000</v>
      </c>
      <c r="H604" s="236">
        <v>2550000</v>
      </c>
      <c r="I604" s="236">
        <f>G604+H604</f>
        <v>4006000</v>
      </c>
      <c r="K604" s="5">
        <f>10000*90+2200000</f>
        <v>3100000</v>
      </c>
      <c r="L604" s="5">
        <f>K604-I604</f>
        <v>-906000</v>
      </c>
    </row>
    <row r="605" spans="1:12" s="5" customFormat="1" ht="18.600000000000001" customHeight="1" x14ac:dyDescent="0.25">
      <c r="A605" s="92"/>
      <c r="B605" s="471" t="s">
        <v>624</v>
      </c>
      <c r="C605" s="9"/>
      <c r="D605" s="31"/>
      <c r="E605" s="10"/>
      <c r="F605" s="57"/>
      <c r="G605" s="10"/>
      <c r="H605" s="10"/>
      <c r="I605" s="31">
        <f>ROUND(I604/1.18*0.18,2)</f>
        <v>611084.75</v>
      </c>
    </row>
    <row r="606" spans="1:12" s="5" customFormat="1" ht="18.75" customHeight="1" x14ac:dyDescent="0.25">
      <c r="A606" s="489"/>
      <c r="B606" s="752" t="s">
        <v>1210</v>
      </c>
      <c r="C606" s="490"/>
      <c r="D606" s="128"/>
      <c r="E606" s="119"/>
      <c r="F606" s="145"/>
      <c r="G606" s="128"/>
      <c r="H606" s="128"/>
      <c r="I606" s="111"/>
    </row>
    <row r="607" spans="1:12" ht="31.2" outlineLevel="1" x14ac:dyDescent="0.25">
      <c r="A607" s="93" t="s">
        <v>325</v>
      </c>
      <c r="B607" s="357" t="s">
        <v>77</v>
      </c>
      <c r="C607" s="72" t="s">
        <v>12</v>
      </c>
      <c r="D607" s="356">
        <v>0</v>
      </c>
      <c r="E607" s="355">
        <v>1500</v>
      </c>
      <c r="F607" s="146"/>
      <c r="G607" s="2">
        <f>ROUND(E607*D607,2)</f>
        <v>0</v>
      </c>
      <c r="H607" s="73"/>
      <c r="I607" s="73">
        <f>G607+H607</f>
        <v>0</v>
      </c>
    </row>
    <row r="608" spans="1:12" outlineLevel="1" x14ac:dyDescent="0.25">
      <c r="A608" s="84"/>
      <c r="B608" s="329" t="s">
        <v>181</v>
      </c>
      <c r="C608" s="21" t="s">
        <v>173</v>
      </c>
      <c r="D608" s="340">
        <v>0</v>
      </c>
      <c r="E608" s="282"/>
      <c r="F608" s="361">
        <v>31000</v>
      </c>
      <c r="G608" s="18"/>
      <c r="H608" s="2">
        <f>ROUND(D608*F608,2)</f>
        <v>0</v>
      </c>
      <c r="I608" s="18">
        <f>G608+H608</f>
        <v>0</v>
      </c>
    </row>
    <row r="609" spans="1:9" outlineLevel="1" x14ac:dyDescent="0.25">
      <c r="A609" s="84" t="s">
        <v>326</v>
      </c>
      <c r="B609" s="9" t="s">
        <v>79</v>
      </c>
      <c r="C609" s="31" t="s">
        <v>80</v>
      </c>
      <c r="D609" s="306">
        <v>0</v>
      </c>
      <c r="E609" s="256">
        <v>75</v>
      </c>
      <c r="F609" s="60"/>
      <c r="G609" s="2">
        <f>ROUND(E609*D609,2)</f>
        <v>0</v>
      </c>
      <c r="H609" s="18"/>
      <c r="I609" s="18">
        <f t="shared" ref="I609:I653" si="33">G609+H609</f>
        <v>0</v>
      </c>
    </row>
    <row r="610" spans="1:9" outlineLevel="1" x14ac:dyDescent="0.25">
      <c r="A610" s="84"/>
      <c r="B610" s="343" t="s">
        <v>81</v>
      </c>
      <c r="C610" s="21" t="s">
        <v>80</v>
      </c>
      <c r="D610" s="340">
        <v>0</v>
      </c>
      <c r="E610" s="18"/>
      <c r="F610" s="361">
        <v>240</v>
      </c>
      <c r="G610" s="18"/>
      <c r="H610" s="2">
        <f>ROUND(D610*F610,2)</f>
        <v>0</v>
      </c>
      <c r="I610" s="18">
        <f t="shared" si="33"/>
        <v>0</v>
      </c>
    </row>
    <row r="611" spans="1:9" outlineLevel="1" x14ac:dyDescent="0.25">
      <c r="A611" s="84" t="s">
        <v>327</v>
      </c>
      <c r="B611" s="9" t="s">
        <v>83</v>
      </c>
      <c r="C611" s="31" t="s">
        <v>12</v>
      </c>
      <c r="D611" s="306">
        <v>0</v>
      </c>
      <c r="E611" s="256">
        <v>600</v>
      </c>
      <c r="F611" s="60"/>
      <c r="G611" s="2">
        <f>ROUND(E611*D611,2)</f>
        <v>0</v>
      </c>
      <c r="H611" s="18"/>
      <c r="I611" s="18">
        <f t="shared" si="33"/>
        <v>0</v>
      </c>
    </row>
    <row r="612" spans="1:9" ht="31.2" outlineLevel="1" x14ac:dyDescent="0.25">
      <c r="A612" s="84"/>
      <c r="B612" s="329" t="s">
        <v>266</v>
      </c>
      <c r="C612" s="21" t="s">
        <v>12</v>
      </c>
      <c r="D612" s="340">
        <v>0</v>
      </c>
      <c r="E612" s="18"/>
      <c r="F612" s="361">
        <v>950</v>
      </c>
      <c r="G612" s="18"/>
      <c r="H612" s="2">
        <f>ROUND(D612*F612,2)</f>
        <v>0</v>
      </c>
      <c r="I612" s="18">
        <f t="shared" si="33"/>
        <v>0</v>
      </c>
    </row>
    <row r="613" spans="1:9" ht="31.2" outlineLevel="1" x14ac:dyDescent="0.25">
      <c r="A613" s="84" t="s">
        <v>536</v>
      </c>
      <c r="B613" s="9" t="s">
        <v>85</v>
      </c>
      <c r="C613" s="31" t="s">
        <v>29</v>
      </c>
      <c r="D613" s="31">
        <v>0</v>
      </c>
      <c r="E613" s="256">
        <v>60</v>
      </c>
      <c r="F613" s="60"/>
      <c r="G613" s="2">
        <f>ROUND(E613*D613,2)</f>
        <v>0</v>
      </c>
      <c r="H613" s="18"/>
      <c r="I613" s="18">
        <f t="shared" si="33"/>
        <v>0</v>
      </c>
    </row>
    <row r="614" spans="1:9" ht="31.2" outlineLevel="1" x14ac:dyDescent="0.25">
      <c r="A614" s="84"/>
      <c r="B614" s="329" t="s">
        <v>412</v>
      </c>
      <c r="C614" s="21" t="s">
        <v>29</v>
      </c>
      <c r="D614" s="340">
        <v>0</v>
      </c>
      <c r="E614" s="18"/>
      <c r="F614" s="60">
        <v>40</v>
      </c>
      <c r="G614" s="18"/>
      <c r="H614" s="2">
        <f t="shared" ref="H614:H620" si="34">ROUND(D614*F614,2)</f>
        <v>0</v>
      </c>
      <c r="I614" s="18">
        <f t="shared" si="33"/>
        <v>0</v>
      </c>
    </row>
    <row r="615" spans="1:9" outlineLevel="1" x14ac:dyDescent="0.25">
      <c r="A615" s="84"/>
      <c r="B615" s="343" t="s">
        <v>86</v>
      </c>
      <c r="C615" s="21" t="s">
        <v>12</v>
      </c>
      <c r="D615" s="340">
        <v>0</v>
      </c>
      <c r="E615" s="18"/>
      <c r="F615" s="60">
        <v>98.64</v>
      </c>
      <c r="G615" s="18"/>
      <c r="H615" s="2">
        <f t="shared" si="34"/>
        <v>0</v>
      </c>
      <c r="I615" s="18">
        <f t="shared" si="33"/>
        <v>0</v>
      </c>
    </row>
    <row r="616" spans="1:9" ht="31.2" outlineLevel="1" x14ac:dyDescent="0.25">
      <c r="A616" s="84"/>
      <c r="B616" s="343" t="s">
        <v>263</v>
      </c>
      <c r="C616" s="21" t="s">
        <v>12</v>
      </c>
      <c r="D616" s="340">
        <v>0</v>
      </c>
      <c r="E616" s="18"/>
      <c r="F616" s="60">
        <v>145.03</v>
      </c>
      <c r="G616" s="18"/>
      <c r="H616" s="2">
        <f t="shared" si="34"/>
        <v>0</v>
      </c>
      <c r="I616" s="18">
        <f t="shared" si="33"/>
        <v>0</v>
      </c>
    </row>
    <row r="617" spans="1:9" ht="31.2" outlineLevel="1" x14ac:dyDescent="0.25">
      <c r="A617" s="84"/>
      <c r="B617" s="329" t="s">
        <v>264</v>
      </c>
      <c r="C617" s="21" t="s">
        <v>12</v>
      </c>
      <c r="D617" s="340">
        <v>0</v>
      </c>
      <c r="E617" s="18"/>
      <c r="F617" s="60">
        <v>450</v>
      </c>
      <c r="G617" s="18"/>
      <c r="H617" s="2">
        <f t="shared" si="34"/>
        <v>0</v>
      </c>
      <c r="I617" s="18">
        <f>G617+H617</f>
        <v>0</v>
      </c>
    </row>
    <row r="618" spans="1:9" ht="31.2" outlineLevel="1" x14ac:dyDescent="0.25">
      <c r="A618" s="84"/>
      <c r="B618" s="329" t="s">
        <v>265</v>
      </c>
      <c r="C618" s="21" t="s">
        <v>12</v>
      </c>
      <c r="D618" s="340">
        <v>0</v>
      </c>
      <c r="E618" s="18"/>
      <c r="F618" s="60">
        <v>450</v>
      </c>
      <c r="G618" s="18"/>
      <c r="H618" s="2">
        <f t="shared" si="34"/>
        <v>0</v>
      </c>
      <c r="I618" s="18">
        <f>G618+H618</f>
        <v>0</v>
      </c>
    </row>
    <row r="619" spans="1:9" outlineLevel="1" x14ac:dyDescent="0.25">
      <c r="A619" s="84"/>
      <c r="B619" s="343" t="s">
        <v>87</v>
      </c>
      <c r="C619" s="21" t="s">
        <v>12</v>
      </c>
      <c r="D619" s="340">
        <v>0</v>
      </c>
      <c r="E619" s="18"/>
      <c r="F619" s="60">
        <v>470</v>
      </c>
      <c r="G619" s="18"/>
      <c r="H619" s="2">
        <f t="shared" si="34"/>
        <v>0</v>
      </c>
      <c r="I619" s="18">
        <f t="shared" si="33"/>
        <v>0</v>
      </c>
    </row>
    <row r="620" spans="1:9" outlineLevel="1" x14ac:dyDescent="0.25">
      <c r="A620" s="84"/>
      <c r="B620" s="343" t="s">
        <v>88</v>
      </c>
      <c r="C620" s="21" t="s">
        <v>12</v>
      </c>
      <c r="D620" s="340">
        <v>0</v>
      </c>
      <c r="E620" s="18"/>
      <c r="F620" s="60">
        <v>1.5</v>
      </c>
      <c r="G620" s="18"/>
      <c r="H620" s="2">
        <f t="shared" si="34"/>
        <v>0</v>
      </c>
      <c r="I620" s="18">
        <f t="shared" si="33"/>
        <v>0</v>
      </c>
    </row>
    <row r="621" spans="1:9" ht="31.2" outlineLevel="1" x14ac:dyDescent="0.25">
      <c r="A621" s="84"/>
      <c r="B621" s="343" t="s">
        <v>681</v>
      </c>
      <c r="C621" s="21" t="s">
        <v>29</v>
      </c>
      <c r="D621" s="340">
        <v>0</v>
      </c>
      <c r="E621" s="18"/>
      <c r="F621" s="164">
        <v>100</v>
      </c>
      <c r="G621" s="18"/>
      <c r="H621" s="2">
        <f>ROUND(D621*F621,2)</f>
        <v>0</v>
      </c>
      <c r="I621" s="18">
        <f>G621+H621</f>
        <v>0</v>
      </c>
    </row>
    <row r="622" spans="1:9" ht="18" customHeight="1" outlineLevel="1" x14ac:dyDescent="0.25">
      <c r="A622" s="84"/>
      <c r="B622" s="343" t="s">
        <v>682</v>
      </c>
      <c r="C622" s="21" t="s">
        <v>12</v>
      </c>
      <c r="D622" s="340">
        <v>0</v>
      </c>
      <c r="E622" s="18"/>
      <c r="F622" s="164">
        <v>100</v>
      </c>
      <c r="G622" s="18"/>
      <c r="H622" s="2">
        <f>ROUND(D622*F622,2)</f>
        <v>0</v>
      </c>
      <c r="I622" s="18">
        <f>G622+H622</f>
        <v>0</v>
      </c>
    </row>
    <row r="623" spans="1:9" ht="31.2" outlineLevel="1" x14ac:dyDescent="0.25">
      <c r="A623" s="84" t="s">
        <v>538</v>
      </c>
      <c r="B623" s="307" t="s">
        <v>267</v>
      </c>
      <c r="C623" s="31" t="s">
        <v>12</v>
      </c>
      <c r="D623" s="306">
        <f>D624</f>
        <v>0</v>
      </c>
      <c r="E623" s="256">
        <v>300</v>
      </c>
      <c r="F623" s="11"/>
      <c r="G623" s="2">
        <f>ROUND(E623*D623,2)</f>
        <v>0</v>
      </c>
      <c r="H623" s="18"/>
      <c r="I623" s="18">
        <f t="shared" si="33"/>
        <v>0</v>
      </c>
    </row>
    <row r="624" spans="1:9" outlineLevel="1" x14ac:dyDescent="0.25">
      <c r="A624" s="84"/>
      <c r="B624" s="308" t="s">
        <v>416</v>
      </c>
      <c r="C624" s="2" t="s">
        <v>12</v>
      </c>
      <c r="D624" s="340">
        <v>0</v>
      </c>
      <c r="E624" s="2"/>
      <c r="F624" s="11">
        <f>2500*1.1</f>
        <v>2750</v>
      </c>
      <c r="G624" s="18"/>
      <c r="H624" s="2">
        <f>ROUND(D624*F624,2)</f>
        <v>0</v>
      </c>
      <c r="I624" s="18">
        <f t="shared" si="33"/>
        <v>0</v>
      </c>
    </row>
    <row r="625" spans="1:12" x14ac:dyDescent="0.25">
      <c r="A625" s="223"/>
      <c r="B625" s="238" t="s">
        <v>539</v>
      </c>
      <c r="C625" s="234"/>
      <c r="D625" s="235"/>
      <c r="E625" s="236"/>
      <c r="F625" s="237"/>
      <c r="G625" s="236">
        <f>1320000+160000</f>
        <v>1480000</v>
      </c>
      <c r="H625" s="236">
        <f>3598000+300000</f>
        <v>3898000</v>
      </c>
      <c r="I625" s="236">
        <f>G625+H625</f>
        <v>5378000</v>
      </c>
      <c r="J625" s="25">
        <f>90*26000</f>
        <v>2340000</v>
      </c>
      <c r="K625" s="25">
        <f>90*26000+1300000+90*6000</f>
        <v>4180000</v>
      </c>
      <c r="L625" s="5">
        <f>K625-I625</f>
        <v>-1198000</v>
      </c>
    </row>
    <row r="626" spans="1:12" s="5" customFormat="1" ht="18.600000000000001" customHeight="1" x14ac:dyDescent="0.25">
      <c r="A626" s="92"/>
      <c r="B626" s="471" t="s">
        <v>624</v>
      </c>
      <c r="C626" s="9"/>
      <c r="D626" s="31"/>
      <c r="E626" s="10"/>
      <c r="F626" s="57"/>
      <c r="G626" s="10"/>
      <c r="H626" s="10"/>
      <c r="I626" s="31">
        <f>ROUND(I625/1.18*0.18,2)</f>
        <v>820372.88</v>
      </c>
    </row>
    <row r="627" spans="1:12" s="6" customFormat="1" x14ac:dyDescent="0.25">
      <c r="A627" s="492"/>
      <c r="B627" s="752" t="s">
        <v>1211</v>
      </c>
      <c r="C627" s="493"/>
      <c r="D627" s="103"/>
      <c r="E627" s="118"/>
      <c r="F627" s="112"/>
      <c r="G627" s="102"/>
      <c r="H627" s="102"/>
      <c r="I627" s="102"/>
    </row>
    <row r="628" spans="1:12" ht="31.2" outlineLevel="1" x14ac:dyDescent="0.25">
      <c r="A628" s="84" t="s">
        <v>154</v>
      </c>
      <c r="B628" s="494" t="s">
        <v>269</v>
      </c>
      <c r="C628" s="192" t="s">
        <v>29</v>
      </c>
      <c r="D628" s="10">
        <f>D629+D630</f>
        <v>0</v>
      </c>
      <c r="E628" s="256">
        <v>150</v>
      </c>
      <c r="F628" s="60"/>
      <c r="G628" s="2">
        <f>ROUND(E628*D628,2)</f>
        <v>0</v>
      </c>
      <c r="H628" s="18"/>
      <c r="I628" s="18">
        <f>G628+H628</f>
        <v>0</v>
      </c>
    </row>
    <row r="629" spans="1:12" ht="31.2" outlineLevel="1" x14ac:dyDescent="0.25">
      <c r="A629" s="84"/>
      <c r="B629" s="308" t="s">
        <v>683</v>
      </c>
      <c r="C629" s="21" t="s">
        <v>29</v>
      </c>
      <c r="D629" s="340">
        <v>0</v>
      </c>
      <c r="E629" s="282"/>
      <c r="F629" s="60">
        <f>(0.2+0.2+0.15+0.15)*500</f>
        <v>350.00000000000006</v>
      </c>
      <c r="G629" s="18"/>
      <c r="H629" s="2">
        <f>ROUND(D629*F629,2)</f>
        <v>0</v>
      </c>
      <c r="I629" s="18">
        <f>G629+H629</f>
        <v>0</v>
      </c>
    </row>
    <row r="630" spans="1:12" ht="31.2" outlineLevel="1" x14ac:dyDescent="0.25">
      <c r="A630" s="84"/>
      <c r="B630" s="308" t="s">
        <v>271</v>
      </c>
      <c r="C630" s="21" t="s">
        <v>29</v>
      </c>
      <c r="D630" s="340">
        <v>0</v>
      </c>
      <c r="E630" s="282"/>
      <c r="F630" s="60">
        <f>0.15*4*500</f>
        <v>300</v>
      </c>
      <c r="G630" s="18"/>
      <c r="H630" s="2">
        <f>ROUND(D630*F630,2)</f>
        <v>0</v>
      </c>
      <c r="I630" s="18">
        <f>G630+H630</f>
        <v>0</v>
      </c>
    </row>
    <row r="631" spans="1:12" ht="31.2" outlineLevel="1" x14ac:dyDescent="0.25">
      <c r="A631" s="84"/>
      <c r="B631" s="308" t="s">
        <v>684</v>
      </c>
      <c r="C631" s="21" t="s">
        <v>29</v>
      </c>
      <c r="D631" s="340">
        <v>0</v>
      </c>
      <c r="E631" s="282"/>
      <c r="F631" s="60">
        <f>0.15*4*500</f>
        <v>300</v>
      </c>
      <c r="G631" s="18"/>
      <c r="H631" s="2">
        <f>ROUND(D631*F631,2)</f>
        <v>0</v>
      </c>
      <c r="I631" s="18">
        <f>G631+H631</f>
        <v>0</v>
      </c>
    </row>
    <row r="632" spans="1:12" outlineLevel="1" x14ac:dyDescent="0.25">
      <c r="A632" s="84" t="s">
        <v>157</v>
      </c>
      <c r="B632" s="9" t="s">
        <v>89</v>
      </c>
      <c r="C632" s="31" t="s">
        <v>12</v>
      </c>
      <c r="D632" s="10">
        <f>D633+D634+D635+D638+D636+D637</f>
        <v>0</v>
      </c>
      <c r="E632" s="256">
        <v>50</v>
      </c>
      <c r="F632" s="60"/>
      <c r="G632" s="2">
        <f>ROUND(E632*D632,2)</f>
        <v>0</v>
      </c>
      <c r="H632" s="18"/>
      <c r="I632" s="18">
        <f t="shared" si="33"/>
        <v>0</v>
      </c>
    </row>
    <row r="633" spans="1:12" outlineLevel="1" x14ac:dyDescent="0.25">
      <c r="A633" s="84"/>
      <c r="B633" s="329" t="s">
        <v>686</v>
      </c>
      <c r="C633" s="21" t="s">
        <v>12</v>
      </c>
      <c r="D633" s="340">
        <v>0</v>
      </c>
      <c r="E633" s="18"/>
      <c r="F633" s="361">
        <v>100</v>
      </c>
      <c r="G633" s="18"/>
      <c r="H633" s="2">
        <f t="shared" ref="H633:H645" si="35">ROUND(D633*F633,2)</f>
        <v>0</v>
      </c>
      <c r="I633" s="18">
        <f t="shared" si="33"/>
        <v>0</v>
      </c>
    </row>
    <row r="634" spans="1:12" outlineLevel="1" x14ac:dyDescent="0.25">
      <c r="A634" s="84"/>
      <c r="B634" s="329" t="s">
        <v>685</v>
      </c>
      <c r="C634" s="21" t="s">
        <v>12</v>
      </c>
      <c r="D634" s="340">
        <v>0</v>
      </c>
      <c r="E634" s="18"/>
      <c r="F634" s="361">
        <v>100</v>
      </c>
      <c r="G634" s="18"/>
      <c r="H634" s="2">
        <f t="shared" si="35"/>
        <v>0</v>
      </c>
      <c r="I634" s="18">
        <f t="shared" si="33"/>
        <v>0</v>
      </c>
    </row>
    <row r="635" spans="1:12" outlineLevel="1" x14ac:dyDescent="0.25">
      <c r="A635" s="84"/>
      <c r="B635" s="329" t="s">
        <v>274</v>
      </c>
      <c r="C635" s="21" t="s">
        <v>12</v>
      </c>
      <c r="D635" s="340">
        <v>0</v>
      </c>
      <c r="E635" s="18"/>
      <c r="F635" s="361">
        <v>150</v>
      </c>
      <c r="G635" s="18"/>
      <c r="H635" s="2">
        <f t="shared" si="35"/>
        <v>0</v>
      </c>
      <c r="I635" s="18">
        <f t="shared" si="33"/>
        <v>0</v>
      </c>
    </row>
    <row r="636" spans="1:12" outlineLevel="1" x14ac:dyDescent="0.25">
      <c r="A636" s="84"/>
      <c r="B636" s="329" t="s">
        <v>687</v>
      </c>
      <c r="C636" s="21" t="s">
        <v>12</v>
      </c>
      <c r="D636" s="340">
        <v>0</v>
      </c>
      <c r="E636" s="18"/>
      <c r="F636" s="361">
        <v>200</v>
      </c>
      <c r="G636" s="18"/>
      <c r="H636" s="2">
        <f t="shared" si="35"/>
        <v>0</v>
      </c>
      <c r="I636" s="18">
        <f t="shared" si="33"/>
        <v>0</v>
      </c>
    </row>
    <row r="637" spans="1:12" ht="31.2" outlineLevel="1" x14ac:dyDescent="0.25">
      <c r="A637" s="84"/>
      <c r="B637" s="329" t="s">
        <v>420</v>
      </c>
      <c r="C637" s="21" t="s">
        <v>12</v>
      </c>
      <c r="D637" s="340">
        <v>0</v>
      </c>
      <c r="E637" s="18"/>
      <c r="F637" s="361">
        <v>100</v>
      </c>
      <c r="G637" s="18"/>
      <c r="H637" s="2">
        <f t="shared" si="35"/>
        <v>0</v>
      </c>
      <c r="I637" s="18">
        <f t="shared" si="33"/>
        <v>0</v>
      </c>
    </row>
    <row r="638" spans="1:12" outlineLevel="1" x14ac:dyDescent="0.25">
      <c r="A638" s="84"/>
      <c r="B638" s="329" t="s">
        <v>275</v>
      </c>
      <c r="C638" s="21" t="s">
        <v>12</v>
      </c>
      <c r="D638" s="340">
        <v>0</v>
      </c>
      <c r="E638" s="18"/>
      <c r="F638" s="361">
        <v>1800</v>
      </c>
      <c r="G638" s="18"/>
      <c r="H638" s="2">
        <f t="shared" si="35"/>
        <v>0</v>
      </c>
      <c r="I638" s="18">
        <f t="shared" si="33"/>
        <v>0</v>
      </c>
    </row>
    <row r="639" spans="1:12" outlineLevel="1" x14ac:dyDescent="0.25">
      <c r="A639" s="84"/>
      <c r="B639" s="329" t="s">
        <v>688</v>
      </c>
      <c r="C639" s="21" t="s">
        <v>12</v>
      </c>
      <c r="D639" s="340">
        <v>0</v>
      </c>
      <c r="E639" s="18"/>
      <c r="F639" s="164">
        <v>2000</v>
      </c>
      <c r="G639" s="18"/>
      <c r="H639" s="2">
        <f>ROUND(D639*F639,2)</f>
        <v>0</v>
      </c>
      <c r="I639" s="18">
        <f>G639+H639</f>
        <v>0</v>
      </c>
    </row>
    <row r="640" spans="1:12" outlineLevel="1" x14ac:dyDescent="0.25">
      <c r="A640" s="84"/>
      <c r="B640" s="329" t="s">
        <v>689</v>
      </c>
      <c r="C640" s="21" t="s">
        <v>12</v>
      </c>
      <c r="D640" s="340">
        <v>0</v>
      </c>
      <c r="E640" s="18"/>
      <c r="F640" s="164">
        <v>2000</v>
      </c>
      <c r="G640" s="18"/>
      <c r="H640" s="2">
        <f>ROUND(D640*F640,2)</f>
        <v>0</v>
      </c>
      <c r="I640" s="18">
        <f>G640+H640</f>
        <v>0</v>
      </c>
    </row>
    <row r="641" spans="1:12" outlineLevel="1" x14ac:dyDescent="0.25">
      <c r="A641" s="84"/>
      <c r="B641" s="9" t="s">
        <v>691</v>
      </c>
      <c r="C641" s="31" t="s">
        <v>12</v>
      </c>
      <c r="D641" s="10">
        <v>0</v>
      </c>
      <c r="E641" s="166">
        <v>300</v>
      </c>
      <c r="F641" s="60"/>
      <c r="G641" s="2">
        <f>ROUND(E641*D641,2)</f>
        <v>0</v>
      </c>
      <c r="H641" s="18"/>
      <c r="I641" s="18">
        <f>G641+H641</f>
        <v>0</v>
      </c>
    </row>
    <row r="642" spans="1:12" outlineLevel="1" x14ac:dyDescent="0.25">
      <c r="A642" s="84"/>
      <c r="B642" s="329" t="s">
        <v>692</v>
      </c>
      <c r="C642" s="21" t="s">
        <v>12</v>
      </c>
      <c r="D642" s="340">
        <v>0</v>
      </c>
      <c r="E642" s="18"/>
      <c r="F642" s="164">
        <v>5000</v>
      </c>
      <c r="G642" s="18"/>
      <c r="H642" s="2">
        <f>ROUND(D642*F642,2)</f>
        <v>0</v>
      </c>
      <c r="I642" s="18">
        <f>G642+H642</f>
        <v>0</v>
      </c>
    </row>
    <row r="643" spans="1:12" outlineLevel="1" x14ac:dyDescent="0.25">
      <c r="A643" s="84"/>
      <c r="B643" s="329" t="s">
        <v>693</v>
      </c>
      <c r="C643" s="21" t="s">
        <v>12</v>
      </c>
      <c r="D643" s="340">
        <v>0</v>
      </c>
      <c r="E643" s="18"/>
      <c r="F643" s="164">
        <v>500</v>
      </c>
      <c r="G643" s="18"/>
      <c r="H643" s="2">
        <f>ROUND(D643*F643,2)</f>
        <v>0</v>
      </c>
      <c r="I643" s="18">
        <f>G643+H643</f>
        <v>0</v>
      </c>
    </row>
    <row r="644" spans="1:12" outlineLevel="1" x14ac:dyDescent="0.25">
      <c r="A644" s="84"/>
      <c r="B644" s="329" t="s">
        <v>695</v>
      </c>
      <c r="C644" s="21" t="s">
        <v>12</v>
      </c>
      <c r="D644" s="340">
        <v>0</v>
      </c>
      <c r="E644" s="18"/>
      <c r="F644" s="164">
        <v>100</v>
      </c>
      <c r="G644" s="18"/>
      <c r="H644" s="2">
        <f t="shared" si="35"/>
        <v>0</v>
      </c>
      <c r="I644" s="18">
        <f t="shared" si="33"/>
        <v>0</v>
      </c>
    </row>
    <row r="645" spans="1:12" ht="31.2" outlineLevel="1" x14ac:dyDescent="0.25">
      <c r="A645" s="84"/>
      <c r="B645" s="329" t="s">
        <v>694</v>
      </c>
      <c r="C645" s="21" t="s">
        <v>12</v>
      </c>
      <c r="D645" s="340">
        <v>0</v>
      </c>
      <c r="E645" s="18"/>
      <c r="F645" s="164">
        <v>100</v>
      </c>
      <c r="G645" s="18"/>
      <c r="H645" s="2">
        <f t="shared" si="35"/>
        <v>0</v>
      </c>
      <c r="I645" s="18">
        <f t="shared" si="33"/>
        <v>0</v>
      </c>
    </row>
    <row r="646" spans="1:12" ht="31.2" outlineLevel="1" x14ac:dyDescent="0.25">
      <c r="A646" s="84"/>
      <c r="B646" s="329" t="s">
        <v>696</v>
      </c>
      <c r="C646" s="21" t="s">
        <v>12</v>
      </c>
      <c r="D646" s="340">
        <v>0</v>
      </c>
      <c r="E646" s="18"/>
      <c r="F646" s="164">
        <v>100</v>
      </c>
      <c r="G646" s="18"/>
      <c r="H646" s="2">
        <f>ROUND(D646*F646,2)</f>
        <v>0</v>
      </c>
      <c r="I646" s="18">
        <f t="shared" si="33"/>
        <v>0</v>
      </c>
    </row>
    <row r="647" spans="1:12" ht="31.2" outlineLevel="1" x14ac:dyDescent="0.25">
      <c r="A647" s="84"/>
      <c r="B647" s="329" t="s">
        <v>697</v>
      </c>
      <c r="C647" s="21" t="s">
        <v>12</v>
      </c>
      <c r="D647" s="340">
        <v>0</v>
      </c>
      <c r="E647" s="18"/>
      <c r="F647" s="164">
        <v>100</v>
      </c>
      <c r="G647" s="18"/>
      <c r="H647" s="2">
        <f>ROUND(D647*F647,2)</f>
        <v>0</v>
      </c>
      <c r="I647" s="18">
        <f t="shared" si="33"/>
        <v>0</v>
      </c>
    </row>
    <row r="648" spans="1:12" ht="31.2" outlineLevel="1" x14ac:dyDescent="0.25">
      <c r="A648" s="84"/>
      <c r="B648" s="329" t="s">
        <v>699</v>
      </c>
      <c r="C648" s="21" t="s">
        <v>12</v>
      </c>
      <c r="D648" s="340">
        <v>0</v>
      </c>
      <c r="E648" s="18"/>
      <c r="F648" s="164">
        <v>200</v>
      </c>
      <c r="G648" s="18"/>
      <c r="H648" s="2">
        <f>ROUND(D648*F648,2)</f>
        <v>0</v>
      </c>
      <c r="I648" s="18">
        <f t="shared" si="33"/>
        <v>0</v>
      </c>
    </row>
    <row r="649" spans="1:12" ht="31.2" outlineLevel="1" x14ac:dyDescent="0.25">
      <c r="A649" s="84"/>
      <c r="B649" s="329" t="s">
        <v>700</v>
      </c>
      <c r="C649" s="21" t="s">
        <v>12</v>
      </c>
      <c r="D649" s="340">
        <v>0</v>
      </c>
      <c r="E649" s="18"/>
      <c r="F649" s="164">
        <v>200</v>
      </c>
      <c r="G649" s="18"/>
      <c r="H649" s="2">
        <f>ROUND(D649*F649,2)</f>
        <v>0</v>
      </c>
      <c r="I649" s="18">
        <f t="shared" si="33"/>
        <v>0</v>
      </c>
    </row>
    <row r="650" spans="1:12" ht="31.2" outlineLevel="1" x14ac:dyDescent="0.25">
      <c r="A650" s="84"/>
      <c r="B650" s="329" t="s">
        <v>698</v>
      </c>
      <c r="C650" s="21" t="s">
        <v>12</v>
      </c>
      <c r="D650" s="340">
        <v>0</v>
      </c>
      <c r="E650" s="18"/>
      <c r="F650" s="164">
        <v>200</v>
      </c>
      <c r="G650" s="18"/>
      <c r="H650" s="2">
        <f>ROUND(D650*F650,2)</f>
        <v>0</v>
      </c>
      <c r="I650" s="18">
        <f t="shared" si="33"/>
        <v>0</v>
      </c>
    </row>
    <row r="651" spans="1:12" outlineLevel="1" x14ac:dyDescent="0.25">
      <c r="A651" s="84" t="s">
        <v>158</v>
      </c>
      <c r="B651" s="9" t="s">
        <v>279</v>
      </c>
      <c r="C651" s="31" t="s">
        <v>14</v>
      </c>
      <c r="D651" s="10">
        <f>D653+D652</f>
        <v>0</v>
      </c>
      <c r="E651" s="256">
        <v>150</v>
      </c>
      <c r="F651" s="60"/>
      <c r="G651" s="2">
        <f>ROUND(E651*D651,2)</f>
        <v>0</v>
      </c>
      <c r="H651" s="18"/>
      <c r="I651" s="18">
        <f t="shared" si="33"/>
        <v>0</v>
      </c>
    </row>
    <row r="652" spans="1:12" outlineLevel="1" x14ac:dyDescent="0.25">
      <c r="A652" s="84"/>
      <c r="B652" s="329" t="s">
        <v>422</v>
      </c>
      <c r="C652" s="21" t="s">
        <v>14</v>
      </c>
      <c r="D652" s="340">
        <v>0</v>
      </c>
      <c r="E652" s="18"/>
      <c r="F652" s="164">
        <v>350</v>
      </c>
      <c r="G652" s="18"/>
      <c r="H652" s="2">
        <f>ROUND(D652*F652,2)</f>
        <v>0</v>
      </c>
      <c r="I652" s="18">
        <f t="shared" si="33"/>
        <v>0</v>
      </c>
    </row>
    <row r="653" spans="1:12" ht="31.2" outlineLevel="1" x14ac:dyDescent="0.25">
      <c r="A653" s="84"/>
      <c r="B653" s="329" t="s">
        <v>690</v>
      </c>
      <c r="C653" s="21" t="s">
        <v>14</v>
      </c>
      <c r="D653" s="340">
        <v>0</v>
      </c>
      <c r="E653" s="18"/>
      <c r="F653" s="164">
        <v>350</v>
      </c>
      <c r="G653" s="18"/>
      <c r="H653" s="2">
        <f>ROUND(D653*F653,2)</f>
        <v>0</v>
      </c>
      <c r="I653" s="18">
        <f t="shared" si="33"/>
        <v>0</v>
      </c>
    </row>
    <row r="654" spans="1:12" s="5" customFormat="1" x14ac:dyDescent="0.25">
      <c r="A654" s="223"/>
      <c r="B654" s="238" t="s">
        <v>328</v>
      </c>
      <c r="C654" s="234"/>
      <c r="D654" s="235"/>
      <c r="E654" s="236"/>
      <c r="F654" s="237"/>
      <c r="G654" s="236">
        <v>250000</v>
      </c>
      <c r="H654" s="236">
        <v>800000</v>
      </c>
      <c r="I654" s="236">
        <f>G654+H654</f>
        <v>1050000</v>
      </c>
      <c r="K654" s="5">
        <v>800000</v>
      </c>
      <c r="L654" s="5">
        <f>K654-I654</f>
        <v>-250000</v>
      </c>
    </row>
    <row r="655" spans="1:12" s="5" customFormat="1" ht="18.600000000000001" customHeight="1" x14ac:dyDescent="0.25">
      <c r="A655" s="84"/>
      <c r="B655" s="471" t="s">
        <v>624</v>
      </c>
      <c r="C655" s="9"/>
      <c r="D655" s="31"/>
      <c r="E655" s="10"/>
      <c r="F655" s="57"/>
      <c r="G655" s="10"/>
      <c r="H655" s="10"/>
      <c r="I655" s="31">
        <f>ROUND(I654/1.18*0.18,2)</f>
        <v>160169.49</v>
      </c>
    </row>
    <row r="656" spans="1:12" s="5" customFormat="1" ht="18.75" customHeight="1" x14ac:dyDescent="0.25">
      <c r="A656" s="109"/>
      <c r="B656" s="752" t="s">
        <v>1212</v>
      </c>
      <c r="C656" s="105"/>
      <c r="D656" s="105"/>
      <c r="E656" s="105"/>
      <c r="F656" s="138"/>
      <c r="G656" s="105"/>
      <c r="H656" s="105"/>
      <c r="I656" s="106"/>
    </row>
    <row r="657" spans="1:9" s="36" customFormat="1" ht="30" customHeight="1" outlineLevel="1" x14ac:dyDescent="0.25">
      <c r="A657" s="84" t="s">
        <v>76</v>
      </c>
      <c r="B657" s="495" t="s">
        <v>120</v>
      </c>
      <c r="C657" s="2"/>
      <c r="D657" s="2"/>
      <c r="E657" s="117"/>
      <c r="F657" s="11"/>
      <c r="G657" s="18"/>
      <c r="H657" s="18"/>
      <c r="I657" s="18"/>
    </row>
    <row r="658" spans="1:9" ht="31.2" outlineLevel="1" x14ac:dyDescent="0.25">
      <c r="A658" s="84" t="s">
        <v>542</v>
      </c>
      <c r="B658" s="29" t="s">
        <v>95</v>
      </c>
      <c r="C658" s="31" t="s">
        <v>29</v>
      </c>
      <c r="D658" s="10">
        <f>D659+D660+D661+D662+D663</f>
        <v>0</v>
      </c>
      <c r="E658" s="256">
        <v>85</v>
      </c>
      <c r="F658" s="60"/>
      <c r="G658" s="2">
        <f>ROUND(E658*D658,2)</f>
        <v>0</v>
      </c>
      <c r="H658" s="18"/>
      <c r="I658" s="18">
        <f>G658+H658</f>
        <v>0</v>
      </c>
    </row>
    <row r="659" spans="1:9" outlineLevel="1" x14ac:dyDescent="0.25">
      <c r="A659" s="84"/>
      <c r="B659" s="329" t="s">
        <v>96</v>
      </c>
      <c r="C659" s="21" t="s">
        <v>29</v>
      </c>
      <c r="D659" s="340">
        <v>0</v>
      </c>
      <c r="E659" s="18"/>
      <c r="F659" s="60">
        <v>42.23</v>
      </c>
      <c r="G659" s="18"/>
      <c r="H659" s="2">
        <f t="shared" ref="H659:H666" si="36">ROUND(D659*F659,2)</f>
        <v>0</v>
      </c>
      <c r="I659" s="18">
        <f>G659+H659</f>
        <v>0</v>
      </c>
    </row>
    <row r="660" spans="1:9" outlineLevel="1" x14ac:dyDescent="0.25">
      <c r="A660" s="84"/>
      <c r="B660" s="343" t="s">
        <v>98</v>
      </c>
      <c r="C660" s="21" t="s">
        <v>29</v>
      </c>
      <c r="D660" s="340">
        <v>0</v>
      </c>
      <c r="E660" s="18"/>
      <c r="F660" s="60">
        <v>58.9</v>
      </c>
      <c r="G660" s="18"/>
      <c r="H660" s="2">
        <f t="shared" si="36"/>
        <v>0</v>
      </c>
      <c r="I660" s="18">
        <f>G660+H660</f>
        <v>0</v>
      </c>
    </row>
    <row r="661" spans="1:9" outlineLevel="1" x14ac:dyDescent="0.25">
      <c r="A661" s="84"/>
      <c r="B661" s="329" t="s">
        <v>423</v>
      </c>
      <c r="C661" s="21" t="s">
        <v>29</v>
      </c>
      <c r="D661" s="340">
        <v>0</v>
      </c>
      <c r="E661" s="18"/>
      <c r="F661" s="60">
        <v>94.01</v>
      </c>
      <c r="G661" s="18"/>
      <c r="H661" s="2">
        <f t="shared" si="36"/>
        <v>0</v>
      </c>
      <c r="I661" s="18">
        <f>G661+H661</f>
        <v>0</v>
      </c>
    </row>
    <row r="662" spans="1:9" outlineLevel="1" x14ac:dyDescent="0.25">
      <c r="A662" s="84"/>
      <c r="B662" s="329" t="s">
        <v>424</v>
      </c>
      <c r="C662" s="21" t="s">
        <v>29</v>
      </c>
      <c r="D662" s="340">
        <v>0</v>
      </c>
      <c r="E662" s="18"/>
      <c r="F662" s="60">
        <v>135.80000000000001</v>
      </c>
      <c r="G662" s="18"/>
      <c r="H662" s="2">
        <f t="shared" si="36"/>
        <v>0</v>
      </c>
      <c r="I662" s="18">
        <f>G662+H662</f>
        <v>0</v>
      </c>
    </row>
    <row r="663" spans="1:9" outlineLevel="1" x14ac:dyDescent="0.25">
      <c r="A663" s="84"/>
      <c r="B663" s="329" t="s">
        <v>119</v>
      </c>
      <c r="C663" s="21" t="s">
        <v>29</v>
      </c>
      <c r="D663" s="340">
        <v>0</v>
      </c>
      <c r="E663" s="18"/>
      <c r="F663" s="60">
        <v>226</v>
      </c>
      <c r="G663" s="18"/>
      <c r="H663" s="2">
        <f t="shared" si="36"/>
        <v>0</v>
      </c>
      <c r="I663" s="18">
        <f t="shared" ref="I663:I735" si="37">G663+H663</f>
        <v>0</v>
      </c>
    </row>
    <row r="664" spans="1:9" outlineLevel="1" x14ac:dyDescent="0.25">
      <c r="A664" s="84"/>
      <c r="B664" s="329" t="s">
        <v>121</v>
      </c>
      <c r="C664" s="21" t="s">
        <v>12</v>
      </c>
      <c r="D664" s="340">
        <v>0</v>
      </c>
      <c r="E664" s="18"/>
      <c r="F664" s="60">
        <v>77.25</v>
      </c>
      <c r="G664" s="18"/>
      <c r="H664" s="2">
        <f t="shared" si="36"/>
        <v>0</v>
      </c>
      <c r="I664" s="18">
        <f t="shared" si="37"/>
        <v>0</v>
      </c>
    </row>
    <row r="665" spans="1:9" outlineLevel="1" x14ac:dyDescent="0.25">
      <c r="A665" s="84"/>
      <c r="B665" s="329" t="s">
        <v>426</v>
      </c>
      <c r="C665" s="21" t="s">
        <v>12</v>
      </c>
      <c r="D665" s="340">
        <v>0</v>
      </c>
      <c r="E665" s="18"/>
      <c r="F665" s="60">
        <v>77.25</v>
      </c>
      <c r="G665" s="18"/>
      <c r="H665" s="2">
        <f t="shared" si="36"/>
        <v>0</v>
      </c>
      <c r="I665" s="18">
        <f>G665+H665</f>
        <v>0</v>
      </c>
    </row>
    <row r="666" spans="1:9" ht="31.2" outlineLevel="1" x14ac:dyDescent="0.25">
      <c r="A666" s="84"/>
      <c r="B666" s="329" t="s">
        <v>107</v>
      </c>
      <c r="C666" s="21" t="s">
        <v>12</v>
      </c>
      <c r="D666" s="340">
        <v>0</v>
      </c>
      <c r="E666" s="18"/>
      <c r="F666" s="60">
        <v>40</v>
      </c>
      <c r="G666" s="18"/>
      <c r="H666" s="2">
        <f t="shared" si="36"/>
        <v>0</v>
      </c>
      <c r="I666" s="18">
        <f t="shared" si="37"/>
        <v>0</v>
      </c>
    </row>
    <row r="667" spans="1:9" outlineLevel="1" x14ac:dyDescent="0.25">
      <c r="A667" s="84"/>
      <c r="B667" s="329" t="s">
        <v>703</v>
      </c>
      <c r="C667" s="21" t="s">
        <v>14</v>
      </c>
      <c r="D667" s="340">
        <v>0</v>
      </c>
      <c r="E667" s="18"/>
      <c r="F667" s="164">
        <v>100</v>
      </c>
      <c r="G667" s="18"/>
      <c r="H667" s="2">
        <f>ROUND(D667*F667,2)</f>
        <v>0</v>
      </c>
      <c r="I667" s="18">
        <f>G667+H667</f>
        <v>0</v>
      </c>
    </row>
    <row r="668" spans="1:9" outlineLevel="1" x14ac:dyDescent="0.25">
      <c r="A668" s="84" t="s">
        <v>543</v>
      </c>
      <c r="B668" s="358" t="s">
        <v>427</v>
      </c>
      <c r="C668" s="176" t="s">
        <v>12</v>
      </c>
      <c r="D668" s="306">
        <v>0</v>
      </c>
      <c r="E668" s="18"/>
      <c r="F668" s="60"/>
      <c r="G668" s="18"/>
      <c r="H668" s="18"/>
      <c r="I668" s="18"/>
    </row>
    <row r="669" spans="1:9" outlineLevel="1" x14ac:dyDescent="0.25">
      <c r="A669" s="84"/>
      <c r="B669" s="329" t="s">
        <v>702</v>
      </c>
      <c r="C669" s="21" t="s">
        <v>12</v>
      </c>
      <c r="D669" s="340">
        <v>0</v>
      </c>
      <c r="E669" s="18"/>
      <c r="F669" s="60">
        <v>283</v>
      </c>
      <c r="G669" s="18"/>
      <c r="H669" s="2">
        <f>ROUND(D669*F669,2)</f>
        <v>0</v>
      </c>
      <c r="I669" s="18">
        <f t="shared" si="37"/>
        <v>0</v>
      </c>
    </row>
    <row r="670" spans="1:9" outlineLevel="1" x14ac:dyDescent="0.25">
      <c r="A670" s="84"/>
      <c r="B670" s="329" t="s">
        <v>467</v>
      </c>
      <c r="C670" s="21" t="s">
        <v>12</v>
      </c>
      <c r="D670" s="340">
        <v>0</v>
      </c>
      <c r="E670" s="18"/>
      <c r="F670" s="60">
        <v>322.2</v>
      </c>
      <c r="G670" s="18"/>
      <c r="H670" s="2">
        <f>ROUND(D670*F670,2)</f>
        <v>0</v>
      </c>
      <c r="I670" s="18">
        <f t="shared" si="37"/>
        <v>0</v>
      </c>
    </row>
    <row r="671" spans="1:9" outlineLevel="1" x14ac:dyDescent="0.25">
      <c r="A671" s="84" t="s">
        <v>544</v>
      </c>
      <c r="B671" s="307" t="s">
        <v>101</v>
      </c>
      <c r="C671" s="31" t="s">
        <v>29</v>
      </c>
      <c r="D671" s="306">
        <f>D658</f>
        <v>0</v>
      </c>
      <c r="E671" s="256">
        <v>30</v>
      </c>
      <c r="F671" s="60"/>
      <c r="G671" s="2">
        <f>ROUND(E671*D671,2)</f>
        <v>0</v>
      </c>
      <c r="H671" s="18"/>
      <c r="I671" s="18">
        <f t="shared" si="37"/>
        <v>0</v>
      </c>
    </row>
    <row r="672" spans="1:9" outlineLevel="1" x14ac:dyDescent="0.25">
      <c r="A672" s="84"/>
      <c r="B672" s="329" t="s">
        <v>122</v>
      </c>
      <c r="C672" s="21" t="s">
        <v>29</v>
      </c>
      <c r="D672" s="340">
        <v>0</v>
      </c>
      <c r="E672" s="282"/>
      <c r="F672" s="60">
        <v>62</v>
      </c>
      <c r="G672" s="18"/>
      <c r="H672" s="2">
        <f>ROUND(D672*F672,2)</f>
        <v>0</v>
      </c>
      <c r="I672" s="18">
        <f t="shared" si="37"/>
        <v>0</v>
      </c>
    </row>
    <row r="673" spans="1:9" outlineLevel="1" x14ac:dyDescent="0.25">
      <c r="A673" s="84" t="s">
        <v>545</v>
      </c>
      <c r="B673" s="307" t="s">
        <v>123</v>
      </c>
      <c r="C673" s="31" t="s">
        <v>12</v>
      </c>
      <c r="D673" s="306">
        <v>0</v>
      </c>
      <c r="E673" s="256">
        <v>500</v>
      </c>
      <c r="F673" s="60"/>
      <c r="G673" s="2">
        <f>ROUND(E673*D673,2)</f>
        <v>0</v>
      </c>
      <c r="H673" s="18"/>
      <c r="I673" s="18">
        <f t="shared" si="37"/>
        <v>0</v>
      </c>
    </row>
    <row r="674" spans="1:9" outlineLevel="1" x14ac:dyDescent="0.25">
      <c r="A674" s="84"/>
      <c r="B674" s="329" t="s">
        <v>124</v>
      </c>
      <c r="C674" s="21" t="s">
        <v>12</v>
      </c>
      <c r="D674" s="340">
        <v>0</v>
      </c>
      <c r="E674" s="282"/>
      <c r="F674" s="60">
        <v>100</v>
      </c>
      <c r="G674" s="18"/>
      <c r="H674" s="2">
        <f>ROUND(D674*F674,2)</f>
        <v>0</v>
      </c>
      <c r="I674" s="18">
        <f t="shared" si="37"/>
        <v>0</v>
      </c>
    </row>
    <row r="675" spans="1:9" outlineLevel="1" x14ac:dyDescent="0.25">
      <c r="A675" s="84"/>
      <c r="B675" s="343" t="s">
        <v>125</v>
      </c>
      <c r="C675" s="21" t="s">
        <v>12</v>
      </c>
      <c r="D675" s="340">
        <v>0</v>
      </c>
      <c r="E675" s="282"/>
      <c r="F675" s="60">
        <f>30*20</f>
        <v>600</v>
      </c>
      <c r="G675" s="18"/>
      <c r="H675" s="2">
        <f>ROUND(D675*F675,2)</f>
        <v>0</v>
      </c>
      <c r="I675" s="18">
        <f t="shared" si="37"/>
        <v>0</v>
      </c>
    </row>
    <row r="676" spans="1:9" outlineLevel="1" x14ac:dyDescent="0.25">
      <c r="A676" s="84" t="s">
        <v>78</v>
      </c>
      <c r="B676" s="75" t="s">
        <v>126</v>
      </c>
      <c r="C676" s="2"/>
      <c r="D676" s="2"/>
      <c r="E676" s="282"/>
      <c r="F676" s="11"/>
      <c r="G676" s="18"/>
      <c r="H676" s="18"/>
      <c r="I676" s="18">
        <f t="shared" si="37"/>
        <v>0</v>
      </c>
    </row>
    <row r="677" spans="1:9" outlineLevel="1" x14ac:dyDescent="0.25">
      <c r="A677" s="84" t="s">
        <v>546</v>
      </c>
      <c r="B677" s="29" t="s">
        <v>127</v>
      </c>
      <c r="C677" s="31" t="s">
        <v>12</v>
      </c>
      <c r="D677" s="31">
        <v>0</v>
      </c>
      <c r="E677" s="256">
        <v>10000</v>
      </c>
      <c r="F677" s="60"/>
      <c r="G677" s="2">
        <f>ROUND(E677*D677,2)</f>
        <v>0</v>
      </c>
      <c r="H677" s="18"/>
      <c r="I677" s="18">
        <f t="shared" si="37"/>
        <v>0</v>
      </c>
    </row>
    <row r="678" spans="1:9" outlineLevel="1" x14ac:dyDescent="0.25">
      <c r="A678" s="84"/>
      <c r="B678" s="343" t="s">
        <v>128</v>
      </c>
      <c r="C678" s="21" t="s">
        <v>12</v>
      </c>
      <c r="D678" s="340">
        <v>0</v>
      </c>
      <c r="E678" s="18"/>
      <c r="F678" s="60">
        <v>1033.78</v>
      </c>
      <c r="G678" s="18"/>
      <c r="H678" s="2">
        <f t="shared" ref="H678:H688" si="38">ROUND(D678*F678,2)</f>
        <v>0</v>
      </c>
      <c r="I678" s="18">
        <f t="shared" si="37"/>
        <v>0</v>
      </c>
    </row>
    <row r="679" spans="1:9" outlineLevel="1" x14ac:dyDescent="0.25">
      <c r="A679" s="84"/>
      <c r="B679" s="343" t="s">
        <v>129</v>
      </c>
      <c r="C679" s="21" t="s">
        <v>12</v>
      </c>
      <c r="D679" s="340">
        <v>0</v>
      </c>
      <c r="E679" s="18"/>
      <c r="F679" s="60">
        <v>2018.83</v>
      </c>
      <c r="G679" s="18"/>
      <c r="H679" s="2">
        <f t="shared" si="38"/>
        <v>0</v>
      </c>
      <c r="I679" s="18">
        <f t="shared" si="37"/>
        <v>0</v>
      </c>
    </row>
    <row r="680" spans="1:9" outlineLevel="1" x14ac:dyDescent="0.25">
      <c r="A680" s="84"/>
      <c r="B680" s="329" t="s">
        <v>130</v>
      </c>
      <c r="C680" s="21" t="s">
        <v>12</v>
      </c>
      <c r="D680" s="340">
        <v>0</v>
      </c>
      <c r="E680" s="18"/>
      <c r="F680" s="60">
        <v>109.44</v>
      </c>
      <c r="G680" s="18"/>
      <c r="H680" s="2">
        <f t="shared" si="38"/>
        <v>0</v>
      </c>
      <c r="I680" s="18">
        <f t="shared" si="37"/>
        <v>0</v>
      </c>
    </row>
    <row r="681" spans="1:9" outlineLevel="1" x14ac:dyDescent="0.25">
      <c r="A681" s="84"/>
      <c r="B681" s="329" t="s">
        <v>131</v>
      </c>
      <c r="C681" s="21" t="s">
        <v>12</v>
      </c>
      <c r="D681" s="340">
        <v>0</v>
      </c>
      <c r="E681" s="18"/>
      <c r="F681" s="60">
        <v>228.92</v>
      </c>
      <c r="G681" s="18"/>
      <c r="H681" s="2">
        <f t="shared" si="38"/>
        <v>0</v>
      </c>
      <c r="I681" s="18">
        <f t="shared" si="37"/>
        <v>0</v>
      </c>
    </row>
    <row r="682" spans="1:9" outlineLevel="1" x14ac:dyDescent="0.25">
      <c r="A682" s="84"/>
      <c r="B682" s="329" t="s">
        <v>132</v>
      </c>
      <c r="C682" s="21" t="s">
        <v>12</v>
      </c>
      <c r="D682" s="340">
        <v>0</v>
      </c>
      <c r="E682" s="18"/>
      <c r="F682" s="60">
        <v>198</v>
      </c>
      <c r="G682" s="18"/>
      <c r="H682" s="2">
        <f t="shared" si="38"/>
        <v>0</v>
      </c>
      <c r="I682" s="18">
        <f t="shared" si="37"/>
        <v>0</v>
      </c>
    </row>
    <row r="683" spans="1:9" outlineLevel="1" x14ac:dyDescent="0.25">
      <c r="A683" s="84"/>
      <c r="B683" s="329" t="s">
        <v>704</v>
      </c>
      <c r="C683" s="21" t="s">
        <v>12</v>
      </c>
      <c r="D683" s="340">
        <v>0</v>
      </c>
      <c r="E683" s="18"/>
      <c r="F683" s="164">
        <v>100</v>
      </c>
      <c r="G683" s="18"/>
      <c r="H683" s="2">
        <f>ROUND(D683*F683,2)</f>
        <v>0</v>
      </c>
      <c r="I683" s="18">
        <f>G683+H683</f>
        <v>0</v>
      </c>
    </row>
    <row r="684" spans="1:9" ht="19.95" customHeight="1" outlineLevel="1" x14ac:dyDescent="0.25">
      <c r="A684" s="84"/>
      <c r="B684" s="329" t="s">
        <v>706</v>
      </c>
      <c r="C684" s="21" t="s">
        <v>12</v>
      </c>
      <c r="D684" s="340">
        <v>0</v>
      </c>
      <c r="E684" s="18"/>
      <c r="F684" s="60">
        <v>43</v>
      </c>
      <c r="G684" s="18"/>
      <c r="H684" s="2">
        <f t="shared" si="38"/>
        <v>0</v>
      </c>
      <c r="I684" s="18">
        <f t="shared" si="37"/>
        <v>0</v>
      </c>
    </row>
    <row r="685" spans="1:9" ht="31.2" customHeight="1" outlineLevel="1" x14ac:dyDescent="0.25">
      <c r="A685" s="84"/>
      <c r="B685" s="329" t="s">
        <v>707</v>
      </c>
      <c r="C685" s="21" t="s">
        <v>12</v>
      </c>
      <c r="D685" s="340">
        <v>0</v>
      </c>
      <c r="E685" s="18"/>
      <c r="F685" s="60">
        <v>448</v>
      </c>
      <c r="G685" s="18"/>
      <c r="H685" s="2">
        <f t="shared" si="38"/>
        <v>0</v>
      </c>
      <c r="I685" s="18">
        <f t="shared" si="37"/>
        <v>0</v>
      </c>
    </row>
    <row r="686" spans="1:9" outlineLevel="1" x14ac:dyDescent="0.25">
      <c r="A686" s="84"/>
      <c r="B686" s="329" t="s">
        <v>133</v>
      </c>
      <c r="C686" s="21" t="s">
        <v>12</v>
      </c>
      <c r="D686" s="340">
        <v>0</v>
      </c>
      <c r="E686" s="18"/>
      <c r="F686" s="60">
        <v>5922.3</v>
      </c>
      <c r="G686" s="18"/>
      <c r="H686" s="2">
        <f t="shared" si="38"/>
        <v>0</v>
      </c>
      <c r="I686" s="18">
        <f>G686+H686</f>
        <v>0</v>
      </c>
    </row>
    <row r="687" spans="1:9" outlineLevel="1" x14ac:dyDescent="0.25">
      <c r="A687" s="84"/>
      <c r="B687" s="329" t="s">
        <v>705</v>
      </c>
      <c r="C687" s="21" t="s">
        <v>12</v>
      </c>
      <c r="D687" s="340">
        <v>0</v>
      </c>
      <c r="E687" s="18"/>
      <c r="F687" s="60">
        <v>127</v>
      </c>
      <c r="G687" s="18"/>
      <c r="H687" s="2">
        <f t="shared" si="38"/>
        <v>0</v>
      </c>
      <c r="I687" s="18">
        <f t="shared" si="37"/>
        <v>0</v>
      </c>
    </row>
    <row r="688" spans="1:9" outlineLevel="1" x14ac:dyDescent="0.25">
      <c r="A688" s="84"/>
      <c r="B688" s="329" t="s">
        <v>91</v>
      </c>
      <c r="C688" s="21" t="s">
        <v>15</v>
      </c>
      <c r="D688" s="340">
        <v>0</v>
      </c>
      <c r="E688" s="18"/>
      <c r="F688" s="60">
        <f>37500/1000</f>
        <v>37.5</v>
      </c>
      <c r="G688" s="18"/>
      <c r="H688" s="2">
        <f t="shared" si="38"/>
        <v>0</v>
      </c>
      <c r="I688" s="18">
        <f t="shared" si="37"/>
        <v>0</v>
      </c>
    </row>
    <row r="689" spans="1:9" outlineLevel="1" x14ac:dyDescent="0.25">
      <c r="A689" s="84" t="s">
        <v>82</v>
      </c>
      <c r="B689" s="75" t="s">
        <v>134</v>
      </c>
      <c r="C689" s="2"/>
      <c r="D689" s="158"/>
      <c r="E689" s="2"/>
      <c r="F689" s="11"/>
      <c r="G689" s="18"/>
      <c r="H689" s="18"/>
      <c r="I689" s="18">
        <f t="shared" si="37"/>
        <v>0</v>
      </c>
    </row>
    <row r="690" spans="1:9" ht="31.2" outlineLevel="1" x14ac:dyDescent="0.25">
      <c r="A690" s="84" t="s">
        <v>547</v>
      </c>
      <c r="B690" s="307" t="s">
        <v>112</v>
      </c>
      <c r="C690" s="31" t="s">
        <v>29</v>
      </c>
      <c r="D690" s="31">
        <f>D691</f>
        <v>0</v>
      </c>
      <c r="E690" s="256">
        <v>85</v>
      </c>
      <c r="F690" s="60"/>
      <c r="G690" s="2">
        <f>ROUND(E690*D690,2)</f>
        <v>0</v>
      </c>
      <c r="H690" s="18"/>
      <c r="I690" s="18">
        <f t="shared" si="37"/>
        <v>0</v>
      </c>
    </row>
    <row r="691" spans="1:9" outlineLevel="1" x14ac:dyDescent="0.25">
      <c r="A691" s="84"/>
      <c r="B691" s="329" t="s">
        <v>114</v>
      </c>
      <c r="C691" s="21" t="s">
        <v>29</v>
      </c>
      <c r="D691" s="340">
        <v>0</v>
      </c>
      <c r="E691" s="282"/>
      <c r="F691" s="60">
        <f>311.85/3</f>
        <v>103.95</v>
      </c>
      <c r="G691" s="18"/>
      <c r="H691" s="2">
        <f>ROUND(D691*F691,2)</f>
        <v>0</v>
      </c>
      <c r="I691" s="18">
        <f t="shared" si="37"/>
        <v>0</v>
      </c>
    </row>
    <row r="692" spans="1:9" outlineLevel="1" x14ac:dyDescent="0.25">
      <c r="A692" s="84"/>
      <c r="B692" s="329" t="s">
        <v>329</v>
      </c>
      <c r="C692" s="21" t="s">
        <v>12</v>
      </c>
      <c r="D692" s="340">
        <v>0</v>
      </c>
      <c r="E692" s="282"/>
      <c r="F692" s="60">
        <v>200</v>
      </c>
      <c r="G692" s="18"/>
      <c r="H692" s="2">
        <f>ROUND(D692*F692,2)</f>
        <v>0</v>
      </c>
      <c r="I692" s="18">
        <f t="shared" si="37"/>
        <v>0</v>
      </c>
    </row>
    <row r="693" spans="1:9" outlineLevel="1" x14ac:dyDescent="0.25">
      <c r="A693" s="84"/>
      <c r="B693" s="329" t="s">
        <v>135</v>
      </c>
      <c r="C693" s="21" t="s">
        <v>12</v>
      </c>
      <c r="D693" s="340">
        <v>0</v>
      </c>
      <c r="E693" s="282"/>
      <c r="F693" s="60">
        <v>61.27</v>
      </c>
      <c r="G693" s="18"/>
      <c r="H693" s="2">
        <f>ROUND(D693*F693,2)</f>
        <v>0</v>
      </c>
      <c r="I693" s="18">
        <f t="shared" si="37"/>
        <v>0</v>
      </c>
    </row>
    <row r="694" spans="1:9" outlineLevel="1" x14ac:dyDescent="0.25">
      <c r="A694" s="84"/>
      <c r="B694" s="329" t="s">
        <v>433</v>
      </c>
      <c r="C694" s="21" t="s">
        <v>12</v>
      </c>
      <c r="D694" s="340">
        <v>0</v>
      </c>
      <c r="E694" s="282"/>
      <c r="F694" s="60">
        <v>40</v>
      </c>
      <c r="G694" s="18"/>
      <c r="H694" s="2">
        <f>ROUND(D694*F694,2)</f>
        <v>0</v>
      </c>
      <c r="I694" s="18">
        <f>G694+H694</f>
        <v>0</v>
      </c>
    </row>
    <row r="695" spans="1:9" outlineLevel="1" x14ac:dyDescent="0.25">
      <c r="A695" s="84" t="s">
        <v>548</v>
      </c>
      <c r="B695" s="307" t="s">
        <v>136</v>
      </c>
      <c r="C695" s="31" t="s">
        <v>29</v>
      </c>
      <c r="D695" s="306">
        <f>D696</f>
        <v>0</v>
      </c>
      <c r="E695" s="256">
        <v>150</v>
      </c>
      <c r="F695" s="60"/>
      <c r="G695" s="2">
        <f>ROUND(E695*D695,2)</f>
        <v>0</v>
      </c>
      <c r="H695" s="18"/>
      <c r="I695" s="18">
        <f t="shared" si="37"/>
        <v>0</v>
      </c>
    </row>
    <row r="696" spans="1:9" outlineLevel="1" x14ac:dyDescent="0.25">
      <c r="A696" s="84"/>
      <c r="B696" s="329" t="s">
        <v>432</v>
      </c>
      <c r="C696" s="21" t="s">
        <v>29</v>
      </c>
      <c r="D696" s="340">
        <v>0</v>
      </c>
      <c r="E696" s="282"/>
      <c r="F696" s="60">
        <f>107*3</f>
        <v>321</v>
      </c>
      <c r="G696" s="18"/>
      <c r="H696" s="2">
        <f>ROUND(D696*F696,2)</f>
        <v>0</v>
      </c>
      <c r="I696" s="18">
        <f t="shared" si="37"/>
        <v>0</v>
      </c>
    </row>
    <row r="697" spans="1:9" outlineLevel="1" x14ac:dyDescent="0.25">
      <c r="A697" s="84"/>
      <c r="B697" s="329" t="s">
        <v>708</v>
      </c>
      <c r="C697" s="21" t="s">
        <v>12</v>
      </c>
      <c r="D697" s="340">
        <v>0</v>
      </c>
      <c r="E697" s="282"/>
      <c r="F697" s="60">
        <v>205</v>
      </c>
      <c r="G697" s="18"/>
      <c r="H697" s="2">
        <f>ROUND(D697*F697,2)</f>
        <v>0</v>
      </c>
      <c r="I697" s="18">
        <f t="shared" si="37"/>
        <v>0</v>
      </c>
    </row>
    <row r="698" spans="1:9" outlineLevel="1" x14ac:dyDescent="0.25">
      <c r="A698" s="87" t="s">
        <v>549</v>
      </c>
      <c r="B698" s="29" t="s">
        <v>101</v>
      </c>
      <c r="C698" s="31" t="s">
        <v>29</v>
      </c>
      <c r="D698" s="31">
        <f>D690</f>
        <v>0</v>
      </c>
      <c r="E698" s="256">
        <v>150</v>
      </c>
      <c r="F698" s="60"/>
      <c r="G698" s="2">
        <f>ROUND(E698*D698,2)</f>
        <v>0</v>
      </c>
      <c r="H698" s="18"/>
      <c r="I698" s="18">
        <f t="shared" si="37"/>
        <v>0</v>
      </c>
    </row>
    <row r="699" spans="1:9" outlineLevel="1" x14ac:dyDescent="0.25">
      <c r="A699" s="84"/>
      <c r="B699" s="329" t="s">
        <v>174</v>
      </c>
      <c r="C699" s="21" t="s">
        <v>12</v>
      </c>
      <c r="D699" s="340">
        <v>0</v>
      </c>
      <c r="E699" s="282"/>
      <c r="F699" s="60">
        <v>200</v>
      </c>
      <c r="G699" s="18"/>
      <c r="H699" s="2">
        <f>ROUND(D699*F699,2)</f>
        <v>0</v>
      </c>
      <c r="I699" s="18">
        <f t="shared" si="37"/>
        <v>0</v>
      </c>
    </row>
    <row r="700" spans="1:9" outlineLevel="1" x14ac:dyDescent="0.25">
      <c r="A700" s="87" t="s">
        <v>550</v>
      </c>
      <c r="B700" s="307" t="s">
        <v>138</v>
      </c>
      <c r="C700" s="31" t="s">
        <v>12</v>
      </c>
      <c r="D700" s="306">
        <v>0</v>
      </c>
      <c r="E700" s="282"/>
      <c r="F700" s="60"/>
      <c r="G700" s="18"/>
      <c r="H700" s="18"/>
      <c r="I700" s="18">
        <f t="shared" si="37"/>
        <v>0</v>
      </c>
    </row>
    <row r="701" spans="1:9" outlineLevel="1" x14ac:dyDescent="0.25">
      <c r="A701" s="84"/>
      <c r="B701" s="329" t="s">
        <v>709</v>
      </c>
      <c r="C701" s="21" t="s">
        <v>12</v>
      </c>
      <c r="D701" s="340">
        <v>0</v>
      </c>
      <c r="E701" s="282"/>
      <c r="F701" s="60">
        <v>5555</v>
      </c>
      <c r="G701" s="18"/>
      <c r="H701" s="2">
        <f>ROUND(D701*F701,2)</f>
        <v>0</v>
      </c>
      <c r="I701" s="18">
        <f t="shared" si="37"/>
        <v>0</v>
      </c>
    </row>
    <row r="702" spans="1:9" outlineLevel="1" x14ac:dyDescent="0.25">
      <c r="A702" s="84"/>
      <c r="B702" s="329" t="s">
        <v>710</v>
      </c>
      <c r="C702" s="21" t="s">
        <v>12</v>
      </c>
      <c r="D702" s="340">
        <v>0</v>
      </c>
      <c r="E702" s="282"/>
      <c r="F702" s="164">
        <v>300</v>
      </c>
      <c r="G702" s="18"/>
      <c r="H702" s="2">
        <f>ROUND(D702*F702,2)</f>
        <v>0</v>
      </c>
      <c r="I702" s="18">
        <f>G702+H702</f>
        <v>0</v>
      </c>
    </row>
    <row r="703" spans="1:9" ht="31.2" outlineLevel="1" x14ac:dyDescent="0.25">
      <c r="A703" s="87" t="s">
        <v>551</v>
      </c>
      <c r="B703" s="29" t="s">
        <v>434</v>
      </c>
      <c r="C703" s="31" t="s">
        <v>29</v>
      </c>
      <c r="D703" s="31">
        <f>D704</f>
        <v>0</v>
      </c>
      <c r="E703" s="256">
        <v>250</v>
      </c>
      <c r="F703" s="60"/>
      <c r="G703" s="2">
        <f>ROUND(E703*D703,2)</f>
        <v>0</v>
      </c>
      <c r="H703" s="18"/>
      <c r="I703" s="18">
        <f t="shared" si="37"/>
        <v>0</v>
      </c>
    </row>
    <row r="704" spans="1:9" outlineLevel="1" x14ac:dyDescent="0.25">
      <c r="A704" s="84"/>
      <c r="B704" s="329" t="s">
        <v>114</v>
      </c>
      <c r="C704" s="21" t="s">
        <v>29</v>
      </c>
      <c r="D704" s="340">
        <v>0</v>
      </c>
      <c r="E704" s="18"/>
      <c r="F704" s="60">
        <v>103.95</v>
      </c>
      <c r="G704" s="18"/>
      <c r="H704" s="2">
        <f>ROUND(D704*F704,2)</f>
        <v>0</v>
      </c>
      <c r="I704" s="18">
        <f t="shared" si="37"/>
        <v>0</v>
      </c>
    </row>
    <row r="705" spans="1:10" outlineLevel="1" x14ac:dyDescent="0.25">
      <c r="A705" s="84"/>
      <c r="B705" s="329" t="s">
        <v>703</v>
      </c>
      <c r="C705" s="21" t="s">
        <v>14</v>
      </c>
      <c r="D705" s="340">
        <v>0</v>
      </c>
      <c r="E705" s="18"/>
      <c r="F705" s="164">
        <v>100</v>
      </c>
      <c r="G705" s="18"/>
      <c r="H705" s="2">
        <f>ROUND(D705*F705,2)</f>
        <v>0</v>
      </c>
      <c r="I705" s="18">
        <f t="shared" si="37"/>
        <v>0</v>
      </c>
    </row>
    <row r="706" spans="1:10" outlineLevel="1" x14ac:dyDescent="0.25">
      <c r="A706" s="84"/>
      <c r="B706" s="192" t="s">
        <v>140</v>
      </c>
      <c r="C706" s="2"/>
      <c r="D706" s="2"/>
      <c r="E706" s="2"/>
      <c r="F706" s="11"/>
      <c r="G706" s="18"/>
      <c r="H706" s="18"/>
      <c r="I706" s="18">
        <f t="shared" si="37"/>
        <v>0</v>
      </c>
    </row>
    <row r="707" spans="1:10" ht="31.2" outlineLevel="1" x14ac:dyDescent="0.25">
      <c r="A707" s="84"/>
      <c r="B707" s="307" t="s">
        <v>112</v>
      </c>
      <c r="C707" s="2" t="s">
        <v>29</v>
      </c>
      <c r="D707" s="306">
        <f>D708</f>
        <v>0</v>
      </c>
      <c r="E707" s="31">
        <v>250</v>
      </c>
      <c r="F707" s="60"/>
      <c r="G707" s="2">
        <f>ROUND(E707*D707,2)</f>
        <v>0</v>
      </c>
      <c r="H707" s="18"/>
      <c r="I707" s="18">
        <f>G707+H707</f>
        <v>0</v>
      </c>
      <c r="J707" s="780"/>
    </row>
    <row r="708" spans="1:10" outlineLevel="1" x14ac:dyDescent="0.25">
      <c r="A708" s="84"/>
      <c r="B708" s="329" t="s">
        <v>711</v>
      </c>
      <c r="C708" s="21" t="s">
        <v>29</v>
      </c>
      <c r="D708" s="340">
        <v>0</v>
      </c>
      <c r="E708" s="2"/>
      <c r="F708" s="11">
        <v>103.95</v>
      </c>
      <c r="G708" s="158"/>
      <c r="H708" s="2">
        <f t="shared" ref="H708:H718" si="39">ROUND(D708*F708,2)</f>
        <v>0</v>
      </c>
      <c r="I708" s="18">
        <f t="shared" si="37"/>
        <v>0</v>
      </c>
      <c r="J708" s="780"/>
    </row>
    <row r="709" spans="1:10" outlineLevel="1" x14ac:dyDescent="0.25">
      <c r="A709" s="84"/>
      <c r="B709" s="329" t="s">
        <v>91</v>
      </c>
      <c r="C709" s="21" t="s">
        <v>15</v>
      </c>
      <c r="D709" s="340">
        <v>0</v>
      </c>
      <c r="E709" s="2"/>
      <c r="F709" s="11">
        <v>42</v>
      </c>
      <c r="G709" s="158"/>
      <c r="H709" s="2">
        <f t="shared" si="39"/>
        <v>0</v>
      </c>
      <c r="I709" s="18">
        <f t="shared" si="37"/>
        <v>0</v>
      </c>
      <c r="J709" s="780"/>
    </row>
    <row r="710" spans="1:10" outlineLevel="1" x14ac:dyDescent="0.25">
      <c r="A710" s="84"/>
      <c r="B710" s="307" t="s">
        <v>141</v>
      </c>
      <c r="C710" s="2" t="s">
        <v>12</v>
      </c>
      <c r="D710" s="340">
        <v>0</v>
      </c>
      <c r="E710" s="2"/>
      <c r="F710" s="11"/>
      <c r="G710" s="158"/>
      <c r="H710" s="2">
        <f t="shared" si="39"/>
        <v>0</v>
      </c>
      <c r="I710" s="18">
        <f t="shared" si="37"/>
        <v>0</v>
      </c>
      <c r="J710" s="780"/>
    </row>
    <row r="711" spans="1:10" outlineLevel="1" x14ac:dyDescent="0.25">
      <c r="A711" s="84"/>
      <c r="B711" s="329" t="s">
        <v>142</v>
      </c>
      <c r="C711" s="21" t="s">
        <v>12</v>
      </c>
      <c r="D711" s="340">
        <v>0</v>
      </c>
      <c r="E711" s="2"/>
      <c r="F711" s="11">
        <v>586.74</v>
      </c>
      <c r="G711" s="158"/>
      <c r="H711" s="2">
        <f t="shared" si="39"/>
        <v>0</v>
      </c>
      <c r="I711" s="18">
        <f t="shared" si="37"/>
        <v>0</v>
      </c>
      <c r="J711" s="780"/>
    </row>
    <row r="712" spans="1:10" outlineLevel="1" x14ac:dyDescent="0.25">
      <c r="A712" s="84"/>
      <c r="B712" s="329" t="s">
        <v>143</v>
      </c>
      <c r="C712" s="21" t="s">
        <v>12</v>
      </c>
      <c r="D712" s="340">
        <v>0</v>
      </c>
      <c r="E712" s="2"/>
      <c r="F712" s="11">
        <v>429</v>
      </c>
      <c r="G712" s="158"/>
      <c r="H712" s="2">
        <f t="shared" si="39"/>
        <v>0</v>
      </c>
      <c r="I712" s="18">
        <f t="shared" si="37"/>
        <v>0</v>
      </c>
      <c r="J712" s="780"/>
    </row>
    <row r="713" spans="1:10" outlineLevel="1" x14ac:dyDescent="0.25">
      <c r="A713" s="84"/>
      <c r="B713" s="329" t="s">
        <v>712</v>
      </c>
      <c r="C713" s="21" t="s">
        <v>12</v>
      </c>
      <c r="D713" s="340">
        <v>0</v>
      </c>
      <c r="E713" s="18"/>
      <c r="F713" s="164">
        <v>100</v>
      </c>
      <c r="G713" s="18"/>
      <c r="H713" s="2">
        <f t="shared" si="39"/>
        <v>0</v>
      </c>
      <c r="I713" s="18">
        <f t="shared" si="37"/>
        <v>0</v>
      </c>
      <c r="J713" s="780"/>
    </row>
    <row r="714" spans="1:10" outlineLevel="1" x14ac:dyDescent="0.25">
      <c r="A714" s="84"/>
      <c r="B714" s="329" t="s">
        <v>713</v>
      </c>
      <c r="C714" s="21" t="s">
        <v>12</v>
      </c>
      <c r="D714" s="340">
        <v>0</v>
      </c>
      <c r="E714" s="282"/>
      <c r="F714" s="164">
        <v>40</v>
      </c>
      <c r="G714" s="18"/>
      <c r="H714" s="2">
        <f>ROUND(D714*F714,2)</f>
        <v>0</v>
      </c>
      <c r="I714" s="18">
        <f>G714+H714</f>
        <v>0</v>
      </c>
      <c r="J714" s="780"/>
    </row>
    <row r="715" spans="1:10" outlineLevel="1" x14ac:dyDescent="0.25">
      <c r="A715" s="84"/>
      <c r="B715" s="307" t="s">
        <v>101</v>
      </c>
      <c r="C715" s="2" t="s">
        <v>29</v>
      </c>
      <c r="D715" s="340">
        <f>D707</f>
        <v>0</v>
      </c>
      <c r="E715" s="2"/>
      <c r="F715" s="11"/>
      <c r="G715" s="158"/>
      <c r="H715" s="2">
        <f t="shared" si="39"/>
        <v>0</v>
      </c>
      <c r="I715" s="18">
        <f t="shared" si="37"/>
        <v>0</v>
      </c>
      <c r="J715" s="780"/>
    </row>
    <row r="716" spans="1:10" outlineLevel="1" x14ac:dyDescent="0.25">
      <c r="A716" s="84"/>
      <c r="B716" s="329" t="s">
        <v>137</v>
      </c>
      <c r="C716" s="21" t="s">
        <v>12</v>
      </c>
      <c r="D716" s="340">
        <v>0</v>
      </c>
      <c r="E716" s="2"/>
      <c r="F716" s="11">
        <v>200</v>
      </c>
      <c r="G716" s="158"/>
      <c r="H716" s="2">
        <f t="shared" si="39"/>
        <v>0</v>
      </c>
      <c r="I716" s="18">
        <f t="shared" si="37"/>
        <v>0</v>
      </c>
      <c r="J716" s="780"/>
    </row>
    <row r="717" spans="1:10" outlineLevel="1" x14ac:dyDescent="0.25">
      <c r="A717" s="84"/>
      <c r="B717" s="329" t="s">
        <v>703</v>
      </c>
      <c r="C717" s="21" t="s">
        <v>14</v>
      </c>
      <c r="D717" s="340">
        <v>0</v>
      </c>
      <c r="E717" s="18"/>
      <c r="F717" s="164">
        <v>100</v>
      </c>
      <c r="G717" s="18"/>
      <c r="H717" s="2">
        <f t="shared" si="39"/>
        <v>0</v>
      </c>
      <c r="I717" s="18">
        <f>G717+H717</f>
        <v>0</v>
      </c>
      <c r="J717" s="359"/>
    </row>
    <row r="718" spans="1:10" outlineLevel="1" x14ac:dyDescent="0.25">
      <c r="A718" s="84" t="s">
        <v>84</v>
      </c>
      <c r="B718" s="75" t="s">
        <v>144</v>
      </c>
      <c r="C718" s="2"/>
      <c r="D718" s="2"/>
      <c r="E718" s="2"/>
      <c r="F718" s="11"/>
      <c r="G718" s="18"/>
      <c r="H718" s="2">
        <f t="shared" si="39"/>
        <v>0</v>
      </c>
      <c r="I718" s="18">
        <f t="shared" si="37"/>
        <v>0</v>
      </c>
    </row>
    <row r="719" spans="1:10" ht="31.2" outlineLevel="1" x14ac:dyDescent="0.25">
      <c r="A719" s="84" t="s">
        <v>552</v>
      </c>
      <c r="B719" s="177" t="s">
        <v>145</v>
      </c>
      <c r="C719" s="31" t="s">
        <v>29</v>
      </c>
      <c r="D719" s="31">
        <v>0</v>
      </c>
      <c r="E719" s="256">
        <v>30</v>
      </c>
      <c r="F719" s="60"/>
      <c r="G719" s="2"/>
      <c r="H719" s="18"/>
      <c r="I719" s="18"/>
    </row>
    <row r="720" spans="1:10" outlineLevel="1" x14ac:dyDescent="0.25">
      <c r="A720" s="84"/>
      <c r="B720" s="173" t="s">
        <v>146</v>
      </c>
      <c r="C720" s="21" t="s">
        <v>12</v>
      </c>
      <c r="D720" s="184">
        <v>0</v>
      </c>
      <c r="E720" s="18"/>
      <c r="F720" s="60">
        <v>9275</v>
      </c>
      <c r="G720" s="18"/>
      <c r="H720" s="2"/>
      <c r="I720" s="18"/>
    </row>
    <row r="721" spans="1:10" outlineLevel="1" x14ac:dyDescent="0.25">
      <c r="A721" s="84"/>
      <c r="B721" s="173" t="s">
        <v>147</v>
      </c>
      <c r="C721" s="21" t="s">
        <v>29</v>
      </c>
      <c r="D721" s="2">
        <f>D719</f>
        <v>0</v>
      </c>
      <c r="E721" s="18"/>
      <c r="F721" s="60">
        <v>3</v>
      </c>
      <c r="G721" s="18"/>
      <c r="H721" s="2"/>
      <c r="I721" s="18"/>
    </row>
    <row r="722" spans="1:10" ht="31.2" outlineLevel="1" x14ac:dyDescent="0.25">
      <c r="A722" s="84" t="s">
        <v>331</v>
      </c>
      <c r="B722" s="75" t="s">
        <v>148</v>
      </c>
      <c r="C722" s="2"/>
      <c r="D722" s="2"/>
      <c r="E722" s="2"/>
      <c r="F722" s="11"/>
      <c r="G722" s="18"/>
      <c r="H722" s="18"/>
      <c r="I722" s="18">
        <f t="shared" si="37"/>
        <v>0</v>
      </c>
    </row>
    <row r="723" spans="1:10" outlineLevel="1" x14ac:dyDescent="0.25">
      <c r="A723" s="84"/>
      <c r="B723" s="177" t="s">
        <v>149</v>
      </c>
      <c r="C723" s="158" t="s">
        <v>12</v>
      </c>
      <c r="D723" s="158">
        <v>0</v>
      </c>
      <c r="E723" s="158"/>
      <c r="F723" s="164"/>
      <c r="G723" s="158"/>
      <c r="H723" s="158"/>
      <c r="I723" s="158"/>
      <c r="J723" s="780"/>
    </row>
    <row r="724" spans="1:10" ht="31.2" outlineLevel="1" x14ac:dyDescent="0.25">
      <c r="A724" s="84"/>
      <c r="B724" s="173" t="s">
        <v>150</v>
      </c>
      <c r="C724" s="171" t="s">
        <v>12</v>
      </c>
      <c r="D724" s="158">
        <v>0</v>
      </c>
      <c r="E724" s="158"/>
      <c r="F724" s="164">
        <f>2352*1.18</f>
        <v>2775.3599999999997</v>
      </c>
      <c r="G724" s="158"/>
      <c r="H724" s="158"/>
      <c r="I724" s="158"/>
      <c r="J724" s="780"/>
    </row>
    <row r="725" spans="1:10" outlineLevel="1" x14ac:dyDescent="0.25">
      <c r="A725" s="84" t="s">
        <v>553</v>
      </c>
      <c r="B725" s="307" t="s">
        <v>151</v>
      </c>
      <c r="C725" s="31" t="s">
        <v>29</v>
      </c>
      <c r="D725" s="306">
        <f>D726</f>
        <v>0</v>
      </c>
      <c r="E725" s="256">
        <v>100</v>
      </c>
      <c r="F725" s="60"/>
      <c r="G725" s="2">
        <f>ROUND(E725*D725,2)</f>
        <v>0</v>
      </c>
      <c r="H725" s="18"/>
      <c r="I725" s="18">
        <f t="shared" si="37"/>
        <v>0</v>
      </c>
    </row>
    <row r="726" spans="1:10" outlineLevel="1" x14ac:dyDescent="0.25">
      <c r="A726" s="84"/>
      <c r="B726" s="329" t="s">
        <v>701</v>
      </c>
      <c r="C726" s="21" t="s">
        <v>29</v>
      </c>
      <c r="D726" s="340">
        <v>0</v>
      </c>
      <c r="E726" s="18"/>
      <c r="F726" s="60">
        <f>2779*1.18</f>
        <v>3279.22</v>
      </c>
      <c r="G726" s="18"/>
      <c r="H726" s="2">
        <f>ROUND(D726*F726,2)</f>
        <v>0</v>
      </c>
      <c r="I726" s="18">
        <f t="shared" si="37"/>
        <v>0</v>
      </c>
    </row>
    <row r="727" spans="1:10" ht="31.2" outlineLevel="1" x14ac:dyDescent="0.25">
      <c r="A727" s="84" t="s">
        <v>554</v>
      </c>
      <c r="B727" s="307" t="s">
        <v>152</v>
      </c>
      <c r="C727" s="31" t="s">
        <v>29</v>
      </c>
      <c r="D727" s="306">
        <f>D728</f>
        <v>0</v>
      </c>
      <c r="E727" s="256">
        <v>85</v>
      </c>
      <c r="F727" s="60"/>
      <c r="G727" s="2">
        <f>ROUND(E727*D727,2)</f>
        <v>0</v>
      </c>
      <c r="H727" s="18"/>
      <c r="I727" s="18">
        <f t="shared" si="37"/>
        <v>0</v>
      </c>
    </row>
    <row r="728" spans="1:10" outlineLevel="1" x14ac:dyDescent="0.25">
      <c r="A728" s="84"/>
      <c r="B728" s="329" t="s">
        <v>438</v>
      </c>
      <c r="C728" s="21" t="s">
        <v>29</v>
      </c>
      <c r="D728" s="340">
        <v>0</v>
      </c>
      <c r="E728" s="18"/>
      <c r="F728" s="60">
        <f>1626.1/5.5</f>
        <v>295.65454545454543</v>
      </c>
      <c r="G728" s="18"/>
      <c r="H728" s="2">
        <f>ROUND(D728*F728,2)</f>
        <v>0</v>
      </c>
      <c r="I728" s="18">
        <f t="shared" si="37"/>
        <v>0</v>
      </c>
    </row>
    <row r="729" spans="1:10" s="6" customFormat="1" outlineLevel="1" x14ac:dyDescent="0.25">
      <c r="A729" s="84" t="s">
        <v>555</v>
      </c>
      <c r="B729" s="307" t="s">
        <v>153</v>
      </c>
      <c r="C729" s="31" t="s">
        <v>12</v>
      </c>
      <c r="D729" s="306">
        <v>0</v>
      </c>
      <c r="E729" s="5"/>
      <c r="F729" s="60"/>
      <c r="G729" s="18"/>
      <c r="H729" s="18"/>
      <c r="I729" s="18">
        <f t="shared" si="37"/>
        <v>0</v>
      </c>
    </row>
    <row r="730" spans="1:10" outlineLevel="1" x14ac:dyDescent="0.25">
      <c r="A730" s="84"/>
      <c r="B730" s="329" t="s">
        <v>436</v>
      </c>
      <c r="C730" s="21" t="s">
        <v>12</v>
      </c>
      <c r="D730" s="340">
        <v>0</v>
      </c>
      <c r="E730" s="18"/>
      <c r="F730" s="60">
        <v>480.3</v>
      </c>
      <c r="G730" s="18"/>
      <c r="H730" s="2">
        <f>ROUND(D730*F730,2)</f>
        <v>0</v>
      </c>
      <c r="I730" s="18">
        <f t="shared" si="37"/>
        <v>0</v>
      </c>
    </row>
    <row r="731" spans="1:10" outlineLevel="1" x14ac:dyDescent="0.25">
      <c r="A731" s="84"/>
      <c r="B731" s="329" t="s">
        <v>435</v>
      </c>
      <c r="C731" s="21" t="s">
        <v>12</v>
      </c>
      <c r="D731" s="340">
        <v>0</v>
      </c>
      <c r="E731" s="18"/>
      <c r="F731" s="60">
        <v>322.2</v>
      </c>
      <c r="G731" s="18"/>
      <c r="H731" s="2">
        <f>ROUND(D731*F731,2)</f>
        <v>0</v>
      </c>
      <c r="I731" s="18">
        <f t="shared" si="37"/>
        <v>0</v>
      </c>
    </row>
    <row r="732" spans="1:10" outlineLevel="1" x14ac:dyDescent="0.25">
      <c r="A732" s="84" t="s">
        <v>556</v>
      </c>
      <c r="B732" s="75" t="s">
        <v>92</v>
      </c>
      <c r="C732" s="2"/>
      <c r="D732" s="2"/>
      <c r="E732" s="2"/>
      <c r="F732" s="11"/>
      <c r="G732" s="18"/>
      <c r="H732" s="18"/>
      <c r="I732" s="18">
        <f t="shared" si="37"/>
        <v>0</v>
      </c>
    </row>
    <row r="733" spans="1:10" ht="31.2" outlineLevel="1" x14ac:dyDescent="0.25">
      <c r="A733" s="84" t="s">
        <v>557</v>
      </c>
      <c r="B733" s="9" t="s">
        <v>93</v>
      </c>
      <c r="C733" s="31" t="s">
        <v>29</v>
      </c>
      <c r="D733" s="31">
        <v>0</v>
      </c>
      <c r="E733" s="256">
        <v>150</v>
      </c>
      <c r="F733" s="60"/>
      <c r="G733" s="2">
        <f>ROUND(E733*D733,2)</f>
        <v>0</v>
      </c>
      <c r="H733" s="18"/>
      <c r="I733" s="18">
        <f t="shared" si="37"/>
        <v>0</v>
      </c>
    </row>
    <row r="734" spans="1:10" outlineLevel="1" x14ac:dyDescent="0.25">
      <c r="A734" s="84"/>
      <c r="B734" s="343" t="s">
        <v>94</v>
      </c>
      <c r="C734" s="21" t="s">
        <v>29</v>
      </c>
      <c r="D734" s="340">
        <v>0</v>
      </c>
      <c r="E734" s="282"/>
      <c r="F734" s="60">
        <v>64.900000000000006</v>
      </c>
      <c r="G734" s="18"/>
      <c r="H734" s="2">
        <f>ROUND(D734*F734,2)</f>
        <v>0</v>
      </c>
      <c r="I734" s="18">
        <f t="shared" si="37"/>
        <v>0</v>
      </c>
    </row>
    <row r="735" spans="1:10" ht="31.2" outlineLevel="1" x14ac:dyDescent="0.25">
      <c r="A735" s="84" t="s">
        <v>558</v>
      </c>
      <c r="B735" s="29" t="s">
        <v>95</v>
      </c>
      <c r="C735" s="31" t="s">
        <v>29</v>
      </c>
      <c r="D735" s="31">
        <f>D736+D737+D738+D739</f>
        <v>0</v>
      </c>
      <c r="E735" s="256">
        <v>85</v>
      </c>
      <c r="F735" s="60"/>
      <c r="G735" s="2">
        <f>ROUND(E735*D735,2)</f>
        <v>0</v>
      </c>
      <c r="H735" s="18"/>
      <c r="I735" s="18">
        <f t="shared" si="37"/>
        <v>0</v>
      </c>
    </row>
    <row r="736" spans="1:10" outlineLevel="1" x14ac:dyDescent="0.25">
      <c r="A736" s="84"/>
      <c r="B736" s="343" t="s">
        <v>96</v>
      </c>
      <c r="C736" s="21" t="s">
        <v>29</v>
      </c>
      <c r="D736" s="340">
        <v>0</v>
      </c>
      <c r="E736" s="282"/>
      <c r="F736" s="60">
        <v>22.07</v>
      </c>
      <c r="G736" s="18"/>
      <c r="H736" s="2">
        <f t="shared" ref="H736:H743" si="40">ROUND(D736*F736,2)</f>
        <v>0</v>
      </c>
      <c r="I736" s="18">
        <f t="shared" ref="I736:I766" si="41">G736+H736</f>
        <v>0</v>
      </c>
    </row>
    <row r="737" spans="1:9" outlineLevel="1" x14ac:dyDescent="0.25">
      <c r="A737" s="84"/>
      <c r="B737" s="343" t="s">
        <v>97</v>
      </c>
      <c r="C737" s="21" t="s">
        <v>29</v>
      </c>
      <c r="D737" s="340">
        <v>0</v>
      </c>
      <c r="E737" s="282"/>
      <c r="F737" s="60">
        <v>25.75</v>
      </c>
      <c r="G737" s="18"/>
      <c r="H737" s="2">
        <f t="shared" si="40"/>
        <v>0</v>
      </c>
      <c r="I737" s="18">
        <f t="shared" si="41"/>
        <v>0</v>
      </c>
    </row>
    <row r="738" spans="1:9" outlineLevel="1" x14ac:dyDescent="0.25">
      <c r="A738" s="84"/>
      <c r="B738" s="343" t="s">
        <v>98</v>
      </c>
      <c r="C738" s="21" t="s">
        <v>29</v>
      </c>
      <c r="D738" s="340">
        <v>0</v>
      </c>
      <c r="E738" s="282"/>
      <c r="F738" s="60">
        <v>58.9</v>
      </c>
      <c r="G738" s="18"/>
      <c r="H738" s="2">
        <f t="shared" si="40"/>
        <v>0</v>
      </c>
      <c r="I738" s="18">
        <f t="shared" si="41"/>
        <v>0</v>
      </c>
    </row>
    <row r="739" spans="1:9" outlineLevel="1" x14ac:dyDescent="0.25">
      <c r="A739" s="84"/>
      <c r="B739" s="343" t="s">
        <v>241</v>
      </c>
      <c r="C739" s="21" t="s">
        <v>29</v>
      </c>
      <c r="D739" s="340">
        <v>0</v>
      </c>
      <c r="E739" s="282"/>
      <c r="F739" s="60">
        <v>75</v>
      </c>
      <c r="G739" s="18"/>
      <c r="H739" s="2">
        <f t="shared" si="40"/>
        <v>0</v>
      </c>
      <c r="I739" s="18">
        <f>G739+H739</f>
        <v>0</v>
      </c>
    </row>
    <row r="740" spans="1:9" outlineLevel="1" x14ac:dyDescent="0.25">
      <c r="A740" s="84"/>
      <c r="B740" s="329" t="s">
        <v>99</v>
      </c>
      <c r="C740" s="21" t="s">
        <v>12</v>
      </c>
      <c r="D740" s="340">
        <v>0</v>
      </c>
      <c r="E740" s="282"/>
      <c r="F740" s="60">
        <v>198</v>
      </c>
      <c r="G740" s="18"/>
      <c r="H740" s="2">
        <f t="shared" si="40"/>
        <v>0</v>
      </c>
      <c r="I740" s="18">
        <f t="shared" si="41"/>
        <v>0</v>
      </c>
    </row>
    <row r="741" spans="1:9" outlineLevel="1" x14ac:dyDescent="0.25">
      <c r="A741" s="84"/>
      <c r="B741" s="329" t="s">
        <v>100</v>
      </c>
      <c r="C741" s="21" t="s">
        <v>12</v>
      </c>
      <c r="D741" s="340">
        <v>0</v>
      </c>
      <c r="E741" s="282"/>
      <c r="F741" s="60">
        <v>198</v>
      </c>
      <c r="G741" s="18"/>
      <c r="H741" s="2">
        <f t="shared" si="40"/>
        <v>0</v>
      </c>
      <c r="I741" s="18">
        <f t="shared" si="41"/>
        <v>0</v>
      </c>
    </row>
    <row r="742" spans="1:9" ht="31.2" outlineLevel="1" x14ac:dyDescent="0.25">
      <c r="A742" s="84"/>
      <c r="B742" s="329" t="s">
        <v>107</v>
      </c>
      <c r="C742" s="21" t="s">
        <v>12</v>
      </c>
      <c r="D742" s="360">
        <v>0</v>
      </c>
      <c r="E742" s="282"/>
      <c r="F742" s="361">
        <v>70</v>
      </c>
      <c r="G742" s="18"/>
      <c r="H742" s="2">
        <f t="shared" si="40"/>
        <v>0</v>
      </c>
      <c r="I742" s="18">
        <f t="shared" si="41"/>
        <v>0</v>
      </c>
    </row>
    <row r="743" spans="1:9" ht="31.2" outlineLevel="1" x14ac:dyDescent="0.25">
      <c r="A743" s="84"/>
      <c r="B743" s="329" t="s">
        <v>242</v>
      </c>
      <c r="C743" s="21" t="s">
        <v>29</v>
      </c>
      <c r="D743" s="340">
        <v>0</v>
      </c>
      <c r="E743" s="282"/>
      <c r="F743" s="60">
        <v>35</v>
      </c>
      <c r="G743" s="18"/>
      <c r="H743" s="2">
        <f t="shared" si="40"/>
        <v>0</v>
      </c>
      <c r="I743" s="18">
        <f>G743+H743</f>
        <v>0</v>
      </c>
    </row>
    <row r="744" spans="1:9" outlineLevel="1" x14ac:dyDescent="0.25">
      <c r="A744" s="84" t="s">
        <v>559</v>
      </c>
      <c r="B744" s="29" t="s">
        <v>101</v>
      </c>
      <c r="C744" s="31" t="s">
        <v>29</v>
      </c>
      <c r="D744" s="306">
        <f>D745</f>
        <v>0</v>
      </c>
      <c r="E744" s="256">
        <v>30</v>
      </c>
      <c r="F744" s="60"/>
      <c r="G744" s="2">
        <f>ROUND(E744*D744,2)</f>
        <v>0</v>
      </c>
      <c r="H744" s="18"/>
      <c r="I744" s="18">
        <f t="shared" si="41"/>
        <v>0</v>
      </c>
    </row>
    <row r="745" spans="1:9" outlineLevel="1" x14ac:dyDescent="0.25">
      <c r="A745" s="84"/>
      <c r="B745" s="329" t="s">
        <v>175</v>
      </c>
      <c r="C745" s="21" t="s">
        <v>29</v>
      </c>
      <c r="D745" s="340">
        <v>0</v>
      </c>
      <c r="E745" s="18"/>
      <c r="F745" s="164">
        <v>74</v>
      </c>
      <c r="G745" s="18"/>
      <c r="H745" s="2">
        <f>ROUND(D745*F745,2)</f>
        <v>0</v>
      </c>
      <c r="I745" s="18">
        <f t="shared" si="41"/>
        <v>0</v>
      </c>
    </row>
    <row r="746" spans="1:9" outlineLevel="1" x14ac:dyDescent="0.25">
      <c r="A746" s="84" t="s">
        <v>560</v>
      </c>
      <c r="B746" s="29" t="s">
        <v>102</v>
      </c>
      <c r="C746" s="31" t="s">
        <v>12</v>
      </c>
      <c r="D746" s="306">
        <f>D747</f>
        <v>0</v>
      </c>
      <c r="E746" s="256">
        <v>500</v>
      </c>
      <c r="F746" s="60"/>
      <c r="G746" s="2">
        <f>ROUND(E746*D746,2)</f>
        <v>0</v>
      </c>
      <c r="H746" s="18"/>
      <c r="I746" s="18">
        <f t="shared" si="41"/>
        <v>0</v>
      </c>
    </row>
    <row r="747" spans="1:9" outlineLevel="1" x14ac:dyDescent="0.25">
      <c r="A747" s="84"/>
      <c r="B747" s="343" t="s">
        <v>103</v>
      </c>
      <c r="C747" s="21" t="s">
        <v>12</v>
      </c>
      <c r="D747" s="340">
        <v>0</v>
      </c>
      <c r="E747" s="282"/>
      <c r="F747" s="60">
        <v>400</v>
      </c>
      <c r="G747" s="18"/>
      <c r="H747" s="2">
        <f>ROUND(D747*F747,2)</f>
        <v>0</v>
      </c>
      <c r="I747" s="18">
        <f t="shared" si="41"/>
        <v>0</v>
      </c>
    </row>
    <row r="748" spans="1:9" outlineLevel="1" x14ac:dyDescent="0.25">
      <c r="A748" s="84"/>
      <c r="B748" s="343" t="s">
        <v>104</v>
      </c>
      <c r="C748" s="21" t="s">
        <v>12</v>
      </c>
      <c r="D748" s="340">
        <f>D747</f>
        <v>0</v>
      </c>
      <c r="E748" s="282"/>
      <c r="F748" s="60">
        <v>210.8</v>
      </c>
      <c r="G748" s="18"/>
      <c r="H748" s="2">
        <f>ROUND(D748*F748,2)</f>
        <v>0</v>
      </c>
      <c r="I748" s="18">
        <f t="shared" si="41"/>
        <v>0</v>
      </c>
    </row>
    <row r="749" spans="1:9" outlineLevel="1" x14ac:dyDescent="0.25">
      <c r="A749" s="84" t="s">
        <v>561</v>
      </c>
      <c r="B749" s="29" t="s">
        <v>105</v>
      </c>
      <c r="C749" s="31" t="s">
        <v>12</v>
      </c>
      <c r="D749" s="306">
        <f>D748</f>
        <v>0</v>
      </c>
      <c r="E749" s="256">
        <v>520</v>
      </c>
      <c r="F749" s="60"/>
      <c r="G749" s="2">
        <f>ROUND(E749*D749,2)</f>
        <v>0</v>
      </c>
      <c r="H749" s="18"/>
      <c r="I749" s="18">
        <f t="shared" si="41"/>
        <v>0</v>
      </c>
    </row>
    <row r="750" spans="1:9" ht="31.2" outlineLevel="1" x14ac:dyDescent="0.25">
      <c r="A750" s="84"/>
      <c r="B750" s="343" t="s">
        <v>106</v>
      </c>
      <c r="C750" s="21" t="s">
        <v>12</v>
      </c>
      <c r="D750" s="340">
        <f>D749</f>
        <v>0</v>
      </c>
      <c r="E750" s="282"/>
      <c r="F750" s="60">
        <v>900</v>
      </c>
      <c r="G750" s="18"/>
      <c r="H750" s="2">
        <f>ROUND(D750*F750,2)</f>
        <v>0</v>
      </c>
      <c r="I750" s="18">
        <f t="shared" si="41"/>
        <v>0</v>
      </c>
    </row>
    <row r="751" spans="1:9" outlineLevel="1" x14ac:dyDescent="0.25">
      <c r="A751" s="84" t="s">
        <v>562</v>
      </c>
      <c r="B751" s="75" t="s">
        <v>108</v>
      </c>
      <c r="C751" s="2"/>
      <c r="D751" s="158"/>
      <c r="E751" s="282"/>
      <c r="F751" s="11"/>
      <c r="G751" s="18"/>
      <c r="H751" s="18"/>
      <c r="I751" s="18">
        <f t="shared" si="41"/>
        <v>0</v>
      </c>
    </row>
    <row r="752" spans="1:9" ht="31.2" outlineLevel="1" x14ac:dyDescent="0.25">
      <c r="A752" s="84" t="s">
        <v>563</v>
      </c>
      <c r="B752" s="29" t="s">
        <v>110</v>
      </c>
      <c r="C752" s="31" t="s">
        <v>29</v>
      </c>
      <c r="D752" s="31">
        <f>D753</f>
        <v>0</v>
      </c>
      <c r="E752" s="256">
        <v>85</v>
      </c>
      <c r="F752" s="60"/>
      <c r="G752" s="2">
        <f>ROUND(E752*D752,2)</f>
        <v>0</v>
      </c>
      <c r="H752" s="18">
        <f>D752*F752</f>
        <v>0</v>
      </c>
      <c r="I752" s="18">
        <f t="shared" si="41"/>
        <v>0</v>
      </c>
    </row>
    <row r="753" spans="1:10" ht="31.2" outlineLevel="1" x14ac:dyDescent="0.25">
      <c r="A753" s="84"/>
      <c r="B753" s="343" t="s">
        <v>109</v>
      </c>
      <c r="C753" s="21" t="s">
        <v>29</v>
      </c>
      <c r="D753" s="340">
        <v>0</v>
      </c>
      <c r="E753" s="18"/>
      <c r="F753" s="361">
        <v>170</v>
      </c>
      <c r="G753" s="18"/>
      <c r="H753" s="2">
        <f>ROUND(D753*F753,2)</f>
        <v>0</v>
      </c>
      <c r="I753" s="18">
        <f t="shared" si="41"/>
        <v>0</v>
      </c>
    </row>
    <row r="754" spans="1:10" outlineLevel="1" x14ac:dyDescent="0.25">
      <c r="A754" s="84"/>
      <c r="B754" s="329" t="s">
        <v>100</v>
      </c>
      <c r="C754" s="21" t="s">
        <v>12</v>
      </c>
      <c r="D754" s="340">
        <v>0</v>
      </c>
      <c r="E754" s="18"/>
      <c r="F754" s="361">
        <v>198</v>
      </c>
      <c r="G754" s="18"/>
      <c r="H754" s="2">
        <f>ROUND(D754*F754,2)</f>
        <v>0</v>
      </c>
      <c r="I754" s="18">
        <f t="shared" si="41"/>
        <v>0</v>
      </c>
    </row>
    <row r="755" spans="1:10" ht="31.2" outlineLevel="1" x14ac:dyDescent="0.25">
      <c r="A755" s="84"/>
      <c r="B755" s="329" t="s">
        <v>107</v>
      </c>
      <c r="C755" s="21" t="s">
        <v>12</v>
      </c>
      <c r="D755" s="340">
        <v>0</v>
      </c>
      <c r="E755" s="18"/>
      <c r="F755" s="361">
        <v>120</v>
      </c>
      <c r="G755" s="18"/>
      <c r="H755" s="2">
        <f>ROUND(D755*F755,2)</f>
        <v>0</v>
      </c>
      <c r="I755" s="18">
        <f t="shared" si="41"/>
        <v>0</v>
      </c>
    </row>
    <row r="756" spans="1:10" ht="31.2" outlineLevel="1" x14ac:dyDescent="0.25">
      <c r="A756" s="84"/>
      <c r="B756" s="329" t="s">
        <v>439</v>
      </c>
      <c r="C756" s="21" t="s">
        <v>29</v>
      </c>
      <c r="D756" s="340">
        <v>0</v>
      </c>
      <c r="E756" s="18"/>
      <c r="F756" s="60">
        <v>35</v>
      </c>
      <c r="G756" s="18"/>
      <c r="H756" s="2">
        <f>ROUND(D756*F756,2)</f>
        <v>0</v>
      </c>
      <c r="I756" s="18">
        <f>G756+H756</f>
        <v>0</v>
      </c>
    </row>
    <row r="757" spans="1:10" outlineLevel="1" x14ac:dyDescent="0.25">
      <c r="A757" s="84" t="s">
        <v>564</v>
      </c>
      <c r="B757" s="75" t="s">
        <v>111</v>
      </c>
      <c r="C757" s="2"/>
      <c r="D757" s="158"/>
      <c r="E757" s="2"/>
      <c r="F757" s="11"/>
      <c r="G757" s="18"/>
      <c r="H757" s="18"/>
      <c r="I757" s="18">
        <f t="shared" si="41"/>
        <v>0</v>
      </c>
    </row>
    <row r="758" spans="1:10" ht="31.2" outlineLevel="1" x14ac:dyDescent="0.25">
      <c r="A758" s="84" t="s">
        <v>565</v>
      </c>
      <c r="B758" s="29" t="s">
        <v>112</v>
      </c>
      <c r="C758" s="31" t="s">
        <v>29</v>
      </c>
      <c r="D758" s="31">
        <f>D759+D760+D761</f>
        <v>0</v>
      </c>
      <c r="E758" s="256">
        <v>85</v>
      </c>
      <c r="F758" s="60"/>
      <c r="G758" s="2">
        <f>ROUND(E758*D758,2)</f>
        <v>0</v>
      </c>
      <c r="H758" s="18"/>
      <c r="I758" s="18">
        <f t="shared" si="41"/>
        <v>0</v>
      </c>
    </row>
    <row r="759" spans="1:10" outlineLevel="1" x14ac:dyDescent="0.25">
      <c r="A759" s="84"/>
      <c r="B759" s="329" t="s">
        <v>113</v>
      </c>
      <c r="C759" s="21" t="s">
        <v>29</v>
      </c>
      <c r="D759" s="340">
        <v>0</v>
      </c>
      <c r="E759" s="18"/>
      <c r="F759" s="60">
        <v>63.8</v>
      </c>
      <c r="G759" s="18"/>
      <c r="H759" s="2">
        <f t="shared" ref="H759:H765" si="42">ROUND(D759*F759,2)</f>
        <v>0</v>
      </c>
      <c r="I759" s="18">
        <f t="shared" si="41"/>
        <v>0</v>
      </c>
    </row>
    <row r="760" spans="1:10" outlineLevel="1" x14ac:dyDescent="0.25">
      <c r="A760" s="84"/>
      <c r="B760" s="329" t="s">
        <v>440</v>
      </c>
      <c r="C760" s="21" t="s">
        <v>29</v>
      </c>
      <c r="D760" s="340">
        <v>0</v>
      </c>
      <c r="E760" s="18"/>
      <c r="F760" s="11">
        <v>55</v>
      </c>
      <c r="G760" s="18"/>
      <c r="H760" s="2">
        <f t="shared" si="42"/>
        <v>0</v>
      </c>
      <c r="I760" s="18">
        <f>G760+H760</f>
        <v>0</v>
      </c>
    </row>
    <row r="761" spans="1:10" outlineLevel="1" x14ac:dyDescent="0.25">
      <c r="A761" s="84"/>
      <c r="B761" s="329" t="s">
        <v>114</v>
      </c>
      <c r="C761" s="21" t="s">
        <v>29</v>
      </c>
      <c r="D761" s="340">
        <v>0</v>
      </c>
      <c r="E761" s="18"/>
      <c r="F761" s="60">
        <v>103.95</v>
      </c>
      <c r="G761" s="18"/>
      <c r="H761" s="2">
        <f t="shared" si="42"/>
        <v>0</v>
      </c>
      <c r="I761" s="18">
        <f>G761+H761</f>
        <v>0</v>
      </c>
    </row>
    <row r="762" spans="1:10" outlineLevel="1" x14ac:dyDescent="0.25">
      <c r="A762" s="84"/>
      <c r="B762" s="329" t="s">
        <v>115</v>
      </c>
      <c r="C762" s="21" t="s">
        <v>12</v>
      </c>
      <c r="D762" s="340">
        <v>0</v>
      </c>
      <c r="E762" s="18"/>
      <c r="F762" s="60">
        <v>61.27</v>
      </c>
      <c r="G762" s="18"/>
      <c r="H762" s="2">
        <f t="shared" si="42"/>
        <v>0</v>
      </c>
      <c r="I762" s="18">
        <f t="shared" si="41"/>
        <v>0</v>
      </c>
    </row>
    <row r="763" spans="1:10" outlineLevel="1" x14ac:dyDescent="0.25">
      <c r="A763" s="84"/>
      <c r="B763" s="343" t="s">
        <v>91</v>
      </c>
      <c r="C763" s="21" t="s">
        <v>15</v>
      </c>
      <c r="D763" s="340">
        <v>0</v>
      </c>
      <c r="E763" s="18"/>
      <c r="F763" s="60">
        <f>37500/1000</f>
        <v>37.5</v>
      </c>
      <c r="G763" s="18"/>
      <c r="H763" s="2">
        <f t="shared" si="42"/>
        <v>0</v>
      </c>
      <c r="I763" s="18">
        <f t="shared" si="41"/>
        <v>0</v>
      </c>
    </row>
    <row r="764" spans="1:10" outlineLevel="1" x14ac:dyDescent="0.25">
      <c r="A764" s="84"/>
      <c r="B764" s="329" t="s">
        <v>116</v>
      </c>
      <c r="C764" s="21" t="s">
        <v>12</v>
      </c>
      <c r="D764" s="340">
        <v>0</v>
      </c>
      <c r="E764" s="18"/>
      <c r="F764" s="60">
        <v>320</v>
      </c>
      <c r="G764" s="18"/>
      <c r="H764" s="2">
        <f t="shared" si="42"/>
        <v>0</v>
      </c>
      <c r="I764" s="18">
        <f t="shared" si="41"/>
        <v>0</v>
      </c>
    </row>
    <row r="765" spans="1:10" outlineLevel="1" x14ac:dyDescent="0.25">
      <c r="A765" s="84"/>
      <c r="B765" s="329" t="s">
        <v>441</v>
      </c>
      <c r="C765" s="21" t="s">
        <v>12</v>
      </c>
      <c r="D765" s="340">
        <v>0</v>
      </c>
      <c r="E765" s="18"/>
      <c r="F765" s="60">
        <v>1250</v>
      </c>
      <c r="G765" s="18"/>
      <c r="H765" s="2">
        <f t="shared" si="42"/>
        <v>0</v>
      </c>
      <c r="I765" s="18">
        <f>G765+H765</f>
        <v>0</v>
      </c>
    </row>
    <row r="766" spans="1:10" outlineLevel="1" x14ac:dyDescent="0.25">
      <c r="A766" s="84"/>
      <c r="B766" s="75" t="s">
        <v>117</v>
      </c>
      <c r="C766" s="2"/>
      <c r="D766" s="158"/>
      <c r="E766" s="2"/>
      <c r="F766" s="11"/>
      <c r="G766" s="18"/>
      <c r="H766" s="18"/>
      <c r="I766" s="18">
        <f t="shared" si="41"/>
        <v>0</v>
      </c>
    </row>
    <row r="767" spans="1:10" ht="31.2" outlineLevel="1" x14ac:dyDescent="0.25">
      <c r="A767" s="87"/>
      <c r="B767" s="307" t="s">
        <v>112</v>
      </c>
      <c r="C767" s="2" t="s">
        <v>29</v>
      </c>
      <c r="D767" s="306">
        <f>D768</f>
        <v>0</v>
      </c>
      <c r="E767" s="256">
        <v>85</v>
      </c>
      <c r="F767" s="60"/>
      <c r="G767" s="2">
        <f>ROUND(E767*D767,2)</f>
        <v>0</v>
      </c>
      <c r="H767" s="18"/>
      <c r="I767" s="18">
        <f>G767+H767</f>
        <v>0</v>
      </c>
      <c r="J767" s="780"/>
    </row>
    <row r="768" spans="1:10" outlineLevel="1" x14ac:dyDescent="0.25">
      <c r="A768" s="84"/>
      <c r="B768" s="329" t="s">
        <v>114</v>
      </c>
      <c r="C768" s="21" t="s">
        <v>29</v>
      </c>
      <c r="D768" s="340">
        <v>0</v>
      </c>
      <c r="E768" s="158"/>
      <c r="F768" s="60">
        <v>103.95</v>
      </c>
      <c r="G768" s="158"/>
      <c r="H768" s="2">
        <f t="shared" ref="H768:H773" si="43">ROUND(D768*F768,2)</f>
        <v>0</v>
      </c>
      <c r="I768" s="18">
        <f t="shared" ref="I768:I773" si="44">G768+H768</f>
        <v>0</v>
      </c>
      <c r="J768" s="780"/>
    </row>
    <row r="769" spans="1:12" outlineLevel="1" x14ac:dyDescent="0.25">
      <c r="A769" s="84"/>
      <c r="B769" s="329" t="s">
        <v>115</v>
      </c>
      <c r="C769" s="21" t="s">
        <v>12</v>
      </c>
      <c r="D769" s="340">
        <v>0</v>
      </c>
      <c r="E769" s="158"/>
      <c r="F769" s="60">
        <v>61.27</v>
      </c>
      <c r="G769" s="158"/>
      <c r="H769" s="2">
        <f t="shared" si="43"/>
        <v>0</v>
      </c>
      <c r="I769" s="18">
        <f t="shared" si="44"/>
        <v>0</v>
      </c>
      <c r="J769" s="780"/>
    </row>
    <row r="770" spans="1:12" outlineLevel="1" x14ac:dyDescent="0.25">
      <c r="A770" s="84"/>
      <c r="B770" s="343" t="s">
        <v>91</v>
      </c>
      <c r="C770" s="21" t="s">
        <v>15</v>
      </c>
      <c r="D770" s="340">
        <v>0</v>
      </c>
      <c r="E770" s="158"/>
      <c r="F770" s="11">
        <f>37500/1000</f>
        <v>37.5</v>
      </c>
      <c r="G770" s="158"/>
      <c r="H770" s="2">
        <f t="shared" si="43"/>
        <v>0</v>
      </c>
      <c r="I770" s="18">
        <f t="shared" si="44"/>
        <v>0</v>
      </c>
      <c r="J770" s="780"/>
    </row>
    <row r="771" spans="1:12" outlineLevel="1" x14ac:dyDescent="0.25">
      <c r="A771" s="84"/>
      <c r="B771" s="329" t="s">
        <v>116</v>
      </c>
      <c r="C771" s="21" t="s">
        <v>12</v>
      </c>
      <c r="D771" s="340">
        <v>0</v>
      </c>
      <c r="E771" s="158"/>
      <c r="F771" s="11">
        <v>320</v>
      </c>
      <c r="G771" s="158"/>
      <c r="H771" s="2">
        <f t="shared" si="43"/>
        <v>0</v>
      </c>
      <c r="I771" s="18">
        <f t="shared" si="44"/>
        <v>0</v>
      </c>
      <c r="J771" s="780"/>
    </row>
    <row r="772" spans="1:12" outlineLevel="1" x14ac:dyDescent="0.25">
      <c r="A772" s="84"/>
      <c r="B772" s="329" t="s">
        <v>118</v>
      </c>
      <c r="C772" s="21" t="s">
        <v>12</v>
      </c>
      <c r="D772" s="340">
        <v>0</v>
      </c>
      <c r="E772" s="158"/>
      <c r="F772" s="164">
        <v>2435.6</v>
      </c>
      <c r="G772" s="158"/>
      <c r="H772" s="2">
        <f>ROUND(D772*F772,2)</f>
        <v>0</v>
      </c>
      <c r="I772" s="18">
        <f>G772+H772</f>
        <v>0</v>
      </c>
      <c r="J772" s="780"/>
    </row>
    <row r="773" spans="1:12" outlineLevel="1" x14ac:dyDescent="0.25">
      <c r="A773" s="84"/>
      <c r="B773" s="329" t="s">
        <v>714</v>
      </c>
      <c r="C773" s="21" t="s">
        <v>12</v>
      </c>
      <c r="D773" s="340">
        <v>0</v>
      </c>
      <c r="E773" s="158"/>
      <c r="F773" s="164">
        <v>100</v>
      </c>
      <c r="G773" s="158"/>
      <c r="H773" s="2">
        <f t="shared" si="43"/>
        <v>0</v>
      </c>
      <c r="I773" s="18">
        <f t="shared" si="44"/>
        <v>0</v>
      </c>
      <c r="J773" s="780"/>
    </row>
    <row r="774" spans="1:12" s="5" customFormat="1" ht="26.4" customHeight="1" x14ac:dyDescent="0.25">
      <c r="A774" s="223"/>
      <c r="B774" s="233" t="s">
        <v>62</v>
      </c>
      <c r="C774" s="234"/>
      <c r="D774" s="235"/>
      <c r="E774" s="236"/>
      <c r="F774" s="237"/>
      <c r="G774" s="236">
        <v>750000</v>
      </c>
      <c r="H774" s="236">
        <v>1350000</v>
      </c>
      <c r="I774" s="236">
        <f>G774+H774</f>
        <v>2100000</v>
      </c>
      <c r="K774" s="5">
        <f>90*4000+1150000</f>
        <v>1510000</v>
      </c>
      <c r="L774" s="5">
        <f>K774-I774</f>
        <v>-590000</v>
      </c>
    </row>
    <row r="775" spans="1:12" s="5" customFormat="1" x14ac:dyDescent="0.25">
      <c r="A775" s="84"/>
      <c r="B775" s="471" t="s">
        <v>624</v>
      </c>
      <c r="C775" s="9"/>
      <c r="D775" s="31"/>
      <c r="E775" s="10"/>
      <c r="F775" s="57"/>
      <c r="G775" s="10"/>
      <c r="H775" s="10"/>
      <c r="I775" s="31">
        <f>ROUND(I774/1.18*0.18,2)</f>
        <v>320338.98</v>
      </c>
    </row>
    <row r="776" spans="1:12" s="5" customFormat="1" ht="25.5" customHeight="1" x14ac:dyDescent="0.25">
      <c r="A776" s="241"/>
      <c r="B776" s="242" t="s">
        <v>24</v>
      </c>
      <c r="C776" s="243"/>
      <c r="D776" s="244"/>
      <c r="E776" s="243"/>
      <c r="F776" s="242"/>
      <c r="G776" s="243">
        <f>G55+G123+G196+G382+G388+G409+G416+G474+G492+G503+G604+G654+G774+G625+G445+G320+G228+G254</f>
        <v>26997159.657769997</v>
      </c>
      <c r="H776" s="243">
        <f>H55+H123+H196+H382+H388+H409+H416+H474+H492+H503+H604+H654+H774+H625+H445+H320+H254+H228</f>
        <v>46905243.365379006</v>
      </c>
      <c r="I776" s="243">
        <f>I774+I654+I625+I604+I503+I492+I474+I416+I409+I388+I382+I196+I123+I55+I228+I254+I320+I445</f>
        <v>73902403.01899901</v>
      </c>
      <c r="J776" s="5">
        <v>73212360</v>
      </c>
      <c r="K776" s="5">
        <f>I776-J776</f>
        <v>690043.01899901032</v>
      </c>
    </row>
    <row r="777" spans="1:12" s="101" customFormat="1" ht="21" customHeight="1" x14ac:dyDescent="0.25">
      <c r="A777" s="245"/>
      <c r="B777" s="246" t="s">
        <v>26</v>
      </c>
      <c r="C777" s="247"/>
      <c r="D777" s="247"/>
      <c r="E777" s="247"/>
      <c r="F777" s="246"/>
      <c r="G777" s="247"/>
      <c r="H777" s="247"/>
      <c r="I777" s="247">
        <f>I776/1.18*18/100</f>
        <v>11273247.918152392</v>
      </c>
      <c r="J777" s="7">
        <f>K777-I776</f>
        <v>14685.431000992656</v>
      </c>
      <c r="K777" s="7">
        <v>73917088.450000003</v>
      </c>
    </row>
    <row r="778" spans="1:12" ht="25.5" customHeight="1" x14ac:dyDescent="0.25">
      <c r="A778" s="98"/>
      <c r="B778" s="99" t="s">
        <v>342</v>
      </c>
      <c r="C778" s="100"/>
      <c r="D778" s="100"/>
      <c r="E778" s="100"/>
      <c r="F778" s="99"/>
      <c r="G778" s="100">
        <f>G776/C10</f>
        <v>7854.4046484842311</v>
      </c>
      <c r="H778" s="100">
        <f>H776/C10</f>
        <v>13646.352660706101</v>
      </c>
      <c r="I778" s="100">
        <f>I776/C10</f>
        <v>21500.757307982956</v>
      </c>
    </row>
  </sheetData>
  <mergeCells count="19">
    <mergeCell ref="B7:H7"/>
    <mergeCell ref="B8:H8"/>
    <mergeCell ref="G9:H9"/>
    <mergeCell ref="A10:B10"/>
    <mergeCell ref="F10:H10"/>
    <mergeCell ref="A13:A14"/>
    <mergeCell ref="B13:B14"/>
    <mergeCell ref="C13:C14"/>
    <mergeCell ref="D13:D14"/>
    <mergeCell ref="E13:F13"/>
    <mergeCell ref="J707:J716"/>
    <mergeCell ref="J723:J724"/>
    <mergeCell ref="J767:J773"/>
    <mergeCell ref="G13:H13"/>
    <mergeCell ref="I13:I14"/>
    <mergeCell ref="B15:E15"/>
    <mergeCell ref="B57:F57"/>
    <mergeCell ref="B418:F418"/>
    <mergeCell ref="B505:D5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R732"/>
  <sheetViews>
    <sheetView topLeftCell="A517" workbookViewId="0">
      <selection activeCell="B726" sqref="B726:D726"/>
    </sheetView>
  </sheetViews>
  <sheetFormatPr defaultColWidth="9" defaultRowHeight="15.6" outlineLevelRow="1" x14ac:dyDescent="0.25"/>
  <cols>
    <col min="1" max="1" width="5.21875" style="81" customWidth="1"/>
    <col min="2" max="2" width="44.44140625" style="25" customWidth="1"/>
    <col min="3" max="3" width="11.6640625" style="515" customWidth="1"/>
    <col min="4" max="4" width="12.33203125" style="515" customWidth="1"/>
    <col min="5" max="5" width="13.109375" style="515" customWidth="1"/>
    <col min="6" max="6" width="13" style="148" customWidth="1"/>
    <col min="7" max="7" width="15.33203125" style="515" customWidth="1"/>
    <col min="8" max="8" width="16.44140625" style="515" customWidth="1"/>
    <col min="9" max="9" width="16.33203125" style="515" customWidth="1"/>
    <col min="10" max="10" width="14.44140625" style="25" bestFit="1" customWidth="1"/>
    <col min="11" max="11" width="17.109375" style="25" customWidth="1"/>
    <col min="12" max="12" width="16.33203125" style="25" customWidth="1"/>
    <col min="13" max="13" width="10.6640625" style="25" customWidth="1"/>
    <col min="14" max="14" width="7" style="25" customWidth="1"/>
    <col min="15" max="15" width="26.21875" style="25" customWidth="1"/>
    <col min="16" max="16" width="17.33203125" style="25" customWidth="1"/>
    <col min="17" max="16384" width="9" style="25"/>
  </cols>
  <sheetData>
    <row r="1" spans="1:13" s="251" customFormat="1" ht="14.4" x14ac:dyDescent="0.25">
      <c r="A1" s="249"/>
      <c r="B1" s="249"/>
      <c r="C1" s="249"/>
      <c r="D1" s="249"/>
      <c r="E1" s="249"/>
      <c r="F1" s="249"/>
      <c r="G1" s="250"/>
      <c r="H1" s="250"/>
      <c r="I1" s="250"/>
    </row>
    <row r="2" spans="1:13" s="251" customFormat="1" ht="27.75" customHeight="1" x14ac:dyDescent="0.25">
      <c r="A2" s="249"/>
      <c r="B2" s="252" t="s">
        <v>626</v>
      </c>
      <c r="C2" s="249"/>
      <c r="D2" s="249"/>
      <c r="E2" s="249"/>
      <c r="F2" s="249"/>
      <c r="G2" s="253" t="s">
        <v>627</v>
      </c>
      <c r="H2" s="250"/>
      <c r="I2" s="250"/>
    </row>
    <row r="3" spans="1:13" s="251" customFormat="1" ht="14.4" x14ac:dyDescent="0.25">
      <c r="A3" s="249"/>
      <c r="B3" s="249"/>
      <c r="C3" s="249"/>
      <c r="D3" s="249"/>
      <c r="E3" s="249"/>
      <c r="F3" s="249"/>
      <c r="G3" s="250"/>
      <c r="H3" s="250" t="s">
        <v>628</v>
      </c>
      <c r="I3" s="250"/>
      <c r="K3" s="251">
        <v>55.7</v>
      </c>
    </row>
    <row r="4" spans="1:13" s="251" customFormat="1" ht="14.4" x14ac:dyDescent="0.25">
      <c r="A4" s="249"/>
      <c r="B4" s="249"/>
      <c r="C4" s="249"/>
      <c r="D4" s="249"/>
      <c r="E4" s="249"/>
      <c r="F4" s="249"/>
      <c r="G4" s="250"/>
      <c r="H4" s="250"/>
      <c r="I4" s="250"/>
      <c r="K4" s="251">
        <v>22.4</v>
      </c>
    </row>
    <row r="5" spans="1:13" s="251" customFormat="1" ht="14.4" x14ac:dyDescent="0.25">
      <c r="A5" s="249"/>
      <c r="B5" s="254"/>
      <c r="C5" s="249"/>
      <c r="D5" s="249"/>
      <c r="E5" s="255"/>
      <c r="F5" s="249" t="s">
        <v>629</v>
      </c>
      <c r="G5" s="250"/>
      <c r="H5" s="250"/>
      <c r="I5" s="250"/>
      <c r="K5" s="251">
        <v>26.2</v>
      </c>
    </row>
    <row r="6" spans="1:13" s="251" customFormat="1" ht="14.4" x14ac:dyDescent="0.25">
      <c r="A6" s="249"/>
      <c r="B6" s="249"/>
      <c r="C6" s="249"/>
      <c r="D6" s="249"/>
      <c r="E6" s="249"/>
      <c r="F6" s="249"/>
      <c r="G6" s="250"/>
      <c r="H6" s="250" t="s">
        <v>630</v>
      </c>
      <c r="I6" s="250"/>
      <c r="K6" s="251">
        <v>28.5</v>
      </c>
    </row>
    <row r="7" spans="1:13" s="251" customFormat="1" ht="14.4" x14ac:dyDescent="0.25">
      <c r="A7" s="249"/>
      <c r="B7" s="772" t="s">
        <v>631</v>
      </c>
      <c r="C7" s="773"/>
      <c r="D7" s="773"/>
      <c r="E7" s="773"/>
      <c r="F7" s="773"/>
      <c r="G7" s="773"/>
      <c r="H7" s="773"/>
      <c r="I7" s="250"/>
      <c r="K7" s="251">
        <v>26.9</v>
      </c>
    </row>
    <row r="8" spans="1:13" s="251" customFormat="1" ht="29.25" customHeight="1" x14ac:dyDescent="0.25">
      <c r="A8" s="249"/>
      <c r="B8" s="774" t="s">
        <v>1301</v>
      </c>
      <c r="C8" s="775"/>
      <c r="D8" s="775"/>
      <c r="E8" s="775"/>
      <c r="F8" s="775"/>
      <c r="G8" s="775"/>
      <c r="H8" s="775"/>
      <c r="I8" s="250"/>
      <c r="K8" s="251">
        <v>35.299999999999997</v>
      </c>
    </row>
    <row r="9" spans="1:13" s="7" customFormat="1" ht="15.75" customHeight="1" x14ac:dyDescent="0.25">
      <c r="A9" s="82"/>
      <c r="B9" s="4"/>
      <c r="C9" s="4"/>
      <c r="D9" s="4"/>
      <c r="E9" s="4"/>
      <c r="F9" s="134"/>
      <c r="G9" s="776" t="s">
        <v>342</v>
      </c>
      <c r="H9" s="776"/>
      <c r="I9" s="94">
        <f>I10/C10</f>
        <v>19257.873292136748</v>
      </c>
    </row>
    <row r="10" spans="1:13" s="7" customFormat="1" ht="15.75" customHeight="1" x14ac:dyDescent="0.25">
      <c r="A10" s="777" t="s">
        <v>227</v>
      </c>
      <c r="B10" s="777"/>
      <c r="C10" s="594">
        <f>195*3</f>
        <v>585</v>
      </c>
      <c r="D10" s="59" t="s">
        <v>343</v>
      </c>
      <c r="E10" s="595">
        <f>6*3</f>
        <v>18</v>
      </c>
      <c r="F10" s="778" t="s">
        <v>17</v>
      </c>
      <c r="G10" s="778"/>
      <c r="H10" s="778"/>
      <c r="I10" s="8">
        <f>I730*1</f>
        <v>11265855.875899998</v>
      </c>
    </row>
    <row r="11" spans="1:13" s="7" customFormat="1" ht="15.75" customHeight="1" x14ac:dyDescent="0.25">
      <c r="A11" s="325"/>
      <c r="B11" s="325"/>
      <c r="C11" s="122"/>
      <c r="D11" s="59"/>
      <c r="E11" s="123"/>
      <c r="F11" s="518"/>
      <c r="G11" s="518"/>
      <c r="H11" s="518"/>
      <c r="I11" s="8"/>
    </row>
    <row r="12" spans="1:13" s="7" customFormat="1" ht="15.75" customHeight="1" x14ac:dyDescent="0.25">
      <c r="A12" s="325"/>
      <c r="B12" s="325"/>
      <c r="C12" s="122"/>
      <c r="D12" s="59"/>
      <c r="E12" s="123"/>
      <c r="F12" s="518"/>
      <c r="G12" s="518"/>
      <c r="H12" s="518"/>
      <c r="I12" s="8"/>
    </row>
    <row r="13" spans="1:13" ht="25.5" customHeight="1" x14ac:dyDescent="0.25">
      <c r="A13" s="779" t="s">
        <v>0</v>
      </c>
      <c r="B13" s="783" t="s">
        <v>1</v>
      </c>
      <c r="C13" s="783" t="s">
        <v>2</v>
      </c>
      <c r="D13" s="783" t="s">
        <v>3</v>
      </c>
      <c r="E13" s="783" t="s">
        <v>4</v>
      </c>
      <c r="F13" s="783"/>
      <c r="G13" s="783" t="s">
        <v>5</v>
      </c>
      <c r="H13" s="783"/>
      <c r="I13" s="783" t="s">
        <v>6</v>
      </c>
    </row>
    <row r="14" spans="1:13" x14ac:dyDescent="0.25">
      <c r="A14" s="779"/>
      <c r="B14" s="783"/>
      <c r="C14" s="783"/>
      <c r="D14" s="783"/>
      <c r="E14" s="516" t="s">
        <v>7</v>
      </c>
      <c r="F14" s="135" t="s">
        <v>475</v>
      </c>
      <c r="G14" s="516" t="s">
        <v>7</v>
      </c>
      <c r="H14" s="516" t="s">
        <v>339</v>
      </c>
      <c r="I14" s="783"/>
    </row>
    <row r="15" spans="1:13" s="5" customFormat="1" ht="24" customHeight="1" x14ac:dyDescent="0.25">
      <c r="A15" s="104"/>
      <c r="B15" s="771" t="s">
        <v>1501</v>
      </c>
      <c r="C15" s="771"/>
      <c r="D15" s="771"/>
      <c r="E15" s="771"/>
      <c r="F15" s="138"/>
      <c r="G15" s="105"/>
      <c r="H15" s="105"/>
      <c r="I15" s="106"/>
      <c r="K15" s="5" t="s">
        <v>792</v>
      </c>
    </row>
    <row r="16" spans="1:13" s="6" customFormat="1" ht="21.75" customHeight="1" outlineLevel="1" x14ac:dyDescent="0.25">
      <c r="A16" s="107" t="s">
        <v>492</v>
      </c>
      <c r="B16" s="531" t="s">
        <v>1492</v>
      </c>
      <c r="C16" s="31" t="s">
        <v>8</v>
      </c>
      <c r="D16" s="166">
        <f>297.49*1</f>
        <v>297.49</v>
      </c>
      <c r="E16" s="166">
        <v>500</v>
      </c>
      <c r="F16" s="60"/>
      <c r="G16" s="2">
        <f>ROUND(E16*D16,2)</f>
        <v>148745</v>
      </c>
      <c r="H16" s="18"/>
      <c r="I16" s="11">
        <f>G16+H16</f>
        <v>148745</v>
      </c>
      <c r="K16" s="351">
        <f>36+40</f>
        <v>76</v>
      </c>
      <c r="L16" s="161"/>
      <c r="M16" s="161"/>
    </row>
    <row r="17" spans="1:252" outlineLevel="1" x14ac:dyDescent="0.25">
      <c r="A17" s="84"/>
      <c r="B17" s="377" t="s">
        <v>1493</v>
      </c>
      <c r="C17" s="31" t="s">
        <v>8</v>
      </c>
      <c r="D17" s="158">
        <f>D16*1.1</f>
        <v>327.23900000000003</v>
      </c>
      <c r="E17" s="18"/>
      <c r="F17" s="164">
        <v>320</v>
      </c>
      <c r="G17" s="18"/>
      <c r="H17" s="18">
        <f>ROUND(D17*F17,2)</f>
        <v>104716.48</v>
      </c>
      <c r="I17" s="11">
        <f>G17+H17</f>
        <v>104716.48</v>
      </c>
      <c r="K17" s="161"/>
      <c r="L17" s="161"/>
      <c r="M17" s="161"/>
    </row>
    <row r="18" spans="1:252" s="6" customFormat="1" ht="18" customHeight="1" outlineLevel="1" x14ac:dyDescent="0.25">
      <c r="A18" s="107" t="s">
        <v>210</v>
      </c>
      <c r="B18" s="531" t="s">
        <v>1350</v>
      </c>
      <c r="C18" s="31" t="s">
        <v>8</v>
      </c>
      <c r="D18" s="166">
        <f>297.49*0.1+0.31725*12.89</f>
        <v>33.838352499999999</v>
      </c>
      <c r="E18" s="256">
        <v>1600</v>
      </c>
      <c r="F18" s="60"/>
      <c r="G18" s="2">
        <f>ROUND(E18*D18,2)</f>
        <v>54141.36</v>
      </c>
      <c r="H18" s="18"/>
      <c r="I18" s="11">
        <f t="shared" ref="I18:I45" si="0">G18+H18</f>
        <v>54141.36</v>
      </c>
      <c r="K18" s="161">
        <f>166+149</f>
        <v>315</v>
      </c>
      <c r="L18" s="161"/>
      <c r="M18" s="161"/>
      <c r="O18" s="6" t="s">
        <v>633</v>
      </c>
    </row>
    <row r="19" spans="1:252" s="38" customFormat="1" outlineLevel="1" x14ac:dyDescent="0.25">
      <c r="A19" s="84"/>
      <c r="B19" s="377" t="s">
        <v>486</v>
      </c>
      <c r="C19" s="31" t="s">
        <v>8</v>
      </c>
      <c r="D19" s="158">
        <f>D18*1.015</f>
        <v>34.345927787499996</v>
      </c>
      <c r="E19" s="18"/>
      <c r="F19" s="664">
        <v>3450</v>
      </c>
      <c r="G19" s="18"/>
      <c r="H19" s="18">
        <f>ROUND(D19*F19,2)</f>
        <v>118493.45</v>
      </c>
      <c r="I19" s="11">
        <f t="shared" si="0"/>
        <v>118493.45</v>
      </c>
      <c r="J19" s="15"/>
      <c r="K19" s="161"/>
      <c r="L19" s="161"/>
      <c r="M19" s="161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</row>
    <row r="20" spans="1:252" s="38" customFormat="1" ht="22.2" customHeight="1" outlineLevel="1" x14ac:dyDescent="0.25">
      <c r="A20" s="107" t="s">
        <v>211</v>
      </c>
      <c r="B20" s="531" t="s">
        <v>1315</v>
      </c>
      <c r="C20" s="31" t="s">
        <v>8</v>
      </c>
      <c r="D20" s="166">
        <f>291.173*0.35</f>
        <v>101.91055</v>
      </c>
      <c r="E20" s="256">
        <v>2500</v>
      </c>
      <c r="F20" s="60"/>
      <c r="G20" s="2">
        <f>ROUND(E20*D20,2)</f>
        <v>254776.38</v>
      </c>
      <c r="H20" s="18"/>
      <c r="I20" s="60">
        <f t="shared" si="0"/>
        <v>254776.38</v>
      </c>
      <c r="J20" s="257"/>
      <c r="K20" s="407">
        <f>(7818+9075)/1000</f>
        <v>16.893000000000001</v>
      </c>
      <c r="L20" s="161"/>
      <c r="M20" s="161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</row>
    <row r="21" spans="1:252" s="38" customFormat="1" outlineLevel="1" x14ac:dyDescent="0.25">
      <c r="A21" s="83"/>
      <c r="B21" s="361" t="s">
        <v>724</v>
      </c>
      <c r="C21" s="2" t="s">
        <v>8</v>
      </c>
      <c r="D21" s="282">
        <f>D20*1.015</f>
        <v>103.43920824999999</v>
      </c>
      <c r="E21" s="2"/>
      <c r="F21" s="664">
        <v>4500</v>
      </c>
      <c r="G21" s="2"/>
      <c r="H21" s="2">
        <f>ROUND(D21*F21,2)</f>
        <v>465476.44</v>
      </c>
      <c r="I21" s="11">
        <f t="shared" si="0"/>
        <v>465476.44</v>
      </c>
      <c r="J21" s="15"/>
      <c r="K21" s="161"/>
      <c r="L21" s="161"/>
      <c r="M21" s="161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</row>
    <row r="22" spans="1:252" s="5" customFormat="1" ht="20.25" customHeight="1" outlineLevel="1" x14ac:dyDescent="0.25">
      <c r="A22" s="83"/>
      <c r="B22" s="377" t="s">
        <v>358</v>
      </c>
      <c r="C22" s="2" t="s">
        <v>9</v>
      </c>
      <c r="D22" s="257">
        <f>[1]арматура!M48/1000</f>
        <v>13.61805</v>
      </c>
      <c r="E22" s="2"/>
      <c r="F22" s="361">
        <v>34000</v>
      </c>
      <c r="G22" s="2"/>
      <c r="H22" s="2">
        <f>ROUND(D22*F22,2)</f>
        <v>463013.7</v>
      </c>
      <c r="I22" s="11">
        <f t="shared" si="0"/>
        <v>463013.7</v>
      </c>
      <c r="J22" s="248"/>
      <c r="L22" s="161"/>
      <c r="M22" s="161"/>
    </row>
    <row r="23" spans="1:252" outlineLevel="1" x14ac:dyDescent="0.25">
      <c r="A23" s="83"/>
      <c r="B23" s="361" t="s">
        <v>11</v>
      </c>
      <c r="C23" s="2" t="s">
        <v>8</v>
      </c>
      <c r="D23" s="282">
        <f>0.0061*D20</f>
        <v>0.62165435499999999</v>
      </c>
      <c r="E23" s="2"/>
      <c r="F23" s="361">
        <v>7500</v>
      </c>
      <c r="G23" s="2"/>
      <c r="H23" s="2">
        <f>ROUND(D23*F23,2)</f>
        <v>4662.41</v>
      </c>
      <c r="I23" s="11">
        <f t="shared" si="0"/>
        <v>4662.41</v>
      </c>
      <c r="K23" s="161"/>
      <c r="L23" s="161"/>
      <c r="M23" s="161"/>
    </row>
    <row r="24" spans="1:252" ht="16.2" customHeight="1" outlineLevel="1" x14ac:dyDescent="0.25">
      <c r="A24" s="107" t="s">
        <v>212</v>
      </c>
      <c r="B24" s="543" t="s">
        <v>22</v>
      </c>
      <c r="C24" s="31" t="s">
        <v>14</v>
      </c>
      <c r="D24" s="690">
        <f>73*0.35</f>
        <v>25.549999999999997</v>
      </c>
      <c r="E24" s="256">
        <v>150</v>
      </c>
      <c r="F24" s="11"/>
      <c r="G24" s="2">
        <f>ROUND(E24*D24,2)</f>
        <v>3832.5</v>
      </c>
      <c r="H24" s="18"/>
      <c r="I24" s="11">
        <f t="shared" si="0"/>
        <v>3832.5</v>
      </c>
      <c r="K24" s="161"/>
      <c r="L24" s="161"/>
      <c r="M24" s="161"/>
    </row>
    <row r="25" spans="1:252" ht="16.2" customHeight="1" outlineLevel="1" x14ac:dyDescent="0.25">
      <c r="A25" s="84"/>
      <c r="B25" s="361" t="s">
        <v>1311</v>
      </c>
      <c r="C25" s="2" t="s">
        <v>15</v>
      </c>
      <c r="D25" s="158">
        <f>2.5*D24</f>
        <v>63.874999999999993</v>
      </c>
      <c r="E25" s="2"/>
      <c r="F25" s="361">
        <v>55</v>
      </c>
      <c r="G25" s="18"/>
      <c r="H25" s="2">
        <f>ROUND(D25*F25,2)</f>
        <v>3513.13</v>
      </c>
      <c r="I25" s="60">
        <f t="shared" si="0"/>
        <v>3513.13</v>
      </c>
      <c r="K25" s="161"/>
      <c r="L25" s="161"/>
      <c r="M25" s="161"/>
    </row>
    <row r="26" spans="1:252" ht="16.2" customHeight="1" outlineLevel="1" x14ac:dyDescent="0.25">
      <c r="A26" s="84"/>
      <c r="B26" s="361" t="s">
        <v>1312</v>
      </c>
      <c r="C26" s="2" t="s">
        <v>30</v>
      </c>
      <c r="D26" s="158">
        <f>0.35*D24</f>
        <v>8.942499999999999</v>
      </c>
      <c r="E26" s="2"/>
      <c r="F26" s="361">
        <v>44</v>
      </c>
      <c r="G26" s="18"/>
      <c r="H26" s="2">
        <f>ROUND(D26*F26,2)</f>
        <v>393.47</v>
      </c>
      <c r="I26" s="60">
        <f t="shared" si="0"/>
        <v>393.47</v>
      </c>
      <c r="K26" s="161"/>
      <c r="L26" s="161"/>
      <c r="M26" s="161"/>
    </row>
    <row r="27" spans="1:252" ht="19.5" customHeight="1" outlineLevel="1" x14ac:dyDescent="0.25">
      <c r="A27" s="107" t="s">
        <v>213</v>
      </c>
      <c r="B27" s="543" t="s">
        <v>1243</v>
      </c>
      <c r="C27" s="31" t="s">
        <v>14</v>
      </c>
      <c r="D27" s="350">
        <f>291.173</f>
        <v>291.173</v>
      </c>
      <c r="E27" s="264">
        <v>250</v>
      </c>
      <c r="F27" s="140"/>
      <c r="G27" s="51">
        <f>E27*D27</f>
        <v>72793.25</v>
      </c>
      <c r="H27" s="51"/>
      <c r="I27" s="140">
        <f>H27+G27</f>
        <v>72793.25</v>
      </c>
      <c r="K27" s="351">
        <f>K30+K32+K29+K28+K31</f>
        <v>724</v>
      </c>
      <c r="L27" s="161"/>
      <c r="M27" s="161"/>
    </row>
    <row r="28" spans="1:252" ht="15.75" customHeight="1" outlineLevel="1" x14ac:dyDescent="0.25">
      <c r="A28" s="84"/>
      <c r="B28" s="377" t="s">
        <v>1244</v>
      </c>
      <c r="C28" s="2" t="s">
        <v>8</v>
      </c>
      <c r="D28" s="158">
        <f>ROUND(D27*1.015*0.02,2)</f>
        <v>5.91</v>
      </c>
      <c r="E28" s="2"/>
      <c r="F28" s="164">
        <f>ROUND(4100*1.1,2)</f>
        <v>4510</v>
      </c>
      <c r="G28" s="2"/>
      <c r="H28" s="2">
        <f>ROUND(D28*F28,2)</f>
        <v>26654.1</v>
      </c>
      <c r="I28" s="11">
        <f>G28+H28</f>
        <v>26654.1</v>
      </c>
      <c r="K28" s="401">
        <f>109+85</f>
        <v>194</v>
      </c>
      <c r="L28" s="161"/>
      <c r="M28" s="161"/>
    </row>
    <row r="29" spans="1:252" ht="15.75" customHeight="1" outlineLevel="1" x14ac:dyDescent="0.25">
      <c r="A29" s="107" t="s">
        <v>493</v>
      </c>
      <c r="B29" s="531" t="s">
        <v>731</v>
      </c>
      <c r="C29" s="31" t="s">
        <v>12</v>
      </c>
      <c r="D29" s="256">
        <f>D32+D34+D31+D30+D33</f>
        <v>172</v>
      </c>
      <c r="E29" s="256">
        <v>550</v>
      </c>
      <c r="F29" s="60"/>
      <c r="G29" s="2">
        <f>ROUND(E29*D29,2)</f>
        <v>94600</v>
      </c>
      <c r="H29" s="18"/>
      <c r="I29" s="60">
        <f t="shared" si="0"/>
        <v>94600</v>
      </c>
      <c r="K29" s="401">
        <f>37+34</f>
        <v>71</v>
      </c>
      <c r="L29" s="161"/>
      <c r="M29" s="161"/>
    </row>
    <row r="30" spans="1:252" ht="15.75" customHeight="1" outlineLevel="1" x14ac:dyDescent="0.25">
      <c r="A30" s="84"/>
      <c r="B30" s="377" t="s">
        <v>732</v>
      </c>
      <c r="C30" s="2" t="s">
        <v>12</v>
      </c>
      <c r="D30" s="282">
        <v>66</v>
      </c>
      <c r="E30" s="31"/>
      <c r="F30" s="664">
        <v>1935.11</v>
      </c>
      <c r="G30" s="2"/>
      <c r="H30" s="2">
        <f t="shared" ref="H30:H36" si="1">ROUND(D30*F30,2)</f>
        <v>127717.26</v>
      </c>
      <c r="I30" s="60">
        <f t="shared" si="0"/>
        <v>127717.26</v>
      </c>
      <c r="K30" s="401">
        <f>71+89</f>
        <v>160</v>
      </c>
      <c r="L30" s="161"/>
      <c r="M30" s="161"/>
    </row>
    <row r="31" spans="1:252" ht="15.75" customHeight="1" outlineLevel="1" x14ac:dyDescent="0.25">
      <c r="A31" s="84"/>
      <c r="B31" s="377" t="s">
        <v>733</v>
      </c>
      <c r="C31" s="2" t="s">
        <v>12</v>
      </c>
      <c r="D31" s="282">
        <v>27</v>
      </c>
      <c r="E31" s="31"/>
      <c r="F31" s="664">
        <v>944.39</v>
      </c>
      <c r="G31" s="2"/>
      <c r="H31" s="2">
        <f t="shared" si="1"/>
        <v>25498.53</v>
      </c>
      <c r="I31" s="60">
        <f t="shared" si="0"/>
        <v>25498.53</v>
      </c>
      <c r="K31" s="401">
        <f>158+117</f>
        <v>275</v>
      </c>
      <c r="L31" s="161"/>
      <c r="M31" s="161"/>
    </row>
    <row r="32" spans="1:252" outlineLevel="1" x14ac:dyDescent="0.25">
      <c r="A32" s="84"/>
      <c r="B32" s="377" t="s">
        <v>735</v>
      </c>
      <c r="C32" s="2" t="s">
        <v>12</v>
      </c>
      <c r="D32" s="282">
        <v>69</v>
      </c>
      <c r="E32" s="18"/>
      <c r="F32" s="664">
        <v>694.93</v>
      </c>
      <c r="G32" s="18"/>
      <c r="H32" s="2">
        <f t="shared" si="1"/>
        <v>47950.17</v>
      </c>
      <c r="I32" s="60">
        <f t="shared" si="0"/>
        <v>47950.17</v>
      </c>
      <c r="K32" s="401">
        <f>10+14</f>
        <v>24</v>
      </c>
      <c r="L32" s="161"/>
      <c r="M32" s="161"/>
    </row>
    <row r="33" spans="1:13" outlineLevel="1" x14ac:dyDescent="0.25">
      <c r="A33" s="84"/>
      <c r="B33" s="377" t="s">
        <v>1302</v>
      </c>
      <c r="C33" s="2" t="s">
        <v>12</v>
      </c>
      <c r="D33" s="282">
        <v>7</v>
      </c>
      <c r="E33" s="18"/>
      <c r="F33" s="363">
        <v>900</v>
      </c>
      <c r="G33" s="18"/>
      <c r="H33" s="2">
        <f t="shared" si="1"/>
        <v>6300</v>
      </c>
      <c r="I33" s="60">
        <f>G33+H33</f>
        <v>6300</v>
      </c>
      <c r="K33" s="161"/>
      <c r="L33" s="161"/>
      <c r="M33" s="161"/>
    </row>
    <row r="34" spans="1:13" outlineLevel="1" x14ac:dyDescent="0.25">
      <c r="A34" s="84"/>
      <c r="B34" s="377" t="s">
        <v>1313</v>
      </c>
      <c r="C34" s="2" t="s">
        <v>12</v>
      </c>
      <c r="D34" s="282">
        <v>3</v>
      </c>
      <c r="E34" s="18"/>
      <c r="F34" s="664">
        <v>1365.97</v>
      </c>
      <c r="G34" s="18"/>
      <c r="H34" s="2">
        <f t="shared" si="1"/>
        <v>4097.91</v>
      </c>
      <c r="I34" s="60">
        <f t="shared" si="0"/>
        <v>4097.91</v>
      </c>
      <c r="K34" s="404">
        <f>187.3+211</f>
        <v>398.3</v>
      </c>
      <c r="L34" s="161"/>
      <c r="M34" s="161"/>
    </row>
    <row r="35" spans="1:13" outlineLevel="1" x14ac:dyDescent="0.25">
      <c r="A35" s="84"/>
      <c r="B35" s="361" t="s">
        <v>72</v>
      </c>
      <c r="C35" s="2" t="s">
        <v>8</v>
      </c>
      <c r="D35" s="282">
        <f>D29*0.05</f>
        <v>8.6</v>
      </c>
      <c r="E35" s="18"/>
      <c r="F35" s="361">
        <v>2600</v>
      </c>
      <c r="G35" s="18"/>
      <c r="H35" s="2">
        <f t="shared" si="1"/>
        <v>22360</v>
      </c>
      <c r="I35" s="60">
        <f t="shared" si="0"/>
        <v>22360</v>
      </c>
      <c r="K35" s="404"/>
      <c r="L35" s="161"/>
      <c r="M35" s="161"/>
    </row>
    <row r="36" spans="1:13" outlineLevel="1" x14ac:dyDescent="0.25">
      <c r="A36" s="92"/>
      <c r="B36" s="533" t="s">
        <v>1494</v>
      </c>
      <c r="C36" s="41" t="s">
        <v>15</v>
      </c>
      <c r="D36" s="277">
        <f>[1]арматура!M54</f>
        <v>70.48</v>
      </c>
      <c r="E36" s="2"/>
      <c r="F36" s="364">
        <v>42</v>
      </c>
      <c r="G36" s="10"/>
      <c r="H36" s="2">
        <f t="shared" si="1"/>
        <v>2960.16</v>
      </c>
      <c r="I36" s="11">
        <f t="shared" si="0"/>
        <v>2960.16</v>
      </c>
      <c r="K36" s="404"/>
      <c r="L36" s="161"/>
      <c r="M36" s="161"/>
    </row>
    <row r="37" spans="1:13" ht="31.2" outlineLevel="1" x14ac:dyDescent="0.25">
      <c r="A37" s="107" t="s">
        <v>1246</v>
      </c>
      <c r="B37" s="531" t="s">
        <v>1245</v>
      </c>
      <c r="C37" s="41" t="s">
        <v>8</v>
      </c>
      <c r="D37" s="277">
        <v>3</v>
      </c>
      <c r="E37" s="256">
        <v>800</v>
      </c>
      <c r="F37" s="60"/>
      <c r="G37" s="2">
        <f>ROUND(E37*D37,2)</f>
        <v>2400</v>
      </c>
      <c r="H37" s="18"/>
      <c r="I37" s="60">
        <f t="shared" si="0"/>
        <v>2400</v>
      </c>
      <c r="K37" s="256">
        <f>18.55+30+18.4</f>
        <v>66.949999999999989</v>
      </c>
      <c r="L37" s="161"/>
      <c r="M37" s="161"/>
    </row>
    <row r="38" spans="1:13" outlineLevel="1" x14ac:dyDescent="0.25">
      <c r="A38" s="92"/>
      <c r="B38" s="361" t="s">
        <v>738</v>
      </c>
      <c r="C38" s="2" t="s">
        <v>8</v>
      </c>
      <c r="D38" s="282">
        <f>D37*1.015</f>
        <v>3.0449999999999999</v>
      </c>
      <c r="E38" s="2"/>
      <c r="F38" s="664">
        <v>4200</v>
      </c>
      <c r="G38" s="2"/>
      <c r="H38" s="2">
        <f>ROUND(D38*F38,2)</f>
        <v>12789</v>
      </c>
      <c r="I38" s="11">
        <f t="shared" si="0"/>
        <v>12789</v>
      </c>
      <c r="K38" s="161"/>
      <c r="L38" s="161"/>
      <c r="M38" s="161"/>
    </row>
    <row r="39" spans="1:13" ht="31.2" outlineLevel="1" x14ac:dyDescent="0.25">
      <c r="A39" s="107" t="s">
        <v>1247</v>
      </c>
      <c r="B39" s="543" t="s">
        <v>1495</v>
      </c>
      <c r="C39" s="31" t="s">
        <v>14</v>
      </c>
      <c r="D39" s="690">
        <f>205.18*0.6</f>
        <v>123.108</v>
      </c>
      <c r="E39" s="256">
        <v>150</v>
      </c>
      <c r="F39" s="11"/>
      <c r="G39" s="2">
        <f>ROUND(E39*D39,2)</f>
        <v>18466.2</v>
      </c>
      <c r="H39" s="18"/>
      <c r="I39" s="11">
        <f t="shared" si="0"/>
        <v>18466.2</v>
      </c>
      <c r="K39" s="407">
        <f>(1174.2+732.63+738.63)/1000</f>
        <v>2.6454599999999999</v>
      </c>
      <c r="L39" s="161"/>
      <c r="M39" s="161"/>
    </row>
    <row r="40" spans="1:13" outlineLevel="1" x14ac:dyDescent="0.25">
      <c r="A40" s="84"/>
      <c r="B40" s="361" t="s">
        <v>1311</v>
      </c>
      <c r="C40" s="2" t="s">
        <v>15</v>
      </c>
      <c r="D40" s="158">
        <f>2.5*D39</f>
        <v>307.77</v>
      </c>
      <c r="E40" s="2"/>
      <c r="F40" s="361">
        <v>55</v>
      </c>
      <c r="G40" s="18"/>
      <c r="H40" s="2">
        <f>ROUND(D40*F40,2)</f>
        <v>16927.349999999999</v>
      </c>
      <c r="I40" s="60">
        <f t="shared" si="0"/>
        <v>16927.349999999999</v>
      </c>
      <c r="K40" s="161"/>
      <c r="L40" s="161"/>
      <c r="M40" s="161"/>
    </row>
    <row r="41" spans="1:13" outlineLevel="1" x14ac:dyDescent="0.25">
      <c r="A41" s="84"/>
      <c r="B41" s="361" t="s">
        <v>1312</v>
      </c>
      <c r="C41" s="2" t="s">
        <v>30</v>
      </c>
      <c r="D41" s="158">
        <f>0.35*D39</f>
        <v>43.087800000000001</v>
      </c>
      <c r="E41" s="2"/>
      <c r="F41" s="361">
        <v>44</v>
      </c>
      <c r="G41" s="18"/>
      <c r="H41" s="2">
        <f>ROUND(D41*F41,2)</f>
        <v>1895.86</v>
      </c>
      <c r="I41" s="60">
        <f t="shared" si="0"/>
        <v>1895.86</v>
      </c>
      <c r="K41" s="161"/>
      <c r="L41" s="161"/>
      <c r="M41" s="161"/>
    </row>
    <row r="42" spans="1:13" outlineLevel="1" x14ac:dyDescent="0.25">
      <c r="A42" s="107" t="s">
        <v>1496</v>
      </c>
      <c r="B42" s="531" t="s">
        <v>1317</v>
      </c>
      <c r="C42" s="31" t="s">
        <v>8</v>
      </c>
      <c r="D42" s="256">
        <v>12.8</v>
      </c>
      <c r="E42" s="256">
        <v>2600</v>
      </c>
      <c r="F42" s="60"/>
      <c r="G42" s="2">
        <f>ROUND(E42*D42,2)</f>
        <v>33280</v>
      </c>
      <c r="H42" s="18"/>
      <c r="I42" s="60">
        <f t="shared" si="0"/>
        <v>33280</v>
      </c>
      <c r="K42" s="161"/>
      <c r="L42" s="161"/>
      <c r="M42" s="161"/>
    </row>
    <row r="43" spans="1:13" s="36" customFormat="1" ht="33" customHeight="1" x14ac:dyDescent="0.25">
      <c r="A43" s="83"/>
      <c r="B43" s="361" t="s">
        <v>738</v>
      </c>
      <c r="C43" s="2" t="s">
        <v>8</v>
      </c>
      <c r="D43" s="282">
        <f>D42*1.015</f>
        <v>12.991999999999999</v>
      </c>
      <c r="E43" s="2"/>
      <c r="F43" s="664">
        <v>4200</v>
      </c>
      <c r="G43" s="2"/>
      <c r="H43" s="2">
        <f>ROUND(D43*F43,2)</f>
        <v>54566.400000000001</v>
      </c>
      <c r="I43" s="11">
        <f t="shared" si="0"/>
        <v>54566.400000000001</v>
      </c>
      <c r="K43" s="162"/>
      <c r="L43" s="162"/>
      <c r="M43" s="162"/>
    </row>
    <row r="44" spans="1:13" s="36" customFormat="1" x14ac:dyDescent="0.25">
      <c r="A44" s="83"/>
      <c r="B44" s="377" t="s">
        <v>358</v>
      </c>
      <c r="C44" s="2" t="s">
        <v>9</v>
      </c>
      <c r="D44" s="257">
        <f>238.6/1000</f>
        <v>0.23860000000000001</v>
      </c>
      <c r="E44" s="2"/>
      <c r="F44" s="361">
        <v>34000</v>
      </c>
      <c r="G44" s="2"/>
      <c r="H44" s="2">
        <f>ROUND(D44*F44,2)</f>
        <v>8112.4</v>
      </c>
      <c r="I44" s="11">
        <f t="shared" si="0"/>
        <v>8112.4</v>
      </c>
      <c r="K44" s="162"/>
      <c r="L44" s="162"/>
      <c r="M44" s="162"/>
    </row>
    <row r="45" spans="1:13" s="36" customFormat="1" x14ac:dyDescent="0.25">
      <c r="A45" s="83"/>
      <c r="B45" s="361" t="s">
        <v>11</v>
      </c>
      <c r="C45" s="2" t="s">
        <v>8</v>
      </c>
      <c r="D45" s="282">
        <f>0.0061*D42</f>
        <v>7.8080000000000011E-2</v>
      </c>
      <c r="E45" s="2"/>
      <c r="F45" s="361">
        <v>7500</v>
      </c>
      <c r="G45" s="2"/>
      <c r="H45" s="2">
        <f>ROUND(D45*F45,2)</f>
        <v>585.6</v>
      </c>
      <c r="I45" s="11">
        <f t="shared" si="0"/>
        <v>585.6</v>
      </c>
      <c r="K45" s="162"/>
      <c r="L45" s="162"/>
      <c r="M45" s="162"/>
    </row>
    <row r="46" spans="1:13" s="36" customFormat="1" x14ac:dyDescent="0.25">
      <c r="A46" s="107" t="s">
        <v>1497</v>
      </c>
      <c r="B46" s="543" t="s">
        <v>1498</v>
      </c>
      <c r="C46" s="31" t="s">
        <v>14</v>
      </c>
      <c r="D46" s="350">
        <v>41.573999999999998</v>
      </c>
      <c r="E46" s="264">
        <v>250</v>
      </c>
      <c r="F46" s="140"/>
      <c r="G46" s="51">
        <f>E46*D46</f>
        <v>10393.5</v>
      </c>
      <c r="H46" s="51"/>
      <c r="I46" s="140">
        <f>H46+G46</f>
        <v>10393.5</v>
      </c>
      <c r="K46" s="162"/>
      <c r="L46" s="162"/>
      <c r="M46" s="162"/>
    </row>
    <row r="47" spans="1:13" s="36" customFormat="1" x14ac:dyDescent="0.25">
      <c r="A47" s="553"/>
      <c r="B47" s="377" t="s">
        <v>1318</v>
      </c>
      <c r="C47" s="2" t="s">
        <v>14</v>
      </c>
      <c r="D47" s="158">
        <f>ROUND(D46*2,2)</f>
        <v>83.15</v>
      </c>
      <c r="E47" s="2"/>
      <c r="F47" s="665">
        <v>86.8</v>
      </c>
      <c r="G47" s="2"/>
      <c r="H47" s="2">
        <f>ROUND(D47*F47,2)</f>
        <v>7217.42</v>
      </c>
      <c r="I47" s="11">
        <f>G47+H47</f>
        <v>7217.42</v>
      </c>
      <c r="K47" s="162"/>
      <c r="L47" s="162"/>
      <c r="M47" s="162"/>
    </row>
    <row r="48" spans="1:13" s="36" customFormat="1" x14ac:dyDescent="0.25">
      <c r="A48" s="107" t="s">
        <v>1499</v>
      </c>
      <c r="B48" s="531" t="s">
        <v>1500</v>
      </c>
      <c r="C48" s="2" t="s">
        <v>8</v>
      </c>
      <c r="D48" s="256">
        <v>0.44</v>
      </c>
      <c r="E48" s="256">
        <v>1500</v>
      </c>
      <c r="F48" s="164"/>
      <c r="G48" s="2">
        <f>ROUND(E48*D48,2)</f>
        <v>660</v>
      </c>
      <c r="H48" s="2"/>
      <c r="I48" s="11">
        <f>G48+H48</f>
        <v>660</v>
      </c>
      <c r="K48" s="162"/>
      <c r="L48" s="162"/>
      <c r="M48" s="162"/>
    </row>
    <row r="49" spans="1:14" s="36" customFormat="1" x14ac:dyDescent="0.25">
      <c r="A49" s="84"/>
      <c r="B49" s="361" t="s">
        <v>736</v>
      </c>
      <c r="C49" s="2" t="s">
        <v>8</v>
      </c>
      <c r="D49" s="282">
        <f>D48*1.02</f>
        <v>0.44880000000000003</v>
      </c>
      <c r="E49" s="2"/>
      <c r="F49" s="664">
        <v>4200</v>
      </c>
      <c r="G49" s="2"/>
      <c r="H49" s="2">
        <f>ROUND(D49*F49,2)</f>
        <v>1884.96</v>
      </c>
      <c r="I49" s="60">
        <f>G49+H49</f>
        <v>1884.96</v>
      </c>
      <c r="K49" s="162"/>
      <c r="L49" s="162"/>
      <c r="M49" s="162"/>
    </row>
    <row r="50" spans="1:14" s="36" customFormat="1" x14ac:dyDescent="0.25">
      <c r="A50" s="84"/>
      <c r="B50" s="361" t="s">
        <v>737</v>
      </c>
      <c r="C50" s="41" t="s">
        <v>15</v>
      </c>
      <c r="D50" s="277">
        <f>2*17.1+14*0.15</f>
        <v>36.300000000000004</v>
      </c>
      <c r="E50" s="2"/>
      <c r="F50" s="364">
        <v>42</v>
      </c>
      <c r="G50" s="10"/>
      <c r="H50" s="2">
        <f>ROUND(D50*F50,2)</f>
        <v>1524.6</v>
      </c>
      <c r="I50" s="11">
        <f>G50+H50</f>
        <v>1524.6</v>
      </c>
      <c r="K50" s="162"/>
      <c r="L50" s="162"/>
      <c r="M50" s="162"/>
    </row>
    <row r="51" spans="1:14" s="36" customFormat="1" ht="46.8" x14ac:dyDescent="0.25">
      <c r="A51" s="212"/>
      <c r="B51" s="213" t="s">
        <v>1531</v>
      </c>
      <c r="C51" s="222"/>
      <c r="D51" s="215"/>
      <c r="E51" s="216"/>
      <c r="F51" s="217"/>
      <c r="G51" s="216">
        <f>SUM(G16:G50)</f>
        <v>694088.19</v>
      </c>
      <c r="H51" s="216">
        <f>SUM(H16:H50)</f>
        <v>1529310.7999999998</v>
      </c>
      <c r="I51" s="215">
        <f>SUM(I16:I50)</f>
        <v>2223398.9899999993</v>
      </c>
      <c r="K51" s="162"/>
      <c r="L51" s="162"/>
      <c r="M51" s="162"/>
    </row>
    <row r="52" spans="1:14" s="36" customFormat="1" x14ac:dyDescent="0.25">
      <c r="A52" s="85"/>
      <c r="B52" s="58" t="s">
        <v>624</v>
      </c>
      <c r="C52" s="9"/>
      <c r="D52" s="31"/>
      <c r="E52" s="10"/>
      <c r="F52" s="57"/>
      <c r="G52" s="10"/>
      <c r="H52" s="10"/>
      <c r="I52" s="31">
        <f>ROUND(I51/1.18*0.18,2)</f>
        <v>339162.56</v>
      </c>
      <c r="K52" s="162"/>
      <c r="L52" s="162"/>
      <c r="M52" s="162"/>
    </row>
    <row r="53" spans="1:14" ht="18.75" customHeight="1" x14ac:dyDescent="0.25">
      <c r="A53" s="104"/>
      <c r="B53" s="771" t="s">
        <v>494</v>
      </c>
      <c r="C53" s="771"/>
      <c r="D53" s="771"/>
      <c r="E53" s="771"/>
      <c r="F53" s="771"/>
      <c r="G53" s="105"/>
      <c r="H53" s="105"/>
      <c r="I53" s="106"/>
      <c r="K53" s="129"/>
      <c r="L53" s="133"/>
      <c r="M53" s="133"/>
    </row>
    <row r="54" spans="1:14" ht="31.5" customHeight="1" outlineLevel="1" x14ac:dyDescent="0.25">
      <c r="A54" s="107" t="s">
        <v>204</v>
      </c>
      <c r="B54" s="531" t="s">
        <v>755</v>
      </c>
      <c r="C54" s="31" t="s">
        <v>8</v>
      </c>
      <c r="D54" s="256">
        <f>(2.1-1.33)*(6.68-1.58)*0.25</f>
        <v>0.9817499999999999</v>
      </c>
      <c r="E54" s="256">
        <v>500</v>
      </c>
      <c r="F54" s="11"/>
      <c r="G54" s="2">
        <f>ROUND(E54*D54,2)</f>
        <v>490.88</v>
      </c>
      <c r="H54" s="2"/>
      <c r="I54" s="11">
        <f>G54+H54</f>
        <v>490.88</v>
      </c>
      <c r="K54" s="161"/>
      <c r="L54" s="161"/>
      <c r="M54" s="161"/>
    </row>
    <row r="55" spans="1:14" ht="31.2" outlineLevel="1" x14ac:dyDescent="0.25">
      <c r="A55" s="84"/>
      <c r="B55" s="361" t="s">
        <v>764</v>
      </c>
      <c r="C55" s="2" t="s">
        <v>12</v>
      </c>
      <c r="D55" s="540">
        <f>D54*400</f>
        <v>392.69999999999993</v>
      </c>
      <c r="E55" s="2"/>
      <c r="F55" s="664">
        <v>10.75</v>
      </c>
      <c r="G55" s="2"/>
      <c r="H55" s="2">
        <f>ROUND(D55*F55,2)</f>
        <v>4221.53</v>
      </c>
      <c r="I55" s="11">
        <f>G55+H55</f>
        <v>4221.53</v>
      </c>
      <c r="K55" s="161"/>
      <c r="L55" s="161"/>
      <c r="M55" s="161"/>
    </row>
    <row r="56" spans="1:14" outlineLevel="1" x14ac:dyDescent="0.25">
      <c r="A56" s="84"/>
      <c r="B56" s="361" t="s">
        <v>1328</v>
      </c>
      <c r="C56" s="2" t="s">
        <v>8</v>
      </c>
      <c r="D56" s="540">
        <f>ROUND(0.23*D54,2)</f>
        <v>0.23</v>
      </c>
      <c r="E56" s="2"/>
      <c r="F56" s="361">
        <v>2600</v>
      </c>
      <c r="G56" s="2"/>
      <c r="H56" s="2">
        <f>ROUND(D56*F56,2)</f>
        <v>598</v>
      </c>
      <c r="I56" s="11">
        <f>G56+H56</f>
        <v>598</v>
      </c>
      <c r="K56" s="161"/>
      <c r="L56" s="161"/>
      <c r="M56" s="161"/>
    </row>
    <row r="57" spans="1:14" hidden="1" outlineLevel="1" x14ac:dyDescent="0.25">
      <c r="A57" s="107" t="s">
        <v>205</v>
      </c>
      <c r="B57" s="381" t="s">
        <v>16</v>
      </c>
      <c r="C57" s="31" t="s">
        <v>12</v>
      </c>
      <c r="D57" s="402">
        <v>0</v>
      </c>
      <c r="E57" s="31">
        <v>250</v>
      </c>
      <c r="F57" s="11"/>
      <c r="G57" s="2">
        <f>ROUND(E57*D57,2)</f>
        <v>0</v>
      </c>
      <c r="H57" s="2"/>
      <c r="I57" s="11">
        <f t="shared" ref="I57:I79" si="2">G57+H57</f>
        <v>0</v>
      </c>
      <c r="K57" s="163"/>
      <c r="L57" s="163"/>
      <c r="M57" s="163"/>
      <c r="N57" s="5"/>
    </row>
    <row r="58" spans="1:14" hidden="1" outlineLevel="1" x14ac:dyDescent="0.25">
      <c r="A58" s="84"/>
      <c r="B58" s="380" t="s">
        <v>754</v>
      </c>
      <c r="C58" s="2" t="s">
        <v>12</v>
      </c>
      <c r="D58" s="403">
        <v>0</v>
      </c>
      <c r="E58" s="2"/>
      <c r="F58" s="11">
        <v>456.35</v>
      </c>
      <c r="G58" s="2"/>
      <c r="H58" s="2">
        <f>ROUND(D58*F58,2)</f>
        <v>0</v>
      </c>
      <c r="I58" s="11">
        <f t="shared" si="2"/>
        <v>0</v>
      </c>
      <c r="K58" s="163"/>
      <c r="L58" s="163"/>
      <c r="M58" s="163"/>
      <c r="N58" s="5"/>
    </row>
    <row r="59" spans="1:14" hidden="1" outlineLevel="1" x14ac:dyDescent="0.25">
      <c r="A59" s="84"/>
      <c r="B59" s="368" t="s">
        <v>72</v>
      </c>
      <c r="C59" s="2" t="s">
        <v>8</v>
      </c>
      <c r="D59" s="403">
        <f>ROUND(0.23*D57,2)</f>
        <v>0</v>
      </c>
      <c r="E59" s="2"/>
      <c r="F59" s="361">
        <v>2700</v>
      </c>
      <c r="G59" s="2"/>
      <c r="H59" s="2">
        <f>ROUND(D59*F59,2)</f>
        <v>0</v>
      </c>
      <c r="I59" s="11">
        <f t="shared" si="2"/>
        <v>0</v>
      </c>
      <c r="K59" s="163"/>
      <c r="L59" s="163"/>
      <c r="M59" s="163"/>
      <c r="N59" s="5"/>
    </row>
    <row r="60" spans="1:14" outlineLevel="1" x14ac:dyDescent="0.25">
      <c r="A60" s="107" t="s">
        <v>207</v>
      </c>
      <c r="B60" s="555" t="s">
        <v>784</v>
      </c>
      <c r="C60" s="46" t="s">
        <v>12</v>
      </c>
      <c r="D60" s="275">
        <v>1</v>
      </c>
      <c r="E60" s="166">
        <v>1000</v>
      </c>
      <c r="F60" s="43"/>
      <c r="G60" s="2">
        <f>ROUND(E60*D60,2)</f>
        <v>1000</v>
      </c>
      <c r="H60" s="11">
        <f>D60*F60</f>
        <v>0</v>
      </c>
      <c r="I60" s="11">
        <f t="shared" si="2"/>
        <v>1000</v>
      </c>
      <c r="K60" s="163"/>
      <c r="L60" s="163"/>
      <c r="M60" s="163"/>
      <c r="N60" s="5"/>
    </row>
    <row r="61" spans="1:14" outlineLevel="1" x14ac:dyDescent="0.25">
      <c r="A61" s="84"/>
      <c r="B61" s="361" t="s">
        <v>785</v>
      </c>
      <c r="C61" s="2" t="s">
        <v>12</v>
      </c>
      <c r="D61" s="540">
        <v>6</v>
      </c>
      <c r="E61" s="2"/>
      <c r="F61" s="164">
        <v>1300</v>
      </c>
      <c r="G61" s="2"/>
      <c r="H61" s="2">
        <f t="shared" ref="H61:H67" si="3">ROUND(D61*F61,2)</f>
        <v>7800</v>
      </c>
      <c r="I61" s="11">
        <f t="shared" si="2"/>
        <v>7800</v>
      </c>
      <c r="K61" s="163"/>
      <c r="L61" s="163"/>
      <c r="M61" s="163"/>
      <c r="N61" s="5"/>
    </row>
    <row r="62" spans="1:14" outlineLevel="1" x14ac:dyDescent="0.25">
      <c r="A62" s="84"/>
      <c r="B62" s="361" t="s">
        <v>1326</v>
      </c>
      <c r="C62" s="2" t="s">
        <v>12</v>
      </c>
      <c r="D62" s="540">
        <v>1</v>
      </c>
      <c r="E62" s="2"/>
      <c r="F62" s="164">
        <v>1300</v>
      </c>
      <c r="G62" s="2"/>
      <c r="H62" s="2">
        <f t="shared" si="3"/>
        <v>1300</v>
      </c>
      <c r="I62" s="11">
        <f t="shared" si="2"/>
        <v>1300</v>
      </c>
      <c r="K62" s="163"/>
      <c r="L62" s="163"/>
      <c r="M62" s="163"/>
      <c r="N62" s="5"/>
    </row>
    <row r="63" spans="1:14" outlineLevel="1" x14ac:dyDescent="0.25">
      <c r="A63" s="84"/>
      <c r="B63" s="361" t="s">
        <v>786</v>
      </c>
      <c r="C63" s="2" t="s">
        <v>12</v>
      </c>
      <c r="D63" s="540">
        <v>6</v>
      </c>
      <c r="E63" s="2"/>
      <c r="F63" s="164">
        <v>1300</v>
      </c>
      <c r="G63" s="2"/>
      <c r="H63" s="2">
        <f t="shared" si="3"/>
        <v>7800</v>
      </c>
      <c r="I63" s="11">
        <f t="shared" si="2"/>
        <v>7800</v>
      </c>
      <c r="K63" s="163"/>
      <c r="L63" s="163"/>
      <c r="M63" s="163"/>
      <c r="N63" s="5"/>
    </row>
    <row r="64" spans="1:14" outlineLevel="1" x14ac:dyDescent="0.25">
      <c r="A64" s="84"/>
      <c r="B64" s="361" t="s">
        <v>1327</v>
      </c>
      <c r="C64" s="2" t="s">
        <v>12</v>
      </c>
      <c r="D64" s="540">
        <v>1</v>
      </c>
      <c r="E64" s="2"/>
      <c r="F64" s="164">
        <v>1300</v>
      </c>
      <c r="G64" s="2"/>
      <c r="H64" s="2">
        <f t="shared" si="3"/>
        <v>1300</v>
      </c>
      <c r="I64" s="11">
        <f>G64+H64</f>
        <v>1300</v>
      </c>
      <c r="K64" s="163"/>
      <c r="L64" s="163"/>
      <c r="M64" s="163"/>
      <c r="N64" s="5"/>
    </row>
    <row r="65" spans="1:14" outlineLevel="1" x14ac:dyDescent="0.25">
      <c r="A65" s="84"/>
      <c r="B65" s="361" t="s">
        <v>1518</v>
      </c>
      <c r="C65" s="2" t="s">
        <v>12</v>
      </c>
      <c r="D65" s="540">
        <v>1</v>
      </c>
      <c r="E65" s="2"/>
      <c r="F65" s="164">
        <v>1300</v>
      </c>
      <c r="G65" s="2"/>
      <c r="H65" s="2">
        <f t="shared" si="3"/>
        <v>1300</v>
      </c>
      <c r="I65" s="11">
        <f>G65+H65</f>
        <v>1300</v>
      </c>
      <c r="K65" s="163"/>
      <c r="L65" s="163"/>
      <c r="M65" s="163"/>
      <c r="N65" s="5"/>
    </row>
    <row r="66" spans="1:14" outlineLevel="1" x14ac:dyDescent="0.25">
      <c r="A66" s="84"/>
      <c r="B66" s="361" t="s">
        <v>738</v>
      </c>
      <c r="C66" s="2" t="s">
        <v>8</v>
      </c>
      <c r="D66" s="282">
        <v>0.05</v>
      </c>
      <c r="E66" s="2"/>
      <c r="F66" s="664">
        <v>4200</v>
      </c>
      <c r="G66" s="2"/>
      <c r="H66" s="2">
        <f>ROUND(D66*F66,2)</f>
        <v>210</v>
      </c>
      <c r="I66" s="11">
        <f>G66+H66</f>
        <v>210</v>
      </c>
      <c r="K66" s="163"/>
      <c r="L66" s="163"/>
      <c r="M66" s="163"/>
      <c r="N66" s="5"/>
    </row>
    <row r="67" spans="1:14" outlineLevel="1" x14ac:dyDescent="0.25">
      <c r="A67" s="84"/>
      <c r="B67" s="361" t="s">
        <v>763</v>
      </c>
      <c r="C67" s="2" t="s">
        <v>1323</v>
      </c>
      <c r="D67" s="540">
        <v>10.8</v>
      </c>
      <c r="E67" s="2"/>
      <c r="F67" s="164">
        <v>300</v>
      </c>
      <c r="G67" s="2"/>
      <c r="H67" s="2">
        <f t="shared" si="3"/>
        <v>3240</v>
      </c>
      <c r="I67" s="11">
        <f>G67+H67</f>
        <v>3240</v>
      </c>
      <c r="K67" s="163"/>
      <c r="L67" s="163"/>
      <c r="M67" s="163"/>
      <c r="N67" s="5"/>
    </row>
    <row r="68" spans="1:14" outlineLevel="1" x14ac:dyDescent="0.25">
      <c r="A68" s="84"/>
      <c r="B68" s="361" t="s">
        <v>767</v>
      </c>
      <c r="C68" s="2" t="s">
        <v>15</v>
      </c>
      <c r="D68" s="540">
        <v>135</v>
      </c>
      <c r="E68" s="2"/>
      <c r="F68" s="361">
        <v>40</v>
      </c>
      <c r="G68" s="2"/>
      <c r="H68" s="2">
        <f t="shared" ref="H68:H73" si="4">ROUND(D68*F68,2)</f>
        <v>5400</v>
      </c>
      <c r="I68" s="11">
        <f t="shared" si="2"/>
        <v>5400</v>
      </c>
      <c r="K68" s="163"/>
      <c r="L68" s="163"/>
      <c r="M68" s="163"/>
      <c r="N68" s="5"/>
    </row>
    <row r="69" spans="1:14" outlineLevel="1" x14ac:dyDescent="0.25">
      <c r="A69" s="84"/>
      <c r="B69" s="361" t="s">
        <v>768</v>
      </c>
      <c r="C69" s="2" t="s">
        <v>15</v>
      </c>
      <c r="D69" s="540">
        <v>280</v>
      </c>
      <c r="E69" s="2"/>
      <c r="F69" s="361">
        <v>40</v>
      </c>
      <c r="G69" s="2"/>
      <c r="H69" s="2">
        <f t="shared" si="4"/>
        <v>11200</v>
      </c>
      <c r="I69" s="11">
        <f t="shared" si="2"/>
        <v>11200</v>
      </c>
      <c r="K69" s="163"/>
      <c r="L69" s="163"/>
      <c r="M69" s="163"/>
      <c r="N69" s="5"/>
    </row>
    <row r="70" spans="1:14" outlineLevel="1" x14ac:dyDescent="0.25">
      <c r="A70" s="84"/>
      <c r="B70" s="361" t="s">
        <v>770</v>
      </c>
      <c r="C70" s="2" t="s">
        <v>15</v>
      </c>
      <c r="D70" s="540">
        <v>5</v>
      </c>
      <c r="E70" s="2"/>
      <c r="F70" s="361">
        <v>36</v>
      </c>
      <c r="G70" s="2"/>
      <c r="H70" s="2">
        <f t="shared" si="4"/>
        <v>180</v>
      </c>
      <c r="I70" s="11">
        <f t="shared" si="2"/>
        <v>180</v>
      </c>
      <c r="K70" s="163"/>
      <c r="L70" s="163"/>
      <c r="M70" s="163"/>
      <c r="N70" s="5"/>
    </row>
    <row r="71" spans="1:14" outlineLevel="1" x14ac:dyDescent="0.25">
      <c r="A71" s="84"/>
      <c r="B71" s="361" t="s">
        <v>1331</v>
      </c>
      <c r="C71" s="2" t="s">
        <v>15</v>
      </c>
      <c r="D71" s="540">
        <v>45</v>
      </c>
      <c r="E71" s="2"/>
      <c r="F71" s="361">
        <v>36</v>
      </c>
      <c r="G71" s="2"/>
      <c r="H71" s="2">
        <f t="shared" si="4"/>
        <v>1620</v>
      </c>
      <c r="I71" s="11">
        <f t="shared" si="2"/>
        <v>1620</v>
      </c>
      <c r="K71" s="163"/>
      <c r="L71" s="163"/>
      <c r="M71" s="163"/>
      <c r="N71" s="5"/>
    </row>
    <row r="72" spans="1:14" outlineLevel="1" x14ac:dyDescent="0.25">
      <c r="A72" s="84"/>
      <c r="B72" s="361" t="s">
        <v>772</v>
      </c>
      <c r="C72" s="2" t="s">
        <v>15</v>
      </c>
      <c r="D72" s="540">
        <v>20</v>
      </c>
      <c r="E72" s="2"/>
      <c r="F72" s="361">
        <v>33</v>
      </c>
      <c r="G72" s="2"/>
      <c r="H72" s="2">
        <f t="shared" si="4"/>
        <v>660</v>
      </c>
      <c r="I72" s="11">
        <f t="shared" si="2"/>
        <v>660</v>
      </c>
      <c r="K72" s="163"/>
      <c r="L72" s="163"/>
      <c r="M72" s="163"/>
      <c r="N72" s="5"/>
    </row>
    <row r="73" spans="1:14" outlineLevel="1" x14ac:dyDescent="0.25">
      <c r="A73" s="84"/>
      <c r="B73" s="361" t="s">
        <v>773</v>
      </c>
      <c r="C73" s="2" t="s">
        <v>15</v>
      </c>
      <c r="D73" s="540">
        <v>32</v>
      </c>
      <c r="E73" s="2"/>
      <c r="F73" s="361">
        <v>33</v>
      </c>
      <c r="G73" s="2"/>
      <c r="H73" s="2">
        <f t="shared" si="4"/>
        <v>1056</v>
      </c>
      <c r="I73" s="11">
        <f t="shared" si="2"/>
        <v>1056</v>
      </c>
      <c r="K73" s="163"/>
      <c r="L73" s="163"/>
      <c r="M73" s="163"/>
      <c r="N73" s="5"/>
    </row>
    <row r="74" spans="1:14" outlineLevel="1" x14ac:dyDescent="0.25">
      <c r="A74" s="107" t="s">
        <v>66</v>
      </c>
      <c r="B74" s="538" t="s">
        <v>807</v>
      </c>
      <c r="C74" s="41" t="s">
        <v>14</v>
      </c>
      <c r="D74" s="282">
        <f>SUM(D67:D73)*27/1000</f>
        <v>14.250599999999999</v>
      </c>
      <c r="E74" s="353">
        <v>150</v>
      </c>
      <c r="F74" s="363"/>
      <c r="G74" s="2">
        <f>D74*E74</f>
        <v>2137.5899999999997</v>
      </c>
      <c r="H74" s="2"/>
      <c r="I74" s="11">
        <f>G74</f>
        <v>2137.5899999999997</v>
      </c>
      <c r="K74" s="163"/>
      <c r="L74" s="163"/>
      <c r="M74" s="163"/>
      <c r="N74" s="5"/>
    </row>
    <row r="75" spans="1:14" outlineLevel="1" x14ac:dyDescent="0.25">
      <c r="A75" s="84"/>
      <c r="B75" s="533" t="s">
        <v>908</v>
      </c>
      <c r="C75" s="41" t="s">
        <v>15</v>
      </c>
      <c r="D75" s="282">
        <f>D74*0.2</f>
        <v>2.85012</v>
      </c>
      <c r="E75" s="390"/>
      <c r="F75" s="362">
        <v>85</v>
      </c>
      <c r="G75" s="2"/>
      <c r="H75" s="2">
        <f>F75*D75</f>
        <v>242.2602</v>
      </c>
      <c r="I75" s="11">
        <f>H75</f>
        <v>242.2602</v>
      </c>
      <c r="K75" s="163"/>
      <c r="L75" s="163"/>
      <c r="M75" s="163"/>
      <c r="N75" s="5"/>
    </row>
    <row r="76" spans="1:14" outlineLevel="1" x14ac:dyDescent="0.25">
      <c r="A76" s="84"/>
      <c r="B76" s="533" t="s">
        <v>809</v>
      </c>
      <c r="C76" s="41" t="s">
        <v>15</v>
      </c>
      <c r="D76" s="282">
        <f>D74*0.3</f>
        <v>4.2751799999999998</v>
      </c>
      <c r="E76" s="390"/>
      <c r="F76" s="362">
        <v>115</v>
      </c>
      <c r="G76" s="2"/>
      <c r="H76" s="2">
        <f>F76*D76</f>
        <v>491.64569999999998</v>
      </c>
      <c r="I76" s="11">
        <f>H76</f>
        <v>491.64569999999998</v>
      </c>
      <c r="K76" s="163"/>
      <c r="L76" s="163"/>
      <c r="M76" s="163"/>
      <c r="N76" s="5"/>
    </row>
    <row r="77" spans="1:14" outlineLevel="1" x14ac:dyDescent="0.25">
      <c r="A77" s="107" t="s">
        <v>349</v>
      </c>
      <c r="B77" s="531" t="s">
        <v>787</v>
      </c>
      <c r="C77" s="31" t="s">
        <v>8</v>
      </c>
      <c r="D77" s="256">
        <v>0.8</v>
      </c>
      <c r="E77" s="256">
        <v>800</v>
      </c>
      <c r="F77" s="11"/>
      <c r="G77" s="2">
        <f>ROUND(E77*D77,2)</f>
        <v>640</v>
      </c>
      <c r="H77" s="2"/>
      <c r="I77" s="11">
        <f t="shared" si="2"/>
        <v>640</v>
      </c>
      <c r="K77" s="163"/>
      <c r="L77" s="163"/>
      <c r="M77" s="163"/>
      <c r="N77" s="5"/>
    </row>
    <row r="78" spans="1:14" outlineLevel="1" x14ac:dyDescent="0.25">
      <c r="A78" s="84"/>
      <c r="B78" s="361" t="s">
        <v>738</v>
      </c>
      <c r="C78" s="2" t="s">
        <v>8</v>
      </c>
      <c r="D78" s="282">
        <f>D77*1.02</f>
        <v>0.81600000000000006</v>
      </c>
      <c r="E78" s="2"/>
      <c r="F78" s="664">
        <v>4200</v>
      </c>
      <c r="G78" s="2"/>
      <c r="H78" s="2">
        <f>ROUND(D78*F78,2)</f>
        <v>3427.2</v>
      </c>
      <c r="I78" s="11">
        <f t="shared" si="2"/>
        <v>3427.2</v>
      </c>
      <c r="K78" s="163"/>
      <c r="L78" s="163"/>
      <c r="M78" s="163"/>
      <c r="N78" s="5"/>
    </row>
    <row r="79" spans="1:14" outlineLevel="1" x14ac:dyDescent="0.25">
      <c r="A79" s="84"/>
      <c r="B79" s="533" t="s">
        <v>1330</v>
      </c>
      <c r="C79" s="41" t="s">
        <v>15</v>
      </c>
      <c r="D79" s="277">
        <f>12*0.61+19*0.56+19*0.59</f>
        <v>29.17</v>
      </c>
      <c r="E79" s="2"/>
      <c r="F79" s="364">
        <v>42</v>
      </c>
      <c r="G79" s="10"/>
      <c r="H79" s="2">
        <f>ROUND(D79*F79,2)</f>
        <v>1225.1400000000001</v>
      </c>
      <c r="I79" s="11">
        <f t="shared" si="2"/>
        <v>1225.1400000000001</v>
      </c>
      <c r="K79" s="163"/>
      <c r="L79" s="163"/>
      <c r="M79" s="163"/>
      <c r="N79" s="5"/>
    </row>
    <row r="80" spans="1:14" ht="18.75" customHeight="1" outlineLevel="1" x14ac:dyDescent="0.25">
      <c r="A80" s="107" t="s">
        <v>495</v>
      </c>
      <c r="B80" s="531" t="s">
        <v>1305</v>
      </c>
      <c r="C80" s="2" t="s">
        <v>8</v>
      </c>
      <c r="D80" s="256">
        <v>0.44</v>
      </c>
      <c r="E80" s="256">
        <v>1500</v>
      </c>
      <c r="F80" s="164"/>
      <c r="G80" s="2">
        <f>ROUND(E80*D80,2)</f>
        <v>660</v>
      </c>
      <c r="H80" s="2"/>
      <c r="I80" s="11">
        <f>G80+H80</f>
        <v>660</v>
      </c>
      <c r="K80" s="161"/>
      <c r="L80" s="161"/>
      <c r="M80" s="161"/>
      <c r="N80" s="5"/>
    </row>
    <row r="81" spans="1:14" outlineLevel="1" x14ac:dyDescent="0.25">
      <c r="A81" s="84"/>
      <c r="B81" s="361" t="s">
        <v>736</v>
      </c>
      <c r="C81" s="2" t="s">
        <v>8</v>
      </c>
      <c r="D81" s="282">
        <f>D80*1.02</f>
        <v>0.44880000000000003</v>
      </c>
      <c r="E81" s="2"/>
      <c r="F81" s="664">
        <v>4200</v>
      </c>
      <c r="G81" s="2"/>
      <c r="H81" s="2">
        <f>ROUND(D81*F81,2)</f>
        <v>1884.96</v>
      </c>
      <c r="I81" s="60">
        <f>G81+H81</f>
        <v>1884.96</v>
      </c>
      <c r="K81" s="161"/>
      <c r="L81" s="161"/>
      <c r="M81" s="161"/>
      <c r="N81" s="5"/>
    </row>
    <row r="82" spans="1:14" outlineLevel="1" x14ac:dyDescent="0.25">
      <c r="A82" s="84"/>
      <c r="B82" s="361" t="s">
        <v>737</v>
      </c>
      <c r="C82" s="41" t="s">
        <v>15</v>
      </c>
      <c r="D82" s="277">
        <f>2*17.1+14*0.15</f>
        <v>36.300000000000004</v>
      </c>
      <c r="E82" s="2"/>
      <c r="F82" s="364">
        <v>42</v>
      </c>
      <c r="G82" s="10"/>
      <c r="H82" s="2">
        <f>ROUND(D82*F82,2)</f>
        <v>1524.6</v>
      </c>
      <c r="I82" s="11">
        <f>G82+H82</f>
        <v>1524.6</v>
      </c>
      <c r="K82" s="161"/>
      <c r="L82" s="161"/>
      <c r="M82" s="161"/>
      <c r="N82" s="5"/>
    </row>
    <row r="83" spans="1:14" outlineLevel="1" x14ac:dyDescent="0.25">
      <c r="A83" s="107" t="s">
        <v>496</v>
      </c>
      <c r="B83" s="536" t="s">
        <v>740</v>
      </c>
      <c r="C83" s="46" t="s">
        <v>12</v>
      </c>
      <c r="D83" s="275">
        <f>SUM(D84:D92)</f>
        <v>33</v>
      </c>
      <c r="E83" s="275">
        <v>600</v>
      </c>
      <c r="F83" s="43"/>
      <c r="G83" s="2">
        <f>ROUND(E83*D83,2)</f>
        <v>19800</v>
      </c>
      <c r="H83" s="11"/>
      <c r="I83" s="11">
        <f>G83+H83</f>
        <v>19800</v>
      </c>
      <c r="K83" s="161"/>
      <c r="L83" s="161"/>
      <c r="M83" s="161"/>
      <c r="N83" s="5"/>
    </row>
    <row r="84" spans="1:14" outlineLevel="1" x14ac:dyDescent="0.25">
      <c r="A84" s="84"/>
      <c r="B84" s="533" t="s">
        <v>742</v>
      </c>
      <c r="C84" s="2" t="s">
        <v>12</v>
      </c>
      <c r="D84" s="282">
        <v>6</v>
      </c>
      <c r="E84" s="31"/>
      <c r="F84" s="664">
        <v>12796</v>
      </c>
      <c r="G84" s="2"/>
      <c r="H84" s="2">
        <f t="shared" ref="H84:H92" si="5">ROUND(D84*F84,2)</f>
        <v>76776</v>
      </c>
      <c r="I84" s="60">
        <f t="shared" ref="I84:I98" si="6">G84+H84</f>
        <v>76776</v>
      </c>
      <c r="K84" s="161"/>
      <c r="L84" s="161"/>
      <c r="M84" s="161"/>
      <c r="N84" s="5"/>
    </row>
    <row r="85" spans="1:14" outlineLevel="1" x14ac:dyDescent="0.25">
      <c r="A85" s="84"/>
      <c r="B85" s="533" t="s">
        <v>741</v>
      </c>
      <c r="C85" s="2" t="s">
        <v>12</v>
      </c>
      <c r="D85" s="282">
        <v>5</v>
      </c>
      <c r="E85" s="31"/>
      <c r="F85" s="664">
        <v>14406</v>
      </c>
      <c r="G85" s="2"/>
      <c r="H85" s="2">
        <f t="shared" si="5"/>
        <v>72030</v>
      </c>
      <c r="I85" s="60">
        <f t="shared" si="6"/>
        <v>72030</v>
      </c>
      <c r="K85" s="161"/>
      <c r="L85" s="161"/>
      <c r="M85" s="161"/>
      <c r="N85" s="5"/>
    </row>
    <row r="86" spans="1:14" outlineLevel="1" x14ac:dyDescent="0.25">
      <c r="A86" s="84"/>
      <c r="B86" s="533" t="s">
        <v>743</v>
      </c>
      <c r="C86" s="2" t="s">
        <v>12</v>
      </c>
      <c r="D86" s="282">
        <v>9</v>
      </c>
      <c r="E86" s="31"/>
      <c r="F86" s="362">
        <v>9631</v>
      </c>
      <c r="G86" s="2"/>
      <c r="H86" s="2">
        <f t="shared" si="5"/>
        <v>86679</v>
      </c>
      <c r="I86" s="60">
        <f t="shared" si="6"/>
        <v>86679</v>
      </c>
      <c r="K86" s="161"/>
      <c r="L86" s="161"/>
      <c r="M86" s="161"/>
      <c r="N86" s="5"/>
    </row>
    <row r="87" spans="1:14" outlineLevel="1" x14ac:dyDescent="0.25">
      <c r="A87" s="84"/>
      <c r="B87" s="533" t="s">
        <v>744</v>
      </c>
      <c r="C87" s="2" t="s">
        <v>12</v>
      </c>
      <c r="D87" s="282">
        <v>5</v>
      </c>
      <c r="E87" s="31"/>
      <c r="F87" s="362">
        <v>11987</v>
      </c>
      <c r="G87" s="2"/>
      <c r="H87" s="2">
        <f t="shared" si="5"/>
        <v>59935</v>
      </c>
      <c r="I87" s="60">
        <f t="shared" si="6"/>
        <v>59935</v>
      </c>
      <c r="K87" s="161"/>
      <c r="L87" s="161"/>
      <c r="M87" s="161"/>
      <c r="N87" s="5"/>
    </row>
    <row r="88" spans="1:14" outlineLevel="1" x14ac:dyDescent="0.25">
      <c r="A88" s="84"/>
      <c r="B88" s="533" t="s">
        <v>745</v>
      </c>
      <c r="C88" s="2" t="s">
        <v>12</v>
      </c>
      <c r="D88" s="282">
        <v>1</v>
      </c>
      <c r="E88" s="31"/>
      <c r="F88" s="664">
        <v>5621</v>
      </c>
      <c r="G88" s="2"/>
      <c r="H88" s="2">
        <f t="shared" si="5"/>
        <v>5621</v>
      </c>
      <c r="I88" s="60">
        <f t="shared" si="6"/>
        <v>5621</v>
      </c>
      <c r="K88" s="161"/>
      <c r="L88" s="161"/>
      <c r="M88" s="161"/>
      <c r="N88" s="5"/>
    </row>
    <row r="89" spans="1:14" outlineLevel="1" x14ac:dyDescent="0.25">
      <c r="A89" s="84"/>
      <c r="B89" s="533" t="s">
        <v>746</v>
      </c>
      <c r="C89" s="2" t="s">
        <v>12</v>
      </c>
      <c r="D89" s="282">
        <v>1</v>
      </c>
      <c r="E89" s="31"/>
      <c r="F89" s="666">
        <v>4222</v>
      </c>
      <c r="G89" s="2"/>
      <c r="H89" s="2">
        <f t="shared" si="5"/>
        <v>4222</v>
      </c>
      <c r="I89" s="60">
        <f t="shared" si="6"/>
        <v>4222</v>
      </c>
      <c r="K89" s="161"/>
      <c r="L89" s="161"/>
      <c r="M89" s="161"/>
      <c r="N89" s="5"/>
    </row>
    <row r="90" spans="1:14" outlineLevel="1" x14ac:dyDescent="0.25">
      <c r="A90" s="84"/>
      <c r="B90" s="533" t="s">
        <v>1319</v>
      </c>
      <c r="C90" s="2" t="s">
        <v>12</v>
      </c>
      <c r="D90" s="282">
        <v>2</v>
      </c>
      <c r="E90" s="31"/>
      <c r="F90" s="363">
        <v>15000</v>
      </c>
      <c r="G90" s="2"/>
      <c r="H90" s="2">
        <f t="shared" si="5"/>
        <v>30000</v>
      </c>
      <c r="I90" s="60">
        <f t="shared" si="6"/>
        <v>30000</v>
      </c>
      <c r="K90" s="161"/>
      <c r="L90" s="161"/>
      <c r="M90" s="161"/>
      <c r="N90" s="5"/>
    </row>
    <row r="91" spans="1:14" outlineLevel="1" x14ac:dyDescent="0.25">
      <c r="A91" s="84"/>
      <c r="B91" s="533" t="s">
        <v>1307</v>
      </c>
      <c r="C91" s="2" t="s">
        <v>12</v>
      </c>
      <c r="D91" s="282">
        <f>2</f>
        <v>2</v>
      </c>
      <c r="E91" s="31"/>
      <c r="F91" s="362">
        <v>18060</v>
      </c>
      <c r="G91" s="2"/>
      <c r="H91" s="2">
        <f t="shared" si="5"/>
        <v>36120</v>
      </c>
      <c r="I91" s="60">
        <f t="shared" si="6"/>
        <v>36120</v>
      </c>
      <c r="K91" s="161"/>
      <c r="L91" s="161"/>
      <c r="M91" s="161"/>
      <c r="N91" s="5"/>
    </row>
    <row r="92" spans="1:14" outlineLevel="1" x14ac:dyDescent="0.25">
      <c r="A92" s="84"/>
      <c r="B92" s="533" t="s">
        <v>1320</v>
      </c>
      <c r="C92" s="2" t="s">
        <v>12</v>
      </c>
      <c r="D92" s="282">
        <f>2</f>
        <v>2</v>
      </c>
      <c r="E92" s="31"/>
      <c r="F92" s="362">
        <v>20377</v>
      </c>
      <c r="G92" s="2"/>
      <c r="H92" s="2">
        <f t="shared" si="5"/>
        <v>40754</v>
      </c>
      <c r="I92" s="60">
        <f t="shared" si="6"/>
        <v>40754</v>
      </c>
      <c r="K92" s="161"/>
      <c r="L92" s="161"/>
      <c r="M92" s="161"/>
      <c r="N92" s="5"/>
    </row>
    <row r="93" spans="1:14" outlineLevel="1" x14ac:dyDescent="0.25">
      <c r="A93" s="84"/>
      <c r="B93" s="535" t="s">
        <v>480</v>
      </c>
      <c r="C93" s="41" t="s">
        <v>9</v>
      </c>
      <c r="D93" s="534">
        <f>МЭ!J7/1000</f>
        <v>8.231999999999999E-2</v>
      </c>
      <c r="E93" s="43"/>
      <c r="F93" s="364">
        <v>40000</v>
      </c>
      <c r="G93" s="18"/>
      <c r="H93" s="2">
        <f>ROUND(D93*F93,2)</f>
        <v>3292.8</v>
      </c>
      <c r="I93" s="11">
        <f t="shared" si="6"/>
        <v>3292.8</v>
      </c>
      <c r="K93" s="161"/>
      <c r="L93" s="161"/>
      <c r="M93" s="161"/>
      <c r="N93" s="5"/>
    </row>
    <row r="94" spans="1:14" outlineLevel="1" x14ac:dyDescent="0.25">
      <c r="A94" s="84"/>
      <c r="B94" s="45" t="s">
        <v>198</v>
      </c>
      <c r="C94" s="41" t="s">
        <v>9</v>
      </c>
      <c r="D94" s="42">
        <f>0.11/334.51*D82</f>
        <v>1.1936862874054589E-2</v>
      </c>
      <c r="E94" s="43"/>
      <c r="F94" s="364">
        <f>65*1.1*1000</f>
        <v>71500</v>
      </c>
      <c r="G94" s="2"/>
      <c r="H94" s="2">
        <f>ROUND(D94*F94,2)</f>
        <v>853.49</v>
      </c>
      <c r="I94" s="11">
        <f t="shared" si="6"/>
        <v>853.49</v>
      </c>
      <c r="K94" s="161"/>
      <c r="L94" s="161"/>
      <c r="M94" s="161"/>
      <c r="N94" s="5"/>
    </row>
    <row r="95" spans="1:14" outlineLevel="1" x14ac:dyDescent="0.25">
      <c r="A95" s="107" t="s">
        <v>621</v>
      </c>
      <c r="B95" s="538" t="s">
        <v>788</v>
      </c>
      <c r="C95" s="203" t="s">
        <v>8</v>
      </c>
      <c r="D95" s="537">
        <v>1.4</v>
      </c>
      <c r="E95" s="353">
        <v>800</v>
      </c>
      <c r="F95" s="139"/>
      <c r="G95" s="2">
        <f>ROUND(E95*D95,2)</f>
        <v>1120</v>
      </c>
      <c r="H95" s="26"/>
      <c r="I95" s="11">
        <f t="shared" si="6"/>
        <v>1120</v>
      </c>
      <c r="K95" s="161"/>
      <c r="L95" s="161"/>
      <c r="M95" s="161"/>
      <c r="N95" s="5"/>
    </row>
    <row r="96" spans="1:14" outlineLevel="1" x14ac:dyDescent="0.25">
      <c r="A96" s="84"/>
      <c r="B96" s="533" t="s">
        <v>366</v>
      </c>
      <c r="C96" s="41" t="s">
        <v>15</v>
      </c>
      <c r="D96" s="277">
        <f>МЭ!J21</f>
        <v>190.54000000000002</v>
      </c>
      <c r="E96" s="2"/>
      <c r="F96" s="364">
        <v>34</v>
      </c>
      <c r="G96" s="10"/>
      <c r="H96" s="2">
        <f>ROUND(D96*F96,2)</f>
        <v>6478.36</v>
      </c>
      <c r="I96" s="11">
        <f t="shared" si="6"/>
        <v>6478.36</v>
      </c>
      <c r="J96" s="25">
        <v>191.4</v>
      </c>
      <c r="K96" s="161"/>
      <c r="L96" s="161"/>
      <c r="M96" s="161"/>
      <c r="N96" s="5"/>
    </row>
    <row r="97" spans="1:252" outlineLevel="1" x14ac:dyDescent="0.25">
      <c r="A97" s="84"/>
      <c r="B97" s="533" t="s">
        <v>1321</v>
      </c>
      <c r="C97" s="41" t="s">
        <v>15</v>
      </c>
      <c r="D97" s="277">
        <f>140*0.04</f>
        <v>5.6000000000000005</v>
      </c>
      <c r="E97" s="2"/>
      <c r="F97" s="364">
        <v>42</v>
      </c>
      <c r="G97" s="10"/>
      <c r="H97" s="2">
        <f>ROUND(D97*F97,2)</f>
        <v>235.2</v>
      </c>
      <c r="I97" s="11">
        <f t="shared" si="6"/>
        <v>235.2</v>
      </c>
      <c r="K97" s="161"/>
      <c r="L97" s="161"/>
      <c r="M97" s="161"/>
      <c r="N97" s="5"/>
    </row>
    <row r="98" spans="1:252" outlineLevel="1" x14ac:dyDescent="0.25">
      <c r="A98" s="84"/>
      <c r="B98" s="533" t="s">
        <v>1309</v>
      </c>
      <c r="C98" s="41" t="s">
        <v>8</v>
      </c>
      <c r="D98" s="277">
        <f>D95*1.015</f>
        <v>1.4209999999999998</v>
      </c>
      <c r="E98" s="2"/>
      <c r="F98" s="664">
        <v>4200</v>
      </c>
      <c r="G98" s="31"/>
      <c r="H98" s="2">
        <f>ROUND(D98*F98,2)</f>
        <v>5968.2</v>
      </c>
      <c r="I98" s="11">
        <f t="shared" si="6"/>
        <v>5968.2</v>
      </c>
      <c r="K98" s="161"/>
      <c r="L98" s="161"/>
      <c r="M98" s="161"/>
      <c r="N98" s="5"/>
    </row>
    <row r="99" spans="1:252" outlineLevel="1" x14ac:dyDescent="0.25">
      <c r="A99" s="84"/>
      <c r="B99" s="309"/>
      <c r="C99" s="2"/>
      <c r="D99" s="340"/>
      <c r="E99" s="2"/>
      <c r="F99" s="164"/>
      <c r="G99" s="2"/>
      <c r="H99" s="2"/>
      <c r="I99" s="60"/>
      <c r="K99" s="161"/>
      <c r="L99" s="161"/>
      <c r="M99" s="161"/>
      <c r="N99" s="5"/>
    </row>
    <row r="100" spans="1:252" s="6" customFormat="1" hidden="1" outlineLevel="1" x14ac:dyDescent="0.25">
      <c r="A100" s="269" t="s">
        <v>496</v>
      </c>
      <c r="B100" s="313" t="s">
        <v>27</v>
      </c>
      <c r="C100" s="31" t="s">
        <v>14</v>
      </c>
      <c r="D100" s="306">
        <v>0</v>
      </c>
      <c r="E100" s="256">
        <v>100</v>
      </c>
      <c r="F100" s="11"/>
      <c r="G100" s="2">
        <f>ROUND(E100*D100,2)</f>
        <v>0</v>
      </c>
      <c r="H100" s="2"/>
      <c r="I100" s="11">
        <f>G100+H100</f>
        <v>0</v>
      </c>
      <c r="K100" s="161"/>
      <c r="L100" s="161"/>
      <c r="M100" s="161"/>
      <c r="N100" s="5"/>
    </row>
    <row r="101" spans="1:252" ht="31.2" hidden="1" outlineLevel="1" x14ac:dyDescent="0.25">
      <c r="A101" s="86"/>
      <c r="B101" s="309" t="s">
        <v>28</v>
      </c>
      <c r="C101" s="2" t="s">
        <v>8</v>
      </c>
      <c r="D101" s="340">
        <f>ROUND(D100*0.1*1.03,2)</f>
        <v>0</v>
      </c>
      <c r="E101" s="2"/>
      <c r="F101" s="164">
        <v>4100</v>
      </c>
      <c r="G101" s="2"/>
      <c r="H101" s="2">
        <f>ROUND(D101*F101,2)</f>
        <v>0</v>
      </c>
      <c r="I101" s="11">
        <f>G101+H101</f>
        <v>0</v>
      </c>
      <c r="K101" s="161"/>
      <c r="L101" s="161"/>
      <c r="M101" s="161"/>
      <c r="N101" s="5"/>
    </row>
    <row r="102" spans="1:252" s="36" customFormat="1" ht="36" hidden="1" customHeight="1" outlineLevel="1" x14ac:dyDescent="0.25">
      <c r="A102" s="261" t="s">
        <v>621</v>
      </c>
      <c r="B102" s="307" t="s">
        <v>209</v>
      </c>
      <c r="C102" s="31" t="s">
        <v>14</v>
      </c>
      <c r="D102" s="306">
        <v>0</v>
      </c>
      <c r="E102" s="256">
        <v>150</v>
      </c>
      <c r="F102" s="11"/>
      <c r="G102" s="2">
        <f>ROUND(E102*D102,2)</f>
        <v>0</v>
      </c>
      <c r="H102" s="2"/>
      <c r="I102" s="11">
        <f>G102+H102</f>
        <v>0</v>
      </c>
      <c r="K102" s="161"/>
      <c r="L102" s="161"/>
      <c r="M102" s="161"/>
      <c r="N102" s="5"/>
    </row>
    <row r="103" spans="1:252" hidden="1" outlineLevel="1" x14ac:dyDescent="0.25">
      <c r="A103" s="84"/>
      <c r="B103" s="309" t="s">
        <v>65</v>
      </c>
      <c r="C103" s="2" t="s">
        <v>15</v>
      </c>
      <c r="D103" s="340">
        <f>2.5*D102</f>
        <v>0</v>
      </c>
      <c r="E103" s="2"/>
      <c r="F103" s="361">
        <v>55</v>
      </c>
      <c r="G103" s="2"/>
      <c r="H103" s="2">
        <f>ROUND(D103*F103,2)</f>
        <v>0</v>
      </c>
      <c r="I103" s="11">
        <f>G103+H103</f>
        <v>0</v>
      </c>
      <c r="K103" s="161"/>
      <c r="L103" s="161"/>
      <c r="M103" s="161"/>
      <c r="N103" s="5"/>
    </row>
    <row r="104" spans="1:252" hidden="1" outlineLevel="1" x14ac:dyDescent="0.25">
      <c r="A104" s="84"/>
      <c r="B104" s="309" t="s">
        <v>68</v>
      </c>
      <c r="C104" s="2" t="s">
        <v>30</v>
      </c>
      <c r="D104" s="340">
        <f>0.35*D102</f>
        <v>0</v>
      </c>
      <c r="E104" s="2"/>
      <c r="F104" s="361">
        <v>44</v>
      </c>
      <c r="G104" s="2"/>
      <c r="H104" s="2">
        <f>ROUND(D104*F104,2)</f>
        <v>0</v>
      </c>
      <c r="I104" s="11">
        <f>G104+H104</f>
        <v>0</v>
      </c>
      <c r="K104" s="161"/>
      <c r="L104" s="161"/>
      <c r="M104" s="161"/>
      <c r="N104" s="5"/>
    </row>
    <row r="105" spans="1:252" s="36" customFormat="1" ht="31.2" collapsed="1" x14ac:dyDescent="0.25">
      <c r="A105" s="212"/>
      <c r="B105" s="213" t="s">
        <v>577</v>
      </c>
      <c r="C105" s="222"/>
      <c r="D105" s="215"/>
      <c r="E105" s="216"/>
      <c r="F105" s="217"/>
      <c r="G105" s="216">
        <f>SUM(G54:G104)</f>
        <v>25848.47</v>
      </c>
      <c r="H105" s="216">
        <f>SUM(H54:H104)</f>
        <v>485646.38589999999</v>
      </c>
      <c r="I105" s="215">
        <f>SUM(I54:I104)</f>
        <v>511494.85589999997</v>
      </c>
    </row>
    <row r="106" spans="1:252" s="39" customFormat="1" ht="18.600000000000001" customHeight="1" x14ac:dyDescent="0.25">
      <c r="A106" s="519"/>
      <c r="B106" s="58" t="s">
        <v>624</v>
      </c>
      <c r="C106" s="9"/>
      <c r="D106" s="31"/>
      <c r="E106" s="10"/>
      <c r="F106" s="57"/>
      <c r="G106" s="10"/>
      <c r="H106" s="10"/>
      <c r="I106" s="31">
        <f>ROUND(I105/1.18*0.18,2)</f>
        <v>78024.639999999999</v>
      </c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25"/>
      <c r="IG106" s="25"/>
      <c r="IH106" s="25"/>
      <c r="II106" s="25"/>
      <c r="IJ106" s="25"/>
      <c r="IK106" s="25"/>
      <c r="IL106" s="25"/>
      <c r="IM106" s="25"/>
      <c r="IN106" s="25"/>
      <c r="IO106" s="25"/>
      <c r="IP106" s="25"/>
      <c r="IQ106" s="25"/>
      <c r="IR106" s="25"/>
    </row>
    <row r="107" spans="1:252" ht="18.75" customHeight="1" x14ac:dyDescent="0.25">
      <c r="A107" s="104"/>
      <c r="B107" s="556" t="s">
        <v>789</v>
      </c>
      <c r="C107" s="105"/>
      <c r="D107" s="105"/>
      <c r="E107" s="105"/>
      <c r="F107" s="138"/>
      <c r="G107" s="105"/>
      <c r="H107" s="105"/>
      <c r="I107" s="106"/>
    </row>
    <row r="108" spans="1:252" ht="32.25" customHeight="1" outlineLevel="1" x14ac:dyDescent="0.25">
      <c r="A108" s="107" t="s">
        <v>219</v>
      </c>
      <c r="B108" s="531" t="s">
        <v>1285</v>
      </c>
      <c r="C108" s="30" t="s">
        <v>8</v>
      </c>
      <c r="D108" s="256">
        <f>кладка!J11-окна!Q33-окна!T26</f>
        <v>304.53813700000001</v>
      </c>
      <c r="E108" s="256">
        <v>1600</v>
      </c>
      <c r="F108" s="11"/>
      <c r="G108" s="2">
        <f>ROUND(E108*D108,2)</f>
        <v>487261.02</v>
      </c>
      <c r="H108" s="2"/>
      <c r="I108" s="11">
        <f>G108+H108</f>
        <v>487261.02</v>
      </c>
      <c r="J108" s="25">
        <f>D108+D112</f>
        <v>333.08888050000002</v>
      </c>
      <c r="K108" s="280"/>
    </row>
    <row r="109" spans="1:252" ht="17.25" customHeight="1" outlineLevel="1" x14ac:dyDescent="0.25">
      <c r="A109" s="84"/>
      <c r="B109" s="361" t="s">
        <v>796</v>
      </c>
      <c r="C109" s="2" t="s">
        <v>12</v>
      </c>
      <c r="D109" s="282">
        <f>D108*400</f>
        <v>121815.2548</v>
      </c>
      <c r="E109" s="158"/>
      <c r="F109" s="664">
        <v>8.27</v>
      </c>
      <c r="G109" s="2"/>
      <c r="H109" s="2">
        <f>ROUND(D109*F109,2)</f>
        <v>1007412.16</v>
      </c>
      <c r="I109" s="11">
        <f>G109+H109</f>
        <v>1007412.16</v>
      </c>
      <c r="K109" s="280"/>
    </row>
    <row r="110" spans="1:252" ht="17.25" customHeight="1" outlineLevel="1" x14ac:dyDescent="0.25">
      <c r="A110" s="84"/>
      <c r="B110" s="361" t="s">
        <v>797</v>
      </c>
      <c r="C110" s="2" t="s">
        <v>8</v>
      </c>
      <c r="D110" s="282">
        <f>ROUND(0.23*D108,2)</f>
        <v>70.040000000000006</v>
      </c>
      <c r="E110" s="158"/>
      <c r="F110" s="361">
        <v>2600</v>
      </c>
      <c r="G110" s="2"/>
      <c r="H110" s="2">
        <f>ROUND(D110*F110,2)</f>
        <v>182104</v>
      </c>
      <c r="I110" s="11">
        <f>G110+H110</f>
        <v>182104</v>
      </c>
      <c r="K110" s="280"/>
    </row>
    <row r="111" spans="1:252" ht="17.25" customHeight="1" outlineLevel="1" x14ac:dyDescent="0.25">
      <c r="A111" s="84"/>
      <c r="B111" s="361" t="s">
        <v>862</v>
      </c>
      <c r="C111" s="2" t="s">
        <v>9</v>
      </c>
      <c r="D111" s="282">
        <f>(1762*2.02+195*2.73)/1000</f>
        <v>4.0915900000000001</v>
      </c>
      <c r="E111" s="158"/>
      <c r="F111" s="361">
        <v>42000</v>
      </c>
      <c r="G111" s="2"/>
      <c r="H111" s="2">
        <f>ROUND(D111*F111,2)</f>
        <v>171846.78</v>
      </c>
      <c r="I111" s="11">
        <f>G111+H111</f>
        <v>171846.78</v>
      </c>
      <c r="K111" s="280"/>
    </row>
    <row r="112" spans="1:252" ht="18.75" customHeight="1" outlineLevel="1" x14ac:dyDescent="0.25">
      <c r="A112" s="107" t="s">
        <v>498</v>
      </c>
      <c r="B112" s="531" t="s">
        <v>963</v>
      </c>
      <c r="C112" s="30" t="s">
        <v>8</v>
      </c>
      <c r="D112" s="256">
        <f>кладка!N11</f>
        <v>28.550743500000003</v>
      </c>
      <c r="E112" s="256">
        <v>1600</v>
      </c>
      <c r="F112" s="11"/>
      <c r="G112" s="2">
        <f>ROUND(E112*D112,2)</f>
        <v>45681.19</v>
      </c>
      <c r="H112" s="2"/>
      <c r="I112" s="11">
        <f t="shared" ref="I112:I147" si="7">G112+H112</f>
        <v>45681.19</v>
      </c>
      <c r="K112" s="280"/>
    </row>
    <row r="113" spans="1:12" ht="33.75" customHeight="1" outlineLevel="1" x14ac:dyDescent="0.25">
      <c r="A113" s="84"/>
      <c r="B113" s="361" t="s">
        <v>793</v>
      </c>
      <c r="C113" s="2" t="s">
        <v>12</v>
      </c>
      <c r="D113" s="282">
        <f>D112*513</f>
        <v>14646.531415500001</v>
      </c>
      <c r="E113" s="158"/>
      <c r="F113" s="664">
        <v>10.75</v>
      </c>
      <c r="G113" s="2"/>
      <c r="H113" s="2">
        <f>ROUND(D113*F113,2)</f>
        <v>157450.21</v>
      </c>
      <c r="I113" s="11">
        <f t="shared" si="7"/>
        <v>157450.21</v>
      </c>
      <c r="K113" s="280"/>
    </row>
    <row r="114" spans="1:12" ht="15" customHeight="1" outlineLevel="1" x14ac:dyDescent="0.25">
      <c r="A114" s="84"/>
      <c r="B114" s="361" t="s">
        <v>797</v>
      </c>
      <c r="C114" s="2" t="s">
        <v>8</v>
      </c>
      <c r="D114" s="282">
        <f>ROUND(0.23*D112,2)</f>
        <v>6.57</v>
      </c>
      <c r="E114" s="158"/>
      <c r="F114" s="361">
        <v>2600</v>
      </c>
      <c r="G114" s="2"/>
      <c r="H114" s="2">
        <f>ROUND(D114*F114,2)</f>
        <v>17082</v>
      </c>
      <c r="I114" s="11">
        <f t="shared" si="7"/>
        <v>17082</v>
      </c>
      <c r="K114" s="280"/>
    </row>
    <row r="115" spans="1:12" ht="16.5" hidden="1" customHeight="1" outlineLevel="1" x14ac:dyDescent="0.25">
      <c r="A115" s="84"/>
      <c r="B115" s="164" t="s">
        <v>794</v>
      </c>
      <c r="C115" s="2" t="s">
        <v>8</v>
      </c>
      <c r="D115" s="401">
        <v>0</v>
      </c>
      <c r="E115" s="158"/>
      <c r="F115" s="164">
        <v>4100</v>
      </c>
      <c r="G115" s="2"/>
      <c r="H115" s="2">
        <f>ROUND(D115*F115,2)</f>
        <v>0</v>
      </c>
      <c r="I115" s="11">
        <f t="shared" si="7"/>
        <v>0</v>
      </c>
      <c r="K115" s="280"/>
    </row>
    <row r="116" spans="1:12" ht="15" hidden="1" customHeight="1" outlineLevel="1" x14ac:dyDescent="0.25">
      <c r="A116" s="107" t="s">
        <v>501</v>
      </c>
      <c r="B116" s="379" t="s">
        <v>964</v>
      </c>
      <c r="C116" s="30" t="s">
        <v>8</v>
      </c>
      <c r="D116" s="351">
        <v>0</v>
      </c>
      <c r="E116" s="166">
        <v>1500</v>
      </c>
      <c r="F116" s="11"/>
      <c r="G116" s="2">
        <f>ROUND(E116*D116,2)</f>
        <v>0</v>
      </c>
      <c r="H116" s="2"/>
      <c r="I116" s="11">
        <f t="shared" si="7"/>
        <v>0</v>
      </c>
      <c r="K116" s="280"/>
    </row>
    <row r="117" spans="1:12" ht="15" hidden="1" customHeight="1" outlineLevel="1" x14ac:dyDescent="0.25">
      <c r="A117" s="84"/>
      <c r="B117" s="368" t="s">
        <v>796</v>
      </c>
      <c r="C117" s="2" t="s">
        <v>12</v>
      </c>
      <c r="D117" s="401">
        <f>D116*400</f>
        <v>0</v>
      </c>
      <c r="E117" s="158"/>
      <c r="F117" s="361">
        <v>11.7</v>
      </c>
      <c r="G117" s="2"/>
      <c r="H117" s="2">
        <f>ROUND(D117*F117,2)</f>
        <v>0</v>
      </c>
      <c r="I117" s="11">
        <f t="shared" si="7"/>
        <v>0</v>
      </c>
      <c r="K117" s="280"/>
    </row>
    <row r="118" spans="1:12" ht="15" hidden="1" customHeight="1" outlineLevel="1" x14ac:dyDescent="0.25">
      <c r="A118" s="84"/>
      <c r="B118" s="368" t="s">
        <v>756</v>
      </c>
      <c r="C118" s="2" t="s">
        <v>8</v>
      </c>
      <c r="D118" s="401">
        <f>ROUND(0.23*D116,2)</f>
        <v>0</v>
      </c>
      <c r="E118" s="158"/>
      <c r="F118" s="361">
        <v>2700</v>
      </c>
      <c r="G118" s="2"/>
      <c r="H118" s="2">
        <f>ROUND(D118*F118,2)</f>
        <v>0</v>
      </c>
      <c r="I118" s="11">
        <f t="shared" si="7"/>
        <v>0</v>
      </c>
      <c r="K118" s="280"/>
    </row>
    <row r="119" spans="1:12" ht="18.899999999999999" hidden="1" customHeight="1" outlineLevel="1" x14ac:dyDescent="0.25">
      <c r="A119" s="107" t="s">
        <v>502</v>
      </c>
      <c r="B119" s="379" t="s">
        <v>795</v>
      </c>
      <c r="C119" s="30" t="s">
        <v>8</v>
      </c>
      <c r="D119" s="351">
        <v>0</v>
      </c>
      <c r="E119" s="166">
        <v>1500</v>
      </c>
      <c r="F119" s="11"/>
      <c r="G119" s="2">
        <f>ROUND(E119*D119,2)</f>
        <v>0</v>
      </c>
      <c r="H119" s="2"/>
      <c r="I119" s="11">
        <f t="shared" si="7"/>
        <v>0</v>
      </c>
      <c r="K119" s="280"/>
    </row>
    <row r="120" spans="1:12" ht="15.75" hidden="1" customHeight="1" outlineLevel="1" x14ac:dyDescent="0.25">
      <c r="A120" s="84"/>
      <c r="B120" s="368" t="s">
        <v>796</v>
      </c>
      <c r="C120" s="2" t="s">
        <v>12</v>
      </c>
      <c r="D120" s="401">
        <f>D119*400</f>
        <v>0</v>
      </c>
      <c r="E120" s="158"/>
      <c r="F120" s="361">
        <v>11.7</v>
      </c>
      <c r="G120" s="2"/>
      <c r="H120" s="2">
        <f>ROUND(D120*F120,2)</f>
        <v>0</v>
      </c>
      <c r="I120" s="11">
        <f t="shared" si="7"/>
        <v>0</v>
      </c>
      <c r="K120" s="280"/>
    </row>
    <row r="121" spans="1:12" ht="15" hidden="1" customHeight="1" outlineLevel="1" x14ac:dyDescent="0.25">
      <c r="A121" s="84"/>
      <c r="B121" s="368" t="s">
        <v>756</v>
      </c>
      <c r="C121" s="2" t="s">
        <v>8</v>
      </c>
      <c r="D121" s="401">
        <f>ROUND(0.23*D119,2)</f>
        <v>0</v>
      </c>
      <c r="E121" s="158"/>
      <c r="F121" s="361">
        <v>2700</v>
      </c>
      <c r="G121" s="2"/>
      <c r="H121" s="2">
        <f>ROUND(D121*F121,2)</f>
        <v>0</v>
      </c>
      <c r="I121" s="11">
        <f t="shared" si="7"/>
        <v>0</v>
      </c>
      <c r="K121" s="280"/>
    </row>
    <row r="122" spans="1:12" ht="31.2" outlineLevel="1" x14ac:dyDescent="0.25">
      <c r="A122" s="107" t="s">
        <v>499</v>
      </c>
      <c r="B122" s="531" t="s">
        <v>798</v>
      </c>
      <c r="C122" s="30" t="s">
        <v>8</v>
      </c>
      <c r="D122" s="541">
        <f>кладка!O55</f>
        <v>13.281265999999992</v>
      </c>
      <c r="E122" s="256">
        <v>1600</v>
      </c>
      <c r="F122" s="11"/>
      <c r="G122" s="2">
        <f>ROUND(E122*D122,2)</f>
        <v>21250.03</v>
      </c>
      <c r="H122" s="2"/>
      <c r="I122" s="11">
        <f t="shared" si="7"/>
        <v>21250.03</v>
      </c>
      <c r="K122" s="5"/>
      <c r="L122" s="132"/>
    </row>
    <row r="123" spans="1:12" s="17" customFormat="1" ht="31.2" outlineLevel="1" x14ac:dyDescent="0.25">
      <c r="A123" s="86"/>
      <c r="B123" s="361" t="s">
        <v>799</v>
      </c>
      <c r="C123" s="2" t="s">
        <v>12</v>
      </c>
      <c r="D123" s="282">
        <f>D122*513</f>
        <v>6813.2894579999956</v>
      </c>
      <c r="E123" s="2"/>
      <c r="F123" s="664">
        <v>10.75</v>
      </c>
      <c r="G123" s="2"/>
      <c r="H123" s="2">
        <f>ROUND(D123*F123,2)</f>
        <v>73242.86</v>
      </c>
      <c r="I123" s="11">
        <f t="shared" si="7"/>
        <v>73242.86</v>
      </c>
    </row>
    <row r="124" spans="1:12" s="6" customFormat="1" outlineLevel="1" x14ac:dyDescent="0.25">
      <c r="A124" s="88"/>
      <c r="B124" s="361" t="s">
        <v>800</v>
      </c>
      <c r="C124" s="2" t="s">
        <v>8</v>
      </c>
      <c r="D124" s="282">
        <f>ROUND(0.23*D122,2)</f>
        <v>3.05</v>
      </c>
      <c r="E124" s="2"/>
      <c r="F124" s="361">
        <v>2500</v>
      </c>
      <c r="G124" s="2"/>
      <c r="H124" s="2">
        <f>ROUND(D124*F124,2)</f>
        <v>7625</v>
      </c>
      <c r="I124" s="11">
        <f t="shared" si="7"/>
        <v>7625</v>
      </c>
    </row>
    <row r="125" spans="1:12" s="6" customFormat="1" outlineLevel="1" x14ac:dyDescent="0.25">
      <c r="A125" s="83"/>
      <c r="B125" s="361" t="s">
        <v>794</v>
      </c>
      <c r="C125" s="2" t="s">
        <v>8</v>
      </c>
      <c r="D125" s="542">
        <f>кладка!P55*0.15</f>
        <v>13.438949999999997</v>
      </c>
      <c r="E125" s="2"/>
      <c r="F125" s="664">
        <v>3196</v>
      </c>
      <c r="G125" s="2"/>
      <c r="H125" s="2">
        <f>ROUND(D125*F125,2)</f>
        <v>42950.879999999997</v>
      </c>
      <c r="I125" s="11">
        <f t="shared" si="7"/>
        <v>42950.879999999997</v>
      </c>
    </row>
    <row r="126" spans="1:12" s="6" customFormat="1" outlineLevel="1" x14ac:dyDescent="0.25">
      <c r="A126" s="107" t="s">
        <v>500</v>
      </c>
      <c r="B126" s="539" t="s">
        <v>16</v>
      </c>
      <c r="C126" s="31" t="s">
        <v>12</v>
      </c>
      <c r="D126" s="268">
        <f>SUM(D127:D135)</f>
        <v>115</v>
      </c>
      <c r="E126" s="256">
        <v>100</v>
      </c>
      <c r="F126" s="11"/>
      <c r="G126" s="2">
        <f>ROUND(E126*D126,2)</f>
        <v>11500</v>
      </c>
      <c r="H126" s="2"/>
      <c r="I126" s="11">
        <f t="shared" si="7"/>
        <v>11500</v>
      </c>
    </row>
    <row r="127" spans="1:12" s="6" customFormat="1" outlineLevel="1" x14ac:dyDescent="0.25">
      <c r="A127" s="83"/>
      <c r="B127" s="377" t="s">
        <v>855</v>
      </c>
      <c r="C127" s="2" t="s">
        <v>12</v>
      </c>
      <c r="D127" s="540">
        <f>15</f>
        <v>15</v>
      </c>
      <c r="E127" s="2"/>
      <c r="F127" s="664">
        <v>2147</v>
      </c>
      <c r="G127" s="2"/>
      <c r="H127" s="2">
        <f>ROUND(D127*F127,2)</f>
        <v>32205</v>
      </c>
      <c r="I127" s="11">
        <f t="shared" si="7"/>
        <v>32205</v>
      </c>
    </row>
    <row r="128" spans="1:12" s="6" customFormat="1" outlineLevel="1" x14ac:dyDescent="0.25">
      <c r="A128" s="83"/>
      <c r="B128" s="377" t="s">
        <v>857</v>
      </c>
      <c r="C128" s="2" t="s">
        <v>12</v>
      </c>
      <c r="D128" s="540">
        <f>12</f>
        <v>12</v>
      </c>
      <c r="E128" s="2"/>
      <c r="F128" s="664">
        <v>1415</v>
      </c>
      <c r="G128" s="2"/>
      <c r="H128" s="2">
        <f t="shared" ref="H128:H139" si="8">ROUND(D128*F128,2)</f>
        <v>16980</v>
      </c>
      <c r="I128" s="11">
        <f t="shared" si="7"/>
        <v>16980</v>
      </c>
    </row>
    <row r="129" spans="1:11" s="6" customFormat="1" outlineLevel="1" x14ac:dyDescent="0.25">
      <c r="A129" s="83"/>
      <c r="B129" s="377" t="s">
        <v>859</v>
      </c>
      <c r="C129" s="2" t="s">
        <v>12</v>
      </c>
      <c r="D129" s="540">
        <f>12</f>
        <v>12</v>
      </c>
      <c r="E129" s="2"/>
      <c r="F129" s="664">
        <v>1317</v>
      </c>
      <c r="G129" s="2"/>
      <c r="H129" s="2">
        <f t="shared" si="8"/>
        <v>15804</v>
      </c>
      <c r="I129" s="11">
        <f t="shared" si="7"/>
        <v>15804</v>
      </c>
    </row>
    <row r="130" spans="1:11" s="6" customFormat="1" outlineLevel="1" x14ac:dyDescent="0.25">
      <c r="A130" s="83"/>
      <c r="B130" s="361" t="s">
        <v>872</v>
      </c>
      <c r="C130" s="2" t="s">
        <v>12</v>
      </c>
      <c r="D130" s="277">
        <f>36</f>
        <v>36</v>
      </c>
      <c r="E130" s="2"/>
      <c r="F130" s="664">
        <v>495</v>
      </c>
      <c r="G130" s="2"/>
      <c r="H130" s="2">
        <f t="shared" si="8"/>
        <v>17820</v>
      </c>
      <c r="I130" s="11">
        <f t="shared" si="7"/>
        <v>17820</v>
      </c>
    </row>
    <row r="131" spans="1:11" s="6" customFormat="1" outlineLevel="1" x14ac:dyDescent="0.25">
      <c r="A131" s="83"/>
      <c r="B131" s="361" t="s">
        <v>873</v>
      </c>
      <c r="C131" s="2" t="s">
        <v>12</v>
      </c>
      <c r="D131" s="277">
        <f>3</f>
        <v>3</v>
      </c>
      <c r="E131" s="2"/>
      <c r="F131" s="664">
        <v>310</v>
      </c>
      <c r="G131" s="2"/>
      <c r="H131" s="2">
        <f t="shared" si="8"/>
        <v>930</v>
      </c>
      <c r="I131" s="11">
        <f t="shared" si="7"/>
        <v>930</v>
      </c>
    </row>
    <row r="132" spans="1:11" s="6" customFormat="1" outlineLevel="1" x14ac:dyDescent="0.25">
      <c r="A132" s="83"/>
      <c r="B132" s="535" t="s">
        <v>876</v>
      </c>
      <c r="C132" s="2" t="s">
        <v>12</v>
      </c>
      <c r="D132" s="277">
        <f>13</f>
        <v>13</v>
      </c>
      <c r="E132" s="2"/>
      <c r="F132" s="664">
        <v>631</v>
      </c>
      <c r="G132" s="2"/>
      <c r="H132" s="2">
        <f t="shared" si="8"/>
        <v>8203</v>
      </c>
      <c r="I132" s="11">
        <f t="shared" si="7"/>
        <v>8203</v>
      </c>
    </row>
    <row r="133" spans="1:11" s="6" customFormat="1" outlineLevel="1" x14ac:dyDescent="0.25">
      <c r="A133" s="83"/>
      <c r="B133" s="535" t="s">
        <v>880</v>
      </c>
      <c r="C133" s="2" t="s">
        <v>12</v>
      </c>
      <c r="D133" s="277">
        <f>9+3</f>
        <v>12</v>
      </c>
      <c r="E133" s="2"/>
      <c r="F133" s="664">
        <v>386</v>
      </c>
      <c r="G133" s="2"/>
      <c r="H133" s="2">
        <f t="shared" si="8"/>
        <v>4632</v>
      </c>
      <c r="I133" s="11">
        <f t="shared" si="7"/>
        <v>4632</v>
      </c>
    </row>
    <row r="134" spans="1:11" s="6" customFormat="1" outlineLevel="1" x14ac:dyDescent="0.25">
      <c r="A134" s="83"/>
      <c r="B134" s="535" t="s">
        <v>861</v>
      </c>
      <c r="C134" s="2" t="s">
        <v>12</v>
      </c>
      <c r="D134" s="277">
        <f>2</f>
        <v>2</v>
      </c>
      <c r="E134" s="2"/>
      <c r="F134" s="664">
        <v>2139</v>
      </c>
      <c r="G134" s="2"/>
      <c r="H134" s="2">
        <f t="shared" si="8"/>
        <v>4278</v>
      </c>
      <c r="I134" s="11">
        <f t="shared" si="7"/>
        <v>4278</v>
      </c>
    </row>
    <row r="135" spans="1:11" s="6" customFormat="1" outlineLevel="1" x14ac:dyDescent="0.25">
      <c r="A135" s="83"/>
      <c r="B135" s="535" t="s">
        <v>882</v>
      </c>
      <c r="C135" s="41" t="s">
        <v>12</v>
      </c>
      <c r="D135" s="277">
        <f>10</f>
        <v>10</v>
      </c>
      <c r="E135" s="2"/>
      <c r="F135" s="361">
        <v>454</v>
      </c>
      <c r="G135" s="2"/>
      <c r="H135" s="2">
        <f t="shared" si="8"/>
        <v>4540</v>
      </c>
      <c r="I135" s="11">
        <f t="shared" si="7"/>
        <v>4540</v>
      </c>
    </row>
    <row r="136" spans="1:11" s="6" customFormat="1" outlineLevel="1" x14ac:dyDescent="0.25">
      <c r="A136" s="83"/>
      <c r="B136" s="535" t="s">
        <v>875</v>
      </c>
      <c r="C136" s="41" t="s">
        <v>15</v>
      </c>
      <c r="D136" s="277">
        <f>8*6.7+6*7.42+2*10.44</f>
        <v>119</v>
      </c>
      <c r="E136" s="2"/>
      <c r="F136" s="364">
        <v>36</v>
      </c>
      <c r="G136" s="2"/>
      <c r="H136" s="2">
        <f t="shared" si="8"/>
        <v>4284</v>
      </c>
      <c r="I136" s="11">
        <f t="shared" si="7"/>
        <v>4284</v>
      </c>
    </row>
    <row r="137" spans="1:11" s="6" customFormat="1" outlineLevel="1" x14ac:dyDescent="0.25">
      <c r="A137" s="83"/>
      <c r="B137" s="535" t="s">
        <v>883</v>
      </c>
      <c r="C137" s="41" t="s">
        <v>15</v>
      </c>
      <c r="D137" s="277">
        <f>30*0.86</f>
        <v>25.8</v>
      </c>
      <c r="E137" s="2"/>
      <c r="F137" s="364">
        <v>33</v>
      </c>
      <c r="G137" s="2"/>
      <c r="H137" s="2">
        <f t="shared" si="8"/>
        <v>851.4</v>
      </c>
      <c r="I137" s="11">
        <f t="shared" si="7"/>
        <v>851.4</v>
      </c>
    </row>
    <row r="138" spans="1:11" s="6" customFormat="1" outlineLevel="1" x14ac:dyDescent="0.25">
      <c r="A138" s="83"/>
      <c r="B138" s="535" t="s">
        <v>884</v>
      </c>
      <c r="C138" s="41" t="s">
        <v>15</v>
      </c>
      <c r="D138" s="275">
        <f>3*2.37</f>
        <v>7.11</v>
      </c>
      <c r="E138" s="351"/>
      <c r="F138" s="364">
        <v>33</v>
      </c>
      <c r="G138" s="2"/>
      <c r="H138" s="2">
        <f t="shared" si="8"/>
        <v>234.63</v>
      </c>
      <c r="I138" s="11">
        <f t="shared" si="7"/>
        <v>234.63</v>
      </c>
      <c r="K138" s="5"/>
    </row>
    <row r="139" spans="1:11" s="6" customFormat="1" outlineLevel="1" x14ac:dyDescent="0.25">
      <c r="A139" s="76"/>
      <c r="B139" s="535" t="s">
        <v>1370</v>
      </c>
      <c r="C139" s="41" t="s">
        <v>15</v>
      </c>
      <c r="D139" s="277">
        <f>20*9.05</f>
        <v>181</v>
      </c>
      <c r="E139" s="2"/>
      <c r="F139" s="364">
        <v>33</v>
      </c>
      <c r="G139" s="2"/>
      <c r="H139" s="2">
        <f t="shared" si="8"/>
        <v>5973</v>
      </c>
      <c r="I139" s="11">
        <f t="shared" si="7"/>
        <v>5973</v>
      </c>
      <c r="K139" s="5"/>
    </row>
    <row r="140" spans="1:11" s="6" customFormat="1" outlineLevel="1" x14ac:dyDescent="0.25">
      <c r="A140" s="107" t="s">
        <v>501</v>
      </c>
      <c r="B140" s="531" t="s">
        <v>965</v>
      </c>
      <c r="C140" s="30" t="s">
        <v>8</v>
      </c>
      <c r="D140" s="256">
        <v>39</v>
      </c>
      <c r="E140" s="256">
        <v>1600</v>
      </c>
      <c r="F140" s="11"/>
      <c r="G140" s="2">
        <f>ROUND(E140*D140,2)</f>
        <v>62400</v>
      </c>
      <c r="H140" s="2"/>
      <c r="I140" s="11">
        <f t="shared" si="7"/>
        <v>62400</v>
      </c>
      <c r="K140" s="5"/>
    </row>
    <row r="141" spans="1:11" s="6" customFormat="1" outlineLevel="1" x14ac:dyDescent="0.25">
      <c r="A141" s="76"/>
      <c r="B141" s="361" t="s">
        <v>966</v>
      </c>
      <c r="C141" s="2" t="s">
        <v>8</v>
      </c>
      <c r="D141" s="540">
        <f>D140*1.05</f>
        <v>40.950000000000003</v>
      </c>
      <c r="E141" s="2"/>
      <c r="F141" s="361">
        <v>3450</v>
      </c>
      <c r="G141" s="2"/>
      <c r="H141" s="2">
        <f>ROUND(D141*F141,2)</f>
        <v>141277.5</v>
      </c>
      <c r="I141" s="11">
        <f t="shared" si="7"/>
        <v>141277.5</v>
      </c>
      <c r="K141" s="5"/>
    </row>
    <row r="142" spans="1:11" s="6" customFormat="1" outlineLevel="1" x14ac:dyDescent="0.25">
      <c r="A142" s="76"/>
      <c r="B142" s="361" t="s">
        <v>756</v>
      </c>
      <c r="C142" s="2" t="s">
        <v>8</v>
      </c>
      <c r="D142" s="282">
        <f>ROUND(0.23*D140,2)</f>
        <v>8.9700000000000006</v>
      </c>
      <c r="E142" s="2"/>
      <c r="F142" s="361">
        <v>2500</v>
      </c>
      <c r="G142" s="2"/>
      <c r="H142" s="2">
        <f>ROUND(D142*F142,2)</f>
        <v>22425</v>
      </c>
      <c r="I142" s="11">
        <f t="shared" si="7"/>
        <v>22425</v>
      </c>
      <c r="K142" s="5"/>
    </row>
    <row r="143" spans="1:11" s="6" customFormat="1" ht="31.2" outlineLevel="1" x14ac:dyDescent="0.25">
      <c r="A143" s="107" t="s">
        <v>502</v>
      </c>
      <c r="B143" s="531" t="s">
        <v>645</v>
      </c>
      <c r="C143" s="174" t="s">
        <v>14</v>
      </c>
      <c r="D143" s="256">
        <v>277</v>
      </c>
      <c r="E143" s="256">
        <v>500</v>
      </c>
      <c r="F143" s="11"/>
      <c r="G143" s="2">
        <f>ROUND(E143*D143,2)</f>
        <v>138500</v>
      </c>
      <c r="H143" s="2"/>
      <c r="I143" s="11">
        <f t="shared" si="7"/>
        <v>138500</v>
      </c>
    </row>
    <row r="144" spans="1:11" s="6" customFormat="1" ht="31.2" outlineLevel="1" x14ac:dyDescent="0.25">
      <c r="A144" s="76"/>
      <c r="B144" s="361" t="s">
        <v>968</v>
      </c>
      <c r="C144" s="2" t="s">
        <v>14</v>
      </c>
      <c r="D144" s="282">
        <f>D143*1.012</f>
        <v>280.32400000000001</v>
      </c>
      <c r="E144" s="2"/>
      <c r="F144" s="664">
        <v>351</v>
      </c>
      <c r="G144" s="2"/>
      <c r="H144" s="2">
        <f>ROUND(D144*F144,2)</f>
        <v>98393.72</v>
      </c>
      <c r="I144" s="11">
        <f t="shared" si="7"/>
        <v>98393.72</v>
      </c>
    </row>
    <row r="145" spans="1:11" s="6" customFormat="1" outlineLevel="1" x14ac:dyDescent="0.25">
      <c r="A145" s="76"/>
      <c r="B145" s="361" t="s">
        <v>642</v>
      </c>
      <c r="C145" s="2" t="s">
        <v>12</v>
      </c>
      <c r="D145" s="282">
        <f>D143*0.75</f>
        <v>207.75</v>
      </c>
      <c r="E145" s="2"/>
      <c r="F145" s="164">
        <v>2.79</v>
      </c>
      <c r="G145" s="2"/>
      <c r="H145" s="2">
        <f>ROUND(D145*F145,2)</f>
        <v>579.62</v>
      </c>
      <c r="I145" s="11">
        <f t="shared" si="7"/>
        <v>579.62</v>
      </c>
    </row>
    <row r="146" spans="1:11" s="6" customFormat="1" ht="31.2" outlineLevel="1" x14ac:dyDescent="0.25">
      <c r="A146" s="76"/>
      <c r="B146" s="361" t="s">
        <v>644</v>
      </c>
      <c r="C146" s="2" t="s">
        <v>643</v>
      </c>
      <c r="D146" s="282">
        <f>D143*0.026</f>
        <v>7.202</v>
      </c>
      <c r="E146" s="2"/>
      <c r="F146" s="164">
        <v>110</v>
      </c>
      <c r="G146" s="2"/>
      <c r="H146" s="2">
        <f>ROUND(D146*F146,2)</f>
        <v>792.22</v>
      </c>
      <c r="I146" s="11">
        <f t="shared" si="7"/>
        <v>792.22</v>
      </c>
    </row>
    <row r="147" spans="1:11" s="6" customFormat="1" outlineLevel="1" x14ac:dyDescent="0.25">
      <c r="A147" s="76"/>
      <c r="B147" s="361" t="s">
        <v>967</v>
      </c>
      <c r="C147" s="2" t="s">
        <v>15</v>
      </c>
      <c r="D147" s="282">
        <f>D143*2</f>
        <v>554</v>
      </c>
      <c r="E147" s="2"/>
      <c r="F147" s="164">
        <v>8.9700000000000006</v>
      </c>
      <c r="G147" s="2"/>
      <c r="H147" s="2">
        <f>ROUND(D147*F147,2)</f>
        <v>4969.38</v>
      </c>
      <c r="I147" s="11">
        <f t="shared" si="7"/>
        <v>4969.38</v>
      </c>
    </row>
    <row r="148" spans="1:11" s="6" customFormat="1" ht="31.2" outlineLevel="1" x14ac:dyDescent="0.25">
      <c r="A148" s="107" t="s">
        <v>503</v>
      </c>
      <c r="B148" s="531" t="s">
        <v>646</v>
      </c>
      <c r="C148" s="174" t="s">
        <v>14</v>
      </c>
      <c r="D148" s="256">
        <v>142</v>
      </c>
      <c r="E148" s="256">
        <v>500</v>
      </c>
      <c r="F148" s="164"/>
      <c r="G148" s="2">
        <f>ROUND(E148*D148,2)</f>
        <v>71000</v>
      </c>
      <c r="H148" s="2"/>
      <c r="I148" s="11">
        <f t="shared" ref="I148:I156" si="9">G148+H148</f>
        <v>71000</v>
      </c>
    </row>
    <row r="149" spans="1:11" s="6" customFormat="1" ht="31.2" outlineLevel="1" x14ac:dyDescent="0.25">
      <c r="A149" s="76"/>
      <c r="B149" s="361" t="s">
        <v>647</v>
      </c>
      <c r="C149" s="2" t="s">
        <v>14</v>
      </c>
      <c r="D149" s="282">
        <f>D148*1.012</f>
        <v>143.70400000000001</v>
      </c>
      <c r="E149" s="2"/>
      <c r="F149" s="664">
        <v>405</v>
      </c>
      <c r="G149" s="2"/>
      <c r="H149" s="2">
        <f>ROUND(D149*F149,2)</f>
        <v>58200.12</v>
      </c>
      <c r="I149" s="11">
        <f t="shared" si="9"/>
        <v>58200.12</v>
      </c>
    </row>
    <row r="150" spans="1:11" s="6" customFormat="1" outlineLevel="1" x14ac:dyDescent="0.25">
      <c r="A150" s="76"/>
      <c r="B150" s="361" t="s">
        <v>642</v>
      </c>
      <c r="C150" s="2" t="s">
        <v>12</v>
      </c>
      <c r="D150" s="282">
        <f>D148*0.75</f>
        <v>106.5</v>
      </c>
      <c r="E150" s="2"/>
      <c r="F150" s="164">
        <v>2.79</v>
      </c>
      <c r="G150" s="2"/>
      <c r="H150" s="2">
        <f>ROUND(D150*F150,2)</f>
        <v>297.14</v>
      </c>
      <c r="I150" s="11">
        <f t="shared" si="9"/>
        <v>297.14</v>
      </c>
    </row>
    <row r="151" spans="1:11" s="6" customFormat="1" ht="31.2" outlineLevel="1" x14ac:dyDescent="0.25">
      <c r="A151" s="76"/>
      <c r="B151" s="361" t="s">
        <v>644</v>
      </c>
      <c r="C151" s="2" t="s">
        <v>643</v>
      </c>
      <c r="D151" s="282">
        <f>D148*0.026</f>
        <v>3.6919999999999997</v>
      </c>
      <c r="E151" s="2"/>
      <c r="F151" s="164">
        <v>110</v>
      </c>
      <c r="G151" s="2"/>
      <c r="H151" s="2">
        <f>ROUND(D151*F151,2)</f>
        <v>406.12</v>
      </c>
      <c r="I151" s="11">
        <f t="shared" si="9"/>
        <v>406.12</v>
      </c>
    </row>
    <row r="152" spans="1:11" s="6" customFormat="1" outlineLevel="1" x14ac:dyDescent="0.25">
      <c r="A152" s="76"/>
      <c r="B152" s="361" t="s">
        <v>967</v>
      </c>
      <c r="C152" s="2" t="s">
        <v>15</v>
      </c>
      <c r="D152" s="282">
        <f>D148*2</f>
        <v>284</v>
      </c>
      <c r="E152" s="2"/>
      <c r="F152" s="164">
        <v>8.9700000000000006</v>
      </c>
      <c r="G152" s="2"/>
      <c r="H152" s="2">
        <f>ROUND(D152*F152,2)</f>
        <v>2547.48</v>
      </c>
      <c r="I152" s="11">
        <f t="shared" si="9"/>
        <v>2547.48</v>
      </c>
    </row>
    <row r="153" spans="1:11" s="6" customFormat="1" hidden="1" outlineLevel="1" x14ac:dyDescent="0.25">
      <c r="A153" s="519" t="s">
        <v>504</v>
      </c>
      <c r="B153" s="330" t="s">
        <v>376</v>
      </c>
      <c r="C153" s="46" t="s">
        <v>9</v>
      </c>
      <c r="D153" s="336">
        <v>0</v>
      </c>
      <c r="E153" s="256">
        <v>15000</v>
      </c>
      <c r="F153" s="56"/>
      <c r="G153" s="2">
        <f>ROUND(E153*D153,2)</f>
        <v>0</v>
      </c>
      <c r="H153" s="11"/>
      <c r="I153" s="11">
        <f t="shared" si="9"/>
        <v>0</v>
      </c>
    </row>
    <row r="154" spans="1:11" s="6" customFormat="1" hidden="1" outlineLevel="1" x14ac:dyDescent="0.25">
      <c r="A154" s="265"/>
      <c r="B154" s="335" t="s">
        <v>377</v>
      </c>
      <c r="C154" s="41" t="s">
        <v>9</v>
      </c>
      <c r="D154" s="324">
        <v>0</v>
      </c>
      <c r="E154" s="31"/>
      <c r="F154" s="164">
        <v>32000</v>
      </c>
      <c r="G154" s="10"/>
      <c r="H154" s="2">
        <f>ROUND(D154*F154,2)</f>
        <v>0</v>
      </c>
      <c r="I154" s="11">
        <f t="shared" si="9"/>
        <v>0</v>
      </c>
    </row>
    <row r="155" spans="1:11" s="6" customFormat="1" hidden="1" outlineLevel="1" x14ac:dyDescent="0.25">
      <c r="A155" s="265"/>
      <c r="B155" s="335" t="s">
        <v>378</v>
      </c>
      <c r="C155" s="41" t="s">
        <v>9</v>
      </c>
      <c r="D155" s="324">
        <v>0</v>
      </c>
      <c r="E155" s="31"/>
      <c r="F155" s="164">
        <v>32000</v>
      </c>
      <c r="G155" s="10"/>
      <c r="H155" s="2">
        <f>ROUND(D155*F155,2)</f>
        <v>0</v>
      </c>
      <c r="I155" s="11">
        <f t="shared" si="9"/>
        <v>0</v>
      </c>
    </row>
    <row r="156" spans="1:11" s="6" customFormat="1" hidden="1" outlineLevel="1" x14ac:dyDescent="0.25">
      <c r="A156" s="265"/>
      <c r="B156" s="335" t="s">
        <v>379</v>
      </c>
      <c r="C156" s="41" t="s">
        <v>9</v>
      </c>
      <c r="D156" s="324">
        <v>0</v>
      </c>
      <c r="E156" s="31"/>
      <c r="F156" s="164">
        <v>32000</v>
      </c>
      <c r="G156" s="10"/>
      <c r="H156" s="2">
        <f>ROUND(D156*F156,2)</f>
        <v>0</v>
      </c>
      <c r="I156" s="11">
        <f t="shared" si="9"/>
        <v>0</v>
      </c>
    </row>
    <row r="157" spans="1:11" ht="24" customHeight="1" collapsed="1" x14ac:dyDescent="0.25">
      <c r="A157" s="223"/>
      <c r="B157" s="224" t="s">
        <v>801</v>
      </c>
      <c r="C157" s="225"/>
      <c r="D157" s="226"/>
      <c r="E157" s="227"/>
      <c r="F157" s="228"/>
      <c r="G157" s="227">
        <f>SUM(G108:G156)</f>
        <v>837592.24</v>
      </c>
      <c r="H157" s="227">
        <f>SUM(H108:H156)</f>
        <v>2106337.2200000002</v>
      </c>
      <c r="I157" s="230">
        <f>ROUND(SUM(I108:I156),2)</f>
        <v>2943929.46</v>
      </c>
      <c r="K157" s="133"/>
    </row>
    <row r="158" spans="1:11" s="5" customFormat="1" ht="15.6" customHeight="1" x14ac:dyDescent="0.25">
      <c r="A158" s="89"/>
      <c r="B158" s="58" t="s">
        <v>624</v>
      </c>
      <c r="C158" s="9"/>
      <c r="D158" s="31"/>
      <c r="E158" s="10"/>
      <c r="F158" s="57"/>
      <c r="G158" s="10"/>
      <c r="H158" s="10"/>
      <c r="I158" s="31">
        <f>ROUND(I157/1.18*0.18,2)</f>
        <v>449073.99</v>
      </c>
    </row>
    <row r="159" spans="1:11" s="5" customFormat="1" ht="21" customHeight="1" x14ac:dyDescent="0.25">
      <c r="A159" s="108"/>
      <c r="B159" s="592" t="s">
        <v>802</v>
      </c>
      <c r="C159" s="105"/>
      <c r="D159" s="105"/>
      <c r="E159" s="105"/>
      <c r="F159" s="138"/>
      <c r="G159" s="105"/>
      <c r="H159" s="105"/>
      <c r="I159" s="106"/>
    </row>
    <row r="160" spans="1:11" s="5" customFormat="1" ht="15.6" customHeight="1" x14ac:dyDescent="0.25">
      <c r="A160" s="107" t="s">
        <v>223</v>
      </c>
      <c r="B160" s="536" t="s">
        <v>740</v>
      </c>
      <c r="C160" s="46" t="s">
        <v>12</v>
      </c>
      <c r="D160" s="275">
        <f>SUM(D161:D170)</f>
        <v>111</v>
      </c>
      <c r="E160" s="275">
        <v>600</v>
      </c>
      <c r="F160" s="43"/>
      <c r="G160" s="2">
        <f>ROUND(E160*D160,2)</f>
        <v>66600</v>
      </c>
      <c r="H160" s="11"/>
      <c r="I160" s="11">
        <f>G160+H160</f>
        <v>66600</v>
      </c>
    </row>
    <row r="161" spans="1:9" s="5" customFormat="1" ht="15.6" customHeight="1" x14ac:dyDescent="0.25">
      <c r="A161" s="84"/>
      <c r="B161" s="533" t="s">
        <v>888</v>
      </c>
      <c r="C161" s="2" t="s">
        <v>12</v>
      </c>
      <c r="D161" s="277">
        <v>12</v>
      </c>
      <c r="E161" s="31"/>
      <c r="F161" s="362">
        <v>9478.9</v>
      </c>
      <c r="G161" s="2"/>
      <c r="H161" s="2">
        <f t="shared" ref="H161:H170" si="10">ROUND(D161*F161,2)</f>
        <v>113746.8</v>
      </c>
      <c r="I161" s="60">
        <f t="shared" ref="I161:I176" si="11">G161+H161</f>
        <v>113746.8</v>
      </c>
    </row>
    <row r="162" spans="1:9" s="5" customFormat="1" ht="15.6" customHeight="1" x14ac:dyDescent="0.25">
      <c r="A162" s="84"/>
      <c r="B162" s="533" t="s">
        <v>743</v>
      </c>
      <c r="C162" s="2" t="s">
        <v>12</v>
      </c>
      <c r="D162" s="277">
        <f>36</f>
        <v>36</v>
      </c>
      <c r="E162" s="31"/>
      <c r="F162" s="362">
        <v>9631</v>
      </c>
      <c r="G162" s="2"/>
      <c r="H162" s="2">
        <f t="shared" si="10"/>
        <v>346716</v>
      </c>
      <c r="I162" s="60">
        <f t="shared" si="11"/>
        <v>346716</v>
      </c>
    </row>
    <row r="163" spans="1:9" s="5" customFormat="1" ht="15.6" customHeight="1" x14ac:dyDescent="0.25">
      <c r="A163" s="84"/>
      <c r="B163" s="533" t="s">
        <v>1371</v>
      </c>
      <c r="C163" s="2" t="s">
        <v>12</v>
      </c>
      <c r="D163" s="277">
        <v>2</v>
      </c>
      <c r="E163" s="31"/>
      <c r="F163" s="664">
        <v>5615</v>
      </c>
      <c r="G163" s="2"/>
      <c r="H163" s="2">
        <f t="shared" si="10"/>
        <v>11230</v>
      </c>
      <c r="I163" s="60">
        <f t="shared" si="11"/>
        <v>11230</v>
      </c>
    </row>
    <row r="164" spans="1:9" s="5" customFormat="1" ht="15.6" customHeight="1" x14ac:dyDescent="0.25">
      <c r="A164" s="84"/>
      <c r="B164" s="533" t="s">
        <v>890</v>
      </c>
      <c r="C164" s="2" t="s">
        <v>12</v>
      </c>
      <c r="D164" s="277">
        <v>7</v>
      </c>
      <c r="E164" s="31"/>
      <c r="F164" s="664">
        <v>4445</v>
      </c>
      <c r="G164" s="2"/>
      <c r="H164" s="2">
        <f t="shared" si="10"/>
        <v>31115</v>
      </c>
      <c r="I164" s="60">
        <f t="shared" si="11"/>
        <v>31115</v>
      </c>
    </row>
    <row r="165" spans="1:9" s="5" customFormat="1" ht="15.6" customHeight="1" x14ac:dyDescent="0.25">
      <c r="A165" s="89"/>
      <c r="B165" s="533" t="s">
        <v>742</v>
      </c>
      <c r="C165" s="2" t="s">
        <v>12</v>
      </c>
      <c r="D165" s="277">
        <f>30</f>
        <v>30</v>
      </c>
      <c r="E165" s="31"/>
      <c r="F165" s="664">
        <v>12796</v>
      </c>
      <c r="G165" s="2"/>
      <c r="H165" s="2">
        <f t="shared" si="10"/>
        <v>383880</v>
      </c>
      <c r="I165" s="60">
        <f t="shared" si="11"/>
        <v>383880</v>
      </c>
    </row>
    <row r="166" spans="1:9" s="5" customFormat="1" ht="15.6" customHeight="1" x14ac:dyDescent="0.25">
      <c r="A166" s="89"/>
      <c r="B166" s="533" t="s">
        <v>892</v>
      </c>
      <c r="C166" s="2" t="s">
        <v>12</v>
      </c>
      <c r="D166" s="277">
        <v>9</v>
      </c>
      <c r="E166" s="31"/>
      <c r="F166" s="664">
        <v>10346.25</v>
      </c>
      <c r="G166" s="2"/>
      <c r="H166" s="2">
        <f t="shared" si="10"/>
        <v>93116.25</v>
      </c>
      <c r="I166" s="60">
        <f t="shared" si="11"/>
        <v>93116.25</v>
      </c>
    </row>
    <row r="167" spans="1:9" s="5" customFormat="1" ht="15.6" customHeight="1" x14ac:dyDescent="0.25">
      <c r="A167" s="89"/>
      <c r="B167" s="533" t="s">
        <v>893</v>
      </c>
      <c r="C167" s="2" t="s">
        <v>12</v>
      </c>
      <c r="D167" s="277">
        <f>3</f>
        <v>3</v>
      </c>
      <c r="E167" s="31"/>
      <c r="F167" s="664">
        <v>4457</v>
      </c>
      <c r="G167" s="2"/>
      <c r="H167" s="2">
        <f t="shared" si="10"/>
        <v>13371</v>
      </c>
      <c r="I167" s="60">
        <f t="shared" si="11"/>
        <v>13371</v>
      </c>
    </row>
    <row r="168" spans="1:9" s="5" customFormat="1" ht="15.6" customHeight="1" x14ac:dyDescent="0.25">
      <c r="A168" s="89"/>
      <c r="B168" s="533" t="s">
        <v>747</v>
      </c>
      <c r="C168" s="2" t="s">
        <v>12</v>
      </c>
      <c r="D168" s="277">
        <f>4</f>
        <v>4</v>
      </c>
      <c r="E168" s="31"/>
      <c r="F168" s="362">
        <v>10206.120000000001</v>
      </c>
      <c r="G168" s="2"/>
      <c r="H168" s="2">
        <f t="shared" si="10"/>
        <v>40824.480000000003</v>
      </c>
      <c r="I168" s="60">
        <f t="shared" si="11"/>
        <v>40824.480000000003</v>
      </c>
    </row>
    <row r="169" spans="1:9" s="5" customFormat="1" ht="15.6" customHeight="1" x14ac:dyDescent="0.25">
      <c r="A169" s="89"/>
      <c r="B169" s="533" t="s">
        <v>748</v>
      </c>
      <c r="C169" s="2" t="s">
        <v>12</v>
      </c>
      <c r="D169" s="277">
        <v>4</v>
      </c>
      <c r="E169" s="31"/>
      <c r="F169" s="363">
        <v>10500</v>
      </c>
      <c r="G169" s="2"/>
      <c r="H169" s="2">
        <f t="shared" si="10"/>
        <v>42000</v>
      </c>
      <c r="I169" s="60">
        <f t="shared" si="11"/>
        <v>42000</v>
      </c>
    </row>
    <row r="170" spans="1:9" s="5" customFormat="1" ht="15.6" customHeight="1" x14ac:dyDescent="0.25">
      <c r="A170" s="89"/>
      <c r="B170" s="533" t="s">
        <v>750</v>
      </c>
      <c r="C170" s="2" t="s">
        <v>12</v>
      </c>
      <c r="D170" s="277">
        <v>4</v>
      </c>
      <c r="E170" s="31"/>
      <c r="F170" s="362">
        <v>10358.1</v>
      </c>
      <c r="G170" s="2"/>
      <c r="H170" s="2">
        <f t="shared" si="10"/>
        <v>41432.400000000001</v>
      </c>
      <c r="I170" s="60">
        <f t="shared" si="11"/>
        <v>41432.400000000001</v>
      </c>
    </row>
    <row r="171" spans="1:9" s="5" customFormat="1" ht="18" customHeight="1" x14ac:dyDescent="0.25">
      <c r="A171" s="89"/>
      <c r="B171" s="533" t="s">
        <v>902</v>
      </c>
      <c r="C171" s="41" t="s">
        <v>9</v>
      </c>
      <c r="D171" s="277">
        <f>МЭ!M40/1000</f>
        <v>0.52639000000000002</v>
      </c>
      <c r="E171" s="43"/>
      <c r="F171" s="364">
        <v>33000</v>
      </c>
      <c r="G171" s="18"/>
      <c r="H171" s="2">
        <f>ROUND(D171*F171,2)</f>
        <v>17370.87</v>
      </c>
      <c r="I171" s="11">
        <f t="shared" si="11"/>
        <v>17370.87</v>
      </c>
    </row>
    <row r="172" spans="1:9" s="5" customFormat="1" ht="15.6" customHeight="1" x14ac:dyDescent="0.25">
      <c r="A172" s="89"/>
      <c r="B172" s="533" t="s">
        <v>901</v>
      </c>
      <c r="C172" s="41" t="s">
        <v>15</v>
      </c>
      <c r="D172" s="277">
        <f>24*1.13</f>
        <v>27.119999999999997</v>
      </c>
      <c r="E172" s="43"/>
      <c r="F172" s="364">
        <v>33</v>
      </c>
      <c r="G172" s="18"/>
      <c r="H172" s="2">
        <f>ROUND(D172*F172,2)</f>
        <v>894.96</v>
      </c>
      <c r="I172" s="11">
        <f t="shared" si="11"/>
        <v>894.96</v>
      </c>
    </row>
    <row r="173" spans="1:9" s="5" customFormat="1" ht="15.6" customHeight="1" x14ac:dyDescent="0.25">
      <c r="A173" s="89"/>
      <c r="B173" s="533" t="s">
        <v>875</v>
      </c>
      <c r="C173" s="41" t="s">
        <v>15</v>
      </c>
      <c r="D173" s="277">
        <f>3*1.74</f>
        <v>5.22</v>
      </c>
      <c r="E173" s="43"/>
      <c r="F173" s="364">
        <v>36</v>
      </c>
      <c r="G173" s="18"/>
      <c r="H173" s="2">
        <f>ROUND(D173*F173,2)</f>
        <v>187.92</v>
      </c>
      <c r="I173" s="11">
        <f t="shared" si="11"/>
        <v>187.92</v>
      </c>
    </row>
    <row r="174" spans="1:9" s="5" customFormat="1" ht="15.6" customHeight="1" x14ac:dyDescent="0.25">
      <c r="A174" s="107" t="s">
        <v>224</v>
      </c>
      <c r="B174" s="538" t="s">
        <v>788</v>
      </c>
      <c r="C174" s="203" t="s">
        <v>8</v>
      </c>
      <c r="D174" s="537">
        <f>МУ!E52</f>
        <v>4.3500000000000005</v>
      </c>
      <c r="E174" s="353">
        <v>800</v>
      </c>
      <c r="F174" s="139"/>
      <c r="G174" s="2">
        <f>ROUND(E174*D174,2)</f>
        <v>3480</v>
      </c>
      <c r="H174" s="26"/>
      <c r="I174" s="11">
        <f t="shared" si="11"/>
        <v>3480</v>
      </c>
    </row>
    <row r="175" spans="1:9" s="5" customFormat="1" ht="15.6" customHeight="1" x14ac:dyDescent="0.25">
      <c r="A175" s="89"/>
      <c r="B175" s="533" t="s">
        <v>366</v>
      </c>
      <c r="C175" s="41" t="s">
        <v>9</v>
      </c>
      <c r="D175" s="277">
        <f>МУ!C52/1000</f>
        <v>0.76805999999999985</v>
      </c>
      <c r="E175" s="2"/>
      <c r="F175" s="364">
        <v>34000</v>
      </c>
      <c r="G175" s="10"/>
      <c r="H175" s="2">
        <f>ROUND(D175*F175,2)</f>
        <v>26114.04</v>
      </c>
      <c r="I175" s="11">
        <f t="shared" si="11"/>
        <v>26114.04</v>
      </c>
    </row>
    <row r="176" spans="1:9" s="5" customFormat="1" ht="15.6" customHeight="1" x14ac:dyDescent="0.25">
      <c r="A176" s="89"/>
      <c r="B176" s="533" t="s">
        <v>483</v>
      </c>
      <c r="C176" s="41" t="s">
        <v>8</v>
      </c>
      <c r="D176" s="277">
        <f>D174*1.015</f>
        <v>4.4152500000000003</v>
      </c>
      <c r="E176" s="2"/>
      <c r="F176" s="664">
        <v>4200</v>
      </c>
      <c r="G176" s="31"/>
      <c r="H176" s="2">
        <f>ROUND(D176*F176,2)</f>
        <v>18544.05</v>
      </c>
      <c r="I176" s="11">
        <f t="shared" si="11"/>
        <v>18544.05</v>
      </c>
    </row>
    <row r="177" spans="1:9" s="5" customFormat="1" ht="15.6" customHeight="1" x14ac:dyDescent="0.25">
      <c r="A177" s="89"/>
      <c r="B177" s="384"/>
      <c r="C177" s="385"/>
      <c r="D177" s="386"/>
      <c r="E177" s="387"/>
      <c r="F177" s="388"/>
      <c r="G177" s="387"/>
      <c r="H177" s="387"/>
      <c r="I177" s="389"/>
    </row>
    <row r="178" spans="1:9" s="5" customFormat="1" ht="36" customHeight="1" x14ac:dyDescent="0.25">
      <c r="A178" s="223"/>
      <c r="B178" s="232" t="s">
        <v>803</v>
      </c>
      <c r="C178" s="225"/>
      <c r="D178" s="239"/>
      <c r="E178" s="230"/>
      <c r="F178" s="240"/>
      <c r="G178" s="230">
        <f>SUM(G160:G177)</f>
        <v>70080</v>
      </c>
      <c r="H178" s="230">
        <f>SUM(H160:H177)</f>
        <v>1180543.77</v>
      </c>
      <c r="I178" s="230">
        <f>ROUND(SUM(I160:I177),2)</f>
        <v>1250623.77</v>
      </c>
    </row>
    <row r="179" spans="1:9" s="5" customFormat="1" ht="15.6" customHeight="1" x14ac:dyDescent="0.25">
      <c r="A179" s="90"/>
      <c r="B179" s="58" t="s">
        <v>624</v>
      </c>
      <c r="C179" s="9"/>
      <c r="D179" s="31"/>
      <c r="E179" s="10"/>
      <c r="F179" s="57"/>
      <c r="G179" s="10"/>
      <c r="H179" s="10"/>
      <c r="I179" s="31">
        <f>ROUND(I178/1.18*0.18,2)</f>
        <v>190773.12</v>
      </c>
    </row>
    <row r="180" spans="1:9" s="5" customFormat="1" ht="21" customHeight="1" x14ac:dyDescent="0.25">
      <c r="A180" s="108"/>
      <c r="B180" s="562" t="s">
        <v>810</v>
      </c>
      <c r="C180" s="105"/>
      <c r="D180" s="105"/>
      <c r="E180" s="105"/>
      <c r="F180" s="138"/>
      <c r="G180" s="105"/>
      <c r="H180" s="105"/>
      <c r="I180" s="106"/>
    </row>
    <row r="181" spans="1:9" s="5" customFormat="1" ht="15.6" customHeight="1" x14ac:dyDescent="0.25">
      <c r="A181" s="107" t="s">
        <v>979</v>
      </c>
      <c r="B181" s="538" t="s">
        <v>384</v>
      </c>
      <c r="C181" s="203" t="s">
        <v>12</v>
      </c>
      <c r="D181" s="277">
        <f>D182</f>
        <v>36</v>
      </c>
      <c r="E181" s="353">
        <v>100</v>
      </c>
      <c r="F181" s="139"/>
      <c r="G181" s="2">
        <f>ROUND(E181*D181,2)</f>
        <v>3600</v>
      </c>
      <c r="H181" s="26"/>
      <c r="I181" s="11">
        <f t="shared" ref="I181:I186" si="12">G181+H181</f>
        <v>3600</v>
      </c>
    </row>
    <row r="182" spans="1:9" s="5" customFormat="1" ht="15.6" customHeight="1" x14ac:dyDescent="0.25">
      <c r="A182" s="391"/>
      <c r="B182" s="533" t="s">
        <v>1375</v>
      </c>
      <c r="C182" s="41" t="s">
        <v>12</v>
      </c>
      <c r="D182" s="277">
        <v>36</v>
      </c>
      <c r="E182" s="2"/>
      <c r="F182" s="668">
        <v>784</v>
      </c>
      <c r="G182" s="10"/>
      <c r="H182" s="2">
        <f>ROUND(D182*F182,2)</f>
        <v>28224</v>
      </c>
      <c r="I182" s="11">
        <f t="shared" si="12"/>
        <v>28224</v>
      </c>
    </row>
    <row r="183" spans="1:9" s="5" customFormat="1" ht="15.6" customHeight="1" x14ac:dyDescent="0.25">
      <c r="A183" s="391"/>
      <c r="B183" s="533" t="s">
        <v>804</v>
      </c>
      <c r="C183" s="41" t="s">
        <v>8</v>
      </c>
      <c r="D183" s="277">
        <f>0.05*1.015</f>
        <v>5.0749999999999997E-2</v>
      </c>
      <c r="E183" s="390"/>
      <c r="F183" s="664">
        <v>4200</v>
      </c>
      <c r="G183" s="31"/>
      <c r="H183" s="2">
        <f>ROUND(D183*F183,2)</f>
        <v>213.15</v>
      </c>
      <c r="I183" s="11">
        <f>G183+H183</f>
        <v>213.15</v>
      </c>
    </row>
    <row r="184" spans="1:9" s="5" customFormat="1" ht="15.6" customHeight="1" x14ac:dyDescent="0.25">
      <c r="A184" s="107" t="s">
        <v>980</v>
      </c>
      <c r="B184" s="538" t="s">
        <v>824</v>
      </c>
      <c r="C184" s="203" t="s">
        <v>9</v>
      </c>
      <c r="D184" s="610">
        <f>D185</f>
        <v>0.42886000000000007</v>
      </c>
      <c r="E184" s="353">
        <v>30000</v>
      </c>
      <c r="F184" s="139"/>
      <c r="G184" s="2">
        <f>ROUND(E184*D184,2)</f>
        <v>12865.8</v>
      </c>
      <c r="H184" s="26"/>
      <c r="I184" s="11">
        <f t="shared" si="12"/>
        <v>12865.8</v>
      </c>
    </row>
    <row r="185" spans="1:9" s="5" customFormat="1" ht="15.6" customHeight="1" x14ac:dyDescent="0.25">
      <c r="A185" s="391"/>
      <c r="B185" s="533" t="s">
        <v>1376</v>
      </c>
      <c r="C185" s="41" t="s">
        <v>9</v>
      </c>
      <c r="D185" s="277">
        <f>металл!D10/1000</f>
        <v>0.42886000000000007</v>
      </c>
      <c r="E185" s="2"/>
      <c r="F185" s="364">
        <v>34000</v>
      </c>
      <c r="G185" s="10"/>
      <c r="H185" s="2">
        <f>ROUND(D185*F185,2)</f>
        <v>14581.24</v>
      </c>
      <c r="I185" s="11">
        <f t="shared" si="12"/>
        <v>14581.24</v>
      </c>
    </row>
    <row r="186" spans="1:9" s="5" customFormat="1" ht="15.6" customHeight="1" x14ac:dyDescent="0.3">
      <c r="A186" s="107" t="s">
        <v>981</v>
      </c>
      <c r="B186" s="538" t="s">
        <v>903</v>
      </c>
      <c r="C186" s="41" t="s">
        <v>12</v>
      </c>
      <c r="D186" s="282">
        <v>4</v>
      </c>
      <c r="E186" s="353">
        <v>600</v>
      </c>
      <c r="F186" s="392"/>
      <c r="G186" s="2">
        <f>D186*E186</f>
        <v>2400</v>
      </c>
      <c r="H186" s="2"/>
      <c r="I186" s="11">
        <f t="shared" si="12"/>
        <v>2400</v>
      </c>
    </row>
    <row r="187" spans="1:9" s="5" customFormat="1" ht="15.6" customHeight="1" x14ac:dyDescent="0.25">
      <c r="A187" s="391"/>
      <c r="B187" s="533" t="s">
        <v>1378</v>
      </c>
      <c r="C187" s="41" t="s">
        <v>9</v>
      </c>
      <c r="D187" s="282">
        <f>3*82.87/1000</f>
        <v>0.24861000000000003</v>
      </c>
      <c r="E187" s="390"/>
      <c r="F187" s="364">
        <v>34000</v>
      </c>
      <c r="G187" s="2"/>
      <c r="H187" s="2">
        <f>D187*F187</f>
        <v>8452.7400000000016</v>
      </c>
      <c r="I187" s="11">
        <f>H187</f>
        <v>8452.7400000000016</v>
      </c>
    </row>
    <row r="188" spans="1:9" s="5" customFormat="1" ht="15.6" customHeight="1" x14ac:dyDescent="0.25">
      <c r="A188" s="391"/>
      <c r="B188" s="533" t="s">
        <v>1379</v>
      </c>
      <c r="C188" s="41" t="s">
        <v>9</v>
      </c>
      <c r="D188" s="282">
        <f>1*82.74/1000</f>
        <v>8.2739999999999994E-2</v>
      </c>
      <c r="E188" s="390"/>
      <c r="F188" s="364">
        <v>34000</v>
      </c>
      <c r="G188" s="2"/>
      <c r="H188" s="2">
        <f>D188*F188</f>
        <v>2813.16</v>
      </c>
      <c r="I188" s="11">
        <f>H188</f>
        <v>2813.16</v>
      </c>
    </row>
    <row r="189" spans="1:9" s="5" customFormat="1" ht="15.6" customHeight="1" x14ac:dyDescent="0.25">
      <c r="A189" s="107" t="s">
        <v>982</v>
      </c>
      <c r="B189" s="538" t="s">
        <v>805</v>
      </c>
      <c r="C189" s="41" t="s">
        <v>12</v>
      </c>
      <c r="D189" s="282">
        <f>4+1</f>
        <v>5</v>
      </c>
      <c r="E189" s="353">
        <v>3000</v>
      </c>
      <c r="F189" s="363"/>
      <c r="G189" s="2">
        <f>D189*E189</f>
        <v>15000</v>
      </c>
      <c r="H189" s="2"/>
      <c r="I189" s="11">
        <f>G189</f>
        <v>15000</v>
      </c>
    </row>
    <row r="190" spans="1:9" s="5" customFormat="1" ht="15.6" customHeight="1" x14ac:dyDescent="0.25">
      <c r="A190" s="391"/>
      <c r="B190" s="533" t="s">
        <v>1380</v>
      </c>
      <c r="C190" s="41" t="s">
        <v>9</v>
      </c>
      <c r="D190" s="282">
        <f>4*40.1/1000</f>
        <v>0.16040000000000001</v>
      </c>
      <c r="E190" s="390"/>
      <c r="F190" s="363">
        <v>32000</v>
      </c>
      <c r="G190" s="2"/>
      <c r="H190" s="2">
        <f>F190*D190</f>
        <v>5132.8</v>
      </c>
      <c r="I190" s="11">
        <f>H190</f>
        <v>5132.8</v>
      </c>
    </row>
    <row r="191" spans="1:9" s="5" customFormat="1" ht="15.6" customHeight="1" x14ac:dyDescent="0.25">
      <c r="A191" s="391"/>
      <c r="B191" s="533" t="s">
        <v>806</v>
      </c>
      <c r="C191" s="41" t="s">
        <v>9</v>
      </c>
      <c r="D191" s="282">
        <f>1*21.1/1000</f>
        <v>2.1100000000000001E-2</v>
      </c>
      <c r="E191" s="390"/>
      <c r="F191" s="363">
        <v>32000</v>
      </c>
      <c r="G191" s="2"/>
      <c r="H191" s="2">
        <f>F191*D191</f>
        <v>675.2</v>
      </c>
      <c r="I191" s="11">
        <f>H191</f>
        <v>675.2</v>
      </c>
    </row>
    <row r="192" spans="1:9" s="5" customFormat="1" ht="15.6" customHeight="1" x14ac:dyDescent="0.3">
      <c r="A192" s="107" t="s">
        <v>983</v>
      </c>
      <c r="B192" s="538" t="s">
        <v>807</v>
      </c>
      <c r="C192" s="41" t="s">
        <v>14</v>
      </c>
      <c r="D192" s="264">
        <f>(D185+D187+D188+D190+D191)*27</f>
        <v>25.426170000000003</v>
      </c>
      <c r="E192" s="256">
        <v>150</v>
      </c>
      <c r="F192" s="484"/>
      <c r="G192" s="2">
        <f>D192*E192</f>
        <v>3813.9255000000003</v>
      </c>
      <c r="H192" s="484"/>
      <c r="I192" s="11">
        <f>G192</f>
        <v>3813.9255000000003</v>
      </c>
    </row>
    <row r="193" spans="1:9" s="5" customFormat="1" ht="15.6" customHeight="1" x14ac:dyDescent="0.3">
      <c r="A193" s="391"/>
      <c r="B193" s="533" t="s">
        <v>1166</v>
      </c>
      <c r="C193" s="41" t="s">
        <v>15</v>
      </c>
      <c r="D193" s="282">
        <f>D192*0.2</f>
        <v>5.0852340000000007</v>
      </c>
      <c r="E193" s="484"/>
      <c r="F193" s="362">
        <v>85</v>
      </c>
      <c r="G193" s="484"/>
      <c r="H193" s="2">
        <f>F193*D193</f>
        <v>432.24489000000005</v>
      </c>
      <c r="I193" s="11">
        <f>H193</f>
        <v>432.24489000000005</v>
      </c>
    </row>
    <row r="194" spans="1:9" s="5" customFormat="1" ht="15.6" customHeight="1" x14ac:dyDescent="0.3">
      <c r="A194" s="391"/>
      <c r="B194" s="533" t="s">
        <v>1162</v>
      </c>
      <c r="C194" s="41" t="s">
        <v>15</v>
      </c>
      <c r="D194" s="282">
        <f>D192*0.3</f>
        <v>7.6278510000000006</v>
      </c>
      <c r="E194" s="484"/>
      <c r="F194" s="362">
        <v>115</v>
      </c>
      <c r="G194" s="484"/>
      <c r="H194" s="2">
        <f>F194*D194</f>
        <v>877.20286500000009</v>
      </c>
      <c r="I194" s="11">
        <f>H194</f>
        <v>877.20286500000009</v>
      </c>
    </row>
    <row r="195" spans="1:9" s="5" customFormat="1" ht="15.6" customHeight="1" x14ac:dyDescent="0.25">
      <c r="A195" s="391"/>
      <c r="B195" s="232" t="s">
        <v>811</v>
      </c>
      <c r="C195" s="225"/>
      <c r="D195" s="239"/>
      <c r="E195" s="230"/>
      <c r="F195" s="240"/>
      <c r="G195" s="230">
        <f>SUM(G181:G194)</f>
        <v>37679.7255</v>
      </c>
      <c r="H195" s="230">
        <f>SUM(H181:H194)</f>
        <v>61401.737755000009</v>
      </c>
      <c r="I195" s="230">
        <f>ROUND(SUM(I181:I194),2)</f>
        <v>99081.46</v>
      </c>
    </row>
    <row r="196" spans="1:9" s="5" customFormat="1" ht="15.6" customHeight="1" x14ac:dyDescent="0.25">
      <c r="A196" s="391"/>
      <c r="B196" s="58" t="s">
        <v>624</v>
      </c>
      <c r="C196" s="9"/>
      <c r="D196" s="31"/>
      <c r="E196" s="10"/>
      <c r="F196" s="57"/>
      <c r="G196" s="10"/>
      <c r="H196" s="10"/>
      <c r="I196" s="31">
        <f>ROUND(I195/1.18*0.18,2)</f>
        <v>15114.12</v>
      </c>
    </row>
    <row r="197" spans="1:9" s="5" customFormat="1" ht="21" hidden="1" customHeight="1" x14ac:dyDescent="0.25">
      <c r="A197" s="108"/>
      <c r="B197" s="517" t="s">
        <v>812</v>
      </c>
      <c r="C197" s="105"/>
      <c r="D197" s="105"/>
      <c r="E197" s="105"/>
      <c r="F197" s="138"/>
      <c r="G197" s="105"/>
      <c r="H197" s="105"/>
      <c r="I197" s="106"/>
    </row>
    <row r="198" spans="1:9" s="5" customFormat="1" ht="15.6" hidden="1" customHeight="1" x14ac:dyDescent="0.25">
      <c r="A198" s="391"/>
      <c r="B198" s="383" t="s">
        <v>813</v>
      </c>
      <c r="C198" s="41" t="s">
        <v>12</v>
      </c>
      <c r="D198" s="282">
        <v>0</v>
      </c>
      <c r="E198" s="390">
        <v>500</v>
      </c>
      <c r="F198" s="363">
        <v>24000</v>
      </c>
      <c r="G198" s="2">
        <f>D198*E198</f>
        <v>0</v>
      </c>
      <c r="H198" s="2">
        <f>D198*F198</f>
        <v>0</v>
      </c>
      <c r="I198" s="11">
        <f>H198+G198</f>
        <v>0</v>
      </c>
    </row>
    <row r="199" spans="1:9" s="5" customFormat="1" ht="15.6" hidden="1" customHeight="1" x14ac:dyDescent="0.25">
      <c r="A199" s="391"/>
      <c r="B199" s="383" t="s">
        <v>814</v>
      </c>
      <c r="C199" s="41" t="s">
        <v>8</v>
      </c>
      <c r="D199" s="282">
        <v>0</v>
      </c>
      <c r="E199" s="390">
        <v>2500</v>
      </c>
      <c r="F199" s="363"/>
      <c r="G199" s="2">
        <f>D199*E199</f>
        <v>0</v>
      </c>
      <c r="H199" s="2"/>
      <c r="I199" s="11">
        <f>G199</f>
        <v>0</v>
      </c>
    </row>
    <row r="200" spans="1:9" s="5" customFormat="1" ht="15.6" hidden="1" customHeight="1" x14ac:dyDescent="0.3">
      <c r="A200" s="391"/>
      <c r="B200" s="394" t="s">
        <v>815</v>
      </c>
      <c r="C200" s="41" t="s">
        <v>8</v>
      </c>
      <c r="D200" s="282">
        <f>D199*1.05</f>
        <v>0</v>
      </c>
      <c r="E200" s="390"/>
      <c r="F200" s="363">
        <f>F95</f>
        <v>0</v>
      </c>
      <c r="G200" s="2"/>
      <c r="H200" s="2">
        <f>F200*D200</f>
        <v>0</v>
      </c>
      <c r="I200" s="11">
        <f>G200+H200</f>
        <v>0</v>
      </c>
    </row>
    <row r="201" spans="1:9" s="5" customFormat="1" ht="15.6" hidden="1" customHeight="1" x14ac:dyDescent="0.3">
      <c r="A201" s="391"/>
      <c r="B201" s="395" t="s">
        <v>816</v>
      </c>
      <c r="C201" s="41" t="s">
        <v>9</v>
      </c>
      <c r="D201" s="282">
        <v>0</v>
      </c>
      <c r="E201" s="390"/>
      <c r="F201" s="363">
        <v>31000</v>
      </c>
      <c r="G201" s="2"/>
      <c r="H201" s="2">
        <f>F201*D201</f>
        <v>0</v>
      </c>
      <c r="I201" s="11">
        <f>G201+H201</f>
        <v>0</v>
      </c>
    </row>
    <row r="202" spans="1:9" s="5" customFormat="1" ht="15.6" hidden="1" customHeight="1" x14ac:dyDescent="0.3">
      <c r="A202" s="391"/>
      <c r="B202" s="395" t="s">
        <v>817</v>
      </c>
      <c r="C202" s="41" t="s">
        <v>9</v>
      </c>
      <c r="D202" s="282">
        <v>0</v>
      </c>
      <c r="E202" s="390"/>
      <c r="F202" s="363">
        <v>31000</v>
      </c>
      <c r="G202" s="2"/>
      <c r="H202" s="2">
        <f>F202*D202</f>
        <v>0</v>
      </c>
      <c r="I202" s="11">
        <f>G202+H202</f>
        <v>0</v>
      </c>
    </row>
    <row r="203" spans="1:9" s="5" customFormat="1" ht="15.6" hidden="1" customHeight="1" x14ac:dyDescent="0.3">
      <c r="A203" s="391"/>
      <c r="B203" s="396" t="s">
        <v>818</v>
      </c>
      <c r="C203" s="41" t="s">
        <v>9</v>
      </c>
      <c r="D203" s="282">
        <v>0</v>
      </c>
      <c r="E203" s="390"/>
      <c r="F203" s="363">
        <v>31000</v>
      </c>
      <c r="G203" s="2"/>
      <c r="H203" s="2">
        <f>F203*D203</f>
        <v>0</v>
      </c>
      <c r="I203" s="11">
        <f>G203+H203</f>
        <v>0</v>
      </c>
    </row>
    <row r="204" spans="1:9" s="5" customFormat="1" ht="15.6" hidden="1" customHeight="1" x14ac:dyDescent="0.25">
      <c r="A204" s="391"/>
      <c r="B204" s="383" t="s">
        <v>819</v>
      </c>
      <c r="C204" s="41" t="s">
        <v>853</v>
      </c>
      <c r="D204" s="282">
        <v>0</v>
      </c>
      <c r="E204" s="390">
        <v>25000</v>
      </c>
      <c r="F204" s="363"/>
      <c r="G204" s="2">
        <f>D204*E204</f>
        <v>0</v>
      </c>
      <c r="H204" s="2">
        <f>D204*F204</f>
        <v>0</v>
      </c>
      <c r="I204" s="11">
        <f>H204+G204</f>
        <v>0</v>
      </c>
    </row>
    <row r="205" spans="1:9" s="5" customFormat="1" ht="15.6" hidden="1" customHeight="1" x14ac:dyDescent="0.3">
      <c r="A205" s="391"/>
      <c r="B205" s="393" t="s">
        <v>820</v>
      </c>
      <c r="C205" s="41" t="s">
        <v>853</v>
      </c>
      <c r="D205" s="282">
        <v>0</v>
      </c>
      <c r="E205" s="390"/>
      <c r="F205" s="363">
        <v>33000</v>
      </c>
      <c r="G205" s="2"/>
      <c r="H205" s="2">
        <f>D205*F205</f>
        <v>0</v>
      </c>
      <c r="I205" s="11">
        <f>H205</f>
        <v>0</v>
      </c>
    </row>
    <row r="206" spans="1:9" s="5" customFormat="1" ht="15.6" hidden="1" customHeight="1" x14ac:dyDescent="0.3">
      <c r="A206" s="391"/>
      <c r="B206" s="393" t="s">
        <v>821</v>
      </c>
      <c r="C206" s="41" t="s">
        <v>853</v>
      </c>
      <c r="D206" s="282">
        <v>0</v>
      </c>
      <c r="E206" s="390"/>
      <c r="F206" s="363">
        <v>33000</v>
      </c>
      <c r="G206" s="2"/>
      <c r="H206" s="2">
        <f>D206*F206</f>
        <v>0</v>
      </c>
      <c r="I206" s="11">
        <f>H206</f>
        <v>0</v>
      </c>
    </row>
    <row r="207" spans="1:9" s="5" customFormat="1" ht="15.6" hidden="1" customHeight="1" x14ac:dyDescent="0.3">
      <c r="A207" s="391"/>
      <c r="B207" s="393" t="s">
        <v>822</v>
      </c>
      <c r="C207" s="41" t="s">
        <v>14</v>
      </c>
      <c r="D207" s="282">
        <v>0</v>
      </c>
      <c r="E207" s="390"/>
      <c r="F207" s="363">
        <v>250</v>
      </c>
      <c r="G207" s="2"/>
      <c r="H207" s="2">
        <f>D207*F207</f>
        <v>0</v>
      </c>
      <c r="I207" s="11">
        <f>H207</f>
        <v>0</v>
      </c>
    </row>
    <row r="208" spans="1:9" s="5" customFormat="1" ht="15.6" hidden="1" customHeight="1" x14ac:dyDescent="0.3">
      <c r="A208" s="391"/>
      <c r="B208" s="397" t="s">
        <v>823</v>
      </c>
      <c r="C208" s="41"/>
      <c r="D208" s="282"/>
      <c r="E208" s="390"/>
      <c r="F208" s="363"/>
      <c r="G208" s="2"/>
      <c r="H208" s="2"/>
      <c r="I208" s="11"/>
    </row>
    <row r="209" spans="1:9" s="5" customFormat="1" ht="15.6" hidden="1" customHeight="1" x14ac:dyDescent="0.25">
      <c r="A209" s="391"/>
      <c r="B209" s="383" t="s">
        <v>824</v>
      </c>
      <c r="C209" s="41" t="s">
        <v>853</v>
      </c>
      <c r="D209" s="282">
        <v>0</v>
      </c>
      <c r="E209" s="390">
        <v>25000</v>
      </c>
      <c r="F209" s="363"/>
      <c r="G209" s="2">
        <f>D209*E209</f>
        <v>0</v>
      </c>
      <c r="H209" s="2">
        <f t="shared" ref="H209:H218" si="13">D209*F209</f>
        <v>0</v>
      </c>
      <c r="I209" s="11">
        <f>H209+G209</f>
        <v>0</v>
      </c>
    </row>
    <row r="210" spans="1:9" s="5" customFormat="1" ht="15.6" hidden="1" customHeight="1" x14ac:dyDescent="0.3">
      <c r="A210" s="391"/>
      <c r="B210" s="393" t="s">
        <v>825</v>
      </c>
      <c r="C210" s="41" t="s">
        <v>853</v>
      </c>
      <c r="D210" s="282">
        <v>0</v>
      </c>
      <c r="E210" s="390"/>
      <c r="F210" s="363">
        <v>33000</v>
      </c>
      <c r="G210" s="2"/>
      <c r="H210" s="2">
        <f t="shared" si="13"/>
        <v>0</v>
      </c>
      <c r="I210" s="11">
        <f>H210</f>
        <v>0</v>
      </c>
    </row>
    <row r="211" spans="1:9" s="5" customFormat="1" ht="15.6" hidden="1" customHeight="1" x14ac:dyDescent="0.3">
      <c r="A211" s="391"/>
      <c r="B211" s="393" t="s">
        <v>826</v>
      </c>
      <c r="C211" s="41" t="s">
        <v>853</v>
      </c>
      <c r="D211" s="282">
        <v>0</v>
      </c>
      <c r="E211" s="390"/>
      <c r="F211" s="363">
        <v>33000</v>
      </c>
      <c r="G211" s="2"/>
      <c r="H211" s="2">
        <f t="shared" si="13"/>
        <v>0</v>
      </c>
      <c r="I211" s="11">
        <f t="shared" ref="I211:I218" si="14">H211</f>
        <v>0</v>
      </c>
    </row>
    <row r="212" spans="1:9" s="5" customFormat="1" ht="15.6" hidden="1" customHeight="1" x14ac:dyDescent="0.3">
      <c r="A212" s="391"/>
      <c r="B212" s="393" t="s">
        <v>827</v>
      </c>
      <c r="C212" s="41" t="s">
        <v>853</v>
      </c>
      <c r="D212" s="282">
        <v>0</v>
      </c>
      <c r="E212" s="390"/>
      <c r="F212" s="363">
        <v>33000</v>
      </c>
      <c r="G212" s="2"/>
      <c r="H212" s="2">
        <f t="shared" si="13"/>
        <v>0</v>
      </c>
      <c r="I212" s="11">
        <f>H212</f>
        <v>0</v>
      </c>
    </row>
    <row r="213" spans="1:9" s="5" customFormat="1" ht="15.6" hidden="1" customHeight="1" x14ac:dyDescent="0.3">
      <c r="A213" s="391"/>
      <c r="B213" s="393" t="s">
        <v>828</v>
      </c>
      <c r="C213" s="41" t="s">
        <v>853</v>
      </c>
      <c r="D213" s="282">
        <v>0</v>
      </c>
      <c r="E213" s="390"/>
      <c r="F213" s="363">
        <v>33000</v>
      </c>
      <c r="G213" s="2"/>
      <c r="H213" s="2">
        <f t="shared" si="13"/>
        <v>0</v>
      </c>
      <c r="I213" s="11">
        <f t="shared" si="14"/>
        <v>0</v>
      </c>
    </row>
    <row r="214" spans="1:9" s="5" customFormat="1" ht="15.6" hidden="1" customHeight="1" x14ac:dyDescent="0.3">
      <c r="A214" s="391"/>
      <c r="B214" s="393" t="s">
        <v>822</v>
      </c>
      <c r="C214" s="41" t="s">
        <v>14</v>
      </c>
      <c r="D214" s="282">
        <v>0</v>
      </c>
      <c r="E214" s="390"/>
      <c r="F214" s="363">
        <v>250</v>
      </c>
      <c r="G214" s="2"/>
      <c r="H214" s="2">
        <f t="shared" si="13"/>
        <v>0</v>
      </c>
      <c r="I214" s="11">
        <f t="shared" si="14"/>
        <v>0</v>
      </c>
    </row>
    <row r="215" spans="1:9" s="5" customFormat="1" ht="15.6" hidden="1" customHeight="1" x14ac:dyDescent="0.3">
      <c r="A215" s="391"/>
      <c r="B215" s="393" t="s">
        <v>829</v>
      </c>
      <c r="C215" s="41" t="s">
        <v>14</v>
      </c>
      <c r="D215" s="282">
        <v>0</v>
      </c>
      <c r="E215" s="390"/>
      <c r="F215" s="363">
        <v>250</v>
      </c>
      <c r="G215" s="2"/>
      <c r="H215" s="2">
        <f t="shared" si="13"/>
        <v>0</v>
      </c>
      <c r="I215" s="11">
        <f t="shared" si="14"/>
        <v>0</v>
      </c>
    </row>
    <row r="216" spans="1:9" s="5" customFormat="1" ht="15.6" hidden="1" customHeight="1" x14ac:dyDescent="0.3">
      <c r="A216" s="391"/>
      <c r="B216" s="393" t="s">
        <v>830</v>
      </c>
      <c r="C216" s="41" t="s">
        <v>14</v>
      </c>
      <c r="D216" s="282">
        <v>0</v>
      </c>
      <c r="E216" s="390"/>
      <c r="F216" s="363">
        <v>250</v>
      </c>
      <c r="G216" s="2"/>
      <c r="H216" s="2">
        <f t="shared" si="13"/>
        <v>0</v>
      </c>
      <c r="I216" s="11">
        <f t="shared" si="14"/>
        <v>0</v>
      </c>
    </row>
    <row r="217" spans="1:9" s="5" customFormat="1" ht="15.6" hidden="1" customHeight="1" x14ac:dyDescent="0.3">
      <c r="A217" s="391"/>
      <c r="B217" s="393" t="s">
        <v>831</v>
      </c>
      <c r="C217" s="41" t="s">
        <v>12</v>
      </c>
      <c r="D217" s="282">
        <v>0</v>
      </c>
      <c r="E217" s="390"/>
      <c r="F217" s="363">
        <v>250</v>
      </c>
      <c r="G217" s="2"/>
      <c r="H217" s="2">
        <f t="shared" si="13"/>
        <v>0</v>
      </c>
      <c r="I217" s="11">
        <f t="shared" si="14"/>
        <v>0</v>
      </c>
    </row>
    <row r="218" spans="1:9" s="5" customFormat="1" ht="15.6" hidden="1" customHeight="1" x14ac:dyDescent="0.3">
      <c r="A218" s="391"/>
      <c r="B218" s="393" t="s">
        <v>832</v>
      </c>
      <c r="C218" s="41" t="s">
        <v>14</v>
      </c>
      <c r="D218" s="282">
        <v>0</v>
      </c>
      <c r="E218" s="390"/>
      <c r="F218" s="363">
        <v>200</v>
      </c>
      <c r="G218" s="2"/>
      <c r="H218" s="2">
        <f t="shared" si="13"/>
        <v>0</v>
      </c>
      <c r="I218" s="11">
        <f t="shared" si="14"/>
        <v>0</v>
      </c>
    </row>
    <row r="219" spans="1:9" s="5" customFormat="1" ht="15.6" hidden="1" customHeight="1" x14ac:dyDescent="0.25">
      <c r="A219" s="391"/>
      <c r="B219" s="383" t="s">
        <v>807</v>
      </c>
      <c r="C219" s="41" t="s">
        <v>14</v>
      </c>
      <c r="D219" s="282">
        <f>(D204+D209)*27</f>
        <v>0</v>
      </c>
      <c r="E219" s="390">
        <v>150</v>
      </c>
      <c r="F219" s="363"/>
      <c r="G219" s="2">
        <f>D219*E219</f>
        <v>0</v>
      </c>
      <c r="H219" s="2"/>
      <c r="I219" s="11">
        <f>G219</f>
        <v>0</v>
      </c>
    </row>
    <row r="220" spans="1:9" s="5" customFormat="1" ht="15.6" hidden="1" customHeight="1" x14ac:dyDescent="0.3">
      <c r="A220" s="391"/>
      <c r="B220" s="393" t="s">
        <v>808</v>
      </c>
      <c r="C220" s="41" t="s">
        <v>15</v>
      </c>
      <c r="D220" s="282">
        <f>D219*0.2</f>
        <v>0</v>
      </c>
      <c r="E220" s="390"/>
      <c r="F220" s="363">
        <v>85</v>
      </c>
      <c r="G220" s="2"/>
      <c r="H220" s="2">
        <f>F220*D220</f>
        <v>0</v>
      </c>
      <c r="I220" s="11">
        <f>H220</f>
        <v>0</v>
      </c>
    </row>
    <row r="221" spans="1:9" s="5" customFormat="1" ht="15.6" hidden="1" customHeight="1" x14ac:dyDescent="0.3">
      <c r="A221" s="391"/>
      <c r="B221" s="393" t="s">
        <v>809</v>
      </c>
      <c r="C221" s="41" t="s">
        <v>15</v>
      </c>
      <c r="D221" s="282">
        <f>D219*0.3</f>
        <v>0</v>
      </c>
      <c r="E221" s="390"/>
      <c r="F221" s="363">
        <v>115</v>
      </c>
      <c r="G221" s="2"/>
      <c r="H221" s="2">
        <f>F221*D221</f>
        <v>0</v>
      </c>
      <c r="I221" s="11">
        <f>H221</f>
        <v>0</v>
      </c>
    </row>
    <row r="222" spans="1:9" s="5" customFormat="1" ht="15.6" hidden="1" customHeight="1" x14ac:dyDescent="0.3">
      <c r="A222" s="391"/>
      <c r="B222" s="398" t="s">
        <v>833</v>
      </c>
      <c r="C222" s="41"/>
      <c r="D222" s="282"/>
      <c r="E222" s="390"/>
      <c r="F222" s="363"/>
      <c r="G222" s="2"/>
      <c r="H222" s="2"/>
      <c r="I222" s="11"/>
    </row>
    <row r="223" spans="1:9" s="5" customFormat="1" ht="15.6" hidden="1" customHeight="1" x14ac:dyDescent="0.25">
      <c r="A223" s="391"/>
      <c r="B223" s="383" t="s">
        <v>824</v>
      </c>
      <c r="C223" s="41" t="s">
        <v>853</v>
      </c>
      <c r="D223" s="282">
        <v>0</v>
      </c>
      <c r="E223" s="390">
        <v>25000</v>
      </c>
      <c r="F223" s="363"/>
      <c r="G223" s="2">
        <f>D223*E223</f>
        <v>0</v>
      </c>
      <c r="H223" s="2">
        <f t="shared" ref="H223:H236" si="15">D223*F223</f>
        <v>0</v>
      </c>
      <c r="I223" s="11">
        <f t="shared" ref="I223:I237" si="16">H223+G223</f>
        <v>0</v>
      </c>
    </row>
    <row r="224" spans="1:9" s="5" customFormat="1" ht="15.6" hidden="1" customHeight="1" x14ac:dyDescent="0.3">
      <c r="A224" s="391"/>
      <c r="B224" s="399" t="s">
        <v>834</v>
      </c>
      <c r="C224" s="41" t="s">
        <v>853</v>
      </c>
      <c r="D224" s="282">
        <v>0</v>
      </c>
      <c r="E224" s="390"/>
      <c r="F224" s="363">
        <v>33000</v>
      </c>
      <c r="G224" s="2"/>
      <c r="H224" s="2">
        <f t="shared" si="15"/>
        <v>0</v>
      </c>
      <c r="I224" s="11">
        <f t="shared" si="16"/>
        <v>0</v>
      </c>
    </row>
    <row r="225" spans="1:9" s="5" customFormat="1" ht="15.6" hidden="1" customHeight="1" x14ac:dyDescent="0.3">
      <c r="A225" s="391"/>
      <c r="B225" s="400" t="s">
        <v>835</v>
      </c>
      <c r="C225" s="41" t="s">
        <v>853</v>
      </c>
      <c r="D225" s="282">
        <v>0</v>
      </c>
      <c r="E225" s="390"/>
      <c r="F225" s="363">
        <v>33000</v>
      </c>
      <c r="G225" s="2"/>
      <c r="H225" s="2">
        <f t="shared" si="15"/>
        <v>0</v>
      </c>
      <c r="I225" s="11">
        <f t="shared" si="16"/>
        <v>0</v>
      </c>
    </row>
    <row r="226" spans="1:9" s="5" customFormat="1" ht="15.6" hidden="1" customHeight="1" x14ac:dyDescent="0.3">
      <c r="A226" s="391"/>
      <c r="B226" s="400" t="s">
        <v>836</v>
      </c>
      <c r="C226" s="41" t="s">
        <v>853</v>
      </c>
      <c r="D226" s="282">
        <v>0</v>
      </c>
      <c r="E226" s="390"/>
      <c r="F226" s="363">
        <v>33000</v>
      </c>
      <c r="G226" s="2"/>
      <c r="H226" s="2">
        <f t="shared" si="15"/>
        <v>0</v>
      </c>
      <c r="I226" s="11">
        <f t="shared" si="16"/>
        <v>0</v>
      </c>
    </row>
    <row r="227" spans="1:9" s="5" customFormat="1" ht="15.6" hidden="1" customHeight="1" x14ac:dyDescent="0.3">
      <c r="A227" s="391"/>
      <c r="B227" s="400" t="s">
        <v>837</v>
      </c>
      <c r="C227" s="41" t="s">
        <v>853</v>
      </c>
      <c r="D227" s="282">
        <v>0</v>
      </c>
      <c r="E227" s="390"/>
      <c r="F227" s="363">
        <v>33000</v>
      </c>
      <c r="G227" s="2"/>
      <c r="H227" s="2">
        <f t="shared" si="15"/>
        <v>0</v>
      </c>
      <c r="I227" s="11">
        <f t="shared" si="16"/>
        <v>0</v>
      </c>
    </row>
    <row r="228" spans="1:9" s="5" customFormat="1" ht="15.6" hidden="1" customHeight="1" x14ac:dyDescent="0.3">
      <c r="A228" s="391"/>
      <c r="B228" s="400" t="s">
        <v>838</v>
      </c>
      <c r="C228" s="41" t="s">
        <v>853</v>
      </c>
      <c r="D228" s="282">
        <v>0</v>
      </c>
      <c r="E228" s="390"/>
      <c r="F228" s="363">
        <v>33000</v>
      </c>
      <c r="G228" s="2"/>
      <c r="H228" s="2">
        <f t="shared" si="15"/>
        <v>0</v>
      </c>
      <c r="I228" s="11">
        <f t="shared" si="16"/>
        <v>0</v>
      </c>
    </row>
    <row r="229" spans="1:9" s="5" customFormat="1" ht="15.6" hidden="1" customHeight="1" x14ac:dyDescent="0.3">
      <c r="A229" s="391"/>
      <c r="B229" s="400" t="s">
        <v>839</v>
      </c>
      <c r="C229" s="41" t="s">
        <v>853</v>
      </c>
      <c r="D229" s="282">
        <v>0</v>
      </c>
      <c r="E229" s="390"/>
      <c r="F229" s="363">
        <v>33000</v>
      </c>
      <c r="G229" s="2"/>
      <c r="H229" s="2">
        <f t="shared" si="15"/>
        <v>0</v>
      </c>
      <c r="I229" s="11">
        <f t="shared" si="16"/>
        <v>0</v>
      </c>
    </row>
    <row r="230" spans="1:9" s="5" customFormat="1" ht="15.6" hidden="1" customHeight="1" x14ac:dyDescent="0.3">
      <c r="A230" s="391"/>
      <c r="B230" s="400" t="s">
        <v>840</v>
      </c>
      <c r="C230" s="41" t="s">
        <v>853</v>
      </c>
      <c r="D230" s="282">
        <v>0</v>
      </c>
      <c r="E230" s="390"/>
      <c r="F230" s="363">
        <v>33000</v>
      </c>
      <c r="G230" s="2"/>
      <c r="H230" s="2">
        <f t="shared" si="15"/>
        <v>0</v>
      </c>
      <c r="I230" s="11">
        <f t="shared" si="16"/>
        <v>0</v>
      </c>
    </row>
    <row r="231" spans="1:9" s="5" customFormat="1" ht="15.6" hidden="1" customHeight="1" x14ac:dyDescent="0.3">
      <c r="A231" s="391"/>
      <c r="B231" s="400" t="s">
        <v>841</v>
      </c>
      <c r="C231" s="41" t="s">
        <v>853</v>
      </c>
      <c r="D231" s="282">
        <v>0</v>
      </c>
      <c r="E231" s="390"/>
      <c r="F231" s="363">
        <v>33000</v>
      </c>
      <c r="G231" s="2"/>
      <c r="H231" s="2">
        <f t="shared" si="15"/>
        <v>0</v>
      </c>
      <c r="I231" s="11">
        <f t="shared" si="16"/>
        <v>0</v>
      </c>
    </row>
    <row r="232" spans="1:9" s="5" customFormat="1" ht="15.6" hidden="1" customHeight="1" x14ac:dyDescent="0.3">
      <c r="A232" s="391"/>
      <c r="B232" s="400" t="s">
        <v>842</v>
      </c>
      <c r="C232" s="41" t="s">
        <v>853</v>
      </c>
      <c r="D232" s="282">
        <v>0</v>
      </c>
      <c r="E232" s="390"/>
      <c r="F232" s="363">
        <v>33000</v>
      </c>
      <c r="G232" s="2"/>
      <c r="H232" s="2">
        <f t="shared" si="15"/>
        <v>0</v>
      </c>
      <c r="I232" s="11">
        <f t="shared" si="16"/>
        <v>0</v>
      </c>
    </row>
    <row r="233" spans="1:9" s="5" customFormat="1" ht="15.6" hidden="1" customHeight="1" x14ac:dyDescent="0.3">
      <c r="A233" s="391"/>
      <c r="B233" s="400" t="s">
        <v>843</v>
      </c>
      <c r="C233" s="41" t="s">
        <v>853</v>
      </c>
      <c r="D233" s="282">
        <v>0</v>
      </c>
      <c r="E233" s="390"/>
      <c r="F233" s="363">
        <v>31000</v>
      </c>
      <c r="G233" s="2"/>
      <c r="H233" s="2">
        <f t="shared" si="15"/>
        <v>0</v>
      </c>
      <c r="I233" s="11">
        <f t="shared" si="16"/>
        <v>0</v>
      </c>
    </row>
    <row r="234" spans="1:9" s="5" customFormat="1" ht="15.6" hidden="1" customHeight="1" x14ac:dyDescent="0.3">
      <c r="A234" s="391"/>
      <c r="B234" s="400" t="s">
        <v>844</v>
      </c>
      <c r="C234" s="41" t="s">
        <v>853</v>
      </c>
      <c r="D234" s="282">
        <v>0</v>
      </c>
      <c r="E234" s="390"/>
      <c r="F234" s="363">
        <v>33000</v>
      </c>
      <c r="G234" s="2"/>
      <c r="H234" s="2">
        <f t="shared" si="15"/>
        <v>0</v>
      </c>
      <c r="I234" s="11">
        <f t="shared" si="16"/>
        <v>0</v>
      </c>
    </row>
    <row r="235" spans="1:9" s="5" customFormat="1" ht="15.6" hidden="1" customHeight="1" x14ac:dyDescent="0.3">
      <c r="A235" s="391"/>
      <c r="B235" s="393" t="s">
        <v>845</v>
      </c>
      <c r="C235" s="41" t="s">
        <v>14</v>
      </c>
      <c r="D235" s="282">
        <v>0</v>
      </c>
      <c r="E235" s="390"/>
      <c r="F235" s="363">
        <v>250</v>
      </c>
      <c r="G235" s="2"/>
      <c r="H235" s="2">
        <f t="shared" si="15"/>
        <v>0</v>
      </c>
      <c r="I235" s="11">
        <f t="shared" si="16"/>
        <v>0</v>
      </c>
    </row>
    <row r="236" spans="1:9" s="5" customFormat="1" ht="15.6" hidden="1" customHeight="1" x14ac:dyDescent="0.3">
      <c r="A236" s="391"/>
      <c r="B236" s="393" t="s">
        <v>846</v>
      </c>
      <c r="C236" s="41" t="s">
        <v>14</v>
      </c>
      <c r="D236" s="282">
        <v>0</v>
      </c>
      <c r="E236" s="390"/>
      <c r="F236" s="363">
        <v>250</v>
      </c>
      <c r="G236" s="2"/>
      <c r="H236" s="2">
        <f t="shared" si="15"/>
        <v>0</v>
      </c>
      <c r="I236" s="11">
        <f t="shared" si="16"/>
        <v>0</v>
      </c>
    </row>
    <row r="237" spans="1:9" s="5" customFormat="1" ht="15.6" hidden="1" customHeight="1" x14ac:dyDescent="0.3">
      <c r="A237" s="391"/>
      <c r="B237" s="393" t="s">
        <v>847</v>
      </c>
      <c r="C237" s="41"/>
      <c r="D237" s="282"/>
      <c r="E237" s="390"/>
      <c r="F237" s="363"/>
      <c r="G237" s="2"/>
      <c r="H237" s="2">
        <v>0</v>
      </c>
      <c r="I237" s="11">
        <f t="shared" si="16"/>
        <v>0</v>
      </c>
    </row>
    <row r="238" spans="1:9" s="5" customFormat="1" ht="15.6" hidden="1" customHeight="1" x14ac:dyDescent="0.25">
      <c r="A238" s="391"/>
      <c r="B238" s="383" t="s">
        <v>848</v>
      </c>
      <c r="C238" s="41" t="s">
        <v>8</v>
      </c>
      <c r="D238" s="282">
        <v>0</v>
      </c>
      <c r="E238" s="390">
        <v>2500</v>
      </c>
      <c r="F238" s="363"/>
      <c r="G238" s="2">
        <f>D238*E238</f>
        <v>0</v>
      </c>
      <c r="H238" s="2"/>
      <c r="I238" s="11">
        <f>G238</f>
        <v>0</v>
      </c>
    </row>
    <row r="239" spans="1:9" s="5" customFormat="1" ht="15.6" hidden="1" customHeight="1" x14ac:dyDescent="0.3">
      <c r="A239" s="391"/>
      <c r="B239" s="393" t="s">
        <v>849</v>
      </c>
      <c r="C239" s="41" t="s">
        <v>8</v>
      </c>
      <c r="D239" s="282">
        <v>0</v>
      </c>
      <c r="E239" s="390"/>
      <c r="F239" s="363">
        <v>4975</v>
      </c>
      <c r="G239" s="2"/>
      <c r="H239" s="2">
        <f>F239*D239</f>
        <v>0</v>
      </c>
      <c r="I239" s="11">
        <f>H239</f>
        <v>0</v>
      </c>
    </row>
    <row r="240" spans="1:9" s="5" customFormat="1" ht="15.6" hidden="1" customHeight="1" x14ac:dyDescent="0.3">
      <c r="A240" s="391"/>
      <c r="B240" s="393" t="s">
        <v>850</v>
      </c>
      <c r="C240" s="41" t="s">
        <v>8</v>
      </c>
      <c r="D240" s="282">
        <v>0</v>
      </c>
      <c r="E240" s="390"/>
      <c r="F240" s="363">
        <f>F163</f>
        <v>5615</v>
      </c>
      <c r="G240" s="2"/>
      <c r="H240" s="2">
        <f>F240*D240</f>
        <v>0</v>
      </c>
      <c r="I240" s="11">
        <f>H240</f>
        <v>0</v>
      </c>
    </row>
    <row r="241" spans="1:9" s="5" customFormat="1" ht="15.6" hidden="1" customHeight="1" x14ac:dyDescent="0.3">
      <c r="A241" s="391"/>
      <c r="B241" s="393" t="s">
        <v>851</v>
      </c>
      <c r="C241" s="41" t="s">
        <v>853</v>
      </c>
      <c r="D241" s="282">
        <v>0</v>
      </c>
      <c r="E241" s="390"/>
      <c r="F241" s="363">
        <v>42000</v>
      </c>
      <c r="G241" s="2"/>
      <c r="H241" s="2">
        <f>F241*D241</f>
        <v>0</v>
      </c>
      <c r="I241" s="11">
        <f>H241</f>
        <v>0</v>
      </c>
    </row>
    <row r="242" spans="1:9" s="5" customFormat="1" ht="15.6" hidden="1" customHeight="1" x14ac:dyDescent="0.3">
      <c r="A242" s="391"/>
      <c r="B242" s="393" t="s">
        <v>852</v>
      </c>
      <c r="C242" s="41" t="s">
        <v>853</v>
      </c>
      <c r="D242" s="282">
        <v>0</v>
      </c>
      <c r="E242" s="390"/>
      <c r="F242" s="363">
        <v>35000</v>
      </c>
      <c r="G242" s="2"/>
      <c r="H242" s="2">
        <f>F242*D242</f>
        <v>0</v>
      </c>
      <c r="I242" s="11">
        <f>H242</f>
        <v>0</v>
      </c>
    </row>
    <row r="243" spans="1:9" s="5" customFormat="1" ht="15.6" hidden="1" customHeight="1" x14ac:dyDescent="0.25">
      <c r="A243" s="391"/>
      <c r="B243" s="383" t="s">
        <v>807</v>
      </c>
      <c r="C243" s="41" t="s">
        <v>14</v>
      </c>
      <c r="D243" s="282">
        <f>D223*27</f>
        <v>0</v>
      </c>
      <c r="E243" s="390">
        <v>150</v>
      </c>
      <c r="F243" s="363"/>
      <c r="G243" s="2">
        <f>D243*E243</f>
        <v>0</v>
      </c>
      <c r="H243" s="2"/>
      <c r="I243" s="11">
        <f>G243</f>
        <v>0</v>
      </c>
    </row>
    <row r="244" spans="1:9" s="5" customFormat="1" ht="15.6" hidden="1" customHeight="1" x14ac:dyDescent="0.3">
      <c r="A244" s="391"/>
      <c r="B244" s="393" t="s">
        <v>808</v>
      </c>
      <c r="C244" s="41" t="s">
        <v>15</v>
      </c>
      <c r="D244" s="282">
        <f>D243*0.2</f>
        <v>0</v>
      </c>
      <c r="E244" s="390"/>
      <c r="F244" s="363">
        <v>85</v>
      </c>
      <c r="G244" s="2"/>
      <c r="H244" s="2">
        <f>F244*D244</f>
        <v>0</v>
      </c>
      <c r="I244" s="11">
        <f>H244</f>
        <v>0</v>
      </c>
    </row>
    <row r="245" spans="1:9" s="5" customFormat="1" ht="15.6" hidden="1" customHeight="1" x14ac:dyDescent="0.3">
      <c r="A245" s="391"/>
      <c r="B245" s="393" t="s">
        <v>809</v>
      </c>
      <c r="C245" s="41" t="s">
        <v>15</v>
      </c>
      <c r="D245" s="282">
        <f>D243*0.3</f>
        <v>0</v>
      </c>
      <c r="E245" s="390"/>
      <c r="F245" s="363">
        <v>115</v>
      </c>
      <c r="G245" s="2"/>
      <c r="H245" s="2">
        <f>F245*D245</f>
        <v>0</v>
      </c>
      <c r="I245" s="11">
        <f>H245</f>
        <v>0</v>
      </c>
    </row>
    <row r="246" spans="1:9" s="5" customFormat="1" ht="15.6" hidden="1" customHeight="1" x14ac:dyDescent="0.25">
      <c r="A246" s="391"/>
      <c r="B246" s="232" t="s">
        <v>854</v>
      </c>
      <c r="C246" s="225"/>
      <c r="D246" s="239"/>
      <c r="E246" s="230"/>
      <c r="F246" s="240"/>
      <c r="G246" s="230">
        <f>SUM(G198:G245)</f>
        <v>0</v>
      </c>
      <c r="H246" s="230">
        <f>SUM(H198:H245)</f>
        <v>0</v>
      </c>
      <c r="I246" s="230">
        <f>ROUND(SUM(I198:I245),2)</f>
        <v>0</v>
      </c>
    </row>
    <row r="247" spans="1:9" s="5" customFormat="1" ht="15.6" hidden="1" customHeight="1" x14ac:dyDescent="0.25">
      <c r="A247" s="391"/>
      <c r="B247" s="58" t="s">
        <v>624</v>
      </c>
      <c r="C247" s="9"/>
      <c r="D247" s="31"/>
      <c r="E247" s="10"/>
      <c r="F247" s="57"/>
      <c r="G247" s="10"/>
      <c r="H247" s="10"/>
      <c r="I247" s="31">
        <f>ROUND(I246/1.18*0.18,2)</f>
        <v>0</v>
      </c>
    </row>
    <row r="248" spans="1:9" s="5" customFormat="1" ht="23.25" customHeight="1" x14ac:dyDescent="0.25">
      <c r="A248" s="517"/>
      <c r="B248" s="562" t="s">
        <v>812</v>
      </c>
      <c r="C248" s="517"/>
      <c r="D248" s="517"/>
      <c r="E248" s="517"/>
      <c r="F248" s="517"/>
      <c r="G248" s="517"/>
      <c r="H248" s="517"/>
      <c r="I248" s="517"/>
    </row>
    <row r="249" spans="1:9" s="5" customFormat="1" ht="15.6" customHeight="1" x14ac:dyDescent="0.25">
      <c r="A249" s="107" t="s">
        <v>313</v>
      </c>
      <c r="B249" s="538" t="s">
        <v>1163</v>
      </c>
      <c r="C249" s="46" t="s">
        <v>9</v>
      </c>
      <c r="D249" s="256">
        <f>D250</f>
        <v>2.4157799999999998</v>
      </c>
      <c r="E249" s="256">
        <v>30000</v>
      </c>
      <c r="F249" s="56"/>
      <c r="G249" s="2">
        <f>ROUND(E249*D249,2)</f>
        <v>72473.399999999994</v>
      </c>
      <c r="H249" s="11"/>
      <c r="I249" s="11">
        <f>G249+H249</f>
        <v>72473.399999999994</v>
      </c>
    </row>
    <row r="250" spans="1:9" s="5" customFormat="1" ht="15.6" customHeight="1" x14ac:dyDescent="0.25">
      <c r="A250" s="90"/>
      <c r="B250" s="652" t="s">
        <v>1443</v>
      </c>
      <c r="C250" s="41" t="s">
        <v>9</v>
      </c>
      <c r="D250" s="282">
        <f>балконы!F6/1000</f>
        <v>2.4157799999999998</v>
      </c>
      <c r="E250" s="166"/>
      <c r="F250" s="362">
        <v>33000</v>
      </c>
      <c r="G250" s="2"/>
      <c r="H250" s="2">
        <f>F250*D250</f>
        <v>79720.739999999991</v>
      </c>
      <c r="I250" s="11">
        <f>H250</f>
        <v>79720.739999999991</v>
      </c>
    </row>
    <row r="251" spans="1:9" s="5" customFormat="1" ht="15.6" customHeight="1" x14ac:dyDescent="0.25">
      <c r="A251" s="90"/>
      <c r="B251" s="533" t="s">
        <v>1161</v>
      </c>
      <c r="C251" s="41" t="s">
        <v>14</v>
      </c>
      <c r="D251" s="282">
        <f>балконы!F7</f>
        <v>89.67</v>
      </c>
      <c r="E251" s="166"/>
      <c r="F251" s="362">
        <v>280</v>
      </c>
      <c r="G251" s="2"/>
      <c r="H251" s="2">
        <f>F251*D251</f>
        <v>25107.600000000002</v>
      </c>
      <c r="I251" s="11">
        <f>H251</f>
        <v>25107.600000000002</v>
      </c>
    </row>
    <row r="252" spans="1:9" s="5" customFormat="1" ht="15.6" customHeight="1" x14ac:dyDescent="0.25">
      <c r="A252" s="107" t="s">
        <v>314</v>
      </c>
      <c r="B252" s="538" t="s">
        <v>1176</v>
      </c>
      <c r="C252" s="46" t="s">
        <v>9</v>
      </c>
      <c r="D252" s="256">
        <f>D253</f>
        <v>0.37824000000000002</v>
      </c>
      <c r="E252" s="256">
        <v>40000</v>
      </c>
      <c r="F252" s="56"/>
      <c r="G252" s="2">
        <f>ROUND(E252*D252,2)</f>
        <v>15129.6</v>
      </c>
      <c r="H252" s="11"/>
      <c r="I252" s="11">
        <f>G252+H252</f>
        <v>15129.6</v>
      </c>
    </row>
    <row r="253" spans="1:9" s="5" customFormat="1" ht="15.6" customHeight="1" x14ac:dyDescent="0.25">
      <c r="A253" s="90"/>
      <c r="B253" s="652" t="s">
        <v>1443</v>
      </c>
      <c r="C253" s="41" t="s">
        <v>9</v>
      </c>
      <c r="D253" s="282">
        <f>балконы!F9/1000</f>
        <v>0.37824000000000002</v>
      </c>
      <c r="E253" s="166"/>
      <c r="F253" s="362">
        <v>33000</v>
      </c>
      <c r="G253" s="2"/>
      <c r="H253" s="2">
        <f>F253*D253</f>
        <v>12481.92</v>
      </c>
      <c r="I253" s="11">
        <f>H253</f>
        <v>12481.92</v>
      </c>
    </row>
    <row r="254" spans="1:9" s="5" customFormat="1" ht="15.6" customHeight="1" x14ac:dyDescent="0.25">
      <c r="A254" s="107" t="s">
        <v>347</v>
      </c>
      <c r="B254" s="538" t="s">
        <v>1444</v>
      </c>
      <c r="C254" s="46" t="s">
        <v>12</v>
      </c>
      <c r="D254" s="256">
        <v>6</v>
      </c>
      <c r="E254" s="256">
        <v>4000</v>
      </c>
      <c r="F254" s="56"/>
      <c r="G254" s="2">
        <f>ROUND(E254*D254,2)</f>
        <v>24000</v>
      </c>
      <c r="H254" s="11"/>
      <c r="I254" s="11">
        <f>G254+H254</f>
        <v>24000</v>
      </c>
    </row>
    <row r="255" spans="1:9" s="5" customFormat="1" ht="15.6" customHeight="1" x14ac:dyDescent="0.25">
      <c r="A255" s="90"/>
      <c r="B255" s="533" t="s">
        <v>1451</v>
      </c>
      <c r="C255" s="41" t="s">
        <v>14</v>
      </c>
      <c r="D255" s="282">
        <f>балконы!F3</f>
        <v>43.01</v>
      </c>
      <c r="E255" s="166"/>
      <c r="F255" s="362">
        <v>280</v>
      </c>
      <c r="G255" s="2"/>
      <c r="H255" s="2">
        <f>F255*D255</f>
        <v>12042.8</v>
      </c>
      <c r="I255" s="11">
        <f>H255</f>
        <v>12042.8</v>
      </c>
    </row>
    <row r="256" spans="1:9" s="5" customFormat="1" ht="15.6" customHeight="1" x14ac:dyDescent="0.25">
      <c r="A256" s="90"/>
      <c r="B256" s="533" t="s">
        <v>1117</v>
      </c>
      <c r="C256" s="41" t="s">
        <v>12</v>
      </c>
      <c r="D256" s="282">
        <f>балконы!F5</f>
        <v>5</v>
      </c>
      <c r="E256" s="10"/>
      <c r="F256" s="362">
        <v>1200</v>
      </c>
      <c r="G256" s="2"/>
      <c r="H256" s="2">
        <f>F256*D256</f>
        <v>6000</v>
      </c>
      <c r="I256" s="11">
        <f>H256</f>
        <v>6000</v>
      </c>
    </row>
    <row r="257" spans="1:11" s="5" customFormat="1" ht="15.6" customHeight="1" x14ac:dyDescent="0.25">
      <c r="A257" s="90"/>
      <c r="B257" s="533" t="s">
        <v>1118</v>
      </c>
      <c r="C257" s="41" t="s">
        <v>14</v>
      </c>
      <c r="D257" s="282">
        <f>балконы!F4</f>
        <v>6.0299999999999994</v>
      </c>
      <c r="E257" s="10"/>
      <c r="F257" s="362">
        <v>250</v>
      </c>
      <c r="G257" s="2"/>
      <c r="H257" s="2">
        <f>F257*D257</f>
        <v>1507.4999999999998</v>
      </c>
      <c r="I257" s="11">
        <f>H257</f>
        <v>1507.4999999999998</v>
      </c>
    </row>
    <row r="258" spans="1:11" s="5" customFormat="1" ht="15.6" customHeight="1" x14ac:dyDescent="0.3">
      <c r="A258" s="107" t="s">
        <v>1452</v>
      </c>
      <c r="B258" s="538" t="s">
        <v>807</v>
      </c>
      <c r="C258" s="41" t="s">
        <v>14</v>
      </c>
      <c r="D258" s="282">
        <f>D249*27+D252*27</f>
        <v>75.438539999999989</v>
      </c>
      <c r="E258" s="256">
        <v>150</v>
      </c>
      <c r="F258" s="484"/>
      <c r="G258" s="2">
        <f>D258*E258</f>
        <v>11315.780999999999</v>
      </c>
      <c r="H258" s="484"/>
      <c r="I258" s="11">
        <f>G258</f>
        <v>11315.780999999999</v>
      </c>
    </row>
    <row r="259" spans="1:11" s="5" customFormat="1" ht="15.6" customHeight="1" x14ac:dyDescent="0.3">
      <c r="A259" s="90"/>
      <c r="B259" s="533" t="s">
        <v>1166</v>
      </c>
      <c r="C259" s="41" t="s">
        <v>15</v>
      </c>
      <c r="D259" s="282">
        <f>D258*0.2</f>
        <v>15.087707999999999</v>
      </c>
      <c r="E259" s="484"/>
      <c r="F259" s="362">
        <v>85</v>
      </c>
      <c r="G259" s="484"/>
      <c r="H259" s="2">
        <f>F259*D259</f>
        <v>1282.4551799999999</v>
      </c>
      <c r="I259" s="11">
        <f>H259</f>
        <v>1282.4551799999999</v>
      </c>
    </row>
    <row r="260" spans="1:11" s="5" customFormat="1" ht="15.6" customHeight="1" x14ac:dyDescent="0.3">
      <c r="A260" s="90"/>
      <c r="B260" s="533" t="s">
        <v>1162</v>
      </c>
      <c r="C260" s="41" t="s">
        <v>15</v>
      </c>
      <c r="D260" s="282">
        <f>D258*0.3</f>
        <v>22.631561999999995</v>
      </c>
      <c r="E260" s="484"/>
      <c r="F260" s="362">
        <v>115</v>
      </c>
      <c r="G260" s="484"/>
      <c r="H260" s="2">
        <f>F260*D260</f>
        <v>2602.6296299999995</v>
      </c>
      <c r="I260" s="11">
        <f>H260</f>
        <v>2602.6296299999995</v>
      </c>
    </row>
    <row r="261" spans="1:11" s="5" customFormat="1" ht="15.6" customHeight="1" x14ac:dyDescent="0.25">
      <c r="A261" s="90"/>
      <c r="B261" s="232" t="s">
        <v>854</v>
      </c>
      <c r="C261" s="225"/>
      <c r="D261" s="239"/>
      <c r="E261" s="230"/>
      <c r="F261" s="240"/>
      <c r="G261" s="230">
        <f>SUM(G249:G260)</f>
        <v>122918.781</v>
      </c>
      <c r="H261" s="230">
        <f>SUM(H249:H260)</f>
        <v>140745.64481</v>
      </c>
      <c r="I261" s="230">
        <f>ROUND(SUM(I249:I260),2)</f>
        <v>263664.43</v>
      </c>
    </row>
    <row r="262" spans="1:11" s="5" customFormat="1" ht="15.6" customHeight="1" x14ac:dyDescent="0.25">
      <c r="A262" s="90"/>
      <c r="B262" s="58" t="s">
        <v>624</v>
      </c>
      <c r="C262" s="9"/>
      <c r="D262" s="31"/>
      <c r="E262" s="10"/>
      <c r="F262" s="57"/>
      <c r="G262" s="10"/>
      <c r="H262" s="10"/>
      <c r="I262" s="31">
        <f>ROUND(I261/1.18*0.18,2)</f>
        <v>40220</v>
      </c>
    </row>
    <row r="263" spans="1:11" ht="21" customHeight="1" x14ac:dyDescent="0.25">
      <c r="A263" s="108"/>
      <c r="B263" s="562" t="s">
        <v>1160</v>
      </c>
      <c r="C263" s="105"/>
      <c r="D263" s="105"/>
      <c r="E263" s="105"/>
      <c r="F263" s="138"/>
      <c r="G263" s="105"/>
      <c r="H263" s="105"/>
      <c r="I263" s="106"/>
    </row>
    <row r="264" spans="1:11" outlineLevel="1" x14ac:dyDescent="0.25">
      <c r="A264" s="107" t="s">
        <v>315</v>
      </c>
      <c r="B264" s="531" t="s">
        <v>473</v>
      </c>
      <c r="C264" s="2" t="s">
        <v>14</v>
      </c>
      <c r="D264" s="264">
        <f>кровля!D4</f>
        <v>240.91939999999997</v>
      </c>
      <c r="E264" s="264">
        <v>550</v>
      </c>
      <c r="F264" s="140"/>
      <c r="G264" s="2">
        <f>ROUND(E264*D264,2)</f>
        <v>132505.67000000001</v>
      </c>
      <c r="H264" s="51"/>
      <c r="I264" s="140">
        <f>H264+G264</f>
        <v>132505.67000000001</v>
      </c>
      <c r="J264" s="25">
        <v>1096.1795999999999</v>
      </c>
      <c r="K264" s="25" t="s">
        <v>1272</v>
      </c>
    </row>
    <row r="265" spans="1:11" ht="15" customHeight="1" outlineLevel="1" x14ac:dyDescent="0.25">
      <c r="A265" s="84"/>
      <c r="B265" s="558" t="s">
        <v>1086</v>
      </c>
      <c r="C265" s="23" t="s">
        <v>14</v>
      </c>
      <c r="D265" s="614">
        <f>ROUND(D264*1.1,2)</f>
        <v>265.01</v>
      </c>
      <c r="E265" s="51"/>
      <c r="F265" s="365">
        <f>ROUND(10.1*1.1,2)</f>
        <v>11.11</v>
      </c>
      <c r="G265" s="51"/>
      <c r="H265" s="2">
        <f t="shared" ref="H265:H271" si="17">ROUND(D265*F265,2)</f>
        <v>2944.26</v>
      </c>
      <c r="I265" s="140">
        <f t="shared" ref="I265:I285" si="18">H265+G265</f>
        <v>2944.26</v>
      </c>
    </row>
    <row r="266" spans="1:11" outlineLevel="1" x14ac:dyDescent="0.25">
      <c r="A266" s="84"/>
      <c r="B266" s="612" t="s">
        <v>32</v>
      </c>
      <c r="C266" s="23" t="s">
        <v>8</v>
      </c>
      <c r="D266" s="614">
        <f>ROUND(D264*0.7*0.12,2)</f>
        <v>20.239999999999998</v>
      </c>
      <c r="E266" s="51"/>
      <c r="F266" s="365">
        <v>1300</v>
      </c>
      <c r="G266" s="51"/>
      <c r="H266" s="2">
        <f t="shared" si="17"/>
        <v>26312</v>
      </c>
      <c r="I266" s="140">
        <f t="shared" si="18"/>
        <v>26312</v>
      </c>
    </row>
    <row r="267" spans="1:11" ht="31.2" outlineLevel="1" x14ac:dyDescent="0.25">
      <c r="A267" s="84"/>
      <c r="B267" s="612" t="s">
        <v>1087</v>
      </c>
      <c r="C267" s="21" t="s">
        <v>8</v>
      </c>
      <c r="D267" s="614">
        <f>ROUND(D264*0.15,2)</f>
        <v>36.14</v>
      </c>
      <c r="E267" s="51"/>
      <c r="F267" s="365">
        <v>4400</v>
      </c>
      <c r="G267" s="51"/>
      <c r="H267" s="2">
        <f t="shared" si="17"/>
        <v>159016</v>
      </c>
      <c r="I267" s="140">
        <f t="shared" si="18"/>
        <v>159016</v>
      </c>
    </row>
    <row r="268" spans="1:11" ht="27.6" outlineLevel="1" x14ac:dyDescent="0.25">
      <c r="A268" s="84"/>
      <c r="B268" s="613" t="s">
        <v>1068</v>
      </c>
      <c r="C268" s="21" t="s">
        <v>14</v>
      </c>
      <c r="D268" s="614">
        <f>ROUND(D264*2*1.03,2)</f>
        <v>496.29</v>
      </c>
      <c r="E268" s="51"/>
      <c r="F268" s="365">
        <v>270</v>
      </c>
      <c r="G268" s="51"/>
      <c r="H268" s="2">
        <f t="shared" si="17"/>
        <v>133998.29999999999</v>
      </c>
      <c r="I268" s="140">
        <f t="shared" si="18"/>
        <v>133998.29999999999</v>
      </c>
    </row>
    <row r="269" spans="1:11" outlineLevel="1" x14ac:dyDescent="0.25">
      <c r="A269" s="84"/>
      <c r="B269" s="612" t="s">
        <v>1088</v>
      </c>
      <c r="C269" s="21" t="s">
        <v>15</v>
      </c>
      <c r="D269" s="614">
        <f>ROUND(D264*1.4,2)</f>
        <v>337.29</v>
      </c>
      <c r="E269" s="51"/>
      <c r="F269" s="361">
        <v>45.4</v>
      </c>
      <c r="G269" s="51"/>
      <c r="H269" s="2">
        <f t="shared" si="17"/>
        <v>15312.97</v>
      </c>
      <c r="I269" s="140">
        <f t="shared" si="18"/>
        <v>15312.97</v>
      </c>
    </row>
    <row r="270" spans="1:11" outlineLevel="1" x14ac:dyDescent="0.25">
      <c r="A270" s="84"/>
      <c r="B270" s="612" t="s">
        <v>400</v>
      </c>
      <c r="C270" s="21" t="s">
        <v>14</v>
      </c>
      <c r="D270" s="614">
        <f>ROUND(D264*1.015,2)</f>
        <v>244.53</v>
      </c>
      <c r="E270" s="51"/>
      <c r="F270" s="365">
        <v>109.41</v>
      </c>
      <c r="G270" s="51"/>
      <c r="H270" s="2">
        <f t="shared" si="17"/>
        <v>26754.03</v>
      </c>
      <c r="I270" s="140">
        <f t="shared" si="18"/>
        <v>26754.03</v>
      </c>
    </row>
    <row r="271" spans="1:11" outlineLevel="1" x14ac:dyDescent="0.25">
      <c r="A271" s="84"/>
      <c r="B271" s="612" t="s">
        <v>401</v>
      </c>
      <c r="C271" s="2" t="s">
        <v>14</v>
      </c>
      <c r="D271" s="614">
        <f>ROUND(D264*1.01,2)</f>
        <v>243.33</v>
      </c>
      <c r="E271" s="51"/>
      <c r="F271" s="365">
        <v>154.75</v>
      </c>
      <c r="G271" s="51"/>
      <c r="H271" s="2">
        <f t="shared" si="17"/>
        <v>37655.32</v>
      </c>
      <c r="I271" s="140">
        <f t="shared" si="18"/>
        <v>37655.32</v>
      </c>
    </row>
    <row r="272" spans="1:11" ht="31.2" outlineLevel="1" x14ac:dyDescent="0.25">
      <c r="A272" s="107" t="s">
        <v>513</v>
      </c>
      <c r="B272" s="531" t="s">
        <v>188</v>
      </c>
      <c r="C272" s="31" t="s">
        <v>14</v>
      </c>
      <c r="D272" s="264">
        <f>кровля!F4</f>
        <v>68.619599999999991</v>
      </c>
      <c r="E272" s="264">
        <v>300</v>
      </c>
      <c r="F272" s="140"/>
      <c r="G272" s="2">
        <f>ROUND(E272*D272,2)</f>
        <v>20585.88</v>
      </c>
      <c r="H272" s="51"/>
      <c r="I272" s="140">
        <f>H272+G272</f>
        <v>20585.88</v>
      </c>
    </row>
    <row r="273" spans="1:9" outlineLevel="1" x14ac:dyDescent="0.25">
      <c r="A273" s="84"/>
      <c r="B273" s="558" t="s">
        <v>400</v>
      </c>
      <c r="C273" s="21" t="s">
        <v>14</v>
      </c>
      <c r="D273" s="614">
        <f>ROUND(D272*1.015,2)</f>
        <v>69.650000000000006</v>
      </c>
      <c r="E273" s="51"/>
      <c r="F273" s="365">
        <v>109.41</v>
      </c>
      <c r="G273" s="51"/>
      <c r="H273" s="2">
        <f>ROUND(D273*F273,2)</f>
        <v>7620.41</v>
      </c>
      <c r="I273" s="140">
        <f>H273+G273</f>
        <v>7620.41</v>
      </c>
    </row>
    <row r="274" spans="1:9" outlineLevel="1" x14ac:dyDescent="0.25">
      <c r="A274" s="84"/>
      <c r="B274" s="558" t="s">
        <v>401</v>
      </c>
      <c r="C274" s="2" t="s">
        <v>14</v>
      </c>
      <c r="D274" s="614">
        <f>ROUND(D272*1.01,2)</f>
        <v>69.31</v>
      </c>
      <c r="E274" s="51"/>
      <c r="F274" s="365">
        <v>154.75</v>
      </c>
      <c r="G274" s="51"/>
      <c r="H274" s="2">
        <f>ROUND(D274*F274,2)</f>
        <v>10725.72</v>
      </c>
      <c r="I274" s="140">
        <f>H274+G274</f>
        <v>10725.72</v>
      </c>
    </row>
    <row r="275" spans="1:9" outlineLevel="1" x14ac:dyDescent="0.25">
      <c r="A275" s="84"/>
      <c r="B275" s="558" t="s">
        <v>1384</v>
      </c>
      <c r="C275" s="2" t="s">
        <v>12</v>
      </c>
      <c r="D275" s="614">
        <f>32/6</f>
        <v>5.333333333333333</v>
      </c>
      <c r="E275" s="51"/>
      <c r="F275" s="365">
        <v>650</v>
      </c>
      <c r="G275" s="51"/>
      <c r="H275" s="2">
        <f>ROUND(D275*F275,2)</f>
        <v>3466.67</v>
      </c>
      <c r="I275" s="140">
        <f>H275+G275</f>
        <v>3466.67</v>
      </c>
    </row>
    <row r="276" spans="1:9" outlineLevel="1" x14ac:dyDescent="0.25">
      <c r="A276" s="84"/>
      <c r="B276" s="558" t="s">
        <v>1385</v>
      </c>
      <c r="C276" s="2" t="s">
        <v>12</v>
      </c>
      <c r="D276" s="614">
        <f>54/6</f>
        <v>9</v>
      </c>
      <c r="E276" s="51"/>
      <c r="F276" s="328">
        <v>650</v>
      </c>
      <c r="G276" s="51"/>
      <c r="H276" s="2">
        <f>ROUND(D276*F276,2)</f>
        <v>5850</v>
      </c>
      <c r="I276" s="140">
        <f>H276+G276</f>
        <v>5850</v>
      </c>
    </row>
    <row r="277" spans="1:9" outlineLevel="1" x14ac:dyDescent="0.25">
      <c r="A277" s="84"/>
      <c r="B277" s="558"/>
      <c r="C277" s="2"/>
      <c r="D277" s="614"/>
      <c r="E277" s="51"/>
      <c r="F277" s="365"/>
      <c r="G277" s="51"/>
      <c r="H277" s="2"/>
      <c r="I277" s="140"/>
    </row>
    <row r="278" spans="1:9" outlineLevel="1" x14ac:dyDescent="0.25">
      <c r="A278" s="107" t="s">
        <v>514</v>
      </c>
      <c r="B278" s="531" t="s">
        <v>1232</v>
      </c>
      <c r="C278" s="2" t="s">
        <v>14</v>
      </c>
      <c r="D278" s="264">
        <f>70.02*0.6</f>
        <v>42.011999999999993</v>
      </c>
      <c r="E278" s="264">
        <v>150</v>
      </c>
      <c r="F278" s="140"/>
      <c r="G278" s="2">
        <f>ROUND(E278*D278,2)</f>
        <v>6301.8</v>
      </c>
      <c r="H278" s="51"/>
      <c r="I278" s="140">
        <f t="shared" si="18"/>
        <v>6301.8</v>
      </c>
    </row>
    <row r="279" spans="1:9" outlineLevel="1" x14ac:dyDescent="0.25">
      <c r="A279" s="84"/>
      <c r="B279" s="558" t="s">
        <v>1386</v>
      </c>
      <c r="C279" s="21" t="s">
        <v>15</v>
      </c>
      <c r="D279" s="614">
        <f>250*6.48/6</f>
        <v>270</v>
      </c>
      <c r="E279" s="51"/>
      <c r="F279" s="328">
        <v>32</v>
      </c>
      <c r="G279" s="51"/>
      <c r="H279" s="2">
        <f>ROUND(D279*F279,2)</f>
        <v>8640</v>
      </c>
      <c r="I279" s="140">
        <f t="shared" si="18"/>
        <v>8640</v>
      </c>
    </row>
    <row r="280" spans="1:9" outlineLevel="1" x14ac:dyDescent="0.25">
      <c r="A280" s="84"/>
      <c r="B280" s="558" t="s">
        <v>1383</v>
      </c>
      <c r="C280" s="2" t="s">
        <v>15</v>
      </c>
      <c r="D280" s="614">
        <f>620*0.82/6</f>
        <v>84.733333333333334</v>
      </c>
      <c r="E280" s="51"/>
      <c r="F280" s="328">
        <v>32</v>
      </c>
      <c r="G280" s="51"/>
      <c r="H280" s="2">
        <f>ROUND(D280*F280,2)</f>
        <v>2711.47</v>
      </c>
      <c r="I280" s="140">
        <f t="shared" si="18"/>
        <v>2711.47</v>
      </c>
    </row>
    <row r="281" spans="1:9" outlineLevel="1" x14ac:dyDescent="0.25">
      <c r="A281" s="84"/>
      <c r="B281" s="558" t="s">
        <v>1387</v>
      </c>
      <c r="C281" s="2" t="s">
        <v>9</v>
      </c>
      <c r="D281" s="614">
        <f>1405*0.92/1000/6</f>
        <v>0.21543333333333337</v>
      </c>
      <c r="E281" s="51"/>
      <c r="F281" s="365">
        <v>42000</v>
      </c>
      <c r="G281" s="51"/>
      <c r="H281" s="2">
        <f>ROUND(D281*F281,2)</f>
        <v>9048.2000000000007</v>
      </c>
      <c r="I281" s="140">
        <f>H281+G281</f>
        <v>9048.2000000000007</v>
      </c>
    </row>
    <row r="282" spans="1:9" outlineLevel="1" x14ac:dyDescent="0.25">
      <c r="A282" s="107" t="s">
        <v>1196</v>
      </c>
      <c r="B282" s="531" t="s">
        <v>397</v>
      </c>
      <c r="C282" s="31" t="s">
        <v>33</v>
      </c>
      <c r="D282" s="264">
        <f>19.6*2+12.76+0.51*2</f>
        <v>52.980000000000004</v>
      </c>
      <c r="E282" s="264">
        <v>800</v>
      </c>
      <c r="F282" s="140"/>
      <c r="G282" s="2">
        <f>ROUND(E282*D282,2)</f>
        <v>42384</v>
      </c>
      <c r="H282" s="51"/>
      <c r="I282" s="140">
        <f>H282+G282</f>
        <v>42384</v>
      </c>
    </row>
    <row r="283" spans="1:9" outlineLevel="1" x14ac:dyDescent="0.25">
      <c r="A283" s="84"/>
      <c r="B283" s="533" t="s">
        <v>1226</v>
      </c>
      <c r="C283" s="21" t="s">
        <v>9</v>
      </c>
      <c r="D283" s="614">
        <f>(273*1.39+545*1.39)/1000/6</f>
        <v>0.18950333333333333</v>
      </c>
      <c r="E283" s="51"/>
      <c r="F283" s="365">
        <v>32000</v>
      </c>
      <c r="G283" s="51"/>
      <c r="H283" s="2">
        <f>ROUND(D283*F283,2)</f>
        <v>6064.11</v>
      </c>
      <c r="I283" s="140">
        <f>H283+G283</f>
        <v>6064.11</v>
      </c>
    </row>
    <row r="284" spans="1:9" ht="46.8" hidden="1" outlineLevel="1" x14ac:dyDescent="0.25">
      <c r="A284" s="107" t="s">
        <v>1197</v>
      </c>
      <c r="B284" s="379" t="s">
        <v>1233</v>
      </c>
      <c r="C284" s="31" t="s">
        <v>14</v>
      </c>
      <c r="D284" s="412">
        <v>0</v>
      </c>
      <c r="E284" s="264">
        <v>150</v>
      </c>
      <c r="F284" s="365"/>
      <c r="G284" s="2">
        <f>ROUND(E284*D284,2)</f>
        <v>0</v>
      </c>
      <c r="H284" s="51"/>
      <c r="I284" s="140">
        <f t="shared" si="18"/>
        <v>0</v>
      </c>
    </row>
    <row r="285" spans="1:9" hidden="1" outlineLevel="1" x14ac:dyDescent="0.25">
      <c r="A285" s="84"/>
      <c r="B285" s="432" t="s">
        <v>1234</v>
      </c>
      <c r="C285" s="21" t="s">
        <v>14</v>
      </c>
      <c r="D285" s="414">
        <f>D284</f>
        <v>0</v>
      </c>
      <c r="E285" s="51"/>
      <c r="F285" s="365">
        <v>461</v>
      </c>
      <c r="G285" s="51"/>
      <c r="H285" s="2">
        <f>ROUND(D285*F285,2)</f>
        <v>0</v>
      </c>
      <c r="I285" s="140">
        <f t="shared" si="18"/>
        <v>0</v>
      </c>
    </row>
    <row r="286" spans="1:9" s="6" customFormat="1" outlineLevel="1" x14ac:dyDescent="0.25">
      <c r="A286" s="84"/>
      <c r="B286" s="655" t="s">
        <v>1174</v>
      </c>
      <c r="C286" s="31"/>
      <c r="D286" s="350"/>
      <c r="E286" s="54"/>
      <c r="F286" s="141"/>
      <c r="G286" s="54"/>
      <c r="H286" s="54"/>
      <c r="I286" s="141"/>
    </row>
    <row r="287" spans="1:9" outlineLevel="1" x14ac:dyDescent="0.25">
      <c r="A287" s="107" t="s">
        <v>1197</v>
      </c>
      <c r="B287" s="538" t="s">
        <v>1170</v>
      </c>
      <c r="C287" s="41" t="s">
        <v>8</v>
      </c>
      <c r="D287" s="542">
        <f>балконы!D156</f>
        <v>4.8</v>
      </c>
      <c r="E287" s="353">
        <v>2800</v>
      </c>
      <c r="F287" s="363"/>
      <c r="G287" s="2">
        <f>E287*D287</f>
        <v>13440</v>
      </c>
      <c r="H287" s="2"/>
      <c r="I287" s="11">
        <f>G287</f>
        <v>13440</v>
      </c>
    </row>
    <row r="288" spans="1:9" outlineLevel="1" x14ac:dyDescent="0.25">
      <c r="A288" s="84"/>
      <c r="B288" s="533" t="s">
        <v>1144</v>
      </c>
      <c r="C288" s="41" t="s">
        <v>8</v>
      </c>
      <c r="D288" s="656">
        <f>D287*1.015</f>
        <v>4.871999999999999</v>
      </c>
      <c r="E288" s="390"/>
      <c r="F288" s="361">
        <v>3450</v>
      </c>
      <c r="G288" s="31"/>
      <c r="H288" s="2">
        <f>ROUND(D288*F288,2)</f>
        <v>16808.400000000001</v>
      </c>
      <c r="I288" s="11">
        <f>G288+H288</f>
        <v>16808.400000000001</v>
      </c>
    </row>
    <row r="289" spans="1:9" outlineLevel="1" x14ac:dyDescent="0.25">
      <c r="A289" s="84"/>
      <c r="B289" s="533" t="s">
        <v>850</v>
      </c>
      <c r="C289" s="41" t="s">
        <v>8</v>
      </c>
      <c r="D289" s="542">
        <f>балконы!D157</f>
        <v>1.68</v>
      </c>
      <c r="E289" s="390"/>
      <c r="F289" s="361">
        <v>2800</v>
      </c>
      <c r="G289" s="2"/>
      <c r="H289" s="2">
        <f>F289*D289</f>
        <v>4704</v>
      </c>
      <c r="I289" s="11">
        <f>H289</f>
        <v>4704</v>
      </c>
    </row>
    <row r="290" spans="1:9" outlineLevel="1" x14ac:dyDescent="0.25">
      <c r="A290" s="84"/>
      <c r="B290" s="533" t="s">
        <v>1171</v>
      </c>
      <c r="C290" s="41" t="s">
        <v>15</v>
      </c>
      <c r="D290" s="542">
        <f>балконы!D154</f>
        <v>47.52</v>
      </c>
      <c r="E290" s="51"/>
      <c r="F290" s="365">
        <v>31</v>
      </c>
      <c r="G290" s="51"/>
      <c r="H290" s="2">
        <f>ROUND(D290*F290,2)</f>
        <v>1473.12</v>
      </c>
      <c r="I290" s="140">
        <f>H290+G290</f>
        <v>1473.12</v>
      </c>
    </row>
    <row r="291" spans="1:9" outlineLevel="1" x14ac:dyDescent="0.25">
      <c r="A291" s="84"/>
      <c r="B291" s="533" t="s">
        <v>1172</v>
      </c>
      <c r="C291" s="41" t="s">
        <v>15</v>
      </c>
      <c r="D291" s="542">
        <f>балконы!D155</f>
        <v>12.36</v>
      </c>
      <c r="E291" s="51"/>
      <c r="F291" s="365">
        <v>42</v>
      </c>
      <c r="G291" s="51"/>
      <c r="H291" s="2">
        <f>ROUND(D291*F291,2)</f>
        <v>519.12</v>
      </c>
      <c r="I291" s="140">
        <f>H291+G291</f>
        <v>519.12</v>
      </c>
    </row>
    <row r="292" spans="1:9" outlineLevel="1" x14ac:dyDescent="0.25">
      <c r="A292" s="107" t="s">
        <v>1198</v>
      </c>
      <c r="B292" s="538" t="s">
        <v>1453</v>
      </c>
      <c r="C292" s="46" t="s">
        <v>12</v>
      </c>
      <c r="D292" s="275">
        <v>1</v>
      </c>
      <c r="E292" s="373">
        <v>700</v>
      </c>
      <c r="F292" s="43"/>
      <c r="G292" s="2">
        <f>ROUND(E292*D292,2)</f>
        <v>700</v>
      </c>
      <c r="H292" s="11"/>
      <c r="I292" s="11">
        <f>G292+H292</f>
        <v>700</v>
      </c>
    </row>
    <row r="293" spans="1:9" outlineLevel="1" x14ac:dyDescent="0.25">
      <c r="A293" s="84"/>
      <c r="B293" s="533" t="s">
        <v>1461</v>
      </c>
      <c r="C293" s="41" t="s">
        <v>15</v>
      </c>
      <c r="D293" s="542">
        <f>балконы!D151</f>
        <v>41.43</v>
      </c>
      <c r="E293" s="51"/>
      <c r="F293" s="365">
        <v>42</v>
      </c>
      <c r="G293" s="51"/>
      <c r="H293" s="2">
        <f>ROUND(D293*F293,2)</f>
        <v>1740.06</v>
      </c>
      <c r="I293" s="140">
        <f>H293+G293</f>
        <v>1740.06</v>
      </c>
    </row>
    <row r="294" spans="1:9" outlineLevel="1" x14ac:dyDescent="0.25">
      <c r="A294" s="107" t="s">
        <v>1199</v>
      </c>
      <c r="B294" s="538" t="s">
        <v>1177</v>
      </c>
      <c r="C294" s="46" t="s">
        <v>9</v>
      </c>
      <c r="D294" s="256">
        <f>SUM(D295:D303)*0.04/1000</f>
        <v>1.6604799999999996E-2</v>
      </c>
      <c r="E294" s="256">
        <v>40000</v>
      </c>
      <c r="F294" s="56"/>
      <c r="G294" s="2">
        <f>ROUND(E294*D294,2)</f>
        <v>664.19</v>
      </c>
      <c r="H294" s="11"/>
      <c r="I294" s="11">
        <f>G294+H294</f>
        <v>664.19</v>
      </c>
    </row>
    <row r="295" spans="1:9" outlineLevel="1" x14ac:dyDescent="0.25">
      <c r="A295" s="84"/>
      <c r="B295" s="657" t="s">
        <v>1178</v>
      </c>
      <c r="C295" s="41" t="s">
        <v>15</v>
      </c>
      <c r="D295" s="282">
        <f>балконы!D192</f>
        <v>191.48</v>
      </c>
      <c r="E295" s="51"/>
      <c r="F295" s="365">
        <v>33</v>
      </c>
      <c r="G295" s="51"/>
      <c r="H295" s="2">
        <f t="shared" ref="H295:H303" si="19">ROUND(D295*F295,2)</f>
        <v>6318.84</v>
      </c>
      <c r="I295" s="140">
        <f t="shared" ref="I295:I303" si="20">H295+G295</f>
        <v>6318.84</v>
      </c>
    </row>
    <row r="296" spans="1:9" outlineLevel="1" x14ac:dyDescent="0.25">
      <c r="A296" s="84"/>
      <c r="B296" s="657" t="s">
        <v>1195</v>
      </c>
      <c r="C296" s="41" t="s">
        <v>15</v>
      </c>
      <c r="D296" s="282">
        <f>балконы!D193</f>
        <v>30.37</v>
      </c>
      <c r="E296" s="51"/>
      <c r="F296" s="365">
        <v>39</v>
      </c>
      <c r="G296" s="51"/>
      <c r="H296" s="2">
        <f t="shared" si="19"/>
        <v>1184.43</v>
      </c>
      <c r="I296" s="140">
        <f t="shared" si="20"/>
        <v>1184.43</v>
      </c>
    </row>
    <row r="297" spans="1:9" outlineLevel="1" x14ac:dyDescent="0.25">
      <c r="A297" s="84"/>
      <c r="B297" s="533" t="s">
        <v>1179</v>
      </c>
      <c r="C297" s="41" t="s">
        <v>15</v>
      </c>
      <c r="D297" s="282">
        <f>балконы!D194</f>
        <v>52.05</v>
      </c>
      <c r="E297" s="51"/>
      <c r="F297" s="365">
        <v>33</v>
      </c>
      <c r="G297" s="51"/>
      <c r="H297" s="2">
        <f t="shared" si="19"/>
        <v>1717.65</v>
      </c>
      <c r="I297" s="140">
        <f t="shared" si="20"/>
        <v>1717.65</v>
      </c>
    </row>
    <row r="298" spans="1:9" outlineLevel="1" x14ac:dyDescent="0.25">
      <c r="A298" s="84"/>
      <c r="B298" s="533" t="s">
        <v>1180</v>
      </c>
      <c r="C298" s="41" t="s">
        <v>29</v>
      </c>
      <c r="D298" s="282">
        <f>балконы!D195</f>
        <v>48.68</v>
      </c>
      <c r="E298" s="51"/>
      <c r="F298" s="365">
        <v>33</v>
      </c>
      <c r="G298" s="51"/>
      <c r="H298" s="2">
        <f t="shared" si="19"/>
        <v>1606.44</v>
      </c>
      <c r="I298" s="140">
        <f t="shared" si="20"/>
        <v>1606.44</v>
      </c>
    </row>
    <row r="299" spans="1:9" outlineLevel="1" x14ac:dyDescent="0.25">
      <c r="A299" s="84"/>
      <c r="B299" s="533" t="s">
        <v>1181</v>
      </c>
      <c r="C299" s="41" t="s">
        <v>29</v>
      </c>
      <c r="D299" s="282">
        <f>балконы!D196</f>
        <v>83.325000000000003</v>
      </c>
      <c r="E299" s="51"/>
      <c r="F299" s="365">
        <v>33</v>
      </c>
      <c r="G299" s="51"/>
      <c r="H299" s="2">
        <f t="shared" si="19"/>
        <v>2749.73</v>
      </c>
      <c r="I299" s="140">
        <f t="shared" si="20"/>
        <v>2749.73</v>
      </c>
    </row>
    <row r="300" spans="1:9" outlineLevel="1" x14ac:dyDescent="0.25">
      <c r="A300" s="84"/>
      <c r="B300" s="533" t="s">
        <v>1182</v>
      </c>
      <c r="C300" s="41" t="s">
        <v>15</v>
      </c>
      <c r="D300" s="282">
        <f>балконы!D197</f>
        <v>2.08</v>
      </c>
      <c r="E300" s="51"/>
      <c r="F300" s="365">
        <v>33</v>
      </c>
      <c r="G300" s="51"/>
      <c r="H300" s="2">
        <f t="shared" si="19"/>
        <v>68.64</v>
      </c>
      <c r="I300" s="140">
        <f t="shared" si="20"/>
        <v>68.64</v>
      </c>
    </row>
    <row r="301" spans="1:9" outlineLevel="1" x14ac:dyDescent="0.25">
      <c r="A301" s="84"/>
      <c r="B301" s="657" t="s">
        <v>1183</v>
      </c>
      <c r="C301" s="41" t="s">
        <v>15</v>
      </c>
      <c r="D301" s="282">
        <f>балконы!D198</f>
        <v>0.97499999999999998</v>
      </c>
      <c r="E301" s="51"/>
      <c r="F301" s="365">
        <v>31</v>
      </c>
      <c r="G301" s="51"/>
      <c r="H301" s="2">
        <f t="shared" si="19"/>
        <v>30.23</v>
      </c>
      <c r="I301" s="140">
        <f t="shared" si="20"/>
        <v>30.23</v>
      </c>
    </row>
    <row r="302" spans="1:9" outlineLevel="1" x14ac:dyDescent="0.25">
      <c r="A302" s="84"/>
      <c r="B302" s="533" t="s">
        <v>1184</v>
      </c>
      <c r="C302" s="41" t="s">
        <v>15</v>
      </c>
      <c r="D302" s="282">
        <f>балконы!D199</f>
        <v>1.76</v>
      </c>
      <c r="E302" s="51"/>
      <c r="F302" s="365">
        <v>33</v>
      </c>
      <c r="G302" s="51"/>
      <c r="H302" s="2">
        <f t="shared" si="19"/>
        <v>58.08</v>
      </c>
      <c r="I302" s="140">
        <f t="shared" si="20"/>
        <v>58.08</v>
      </c>
    </row>
    <row r="303" spans="1:9" outlineLevel="1" x14ac:dyDescent="0.25">
      <c r="A303" s="84"/>
      <c r="B303" s="533" t="s">
        <v>1185</v>
      </c>
      <c r="C303" s="41" t="s">
        <v>15</v>
      </c>
      <c r="D303" s="282">
        <f>балконы!D200</f>
        <v>4.4000000000000004</v>
      </c>
      <c r="E303" s="51"/>
      <c r="F303" s="365">
        <v>33</v>
      </c>
      <c r="G303" s="51"/>
      <c r="H303" s="2">
        <f t="shared" si="19"/>
        <v>145.19999999999999</v>
      </c>
      <c r="I303" s="140">
        <f t="shared" si="20"/>
        <v>145.19999999999999</v>
      </c>
    </row>
    <row r="304" spans="1:9" outlineLevel="1" x14ac:dyDescent="0.25">
      <c r="A304" s="84"/>
      <c r="B304" s="533" t="s">
        <v>1135</v>
      </c>
      <c r="C304" s="41" t="s">
        <v>14</v>
      </c>
      <c r="D304" s="282">
        <f>балконы!D201</f>
        <v>10.7</v>
      </c>
      <c r="E304" s="51"/>
      <c r="F304" s="362">
        <v>280</v>
      </c>
      <c r="G304" s="2"/>
      <c r="H304" s="2">
        <f>F304*D304</f>
        <v>2996</v>
      </c>
      <c r="I304" s="11">
        <f>H304</f>
        <v>2996</v>
      </c>
    </row>
    <row r="305" spans="1:252" outlineLevel="1" x14ac:dyDescent="0.25">
      <c r="A305" s="84"/>
      <c r="B305" s="533" t="s">
        <v>1186</v>
      </c>
      <c r="C305" s="41" t="s">
        <v>14</v>
      </c>
      <c r="D305" s="282">
        <f>балконы!D202</f>
        <v>3.15</v>
      </c>
      <c r="E305" s="51"/>
      <c r="F305" s="362">
        <v>280</v>
      </c>
      <c r="G305" s="2"/>
      <c r="H305" s="2">
        <f>F305*D305</f>
        <v>882</v>
      </c>
      <c r="I305" s="11">
        <f>H305</f>
        <v>882</v>
      </c>
    </row>
    <row r="306" spans="1:252" outlineLevel="1" x14ac:dyDescent="0.25">
      <c r="A306" s="84"/>
      <c r="B306" s="535" t="s">
        <v>1462</v>
      </c>
      <c r="C306" s="41" t="s">
        <v>12</v>
      </c>
      <c r="D306" s="282">
        <v>1</v>
      </c>
      <c r="E306" s="51"/>
      <c r="F306" s="328">
        <v>10000</v>
      </c>
      <c r="G306" s="51"/>
      <c r="H306" s="2">
        <f>ROUND(D306*F306,2)</f>
        <v>10000</v>
      </c>
      <c r="I306" s="140">
        <f>H306+G306</f>
        <v>10000</v>
      </c>
    </row>
    <row r="307" spans="1:252" hidden="1" outlineLevel="1" x14ac:dyDescent="0.25">
      <c r="A307" s="84"/>
      <c r="B307" s="382" t="s">
        <v>1187</v>
      </c>
      <c r="C307" s="41" t="s">
        <v>12</v>
      </c>
      <c r="D307" s="401">
        <v>0</v>
      </c>
      <c r="E307" s="51"/>
      <c r="F307" s="328">
        <v>100</v>
      </c>
      <c r="G307" s="51"/>
      <c r="H307" s="2">
        <f t="shared" ref="H307:H313" si="21">ROUND(D307*F307,2)</f>
        <v>0</v>
      </c>
      <c r="I307" s="140">
        <f t="shared" ref="I307:I313" si="22">H307+G307</f>
        <v>0</v>
      </c>
    </row>
    <row r="308" spans="1:252" hidden="1" outlineLevel="1" x14ac:dyDescent="0.25">
      <c r="A308" s="84"/>
      <c r="B308" s="382" t="s">
        <v>1191</v>
      </c>
      <c r="C308" s="41" t="s">
        <v>12</v>
      </c>
      <c r="D308" s="401">
        <v>0</v>
      </c>
      <c r="E308" s="51"/>
      <c r="F308" s="328">
        <v>100</v>
      </c>
      <c r="G308" s="51"/>
      <c r="H308" s="2">
        <f t="shared" si="21"/>
        <v>0</v>
      </c>
      <c r="I308" s="140">
        <f t="shared" si="22"/>
        <v>0</v>
      </c>
    </row>
    <row r="309" spans="1:252" hidden="1" outlineLevel="1" x14ac:dyDescent="0.25">
      <c r="A309" s="84"/>
      <c r="B309" s="382" t="s">
        <v>1192</v>
      </c>
      <c r="C309" s="41" t="s">
        <v>12</v>
      </c>
      <c r="D309" s="401">
        <v>0</v>
      </c>
      <c r="E309" s="51"/>
      <c r="F309" s="328">
        <v>100</v>
      </c>
      <c r="G309" s="51"/>
      <c r="H309" s="2">
        <f t="shared" si="21"/>
        <v>0</v>
      </c>
      <c r="I309" s="140">
        <f t="shared" si="22"/>
        <v>0</v>
      </c>
    </row>
    <row r="310" spans="1:252" hidden="1" outlineLevel="1" x14ac:dyDescent="0.25">
      <c r="A310" s="84"/>
      <c r="B310" s="382" t="s">
        <v>1189</v>
      </c>
      <c r="C310" s="41" t="s">
        <v>12</v>
      </c>
      <c r="D310" s="401">
        <v>0</v>
      </c>
      <c r="E310" s="51"/>
      <c r="F310" s="328">
        <v>100</v>
      </c>
      <c r="G310" s="51"/>
      <c r="H310" s="2">
        <f t="shared" si="21"/>
        <v>0</v>
      </c>
      <c r="I310" s="140">
        <f t="shared" si="22"/>
        <v>0</v>
      </c>
    </row>
    <row r="311" spans="1:252" hidden="1" outlineLevel="1" x14ac:dyDescent="0.25">
      <c r="A311" s="84"/>
      <c r="B311" s="382" t="s">
        <v>1190</v>
      </c>
      <c r="C311" s="41" t="s">
        <v>12</v>
      </c>
      <c r="D311" s="401">
        <v>0</v>
      </c>
      <c r="E311" s="51"/>
      <c r="F311" s="328">
        <v>100</v>
      </c>
      <c r="G311" s="51"/>
      <c r="H311" s="2">
        <f t="shared" si="21"/>
        <v>0</v>
      </c>
      <c r="I311" s="140">
        <f t="shared" si="22"/>
        <v>0</v>
      </c>
    </row>
    <row r="312" spans="1:252" hidden="1" outlineLevel="1" x14ac:dyDescent="0.25">
      <c r="A312" s="84"/>
      <c r="B312" s="382" t="s">
        <v>1194</v>
      </c>
      <c r="C312" s="41" t="s">
        <v>12</v>
      </c>
      <c r="D312" s="401">
        <v>0</v>
      </c>
      <c r="E312" s="51"/>
      <c r="F312" s="328">
        <v>100</v>
      </c>
      <c r="G312" s="51"/>
      <c r="H312" s="2">
        <f t="shared" si="21"/>
        <v>0</v>
      </c>
      <c r="I312" s="140">
        <f t="shared" si="22"/>
        <v>0</v>
      </c>
    </row>
    <row r="313" spans="1:252" hidden="1" outlineLevel="1" x14ac:dyDescent="0.25">
      <c r="A313" s="84"/>
      <c r="B313" s="382" t="s">
        <v>1188</v>
      </c>
      <c r="C313" s="41" t="s">
        <v>12</v>
      </c>
      <c r="D313" s="401">
        <v>0</v>
      </c>
      <c r="E313" s="51"/>
      <c r="F313" s="328">
        <v>100</v>
      </c>
      <c r="G313" s="51"/>
      <c r="H313" s="2">
        <f t="shared" si="21"/>
        <v>0</v>
      </c>
      <c r="I313" s="140">
        <f t="shared" si="22"/>
        <v>0</v>
      </c>
    </row>
    <row r="314" spans="1:252" outlineLevel="1" x14ac:dyDescent="0.3">
      <c r="A314" s="107" t="s">
        <v>1200</v>
      </c>
      <c r="B314" s="538" t="s">
        <v>807</v>
      </c>
      <c r="C314" s="41" t="s">
        <v>14</v>
      </c>
      <c r="D314" s="256">
        <f>D294*27</f>
        <v>0.44832959999999988</v>
      </c>
      <c r="E314" s="256">
        <v>150</v>
      </c>
      <c r="F314" s="484"/>
      <c r="G314" s="2">
        <f>D314*E314</f>
        <v>67.249439999999979</v>
      </c>
      <c r="H314" s="484"/>
      <c r="I314" s="11">
        <f>G314</f>
        <v>67.249439999999979</v>
      </c>
    </row>
    <row r="315" spans="1:252" outlineLevel="1" x14ac:dyDescent="0.3">
      <c r="A315" s="84"/>
      <c r="B315" s="533" t="s">
        <v>1166</v>
      </c>
      <c r="C315" s="41" t="s">
        <v>15</v>
      </c>
      <c r="D315" s="282">
        <f>D314*0.2</f>
        <v>8.9665919999999982E-2</v>
      </c>
      <c r="E315" s="484"/>
      <c r="F315" s="362">
        <v>85</v>
      </c>
      <c r="G315" s="484"/>
      <c r="H315" s="2">
        <f>F315*D315</f>
        <v>7.6216031999999982</v>
      </c>
      <c r="I315" s="11">
        <f>H315</f>
        <v>7.6216031999999982</v>
      </c>
    </row>
    <row r="316" spans="1:252" outlineLevel="1" x14ac:dyDescent="0.3">
      <c r="A316" s="84"/>
      <c r="B316" s="533" t="s">
        <v>1162</v>
      </c>
      <c r="C316" s="41" t="s">
        <v>15</v>
      </c>
      <c r="D316" s="282">
        <f>D314*0.3</f>
        <v>0.13449887999999996</v>
      </c>
      <c r="E316" s="484"/>
      <c r="F316" s="362">
        <v>115</v>
      </c>
      <c r="G316" s="484"/>
      <c r="H316" s="2">
        <f>F316*D316</f>
        <v>15.467371199999995</v>
      </c>
      <c r="I316" s="11">
        <f>H316</f>
        <v>15.467371199999995</v>
      </c>
    </row>
    <row r="317" spans="1:252" x14ac:dyDescent="0.25">
      <c r="A317" s="223"/>
      <c r="B317" s="232" t="s">
        <v>55</v>
      </c>
      <c r="C317" s="225"/>
      <c r="D317" s="239"/>
      <c r="E317" s="230"/>
      <c r="F317" s="240"/>
      <c r="G317" s="230">
        <f>SUM(G264:G316)</f>
        <v>216648.78944000002</v>
      </c>
      <c r="H317" s="230">
        <f>SUM(H264:H316)</f>
        <v>509144.48897439986</v>
      </c>
      <c r="I317" s="230">
        <f>ROUND(SUM(I264:I316),2)</f>
        <v>725793.28000000003</v>
      </c>
      <c r="K317" s="133"/>
    </row>
    <row r="318" spans="1:252" ht="15" customHeight="1" x14ac:dyDescent="0.25">
      <c r="A318" s="90"/>
      <c r="B318" s="471" t="s">
        <v>624</v>
      </c>
      <c r="C318" s="9"/>
      <c r="D318" s="31"/>
      <c r="E318" s="10"/>
      <c r="F318" s="57"/>
      <c r="G318" s="10"/>
      <c r="H318" s="10"/>
      <c r="I318" s="31">
        <f>ROUND(I317/1.18*0.18,2)</f>
        <v>110714.23</v>
      </c>
    </row>
    <row r="319" spans="1:252" ht="18.75" customHeight="1" x14ac:dyDescent="0.25">
      <c r="A319" s="104"/>
      <c r="B319" s="562" t="s">
        <v>1202</v>
      </c>
      <c r="C319" s="105"/>
      <c r="D319" s="105"/>
      <c r="E319" s="105"/>
      <c r="F319" s="138"/>
      <c r="G319" s="105"/>
      <c r="H319" s="105"/>
      <c r="I319" s="106"/>
    </row>
    <row r="320" spans="1:252" s="38" customFormat="1" ht="31.2" outlineLevel="1" x14ac:dyDescent="0.25">
      <c r="A320" s="271" t="s">
        <v>239</v>
      </c>
      <c r="B320" s="602" t="s">
        <v>1013</v>
      </c>
      <c r="C320" s="202" t="s">
        <v>14</v>
      </c>
      <c r="D320" s="598">
        <f>окна!T25</f>
        <v>95.414600000000007</v>
      </c>
      <c r="E320" s="353">
        <v>5100</v>
      </c>
      <c r="F320" s="207"/>
      <c r="G320" s="2">
        <f>ROUND(E320*D320,2)</f>
        <v>486614.46</v>
      </c>
      <c r="H320" s="2">
        <f>ROUND(D320*F320,2)</f>
        <v>0</v>
      </c>
      <c r="I320" s="3">
        <f>H320+G320</f>
        <v>486614.46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  <c r="EP320" s="15"/>
      <c r="EQ320" s="15"/>
      <c r="ER320" s="15"/>
      <c r="ES320" s="15"/>
      <c r="ET320" s="15"/>
      <c r="EU320" s="15"/>
      <c r="EV320" s="15"/>
      <c r="EW320" s="15"/>
      <c r="EX320" s="15"/>
      <c r="EY320" s="15"/>
      <c r="EZ320" s="15"/>
      <c r="FA320" s="15"/>
      <c r="FB320" s="15"/>
      <c r="FC320" s="15"/>
      <c r="FD320" s="15"/>
      <c r="FE320" s="15"/>
      <c r="FF320" s="15"/>
      <c r="FG320" s="15"/>
      <c r="FH320" s="15"/>
      <c r="FI320" s="15"/>
      <c r="FJ320" s="15"/>
      <c r="FK320" s="15"/>
      <c r="FL320" s="15"/>
      <c r="FM320" s="15"/>
      <c r="FN320" s="15"/>
      <c r="FO320" s="15"/>
      <c r="FP320" s="15"/>
      <c r="FQ320" s="15"/>
      <c r="FR320" s="15"/>
      <c r="FS320" s="15"/>
      <c r="FT320" s="15"/>
      <c r="FU320" s="15"/>
      <c r="FV320" s="15"/>
      <c r="FW320" s="15"/>
      <c r="FX320" s="15"/>
      <c r="FY320" s="15"/>
      <c r="FZ320" s="15"/>
      <c r="GA320" s="15"/>
      <c r="GB320" s="15"/>
      <c r="GC320" s="15"/>
      <c r="GD320" s="15"/>
      <c r="GE320" s="15"/>
      <c r="GF320" s="15"/>
      <c r="GG320" s="15"/>
      <c r="GH320" s="15"/>
      <c r="GI320" s="15"/>
      <c r="GJ320" s="15"/>
      <c r="GK320" s="15"/>
      <c r="GL320" s="15"/>
      <c r="GM320" s="15"/>
      <c r="GN320" s="15"/>
      <c r="GO320" s="15"/>
      <c r="GP320" s="15"/>
      <c r="GQ320" s="15"/>
      <c r="GR320" s="15"/>
      <c r="GS320" s="15"/>
      <c r="GT320" s="15"/>
      <c r="GU320" s="15"/>
      <c r="GV320" s="15"/>
      <c r="GW320" s="15"/>
      <c r="GX320" s="15"/>
      <c r="GY320" s="15"/>
      <c r="GZ320" s="15"/>
      <c r="HA320" s="15"/>
      <c r="HB320" s="15"/>
      <c r="HC320" s="15"/>
      <c r="HD320" s="15"/>
      <c r="HE320" s="15"/>
      <c r="HF320" s="15"/>
      <c r="HG320" s="15"/>
      <c r="HH320" s="15"/>
      <c r="HI320" s="15"/>
      <c r="HJ320" s="15"/>
      <c r="HK320" s="15"/>
      <c r="HL320" s="15"/>
      <c r="HM320" s="15"/>
      <c r="HN320" s="15"/>
      <c r="HO320" s="15"/>
      <c r="HP320" s="15"/>
      <c r="HQ320" s="15"/>
      <c r="HR320" s="15"/>
      <c r="HS320" s="15"/>
      <c r="HT320" s="15"/>
      <c r="HU320" s="15"/>
      <c r="HV320" s="15"/>
      <c r="HW320" s="15"/>
      <c r="HX320" s="15"/>
      <c r="HY320" s="15"/>
      <c r="HZ320" s="15"/>
      <c r="IA320" s="15"/>
      <c r="IB320" s="15"/>
      <c r="IC320" s="15"/>
      <c r="ID320" s="15"/>
      <c r="IE320" s="15"/>
      <c r="IF320" s="15"/>
      <c r="IG320" s="15"/>
      <c r="IH320" s="15"/>
      <c r="II320" s="15"/>
      <c r="IJ320" s="15"/>
      <c r="IK320" s="15"/>
      <c r="IL320" s="15"/>
      <c r="IM320" s="15"/>
      <c r="IN320" s="15"/>
      <c r="IO320" s="15"/>
      <c r="IP320" s="15"/>
      <c r="IQ320" s="15"/>
      <c r="IR320" s="15"/>
    </row>
    <row r="321" spans="1:252" s="38" customFormat="1" outlineLevel="1" x14ac:dyDescent="0.25">
      <c r="A321" s="90"/>
      <c r="B321" s="603" t="s">
        <v>1322</v>
      </c>
      <c r="C321" s="202" t="s">
        <v>14</v>
      </c>
      <c r="D321" s="554">
        <v>11.423999999999999</v>
      </c>
      <c r="E321" s="353">
        <v>6200</v>
      </c>
      <c r="F321" s="207"/>
      <c r="G321" s="2">
        <f>ROUND(E321*D321,2)</f>
        <v>70828.800000000003</v>
      </c>
      <c r="H321" s="2">
        <f>ROUND(D321*F321,2)</f>
        <v>0</v>
      </c>
      <c r="I321" s="3">
        <f>H321+G321</f>
        <v>70828.800000000003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N321" s="15"/>
      <c r="EO321" s="15"/>
      <c r="EP321" s="15"/>
      <c r="EQ321" s="15"/>
      <c r="ER321" s="15"/>
      <c r="ES321" s="15"/>
      <c r="ET321" s="15"/>
      <c r="EU321" s="15"/>
      <c r="EV321" s="15"/>
      <c r="EW321" s="15"/>
      <c r="EX321" s="15"/>
      <c r="EY321" s="15"/>
      <c r="EZ321" s="15"/>
      <c r="FA321" s="15"/>
      <c r="FB321" s="15"/>
      <c r="FC321" s="15"/>
      <c r="FD321" s="15"/>
      <c r="FE321" s="15"/>
      <c r="FF321" s="15"/>
      <c r="FG321" s="15"/>
      <c r="FH321" s="15"/>
      <c r="FI321" s="15"/>
      <c r="FJ321" s="15"/>
      <c r="FK321" s="15"/>
      <c r="FL321" s="15"/>
      <c r="FM321" s="15"/>
      <c r="FN321" s="15"/>
      <c r="FO321" s="15"/>
      <c r="FP321" s="15"/>
      <c r="FQ321" s="15"/>
      <c r="FR321" s="15"/>
      <c r="FS321" s="15"/>
      <c r="FT321" s="15"/>
      <c r="FU321" s="15"/>
      <c r="FV321" s="15"/>
      <c r="FW321" s="15"/>
      <c r="FX321" s="15"/>
      <c r="FY321" s="15"/>
      <c r="FZ321" s="15"/>
      <c r="GA321" s="15"/>
      <c r="GB321" s="15"/>
      <c r="GC321" s="15"/>
      <c r="GD321" s="15"/>
      <c r="GE321" s="15"/>
      <c r="GF321" s="15"/>
      <c r="GG321" s="15"/>
      <c r="GH321" s="15"/>
      <c r="GI321" s="15"/>
      <c r="GJ321" s="15"/>
      <c r="GK321" s="15"/>
      <c r="GL321" s="15"/>
      <c r="GM321" s="15"/>
      <c r="GN321" s="15"/>
      <c r="GO321" s="15"/>
      <c r="GP321" s="15"/>
      <c r="GQ321" s="15"/>
      <c r="GR321" s="15"/>
      <c r="GS321" s="15"/>
      <c r="GT321" s="15"/>
      <c r="GU321" s="15"/>
      <c r="GV321" s="15"/>
      <c r="GW321" s="15"/>
      <c r="GX321" s="15"/>
      <c r="GY321" s="15"/>
      <c r="GZ321" s="15"/>
      <c r="HA321" s="15"/>
      <c r="HB321" s="15"/>
      <c r="HC321" s="15"/>
      <c r="HD321" s="15"/>
      <c r="HE321" s="15"/>
      <c r="HF321" s="15"/>
      <c r="HG321" s="15"/>
      <c r="HH321" s="15"/>
      <c r="HI321" s="15"/>
      <c r="HJ321" s="15"/>
      <c r="HK321" s="15"/>
      <c r="HL321" s="15"/>
      <c r="HM321" s="15"/>
      <c r="HN321" s="15"/>
      <c r="HO321" s="15"/>
      <c r="HP321" s="15"/>
      <c r="HQ321" s="15"/>
      <c r="HR321" s="15"/>
      <c r="HS321" s="15"/>
      <c r="HT321" s="15"/>
      <c r="HU321" s="15"/>
      <c r="HV321" s="15"/>
      <c r="HW321" s="15"/>
      <c r="HX321" s="15"/>
      <c r="HY321" s="15"/>
      <c r="HZ321" s="15"/>
      <c r="IA321" s="15"/>
      <c r="IB321" s="15"/>
      <c r="IC321" s="15"/>
      <c r="ID321" s="15"/>
      <c r="IE321" s="15"/>
      <c r="IF321" s="15"/>
      <c r="IG321" s="15"/>
      <c r="IH321" s="15"/>
      <c r="II321" s="15"/>
      <c r="IJ321" s="15"/>
      <c r="IK321" s="15"/>
      <c r="IL321" s="15"/>
      <c r="IM321" s="15"/>
      <c r="IN321" s="15"/>
      <c r="IO321" s="15"/>
      <c r="IP321" s="15"/>
      <c r="IQ321" s="15"/>
      <c r="IR321" s="15"/>
    </row>
    <row r="322" spans="1:252" s="38" customFormat="1" outlineLevel="1" x14ac:dyDescent="0.25">
      <c r="A322" s="271" t="s">
        <v>1203</v>
      </c>
      <c r="B322" s="603" t="s">
        <v>1014</v>
      </c>
      <c r="C322" s="202" t="s">
        <v>1323</v>
      </c>
      <c r="D322" s="267">
        <f>окна!X26</f>
        <v>39.53</v>
      </c>
      <c r="E322" s="353">
        <v>250</v>
      </c>
      <c r="F322" s="207"/>
      <c r="G322" s="2">
        <f>ROUND(E322*D322,2)</f>
        <v>9882.5</v>
      </c>
      <c r="H322" s="2">
        <f>ROUND(D322*F322,2)</f>
        <v>0</v>
      </c>
      <c r="I322" s="3">
        <f>H322+G322</f>
        <v>9882.5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</row>
    <row r="323" spans="1:252" x14ac:dyDescent="0.25">
      <c r="A323" s="223"/>
      <c r="B323" s="224" t="s">
        <v>59</v>
      </c>
      <c r="C323" s="225"/>
      <c r="D323" s="226"/>
      <c r="E323" s="227"/>
      <c r="F323" s="228"/>
      <c r="G323" s="227">
        <f>SUM(G320:G322)</f>
        <v>567325.76</v>
      </c>
      <c r="H323" s="227">
        <f>SUM(H320:H322)</f>
        <v>0</v>
      </c>
      <c r="I323" s="227">
        <f>SUM(I320:I322)</f>
        <v>567325.76</v>
      </c>
    </row>
    <row r="324" spans="1:252" ht="16.2" customHeight="1" x14ac:dyDescent="0.25">
      <c r="A324" s="90"/>
      <c r="B324" s="471" t="s">
        <v>624</v>
      </c>
      <c r="C324" s="9"/>
      <c r="D324" s="31"/>
      <c r="E324" s="10"/>
      <c r="F324" s="57"/>
      <c r="G324" s="10"/>
      <c r="H324" s="10"/>
      <c r="I324" s="31">
        <f>ROUND(I323/1.18*0.18,2)</f>
        <v>86541.22</v>
      </c>
    </row>
    <row r="325" spans="1:252" ht="18.75" customHeight="1" x14ac:dyDescent="0.25">
      <c r="A325" s="109"/>
      <c r="B325" s="562" t="s">
        <v>1204</v>
      </c>
      <c r="C325" s="105"/>
      <c r="D325" s="105"/>
      <c r="E325" s="105"/>
      <c r="F325" s="138"/>
      <c r="G325" s="105"/>
      <c r="H325" s="105"/>
      <c r="I325" s="106"/>
    </row>
    <row r="326" spans="1:252" outlineLevel="1" x14ac:dyDescent="0.25">
      <c r="A326" s="271" t="s">
        <v>316</v>
      </c>
      <c r="B326" s="636" t="s">
        <v>37</v>
      </c>
      <c r="C326" s="2" t="s">
        <v>12</v>
      </c>
      <c r="D326" s="268">
        <f>SUM(D327:D330)</f>
        <v>23</v>
      </c>
      <c r="E326" s="256">
        <v>1200</v>
      </c>
      <c r="F326" s="60"/>
      <c r="G326" s="2">
        <f>ROUND(E326*D326,2)</f>
        <v>27600</v>
      </c>
      <c r="H326" s="18"/>
      <c r="I326" s="18">
        <f>G326+H326</f>
        <v>27600</v>
      </c>
    </row>
    <row r="327" spans="1:252" ht="31.2" outlineLevel="1" x14ac:dyDescent="0.25">
      <c r="A327" s="84"/>
      <c r="B327" s="612" t="s">
        <v>225</v>
      </c>
      <c r="C327" s="21" t="s">
        <v>12</v>
      </c>
      <c r="D327" s="639">
        <v>18</v>
      </c>
      <c r="E327" s="2"/>
      <c r="F327" s="361">
        <v>1400</v>
      </c>
      <c r="G327" s="18"/>
      <c r="H327" s="2">
        <f>ROUND(D327*F327,2)</f>
        <v>25200</v>
      </c>
      <c r="I327" s="18">
        <f t="shared" ref="I327:I332" si="23">G327+H327</f>
        <v>25200</v>
      </c>
    </row>
    <row r="328" spans="1:252" outlineLevel="1" x14ac:dyDescent="0.25">
      <c r="A328" s="84"/>
      <c r="B328" s="612" t="s">
        <v>1468</v>
      </c>
      <c r="C328" s="21" t="s">
        <v>12</v>
      </c>
      <c r="D328" s="639">
        <v>3</v>
      </c>
      <c r="E328" s="2"/>
      <c r="F328" s="361">
        <v>1400</v>
      </c>
      <c r="G328" s="18"/>
      <c r="H328" s="2">
        <f>ROUND(D328*F328,2)</f>
        <v>4200</v>
      </c>
      <c r="I328" s="18">
        <f>G328+H328</f>
        <v>4200</v>
      </c>
    </row>
    <row r="329" spans="1:252" ht="31.2" outlineLevel="1" x14ac:dyDescent="0.25">
      <c r="A329" s="84"/>
      <c r="B329" s="612" t="s">
        <v>1430</v>
      </c>
      <c r="C329" s="21" t="s">
        <v>12</v>
      </c>
      <c r="D329" s="639">
        <v>1</v>
      </c>
      <c r="E329" s="2"/>
      <c r="F329" s="361">
        <v>24500</v>
      </c>
      <c r="G329" s="18"/>
      <c r="H329" s="2">
        <f>ROUND(D329*F329,2)</f>
        <v>24500</v>
      </c>
      <c r="I329" s="18">
        <f t="shared" si="23"/>
        <v>24500</v>
      </c>
    </row>
    <row r="330" spans="1:252" outlineLevel="1" x14ac:dyDescent="0.25">
      <c r="A330" s="84"/>
      <c r="B330" s="612" t="s">
        <v>1463</v>
      </c>
      <c r="C330" s="21" t="s">
        <v>12</v>
      </c>
      <c r="D330" s="639">
        <v>1</v>
      </c>
      <c r="E330" s="2"/>
      <c r="F330" s="164">
        <v>10000</v>
      </c>
      <c r="G330" s="18"/>
      <c r="H330" s="2">
        <f>ROUND(D330*F330,2)</f>
        <v>10000</v>
      </c>
      <c r="I330" s="18">
        <f>G330+H330</f>
        <v>10000</v>
      </c>
    </row>
    <row r="331" spans="1:252" outlineLevel="1" x14ac:dyDescent="0.25">
      <c r="A331" s="271" t="s">
        <v>469</v>
      </c>
      <c r="B331" s="543" t="s">
        <v>38</v>
      </c>
      <c r="C331" s="2" t="s">
        <v>12</v>
      </c>
      <c r="D331" s="268">
        <f>SUM(D332:D333)</f>
        <v>2</v>
      </c>
      <c r="E331" s="256">
        <v>1600</v>
      </c>
      <c r="F331" s="164"/>
      <c r="G331" s="2">
        <f>ROUND(E331*D331,2)</f>
        <v>3200</v>
      </c>
      <c r="H331" s="18"/>
      <c r="I331" s="18">
        <f t="shared" si="23"/>
        <v>3200</v>
      </c>
    </row>
    <row r="332" spans="1:252" ht="31.2" outlineLevel="1" x14ac:dyDescent="0.25">
      <c r="A332" s="84"/>
      <c r="B332" s="612" t="s">
        <v>1216</v>
      </c>
      <c r="C332" s="21" t="s">
        <v>12</v>
      </c>
      <c r="D332" s="639">
        <v>1</v>
      </c>
      <c r="E332" s="2"/>
      <c r="F332" s="361">
        <f>10915*1.18</f>
        <v>12879.699999999999</v>
      </c>
      <c r="G332" s="18"/>
      <c r="H332" s="2">
        <f>ROUND(D332*F332,2)</f>
        <v>12879.7</v>
      </c>
      <c r="I332" s="18">
        <f t="shared" si="23"/>
        <v>12879.7</v>
      </c>
    </row>
    <row r="333" spans="1:252" outlineLevel="1" x14ac:dyDescent="0.25">
      <c r="A333" s="84"/>
      <c r="B333" s="612" t="s">
        <v>1464</v>
      </c>
      <c r="C333" s="21" t="s">
        <v>12</v>
      </c>
      <c r="D333" s="639">
        <v>1</v>
      </c>
      <c r="E333" s="2"/>
      <c r="F333" s="361">
        <f>10915*1.18</f>
        <v>12879.699999999999</v>
      </c>
      <c r="G333" s="18"/>
      <c r="H333" s="2">
        <f>ROUND(D333*F333,2)</f>
        <v>12879.7</v>
      </c>
      <c r="I333" s="18">
        <f>G333+H333</f>
        <v>12879.7</v>
      </c>
    </row>
    <row r="334" spans="1:252" outlineLevel="1" x14ac:dyDescent="0.25">
      <c r="A334" s="271" t="s">
        <v>522</v>
      </c>
      <c r="B334" s="543" t="s">
        <v>664</v>
      </c>
      <c r="C334" s="2" t="s">
        <v>12</v>
      </c>
      <c r="D334" s="268">
        <f>SUM(D335:D335)</f>
        <v>1</v>
      </c>
      <c r="E334" s="256">
        <v>1300</v>
      </c>
      <c r="F334" s="485">
        <v>10800</v>
      </c>
      <c r="G334" s="2">
        <f>ROUND(E334*D334,2)</f>
        <v>1300</v>
      </c>
      <c r="H334" s="2">
        <f>ROUND(D334*F334,2)</f>
        <v>10800</v>
      </c>
      <c r="I334" s="18">
        <f>G334+H334</f>
        <v>12100</v>
      </c>
    </row>
    <row r="335" spans="1:252" outlineLevel="1" x14ac:dyDescent="0.25">
      <c r="A335" s="84"/>
      <c r="B335" s="558" t="s">
        <v>1465</v>
      </c>
      <c r="C335" s="2" t="s">
        <v>12</v>
      </c>
      <c r="D335" s="660">
        <v>1</v>
      </c>
      <c r="E335" s="158"/>
      <c r="F335" s="60"/>
      <c r="G335" s="18"/>
      <c r="H335" s="18"/>
      <c r="I335" s="18"/>
    </row>
    <row r="336" spans="1:252" outlineLevel="1" x14ac:dyDescent="0.25">
      <c r="A336" s="271" t="s">
        <v>523</v>
      </c>
      <c r="B336" s="543" t="s">
        <v>665</v>
      </c>
      <c r="C336" s="2" t="s">
        <v>12</v>
      </c>
      <c r="D336" s="661">
        <f>D337+D338</f>
        <v>8</v>
      </c>
      <c r="E336" s="256">
        <v>1300</v>
      </c>
      <c r="F336" s="60"/>
      <c r="G336" s="2">
        <f>ROUND(E336*D336,2)</f>
        <v>10400</v>
      </c>
      <c r="H336" s="18"/>
      <c r="I336" s="18">
        <f>G336+H336</f>
        <v>10400</v>
      </c>
    </row>
    <row r="337" spans="1:12" outlineLevel="1" x14ac:dyDescent="0.25">
      <c r="A337" s="84"/>
      <c r="B337" s="558" t="s">
        <v>1219</v>
      </c>
      <c r="C337" s="2" t="s">
        <v>12</v>
      </c>
      <c r="D337" s="660">
        <v>4</v>
      </c>
      <c r="E337" s="2"/>
      <c r="F337" s="164">
        <v>700</v>
      </c>
      <c r="G337" s="18"/>
      <c r="H337" s="2">
        <f>ROUND(D337*F337,2)</f>
        <v>2800</v>
      </c>
      <c r="I337" s="18">
        <f>G337+H337</f>
        <v>2800</v>
      </c>
    </row>
    <row r="338" spans="1:12" ht="31.2" outlineLevel="1" x14ac:dyDescent="0.25">
      <c r="A338" s="84"/>
      <c r="B338" s="558" t="s">
        <v>1220</v>
      </c>
      <c r="C338" s="2" t="s">
        <v>12</v>
      </c>
      <c r="D338" s="660">
        <v>4</v>
      </c>
      <c r="E338" s="2"/>
      <c r="F338" s="164">
        <v>2000</v>
      </c>
      <c r="G338" s="18"/>
      <c r="H338" s="2">
        <f>ROUND(D338*F338,2)</f>
        <v>8000</v>
      </c>
      <c r="I338" s="18">
        <f>G338+H338</f>
        <v>8000</v>
      </c>
    </row>
    <row r="339" spans="1:12" x14ac:dyDescent="0.25">
      <c r="A339" s="223"/>
      <c r="B339" s="232" t="s">
        <v>58</v>
      </c>
      <c r="C339" s="225"/>
      <c r="D339" s="226"/>
      <c r="E339" s="227"/>
      <c r="F339" s="228"/>
      <c r="G339" s="227">
        <f>SUM(G326:G338)</f>
        <v>42500</v>
      </c>
      <c r="H339" s="227">
        <f>SUM(H326:H338)</f>
        <v>111259.4</v>
      </c>
      <c r="I339" s="227">
        <f>SUM(I326:I338)</f>
        <v>153759.4</v>
      </c>
    </row>
    <row r="340" spans="1:12" ht="16.95" customHeight="1" x14ac:dyDescent="0.25">
      <c r="A340" s="90"/>
      <c r="B340" s="471" t="s">
        <v>624</v>
      </c>
      <c r="C340" s="9"/>
      <c r="D340" s="31"/>
      <c r="E340" s="10"/>
      <c r="F340" s="57"/>
      <c r="G340" s="10"/>
      <c r="H340" s="10"/>
      <c r="I340" s="31">
        <f>ROUND(I339/1.18*0.18,2)</f>
        <v>23454.82</v>
      </c>
    </row>
    <row r="341" spans="1:12" ht="18.75" customHeight="1" x14ac:dyDescent="0.25">
      <c r="A341" s="108"/>
      <c r="B341" s="562" t="s">
        <v>1205</v>
      </c>
      <c r="C341" s="105"/>
      <c r="D341" s="105"/>
      <c r="E341" s="105"/>
      <c r="F341" s="138"/>
      <c r="G341" s="105"/>
      <c r="H341" s="105"/>
      <c r="I341" s="106"/>
    </row>
    <row r="342" spans="1:12" s="6" customFormat="1" ht="31.5" customHeight="1" outlineLevel="1" x14ac:dyDescent="0.25">
      <c r="A342" s="107" t="s">
        <v>317</v>
      </c>
      <c r="B342" s="599" t="s">
        <v>1005</v>
      </c>
      <c r="C342" s="31" t="s">
        <v>14</v>
      </c>
      <c r="D342" s="268">
        <f>фасад!P2-окна!T25-окна!V26</f>
        <v>524.32489999999984</v>
      </c>
      <c r="E342" s="256">
        <v>900</v>
      </c>
      <c r="F342" s="60"/>
      <c r="G342" s="2">
        <f>ROUND(E342*D342,2)</f>
        <v>471892.41</v>
      </c>
      <c r="H342" s="18"/>
      <c r="I342" s="18">
        <f t="shared" ref="I342:I350" si="24">G342+H342</f>
        <v>471892.41</v>
      </c>
      <c r="J342" s="499"/>
      <c r="K342" s="25"/>
      <c r="L342" s="25"/>
    </row>
    <row r="343" spans="1:12" ht="31.2" outlineLevel="1" x14ac:dyDescent="0.25">
      <c r="A343" s="84"/>
      <c r="B343" s="533" t="s">
        <v>1223</v>
      </c>
      <c r="C343" s="55" t="s">
        <v>15</v>
      </c>
      <c r="D343" s="277">
        <f>ROUND(D342*0.1,2)</f>
        <v>52.43</v>
      </c>
      <c r="E343" s="18"/>
      <c r="F343" s="366">
        <f>ROUND(1868.06/10,2)</f>
        <v>186.81</v>
      </c>
      <c r="G343" s="18"/>
      <c r="H343" s="2">
        <f>ROUND(D343*F343,2)</f>
        <v>9794.4500000000007</v>
      </c>
      <c r="I343" s="18">
        <f t="shared" si="24"/>
        <v>9794.4500000000007</v>
      </c>
    </row>
    <row r="344" spans="1:12" ht="18" customHeight="1" outlineLevel="1" x14ac:dyDescent="0.25">
      <c r="A344" s="84"/>
      <c r="B344" s="533" t="s">
        <v>1012</v>
      </c>
      <c r="C344" s="2" t="s">
        <v>8</v>
      </c>
      <c r="D344" s="282">
        <f>фасад!F6*0.12</f>
        <v>199.7064</v>
      </c>
      <c r="E344" s="31"/>
      <c r="F344" s="666">
        <v>2351</v>
      </c>
      <c r="G344" s="2"/>
      <c r="H344" s="2">
        <f>ROUND(D344*F344,2)</f>
        <v>469509.75</v>
      </c>
      <c r="I344" s="18">
        <f t="shared" si="24"/>
        <v>469509.75</v>
      </c>
    </row>
    <row r="345" spans="1:12" ht="36" hidden="1" customHeight="1" outlineLevel="1" x14ac:dyDescent="0.25">
      <c r="A345" s="84"/>
      <c r="B345" s="361" t="s">
        <v>1034</v>
      </c>
      <c r="C345" s="2" t="s">
        <v>8</v>
      </c>
      <c r="D345" s="282">
        <v>0</v>
      </c>
      <c r="E345" s="158"/>
      <c r="F345" s="664">
        <v>3196</v>
      </c>
      <c r="G345" s="2"/>
      <c r="H345" s="2">
        <f>ROUND(D345*F345,2)</f>
        <v>0</v>
      </c>
      <c r="I345" s="11">
        <f t="shared" si="24"/>
        <v>0</v>
      </c>
    </row>
    <row r="346" spans="1:12" outlineLevel="1" x14ac:dyDescent="0.25">
      <c r="A346" s="84"/>
      <c r="B346" s="600" t="s">
        <v>230</v>
      </c>
      <c r="C346" s="55" t="s">
        <v>12</v>
      </c>
      <c r="D346" s="277">
        <f>ROUND(D342*12,2)</f>
        <v>6291.9</v>
      </c>
      <c r="E346" s="18"/>
      <c r="F346" s="142">
        <v>12</v>
      </c>
      <c r="G346" s="18"/>
      <c r="H346" s="2">
        <f>ROUND(D346*F346,2)</f>
        <v>75502.8</v>
      </c>
      <c r="I346" s="18">
        <f t="shared" si="24"/>
        <v>75502.8</v>
      </c>
    </row>
    <row r="347" spans="1:12" hidden="1" outlineLevel="1" x14ac:dyDescent="0.25">
      <c r="A347" s="107" t="s">
        <v>318</v>
      </c>
      <c r="B347" s="379" t="s">
        <v>666</v>
      </c>
      <c r="C347" s="31" t="s">
        <v>14</v>
      </c>
      <c r="D347" s="402">
        <v>0</v>
      </c>
      <c r="E347" s="256">
        <v>900</v>
      </c>
      <c r="F347" s="60"/>
      <c r="G347" s="2">
        <f>ROUND(E347*D347,2)</f>
        <v>0</v>
      </c>
      <c r="H347" s="18"/>
      <c r="I347" s="18">
        <f t="shared" si="24"/>
        <v>0</v>
      </c>
      <c r="K347" s="430" t="s">
        <v>1222</v>
      </c>
    </row>
    <row r="348" spans="1:12" ht="31.2" hidden="1" outlineLevel="1" x14ac:dyDescent="0.25">
      <c r="A348" s="84"/>
      <c r="B348" s="382" t="s">
        <v>1223</v>
      </c>
      <c r="C348" s="55" t="s">
        <v>15</v>
      </c>
      <c r="D348" s="404">
        <f>ROUND(D347*0.1,2)</f>
        <v>0</v>
      </c>
      <c r="E348" s="18"/>
      <c r="F348" s="366">
        <f>ROUND(1868.06/10,2)</f>
        <v>186.81</v>
      </c>
      <c r="G348" s="18"/>
      <c r="H348" s="2">
        <f>ROUND(D348*F348,2)</f>
        <v>0</v>
      </c>
      <c r="I348" s="18">
        <f t="shared" si="24"/>
        <v>0</v>
      </c>
    </row>
    <row r="349" spans="1:12" ht="31.2" hidden="1" outlineLevel="1" x14ac:dyDescent="0.25">
      <c r="A349" s="84"/>
      <c r="B349" s="368" t="s">
        <v>1224</v>
      </c>
      <c r="C349" s="55" t="s">
        <v>8</v>
      </c>
      <c r="D349" s="404">
        <f>ROUND(D347*0.1,2)</f>
        <v>0</v>
      </c>
      <c r="E349" s="18"/>
      <c r="F349" s="366">
        <v>3721</v>
      </c>
      <c r="G349" s="18"/>
      <c r="H349" s="2">
        <f>ROUND(D349*F349,2)</f>
        <v>0</v>
      </c>
      <c r="I349" s="18">
        <f t="shared" si="24"/>
        <v>0</v>
      </c>
    </row>
    <row r="350" spans="1:12" hidden="1" outlineLevel="1" x14ac:dyDescent="0.25">
      <c r="A350" s="84"/>
      <c r="B350" s="431" t="s">
        <v>230</v>
      </c>
      <c r="C350" s="55" t="s">
        <v>12</v>
      </c>
      <c r="D350" s="404">
        <f>ROUND(D347*12,2)</f>
        <v>0</v>
      </c>
      <c r="E350" s="18"/>
      <c r="F350" s="142">
        <v>12</v>
      </c>
      <c r="G350" s="18"/>
      <c r="H350" s="2">
        <f>ROUND(D350*F350,2)</f>
        <v>0</v>
      </c>
      <c r="I350" s="18">
        <f t="shared" si="24"/>
        <v>0</v>
      </c>
    </row>
    <row r="351" spans="1:12" outlineLevel="1" x14ac:dyDescent="0.25">
      <c r="A351" s="107" t="s">
        <v>318</v>
      </c>
      <c r="B351" s="531" t="s">
        <v>1391</v>
      </c>
      <c r="C351" s="31" t="s">
        <v>14</v>
      </c>
      <c r="D351" s="268">
        <f>кровля!E4*0.98</f>
        <v>68.619599999999991</v>
      </c>
      <c r="E351" s="256">
        <v>900</v>
      </c>
      <c r="F351" s="60"/>
      <c r="G351" s="2">
        <f>ROUND(E351*D351,2)</f>
        <v>61757.64</v>
      </c>
      <c r="H351" s="18"/>
      <c r="I351" s="18">
        <f>G351+H351</f>
        <v>61757.64</v>
      </c>
    </row>
    <row r="352" spans="1:12" ht="31.2" outlineLevel="1" x14ac:dyDescent="0.25">
      <c r="A352" s="84"/>
      <c r="B352" s="361" t="s">
        <v>1390</v>
      </c>
      <c r="C352" s="55" t="s">
        <v>8</v>
      </c>
      <c r="D352" s="277">
        <f>ROUND(D351*0.12,2)</f>
        <v>8.23</v>
      </c>
      <c r="E352" s="18"/>
      <c r="F352" s="366">
        <v>3721</v>
      </c>
      <c r="G352" s="18"/>
      <c r="H352" s="2">
        <f>ROUND(D352*F352,2)</f>
        <v>30623.83</v>
      </c>
      <c r="I352" s="18">
        <f>G352+H352</f>
        <v>30623.83</v>
      </c>
    </row>
    <row r="353" spans="1:12" outlineLevel="1" x14ac:dyDescent="0.25">
      <c r="A353" s="84"/>
      <c r="B353" s="600" t="s">
        <v>230</v>
      </c>
      <c r="C353" s="55" t="s">
        <v>12</v>
      </c>
      <c r="D353" s="277">
        <f>ROUND(D351*12,2)</f>
        <v>823.44</v>
      </c>
      <c r="E353" s="18"/>
      <c r="F353" s="142">
        <v>12</v>
      </c>
      <c r="G353" s="18"/>
      <c r="H353" s="2">
        <f>ROUND(D353*F353,2)</f>
        <v>9881.2800000000007</v>
      </c>
      <c r="I353" s="18">
        <f>G353+H353</f>
        <v>9881.2800000000007</v>
      </c>
    </row>
    <row r="354" spans="1:12" ht="19.5" customHeight="1" x14ac:dyDescent="0.25">
      <c r="A354" s="223"/>
      <c r="B354" s="232" t="s">
        <v>57</v>
      </c>
      <c r="C354" s="225"/>
      <c r="D354" s="226"/>
      <c r="E354" s="227"/>
      <c r="F354" s="228"/>
      <c r="G354" s="227">
        <f>SUM(G342:G353)</f>
        <v>533650.04999999993</v>
      </c>
      <c r="H354" s="227">
        <f>SUM(H342:H353)</f>
        <v>595312.11</v>
      </c>
      <c r="I354" s="227">
        <f>SUM(I342:I353)</f>
        <v>1128962.1600000001</v>
      </c>
      <c r="L354" s="133"/>
    </row>
    <row r="355" spans="1:12" ht="17.399999999999999" customHeight="1" x14ac:dyDescent="0.25">
      <c r="A355" s="90"/>
      <c r="B355" s="471" t="s">
        <v>624</v>
      </c>
      <c r="C355" s="472"/>
      <c r="D355" s="473"/>
      <c r="E355" s="474"/>
      <c r="F355" s="475"/>
      <c r="G355" s="10"/>
      <c r="H355" s="10"/>
      <c r="I355" s="31">
        <f>ROUND(I354/1.18*0.18,2)</f>
        <v>172214.57</v>
      </c>
    </row>
    <row r="356" spans="1:12" ht="20.25" customHeight="1" x14ac:dyDescent="0.25">
      <c r="A356" s="109"/>
      <c r="B356" s="771" t="s">
        <v>1206</v>
      </c>
      <c r="C356" s="771"/>
      <c r="D356" s="771"/>
      <c r="E356" s="771"/>
      <c r="F356" s="771"/>
      <c r="G356" s="105"/>
      <c r="H356" s="105"/>
      <c r="I356" s="106"/>
    </row>
    <row r="357" spans="1:12" ht="19.5" customHeight="1" outlineLevel="1" x14ac:dyDescent="0.25">
      <c r="A357" s="84"/>
      <c r="B357" s="191" t="s">
        <v>1074</v>
      </c>
      <c r="C357" s="481"/>
      <c r="D357" s="482"/>
      <c r="E357" s="486"/>
      <c r="F357" s="487"/>
      <c r="G357" s="77"/>
      <c r="H357" s="77"/>
      <c r="I357" s="77"/>
      <c r="K357" s="670"/>
    </row>
    <row r="358" spans="1:12" ht="16.95" customHeight="1" outlineLevel="1" x14ac:dyDescent="0.25">
      <c r="A358" s="107" t="s">
        <v>319</v>
      </c>
      <c r="B358" s="531" t="s">
        <v>1058</v>
      </c>
      <c r="C358" s="31" t="s">
        <v>14</v>
      </c>
      <c r="D358" s="542">
        <f>(97+207.4)/6</f>
        <v>50.733333333333327</v>
      </c>
      <c r="E358" s="256">
        <v>120</v>
      </c>
      <c r="F358" s="60"/>
      <c r="G358" s="2">
        <f>ROUND(E358*D358,2)</f>
        <v>6088</v>
      </c>
      <c r="H358" s="18"/>
      <c r="I358" s="18">
        <f t="shared" ref="I358:I368" si="25">H358+G358</f>
        <v>6088</v>
      </c>
      <c r="K358" s="161"/>
    </row>
    <row r="359" spans="1:12" outlineLevel="1" x14ac:dyDescent="0.25">
      <c r="A359" s="84"/>
      <c r="B359" s="612" t="s">
        <v>1055</v>
      </c>
      <c r="C359" s="21" t="s">
        <v>14</v>
      </c>
      <c r="D359" s="542">
        <f>ROUND(D358*1.1,2)</f>
        <v>55.81</v>
      </c>
      <c r="E359" s="18"/>
      <c r="F359" s="164">
        <f>ROUND(88.7*1.1,2)</f>
        <v>97.57</v>
      </c>
      <c r="G359" s="18"/>
      <c r="H359" s="2">
        <f>ROUND(D359*F359,2)</f>
        <v>5445.38</v>
      </c>
      <c r="I359" s="18">
        <f t="shared" si="25"/>
        <v>5445.38</v>
      </c>
      <c r="K359" s="133"/>
    </row>
    <row r="360" spans="1:12" outlineLevel="1" x14ac:dyDescent="0.25">
      <c r="A360" s="107" t="s">
        <v>320</v>
      </c>
      <c r="B360" s="531" t="s">
        <v>1059</v>
      </c>
      <c r="C360" s="31" t="s">
        <v>14</v>
      </c>
      <c r="D360" s="541">
        <f>(1019.1+97)/6+(89.2+19.8)/4</f>
        <v>213.26666666666665</v>
      </c>
      <c r="E360" s="256">
        <v>100</v>
      </c>
      <c r="F360" s="60"/>
      <c r="G360" s="2">
        <f>ROUND(E360*D360,2)</f>
        <v>21326.67</v>
      </c>
      <c r="H360" s="18"/>
      <c r="I360" s="18">
        <f t="shared" si="25"/>
        <v>21326.67</v>
      </c>
    </row>
    <row r="361" spans="1:12" outlineLevel="1" x14ac:dyDescent="0.25">
      <c r="A361" s="84"/>
      <c r="B361" s="558" t="s">
        <v>1418</v>
      </c>
      <c r="C361" s="21" t="s">
        <v>8</v>
      </c>
      <c r="D361" s="542">
        <f>ROUND(D360*0.1,2)</f>
        <v>21.33</v>
      </c>
      <c r="E361" s="18"/>
      <c r="F361" s="328">
        <v>4460</v>
      </c>
      <c r="G361" s="18"/>
      <c r="H361" s="2">
        <f>ROUND(D361*F361,2)</f>
        <v>95131.8</v>
      </c>
      <c r="I361" s="18">
        <f t="shared" si="25"/>
        <v>95131.8</v>
      </c>
    </row>
    <row r="362" spans="1:12" outlineLevel="1" x14ac:dyDescent="0.25">
      <c r="A362" s="84"/>
      <c r="B362" s="558" t="s">
        <v>1419</v>
      </c>
      <c r="C362" s="21" t="s">
        <v>14</v>
      </c>
      <c r="D362" s="542">
        <f>1019.1/6+89.2/4+19.8/4</f>
        <v>197.1</v>
      </c>
      <c r="E362" s="18"/>
      <c r="F362" s="328"/>
      <c r="G362" s="18"/>
      <c r="H362" s="2"/>
      <c r="I362" s="18"/>
    </row>
    <row r="363" spans="1:12" ht="31.2" outlineLevel="1" x14ac:dyDescent="0.25">
      <c r="A363" s="107" t="s">
        <v>321</v>
      </c>
      <c r="B363" s="543" t="s">
        <v>1057</v>
      </c>
      <c r="C363" s="31" t="s">
        <v>14</v>
      </c>
      <c r="D363" s="541">
        <f>1019.1/6+97/6+89.2/4+19.8/4+2040.8/6+207.4/6+178.4/4</f>
        <v>632.56666666666672</v>
      </c>
      <c r="E363" s="256">
        <v>280</v>
      </c>
      <c r="F363" s="60"/>
      <c r="G363" s="2">
        <f>ROUND(E363*D363,2)</f>
        <v>177118.67</v>
      </c>
      <c r="H363" s="18"/>
      <c r="I363" s="18">
        <f t="shared" si="25"/>
        <v>177118.67</v>
      </c>
    </row>
    <row r="364" spans="1:12" outlineLevel="1" x14ac:dyDescent="0.25">
      <c r="A364" s="84"/>
      <c r="B364" s="558" t="s">
        <v>47</v>
      </c>
      <c r="C364" s="21" t="s">
        <v>8</v>
      </c>
      <c r="D364" s="542">
        <f>ROUND(D363*0.04,2)</f>
        <v>25.3</v>
      </c>
      <c r="E364" s="282"/>
      <c r="F364" s="11"/>
      <c r="G364" s="18"/>
      <c r="H364" s="2">
        <f>ROUND(D364*F364,2)</f>
        <v>0</v>
      </c>
      <c r="I364" s="18">
        <f t="shared" si="25"/>
        <v>0</v>
      </c>
    </row>
    <row r="365" spans="1:12" outlineLevel="1" x14ac:dyDescent="0.25">
      <c r="A365" s="84"/>
      <c r="B365" s="612" t="s">
        <v>1056</v>
      </c>
      <c r="C365" s="21" t="s">
        <v>14</v>
      </c>
      <c r="D365" s="542">
        <f>D363</f>
        <v>632.56666666666672</v>
      </c>
      <c r="E365" s="282"/>
      <c r="F365" s="361">
        <v>31.34</v>
      </c>
      <c r="G365" s="18"/>
      <c r="H365" s="2">
        <f>ROUND(D365*F365,2)</f>
        <v>19824.64</v>
      </c>
      <c r="I365" s="18">
        <f t="shared" si="25"/>
        <v>19824.64</v>
      </c>
    </row>
    <row r="366" spans="1:12" ht="31.2" outlineLevel="1" x14ac:dyDescent="0.25">
      <c r="A366" s="107" t="s">
        <v>322</v>
      </c>
      <c r="B366" s="543" t="s">
        <v>1420</v>
      </c>
      <c r="C366" s="31" t="s">
        <v>14</v>
      </c>
      <c r="D366" s="541">
        <f>(9.8+35.7+79.6)/4</f>
        <v>31.274999999999999</v>
      </c>
      <c r="E366" s="256">
        <v>280</v>
      </c>
      <c r="F366" s="60"/>
      <c r="G366" s="2">
        <f>ROUND(E366*D366,2)</f>
        <v>8757</v>
      </c>
      <c r="H366" s="18"/>
      <c r="I366" s="18">
        <f t="shared" si="25"/>
        <v>8757</v>
      </c>
    </row>
    <row r="367" spans="1:12" outlineLevel="1" x14ac:dyDescent="0.25">
      <c r="A367" s="84"/>
      <c r="B367" s="558" t="s">
        <v>47</v>
      </c>
      <c r="C367" s="21" t="s">
        <v>8</v>
      </c>
      <c r="D367" s="542">
        <f>ROUND(D366*0.07,2)</f>
        <v>2.19</v>
      </c>
      <c r="E367" s="282"/>
      <c r="F367" s="11"/>
      <c r="G367" s="18"/>
      <c r="H367" s="2">
        <f>ROUND(D367*F367,2)</f>
        <v>0</v>
      </c>
      <c r="I367" s="18">
        <f t="shared" si="25"/>
        <v>0</v>
      </c>
    </row>
    <row r="368" spans="1:12" outlineLevel="1" x14ac:dyDescent="0.25">
      <c r="A368" s="84"/>
      <c r="B368" s="612" t="s">
        <v>1056</v>
      </c>
      <c r="C368" s="21" t="s">
        <v>14</v>
      </c>
      <c r="D368" s="542">
        <f>D366</f>
        <v>31.274999999999999</v>
      </c>
      <c r="E368" s="282"/>
      <c r="F368" s="361">
        <v>31.34</v>
      </c>
      <c r="G368" s="18"/>
      <c r="H368" s="2">
        <f>ROUND(D368*F368,2)</f>
        <v>980.16</v>
      </c>
      <c r="I368" s="18">
        <f t="shared" si="25"/>
        <v>980.16</v>
      </c>
    </row>
    <row r="369" spans="1:10" ht="31.2" outlineLevel="1" x14ac:dyDescent="0.25">
      <c r="A369" s="107" t="s">
        <v>323</v>
      </c>
      <c r="B369" s="543" t="s">
        <v>407</v>
      </c>
      <c r="C369" s="31" t="s">
        <v>14</v>
      </c>
      <c r="D369" s="256">
        <f>3.5+14.7+14.7+14.7+0.3+1.8+2.5+2.7+2.5+2.9+2.5</f>
        <v>62.79999999999999</v>
      </c>
      <c r="E369" s="256">
        <v>350</v>
      </c>
      <c r="F369" s="60"/>
      <c r="G369" s="2">
        <f>ROUND(E369*D369,2)</f>
        <v>21980</v>
      </c>
      <c r="H369" s="18"/>
      <c r="I369" s="18">
        <f>H369+G369</f>
        <v>21980</v>
      </c>
    </row>
    <row r="370" spans="1:10" outlineLevel="1" x14ac:dyDescent="0.25">
      <c r="A370" s="84"/>
      <c r="B370" s="558" t="s">
        <v>1061</v>
      </c>
      <c r="C370" s="21" t="s">
        <v>14</v>
      </c>
      <c r="D370" s="282">
        <f>+ROUND(D369*1.1,2)</f>
        <v>69.08</v>
      </c>
      <c r="E370" s="18"/>
      <c r="F370" s="361">
        <v>230</v>
      </c>
      <c r="G370" s="18"/>
      <c r="H370" s="2">
        <f>ROUND(D370*F370,2)</f>
        <v>15888.4</v>
      </c>
      <c r="I370" s="18">
        <f>H370+G370</f>
        <v>15888.4</v>
      </c>
    </row>
    <row r="371" spans="1:10" outlineLevel="1" x14ac:dyDescent="0.25">
      <c r="A371" s="84"/>
      <c r="B371" s="558" t="s">
        <v>49</v>
      </c>
      <c r="C371" s="21" t="s">
        <v>15</v>
      </c>
      <c r="D371" s="282">
        <f>+ROUND(D370*6,2)</f>
        <v>414.48</v>
      </c>
      <c r="E371" s="18"/>
      <c r="F371" s="361">
        <f>+ROUND(7.5*1.1,2)</f>
        <v>8.25</v>
      </c>
      <c r="G371" s="18"/>
      <c r="H371" s="2">
        <f>ROUND(D371*F371,2)</f>
        <v>3419.46</v>
      </c>
      <c r="I371" s="18">
        <f>H371+G371</f>
        <v>3419.46</v>
      </c>
    </row>
    <row r="372" spans="1:10" outlineLevel="1" x14ac:dyDescent="0.25">
      <c r="A372" s="84"/>
      <c r="B372" s="558" t="s">
        <v>1060</v>
      </c>
      <c r="C372" s="21" t="s">
        <v>15</v>
      </c>
      <c r="D372" s="282">
        <f>+ROUND(D370*0.19,2)</f>
        <v>13.13</v>
      </c>
      <c r="E372" s="18"/>
      <c r="F372" s="361">
        <v>9</v>
      </c>
      <c r="G372" s="18"/>
      <c r="H372" s="2">
        <f>ROUND(D372*F372,2)</f>
        <v>118.17</v>
      </c>
      <c r="I372" s="18">
        <f>H372+G372</f>
        <v>118.17</v>
      </c>
    </row>
    <row r="373" spans="1:10" ht="22.5" customHeight="1" outlineLevel="1" x14ac:dyDescent="0.25">
      <c r="A373" s="84"/>
      <c r="B373" s="10" t="s">
        <v>1073</v>
      </c>
      <c r="C373" s="21"/>
      <c r="D373" s="401"/>
      <c r="E373" s="18"/>
      <c r="F373" s="361"/>
      <c r="G373" s="18"/>
      <c r="H373" s="2"/>
      <c r="I373" s="18"/>
    </row>
    <row r="374" spans="1:10" ht="18.75" customHeight="1" outlineLevel="1" x14ac:dyDescent="0.25">
      <c r="A374" s="107" t="s">
        <v>324</v>
      </c>
      <c r="B374" s="543" t="s">
        <v>1427</v>
      </c>
      <c r="C374" s="31" t="s">
        <v>14</v>
      </c>
      <c r="D374" s="262">
        <f>D143+D148</f>
        <v>419</v>
      </c>
      <c r="E374" s="256">
        <v>180</v>
      </c>
      <c r="F374" s="60"/>
      <c r="G374" s="2">
        <f>ROUND(E374*D374,2)</f>
        <v>75420</v>
      </c>
      <c r="H374" s="18"/>
      <c r="I374" s="18">
        <f t="shared" ref="I374:I381" si="26">H374+G374</f>
        <v>75420</v>
      </c>
    </row>
    <row r="375" spans="1:10" outlineLevel="1" x14ac:dyDescent="0.25">
      <c r="A375" s="206"/>
      <c r="B375" s="558" t="s">
        <v>1077</v>
      </c>
      <c r="C375" s="21" t="s">
        <v>15</v>
      </c>
      <c r="D375" s="282">
        <f>D374*0.2</f>
        <v>83.800000000000011</v>
      </c>
      <c r="E375" s="18"/>
      <c r="F375" s="361">
        <v>20</v>
      </c>
      <c r="G375" s="18"/>
      <c r="H375" s="2">
        <f>ROUND(D375*F375,2)</f>
        <v>1676</v>
      </c>
      <c r="I375" s="18">
        <f t="shared" si="26"/>
        <v>1676</v>
      </c>
    </row>
    <row r="376" spans="1:10" outlineLevel="1" x14ac:dyDescent="0.25">
      <c r="A376" s="206"/>
      <c r="B376" s="558" t="s">
        <v>715</v>
      </c>
      <c r="C376" s="21" t="s">
        <v>15</v>
      </c>
      <c r="D376" s="637">
        <f>D374*9*2</f>
        <v>7542</v>
      </c>
      <c r="E376" s="18"/>
      <c r="F376" s="361">
        <v>10</v>
      </c>
      <c r="G376" s="18"/>
      <c r="H376" s="2">
        <f>ROUND(D376*F376,2)</f>
        <v>75420</v>
      </c>
      <c r="I376" s="18">
        <f t="shared" si="26"/>
        <v>75420</v>
      </c>
    </row>
    <row r="377" spans="1:10" ht="31.2" outlineLevel="1" x14ac:dyDescent="0.25">
      <c r="A377" s="107" t="s">
        <v>532</v>
      </c>
      <c r="B377" s="543" t="s">
        <v>1428</v>
      </c>
      <c r="C377" s="31" t="s">
        <v>14</v>
      </c>
      <c r="D377" s="256">
        <f>5523.3/6</f>
        <v>920.55000000000007</v>
      </c>
      <c r="E377" s="256">
        <v>170</v>
      </c>
      <c r="F377" s="60"/>
      <c r="G377" s="2">
        <f>ROUND(E377*D377,2)</f>
        <v>156493.5</v>
      </c>
      <c r="H377" s="18"/>
      <c r="I377" s="18">
        <f t="shared" si="26"/>
        <v>156493.5</v>
      </c>
      <c r="J377" s="25">
        <v>5523.2999999999993</v>
      </c>
    </row>
    <row r="378" spans="1:10" outlineLevel="1" x14ac:dyDescent="0.25">
      <c r="A378" s="86"/>
      <c r="B378" s="558" t="s">
        <v>1072</v>
      </c>
      <c r="C378" s="21" t="s">
        <v>15</v>
      </c>
      <c r="D378" s="637">
        <f>+ROUND(30*D377,2)</f>
        <v>27616.5</v>
      </c>
      <c r="E378" s="282"/>
      <c r="F378" s="361">
        <v>7</v>
      </c>
      <c r="G378" s="18"/>
      <c r="H378" s="2">
        <f>ROUND(D378*F378,2)</f>
        <v>193315.5</v>
      </c>
      <c r="I378" s="18">
        <f t="shared" si="26"/>
        <v>193315.5</v>
      </c>
    </row>
    <row r="379" spans="1:10" outlineLevel="1" x14ac:dyDescent="0.25">
      <c r="A379" s="107" t="s">
        <v>533</v>
      </c>
      <c r="B379" s="543" t="s">
        <v>1075</v>
      </c>
      <c r="C379" s="31" t="s">
        <v>14</v>
      </c>
      <c r="D379" s="262">
        <f>3229.6/6</f>
        <v>538.26666666666665</v>
      </c>
      <c r="E379" s="256">
        <v>180</v>
      </c>
      <c r="F379" s="60"/>
      <c r="G379" s="2">
        <f>ROUND(E379*D379,2)</f>
        <v>96888</v>
      </c>
      <c r="H379" s="18"/>
      <c r="I379" s="18">
        <f t="shared" si="26"/>
        <v>96888</v>
      </c>
      <c r="J379" s="25">
        <v>3229.6000000000004</v>
      </c>
    </row>
    <row r="380" spans="1:10" outlineLevel="1" x14ac:dyDescent="0.25">
      <c r="A380" s="86"/>
      <c r="B380" s="558" t="s">
        <v>1077</v>
      </c>
      <c r="C380" s="21" t="s">
        <v>15</v>
      </c>
      <c r="D380" s="282">
        <f>D379*0.2</f>
        <v>107.65333333333334</v>
      </c>
      <c r="E380" s="18"/>
      <c r="F380" s="361">
        <v>20</v>
      </c>
      <c r="G380" s="18"/>
      <c r="H380" s="2">
        <f>ROUND(D380*F380,2)</f>
        <v>2153.0700000000002</v>
      </c>
      <c r="I380" s="18">
        <f t="shared" si="26"/>
        <v>2153.0700000000002</v>
      </c>
    </row>
    <row r="381" spans="1:10" outlineLevel="1" x14ac:dyDescent="0.25">
      <c r="A381" s="86"/>
      <c r="B381" s="558" t="s">
        <v>715</v>
      </c>
      <c r="C381" s="21" t="s">
        <v>15</v>
      </c>
      <c r="D381" s="637">
        <f>D379*9*2</f>
        <v>9688.7999999999993</v>
      </c>
      <c r="E381" s="18"/>
      <c r="F381" s="361">
        <v>10</v>
      </c>
      <c r="G381" s="18"/>
      <c r="H381" s="2">
        <f>ROUND(D381*F381,2)</f>
        <v>96888</v>
      </c>
      <c r="I381" s="18">
        <f t="shared" si="26"/>
        <v>96888</v>
      </c>
    </row>
    <row r="382" spans="1:10" ht="27.6" outlineLevel="1" x14ac:dyDescent="0.25">
      <c r="A382" s="223"/>
      <c r="B382" s="231" t="s">
        <v>56</v>
      </c>
      <c r="C382" s="225"/>
      <c r="D382" s="226"/>
      <c r="E382" s="227"/>
      <c r="F382" s="228"/>
      <c r="G382" s="227">
        <f>SUM(G357:G381)</f>
        <v>564071.84000000008</v>
      </c>
      <c r="H382" s="227">
        <f>SUM(H357:H381)</f>
        <v>510260.58</v>
      </c>
      <c r="I382" s="227">
        <f>SUM(I357:I381)</f>
        <v>1074332.42</v>
      </c>
    </row>
    <row r="383" spans="1:10" outlineLevel="1" x14ac:dyDescent="0.25">
      <c r="A383" s="90"/>
      <c r="B383" s="471" t="s">
        <v>624</v>
      </c>
      <c r="C383" s="472"/>
      <c r="D383" s="473"/>
      <c r="E383" s="474"/>
      <c r="F383" s="475"/>
      <c r="G383" s="474"/>
      <c r="H383" s="474"/>
      <c r="I383" s="31">
        <f>ROUND(I382/1.18*0.18,2)</f>
        <v>163881.22</v>
      </c>
    </row>
    <row r="384" spans="1:10" ht="31.2" outlineLevel="1" x14ac:dyDescent="0.25">
      <c r="A384" s="520"/>
      <c r="B384" s="604" t="s">
        <v>1417</v>
      </c>
      <c r="C384" s="517"/>
      <c r="D384" s="517"/>
      <c r="E384" s="517"/>
      <c r="F384" s="517"/>
      <c r="G384" s="517"/>
      <c r="H384" s="517"/>
      <c r="I384" s="521"/>
    </row>
    <row r="385" spans="1:12" ht="30" customHeight="1" outlineLevel="1" x14ac:dyDescent="0.25">
      <c r="A385" s="107" t="s">
        <v>325</v>
      </c>
      <c r="B385" s="543" t="s">
        <v>1409</v>
      </c>
      <c r="C385" s="31" t="s">
        <v>14</v>
      </c>
      <c r="D385" s="545">
        <f>1302.9/6</f>
        <v>217.15</v>
      </c>
      <c r="E385" s="541">
        <v>250</v>
      </c>
      <c r="F385" s="60"/>
      <c r="G385" s="2">
        <f>ROUND(E385*D385,2)</f>
        <v>54287.5</v>
      </c>
      <c r="H385" s="18"/>
      <c r="I385" s="18">
        <f>H385+G385</f>
        <v>54287.5</v>
      </c>
    </row>
    <row r="386" spans="1:12" outlineLevel="1" x14ac:dyDescent="0.25">
      <c r="A386" s="84"/>
      <c r="B386" s="612" t="s">
        <v>1410</v>
      </c>
      <c r="C386" s="21" t="s">
        <v>8</v>
      </c>
      <c r="D386" s="542">
        <f>ROUND(D385*0.1,2)</f>
        <v>21.72</v>
      </c>
      <c r="E386" s="18"/>
      <c r="F386" s="164">
        <v>850</v>
      </c>
      <c r="G386" s="18"/>
      <c r="H386" s="18">
        <f>F386*D386</f>
        <v>18462</v>
      </c>
      <c r="I386" s="18">
        <f>H386+G386</f>
        <v>18462</v>
      </c>
    </row>
    <row r="387" spans="1:12" ht="41.4" x14ac:dyDescent="0.25">
      <c r="A387" s="223"/>
      <c r="B387" s="231" t="s">
        <v>1078</v>
      </c>
      <c r="C387" s="225"/>
      <c r="D387" s="226"/>
      <c r="E387" s="227"/>
      <c r="F387" s="228"/>
      <c r="G387" s="227">
        <f>SUM(G385:G386)</f>
        <v>54287.5</v>
      </c>
      <c r="H387" s="227">
        <f>SUM(H385:H386)</f>
        <v>18462</v>
      </c>
      <c r="I387" s="227">
        <f>SUM(I385:I386)</f>
        <v>72749.5</v>
      </c>
      <c r="L387" s="133"/>
    </row>
    <row r="388" spans="1:12" ht="18.600000000000001" customHeight="1" x14ac:dyDescent="0.25">
      <c r="A388" s="90"/>
      <c r="B388" s="471" t="s">
        <v>624</v>
      </c>
      <c r="C388" s="472"/>
      <c r="D388" s="473"/>
      <c r="E388" s="474"/>
      <c r="F388" s="475"/>
      <c r="G388" s="474"/>
      <c r="H388" s="474"/>
      <c r="I388" s="473">
        <f>ROUND(I387/1.18*0.18,2)</f>
        <v>11097.38</v>
      </c>
    </row>
    <row r="389" spans="1:12" ht="39" customHeight="1" x14ac:dyDescent="0.25">
      <c r="A389" s="109"/>
      <c r="B389" s="491" t="s">
        <v>1207</v>
      </c>
      <c r="C389" s="477"/>
      <c r="D389" s="477"/>
      <c r="E389" s="478"/>
      <c r="F389" s="479"/>
      <c r="G389" s="480"/>
      <c r="H389" s="480"/>
      <c r="I389" s="483"/>
    </row>
    <row r="390" spans="1:12" ht="16.5" customHeight="1" outlineLevel="1" x14ac:dyDescent="0.25">
      <c r="A390" s="107" t="s">
        <v>154</v>
      </c>
      <c r="B390" s="636" t="s">
        <v>1422</v>
      </c>
      <c r="C390" s="72" t="s">
        <v>14</v>
      </c>
      <c r="D390" s="355">
        <f>5.3+22.1+43.7+37.4+43.7+55.2+43.7</f>
        <v>251.09999999999997</v>
      </c>
      <c r="E390" s="355">
        <v>170</v>
      </c>
      <c r="F390" s="146"/>
      <c r="G390" s="476">
        <f>ROUND(E390*D390,2)</f>
        <v>42687</v>
      </c>
      <c r="H390" s="73"/>
      <c r="I390" s="73">
        <f t="shared" ref="I390:I398" si="27">H390+G390</f>
        <v>42687</v>
      </c>
    </row>
    <row r="391" spans="1:12" outlineLevel="1" x14ac:dyDescent="0.25">
      <c r="A391" s="84"/>
      <c r="B391" s="558" t="s">
        <v>1072</v>
      </c>
      <c r="C391" s="21" t="s">
        <v>15</v>
      </c>
      <c r="D391" s="637">
        <f>+ROUND(30*D390,2)</f>
        <v>7533</v>
      </c>
      <c r="E391" s="282"/>
      <c r="F391" s="361">
        <v>7</v>
      </c>
      <c r="G391" s="18"/>
      <c r="H391" s="2">
        <f>ROUND(D391*F391,2)</f>
        <v>52731</v>
      </c>
      <c r="I391" s="18">
        <f t="shared" si="27"/>
        <v>52731</v>
      </c>
    </row>
    <row r="392" spans="1:12" outlineLevel="1" x14ac:dyDescent="0.25">
      <c r="A392" s="84"/>
      <c r="B392" s="558" t="s">
        <v>1077</v>
      </c>
      <c r="C392" s="21" t="s">
        <v>15</v>
      </c>
      <c r="D392" s="282">
        <f>D391*0.2</f>
        <v>1506.6000000000001</v>
      </c>
      <c r="E392" s="18"/>
      <c r="F392" s="361">
        <v>20</v>
      </c>
      <c r="G392" s="18"/>
      <c r="H392" s="2">
        <f>ROUND(D392*F392,2)</f>
        <v>30132</v>
      </c>
      <c r="I392" s="18">
        <f>H392+G392</f>
        <v>30132</v>
      </c>
    </row>
    <row r="393" spans="1:12" outlineLevel="1" x14ac:dyDescent="0.25">
      <c r="A393" s="84"/>
      <c r="B393" s="558" t="s">
        <v>715</v>
      </c>
      <c r="C393" s="21" t="s">
        <v>15</v>
      </c>
      <c r="D393" s="637">
        <f>D390*9*2</f>
        <v>4519.7999999999993</v>
      </c>
      <c r="E393" s="18"/>
      <c r="F393" s="361">
        <v>10</v>
      </c>
      <c r="G393" s="18"/>
      <c r="H393" s="2">
        <f>ROUND(D393*F393,2)</f>
        <v>45198</v>
      </c>
      <c r="I393" s="18">
        <f>H393+G393</f>
        <v>45198</v>
      </c>
    </row>
    <row r="394" spans="1:12" outlineLevel="1" x14ac:dyDescent="0.25">
      <c r="A394" s="84"/>
      <c r="B394" s="612" t="s">
        <v>1423</v>
      </c>
      <c r="C394" s="21" t="s">
        <v>30</v>
      </c>
      <c r="D394" s="540">
        <f>D390*0.4</f>
        <v>100.44</v>
      </c>
      <c r="E394" s="18"/>
      <c r="F394" s="361">
        <v>120</v>
      </c>
      <c r="G394" s="18"/>
      <c r="H394" s="2">
        <f>ROUND(D394*F394,2)</f>
        <v>12052.8</v>
      </c>
      <c r="I394" s="18">
        <f>H394+G394</f>
        <v>12052.8</v>
      </c>
    </row>
    <row r="395" spans="1:12" ht="36" customHeight="1" outlineLevel="1" x14ac:dyDescent="0.25">
      <c r="A395" s="107" t="s">
        <v>157</v>
      </c>
      <c r="B395" s="543" t="s">
        <v>1424</v>
      </c>
      <c r="C395" s="31" t="s">
        <v>14</v>
      </c>
      <c r="D395" s="262">
        <f>5.9</f>
        <v>5.9</v>
      </c>
      <c r="E395" s="256">
        <v>180</v>
      </c>
      <c r="F395" s="60"/>
      <c r="G395" s="2">
        <f>ROUND(E395*D395,2)</f>
        <v>1062</v>
      </c>
      <c r="H395" s="18"/>
      <c r="I395" s="18">
        <f>H395+G395</f>
        <v>1062</v>
      </c>
      <c r="J395" s="25">
        <v>360.48</v>
      </c>
    </row>
    <row r="396" spans="1:12" outlineLevel="1" x14ac:dyDescent="0.25">
      <c r="A396" s="84"/>
      <c r="B396" s="558" t="s">
        <v>1077</v>
      </c>
      <c r="C396" s="21" t="s">
        <v>15</v>
      </c>
      <c r="D396" s="282">
        <f>D395*0.2</f>
        <v>1.1800000000000002</v>
      </c>
      <c r="E396" s="18"/>
      <c r="F396" s="361">
        <v>20</v>
      </c>
      <c r="G396" s="18"/>
      <c r="H396" s="2">
        <f>ROUND(D396*F396,2)</f>
        <v>23.6</v>
      </c>
      <c r="I396" s="18">
        <f t="shared" si="27"/>
        <v>23.6</v>
      </c>
    </row>
    <row r="397" spans="1:12" outlineLevel="1" x14ac:dyDescent="0.25">
      <c r="A397" s="84"/>
      <c r="B397" s="558" t="s">
        <v>715</v>
      </c>
      <c r="C397" s="21" t="s">
        <v>15</v>
      </c>
      <c r="D397" s="637">
        <f>D395*9*2</f>
        <v>106.2</v>
      </c>
      <c r="E397" s="18"/>
      <c r="F397" s="361">
        <v>10</v>
      </c>
      <c r="G397" s="18"/>
      <c r="H397" s="2">
        <f>ROUND(D397*F397,2)</f>
        <v>1062</v>
      </c>
      <c r="I397" s="18">
        <f t="shared" si="27"/>
        <v>1062</v>
      </c>
    </row>
    <row r="398" spans="1:12" outlineLevel="1" x14ac:dyDescent="0.25">
      <c r="A398" s="84"/>
      <c r="B398" s="612" t="s">
        <v>1423</v>
      </c>
      <c r="C398" s="21" t="s">
        <v>30</v>
      </c>
      <c r="D398" s="540">
        <f>D395*0.4</f>
        <v>2.3600000000000003</v>
      </c>
      <c r="E398" s="18"/>
      <c r="F398" s="361">
        <v>120</v>
      </c>
      <c r="G398" s="18"/>
      <c r="H398" s="2">
        <f>ROUND(D398*F398,2)</f>
        <v>283.2</v>
      </c>
      <c r="I398" s="18">
        <f t="shared" si="27"/>
        <v>283.2</v>
      </c>
    </row>
    <row r="399" spans="1:12" s="15" customFormat="1" ht="31.2" outlineLevel="1" x14ac:dyDescent="0.25">
      <c r="A399" s="107" t="s">
        <v>158</v>
      </c>
      <c r="B399" s="543" t="s">
        <v>1076</v>
      </c>
      <c r="C399" s="31" t="s">
        <v>14</v>
      </c>
      <c r="D399" s="262">
        <f>2.2+8.9+14.1+15.1+14.1+15.1+14.1</f>
        <v>83.6</v>
      </c>
      <c r="E399" s="256">
        <v>180</v>
      </c>
      <c r="F399" s="60"/>
      <c r="G399" s="2">
        <f>ROUND(E399*D399,2)</f>
        <v>15048</v>
      </c>
      <c r="H399" s="18"/>
      <c r="I399" s="18">
        <f t="shared" ref="I399:I404" si="28">H399+G399</f>
        <v>15048</v>
      </c>
    </row>
    <row r="400" spans="1:12" s="15" customFormat="1" outlineLevel="1" x14ac:dyDescent="0.25">
      <c r="A400" s="86"/>
      <c r="B400" s="558" t="s">
        <v>1077</v>
      </c>
      <c r="C400" s="21" t="s">
        <v>15</v>
      </c>
      <c r="D400" s="282">
        <f>D399*0.2</f>
        <v>16.72</v>
      </c>
      <c r="E400" s="18"/>
      <c r="F400" s="361">
        <v>20</v>
      </c>
      <c r="G400" s="18"/>
      <c r="H400" s="2">
        <f>ROUND(D400*F400,2)</f>
        <v>334.4</v>
      </c>
      <c r="I400" s="18">
        <f t="shared" si="28"/>
        <v>334.4</v>
      </c>
    </row>
    <row r="401" spans="1:12" s="15" customFormat="1" outlineLevel="1" x14ac:dyDescent="0.25">
      <c r="A401" s="86"/>
      <c r="B401" s="558" t="s">
        <v>715</v>
      </c>
      <c r="C401" s="21" t="s">
        <v>15</v>
      </c>
      <c r="D401" s="637">
        <f>D399*9*2</f>
        <v>1504.8</v>
      </c>
      <c r="E401" s="18"/>
      <c r="F401" s="361">
        <v>10</v>
      </c>
      <c r="G401" s="18"/>
      <c r="H401" s="2">
        <f>ROUND(D401*F401,2)</f>
        <v>15048</v>
      </c>
      <c r="I401" s="18">
        <f t="shared" si="28"/>
        <v>15048</v>
      </c>
    </row>
    <row r="402" spans="1:12" s="15" customFormat="1" outlineLevel="1" x14ac:dyDescent="0.25">
      <c r="A402" s="86"/>
      <c r="B402" s="612" t="s">
        <v>1071</v>
      </c>
      <c r="C402" s="21" t="s">
        <v>30</v>
      </c>
      <c r="D402" s="540">
        <f>D399*0.4</f>
        <v>33.44</v>
      </c>
      <c r="E402" s="18"/>
      <c r="F402" s="361">
        <v>120</v>
      </c>
      <c r="G402" s="18"/>
      <c r="H402" s="2">
        <f>ROUND(D402*F402,2)</f>
        <v>4012.8</v>
      </c>
      <c r="I402" s="18">
        <f t="shared" si="28"/>
        <v>4012.8</v>
      </c>
    </row>
    <row r="403" spans="1:12" s="15" customFormat="1" outlineLevel="1" x14ac:dyDescent="0.25">
      <c r="A403" s="107" t="s">
        <v>1208</v>
      </c>
      <c r="B403" s="543" t="s">
        <v>74</v>
      </c>
      <c r="C403" s="176" t="s">
        <v>12</v>
      </c>
      <c r="D403" s="256">
        <f>D404</f>
        <v>18</v>
      </c>
      <c r="E403" s="256">
        <v>200</v>
      </c>
      <c r="F403" s="11"/>
      <c r="G403" s="2">
        <f>ROUND(E403*D403,2)</f>
        <v>3600</v>
      </c>
      <c r="H403" s="2"/>
      <c r="I403" s="2">
        <f t="shared" si="28"/>
        <v>3600</v>
      </c>
    </row>
    <row r="404" spans="1:12" s="15" customFormat="1" outlineLevel="1" x14ac:dyDescent="0.25">
      <c r="A404" s="86"/>
      <c r="B404" s="612" t="s">
        <v>75</v>
      </c>
      <c r="C404" s="21" t="s">
        <v>12</v>
      </c>
      <c r="D404" s="282">
        <v>18</v>
      </c>
      <c r="E404" s="2"/>
      <c r="F404" s="361">
        <v>175</v>
      </c>
      <c r="G404" s="2"/>
      <c r="H404" s="2">
        <f>ROUND(D404*F404,2)</f>
        <v>3150</v>
      </c>
      <c r="I404" s="2">
        <f t="shared" si="28"/>
        <v>3150</v>
      </c>
    </row>
    <row r="405" spans="1:12" ht="27.6" x14ac:dyDescent="0.25">
      <c r="A405" s="223"/>
      <c r="B405" s="231" t="s">
        <v>71</v>
      </c>
      <c r="C405" s="225"/>
      <c r="D405" s="226"/>
      <c r="E405" s="227"/>
      <c r="F405" s="228"/>
      <c r="G405" s="227">
        <f>SUM(G390:G404)</f>
        <v>62397</v>
      </c>
      <c r="H405" s="227">
        <f>SUM(H390:H404)</f>
        <v>164027.79999999999</v>
      </c>
      <c r="I405" s="227">
        <f>SUM(I390:I404)</f>
        <v>226424.8</v>
      </c>
      <c r="L405" s="185"/>
    </row>
    <row r="406" spans="1:12" ht="16.95" customHeight="1" x14ac:dyDescent="0.25">
      <c r="A406" s="90"/>
      <c r="B406" s="471" t="s">
        <v>624</v>
      </c>
      <c r="C406" s="9"/>
      <c r="D406" s="31"/>
      <c r="E406" s="10"/>
      <c r="F406" s="57"/>
      <c r="G406" s="10"/>
      <c r="H406" s="10"/>
      <c r="I406" s="31">
        <f>ROUND(I405/1.18*0.18,2)</f>
        <v>34539.379999999997</v>
      </c>
    </row>
    <row r="407" spans="1:12" ht="18.75" customHeight="1" x14ac:dyDescent="0.25">
      <c r="A407" s="108"/>
      <c r="B407" s="491" t="s">
        <v>1242</v>
      </c>
      <c r="C407" s="105"/>
      <c r="D407" s="105"/>
      <c r="E407" s="105"/>
      <c r="F407" s="138"/>
      <c r="G407" s="105"/>
      <c r="H407" s="105"/>
      <c r="I407" s="106"/>
    </row>
    <row r="408" spans="1:12" s="15" customFormat="1" ht="33" customHeight="1" outlineLevel="1" x14ac:dyDescent="0.25">
      <c r="A408" s="107" t="s">
        <v>76</v>
      </c>
      <c r="B408" s="557" t="s">
        <v>69</v>
      </c>
      <c r="C408" s="31" t="s">
        <v>8</v>
      </c>
      <c r="D408" s="541">
        <f>56.29*0.07*1</f>
        <v>3.9403000000000001</v>
      </c>
      <c r="E408" s="256">
        <v>1000</v>
      </c>
      <c r="F408" s="11"/>
      <c r="G408" s="2">
        <f>ROUND(E408*D408,2)</f>
        <v>3940.3</v>
      </c>
      <c r="H408" s="2"/>
      <c r="I408" s="2">
        <f>H408+G408</f>
        <v>3940.3</v>
      </c>
    </row>
    <row r="409" spans="1:12" s="15" customFormat="1" outlineLevel="1" x14ac:dyDescent="0.25">
      <c r="A409" s="86"/>
      <c r="B409" s="361" t="s">
        <v>240</v>
      </c>
      <c r="C409" s="21" t="s">
        <v>8</v>
      </c>
      <c r="D409" s="282">
        <f>D408*1.1</f>
        <v>4.3343300000000005</v>
      </c>
      <c r="E409" s="282"/>
      <c r="F409" s="361">
        <v>250</v>
      </c>
      <c r="G409" s="2"/>
      <c r="H409" s="2">
        <f>ROUND(D409*F409,2)</f>
        <v>1083.58</v>
      </c>
      <c r="I409" s="2">
        <f>H409+G409</f>
        <v>1083.58</v>
      </c>
    </row>
    <row r="410" spans="1:12" s="15" customFormat="1" outlineLevel="1" x14ac:dyDescent="0.25">
      <c r="A410" s="86"/>
      <c r="B410" s="558" t="s">
        <v>1329</v>
      </c>
      <c r="C410" s="21" t="s">
        <v>8</v>
      </c>
      <c r="D410" s="282">
        <f>1.02*D408</f>
        <v>4.0191059999999998</v>
      </c>
      <c r="E410" s="282"/>
      <c r="F410" s="164">
        <v>4800</v>
      </c>
      <c r="G410" s="2"/>
      <c r="H410" s="2">
        <f>ROUND(D410*F410,2)</f>
        <v>19291.71</v>
      </c>
      <c r="I410" s="2">
        <f>H410+G410</f>
        <v>19291.71</v>
      </c>
    </row>
    <row r="411" spans="1:12" s="15" customFormat="1" hidden="1" outlineLevel="1" x14ac:dyDescent="0.25">
      <c r="A411" s="107" t="s">
        <v>78</v>
      </c>
      <c r="B411" s="344" t="s">
        <v>470</v>
      </c>
      <c r="C411" s="31" t="s">
        <v>8</v>
      </c>
      <c r="D411" s="306">
        <v>0</v>
      </c>
      <c r="E411" s="256">
        <v>1000</v>
      </c>
      <c r="F411" s="11"/>
      <c r="G411" s="2">
        <f>ROUND(E411*D411,2)</f>
        <v>0</v>
      </c>
      <c r="H411" s="2"/>
      <c r="I411" s="2">
        <f>H411+G411</f>
        <v>0</v>
      </c>
    </row>
    <row r="412" spans="1:12" s="15" customFormat="1" hidden="1" outlineLevel="1" x14ac:dyDescent="0.25">
      <c r="A412" s="86"/>
      <c r="B412" s="308" t="s">
        <v>471</v>
      </c>
      <c r="C412" s="2" t="s">
        <v>8</v>
      </c>
      <c r="D412" s="340">
        <f>D411*1.02</f>
        <v>0</v>
      </c>
      <c r="E412" s="2"/>
      <c r="F412" s="361">
        <v>3200</v>
      </c>
      <c r="G412" s="2"/>
      <c r="H412" s="2">
        <f>ROUND(D412*F412,2)</f>
        <v>0</v>
      </c>
      <c r="I412" s="2">
        <f>G412+H412</f>
        <v>0</v>
      </c>
    </row>
    <row r="413" spans="1:12" s="15" customFormat="1" hidden="1" outlineLevel="1" x14ac:dyDescent="0.25">
      <c r="A413" s="86"/>
      <c r="B413" s="308" t="s">
        <v>667</v>
      </c>
      <c r="C413" s="2" t="s">
        <v>9</v>
      </c>
      <c r="D413" s="340">
        <v>0</v>
      </c>
      <c r="E413" s="2"/>
      <c r="F413" s="361">
        <v>42000</v>
      </c>
      <c r="G413" s="2"/>
      <c r="H413" s="2">
        <f>ROUND(D413*F413,2)</f>
        <v>0</v>
      </c>
      <c r="I413" s="2">
        <f>G413+H413</f>
        <v>0</v>
      </c>
    </row>
    <row r="414" spans="1:12" s="15" customFormat="1" hidden="1" outlineLevel="1" x14ac:dyDescent="0.25">
      <c r="A414" s="86"/>
      <c r="B414" s="343" t="s">
        <v>70</v>
      </c>
      <c r="C414" s="21" t="s">
        <v>8</v>
      </c>
      <c r="D414" s="340">
        <v>0</v>
      </c>
      <c r="E414" s="2"/>
      <c r="F414" s="361">
        <v>2950</v>
      </c>
      <c r="G414" s="2"/>
      <c r="H414" s="2">
        <f>ROUND(D414*F414,2)</f>
        <v>0</v>
      </c>
      <c r="I414" s="2">
        <f>H414+G414</f>
        <v>0</v>
      </c>
    </row>
    <row r="415" spans="1:12" s="15" customFormat="1" hidden="1" outlineLevel="1" x14ac:dyDescent="0.25">
      <c r="A415" s="86"/>
      <c r="B415" s="343" t="s">
        <v>240</v>
      </c>
      <c r="C415" s="21" t="s">
        <v>8</v>
      </c>
      <c r="D415" s="340">
        <f>D414</f>
        <v>0</v>
      </c>
      <c r="E415" s="2"/>
      <c r="F415" s="361">
        <v>250</v>
      </c>
      <c r="G415" s="2"/>
      <c r="H415" s="2">
        <f>ROUND(D415*F415,2)</f>
        <v>0</v>
      </c>
      <c r="I415" s="2">
        <f>H415+G415</f>
        <v>0</v>
      </c>
    </row>
    <row r="416" spans="1:12" collapsed="1" x14ac:dyDescent="0.25">
      <c r="A416" s="223"/>
      <c r="B416" s="231" t="s">
        <v>60</v>
      </c>
      <c r="C416" s="225"/>
      <c r="D416" s="226"/>
      <c r="E416" s="227"/>
      <c r="F416" s="228"/>
      <c r="G416" s="227">
        <f>SUM(G408:G415)</f>
        <v>3940.3</v>
      </c>
      <c r="H416" s="227">
        <f>SUM(H408:H415)</f>
        <v>20375.29</v>
      </c>
      <c r="I416" s="227">
        <f>ROUND(SUM(I408:I415),2)</f>
        <v>24315.59</v>
      </c>
    </row>
    <row r="417" spans="1:9" ht="16.2" customHeight="1" x14ac:dyDescent="0.25">
      <c r="A417" s="90"/>
      <c r="B417" s="471" t="s">
        <v>624</v>
      </c>
      <c r="C417" s="472"/>
      <c r="D417" s="473"/>
      <c r="E417" s="10"/>
      <c r="F417" s="57"/>
      <c r="G417" s="10"/>
      <c r="H417" s="10"/>
      <c r="I417" s="31">
        <f>ROUND(I416/1.18*0.18,2)</f>
        <v>3709.16</v>
      </c>
    </row>
    <row r="418" spans="1:9" s="5" customFormat="1" ht="27" customHeight="1" x14ac:dyDescent="0.25">
      <c r="A418" s="109"/>
      <c r="B418" s="771" t="s">
        <v>1209</v>
      </c>
      <c r="C418" s="771"/>
      <c r="D418" s="771"/>
      <c r="E418" s="488"/>
      <c r="F418" s="138"/>
      <c r="G418" s="102"/>
      <c r="H418" s="111"/>
      <c r="I418" s="102"/>
    </row>
    <row r="419" spans="1:9" hidden="1" outlineLevel="1" x14ac:dyDescent="0.25">
      <c r="A419" s="84" t="s">
        <v>319</v>
      </c>
      <c r="B419" s="71" t="s">
        <v>155</v>
      </c>
      <c r="C419" s="72" t="s">
        <v>12</v>
      </c>
      <c r="D419" s="356">
        <v>0</v>
      </c>
      <c r="E419" s="354">
        <v>19000</v>
      </c>
      <c r="F419" s="137"/>
      <c r="G419" s="2">
        <f>ROUND(E419*D419,2)</f>
        <v>0</v>
      </c>
      <c r="H419" s="26"/>
      <c r="I419" s="26">
        <f>G419+H419</f>
        <v>0</v>
      </c>
    </row>
    <row r="420" spans="1:9" hidden="1" outlineLevel="1" x14ac:dyDescent="0.25">
      <c r="A420" s="84"/>
      <c r="B420" s="329" t="s">
        <v>282</v>
      </c>
      <c r="C420" s="21" t="s">
        <v>12</v>
      </c>
      <c r="D420" s="340">
        <v>0</v>
      </c>
      <c r="E420" s="18"/>
      <c r="F420" s="361">
        <v>63000</v>
      </c>
      <c r="G420" s="26"/>
      <c r="H420" s="2">
        <f>ROUND(D420*F420,2)</f>
        <v>0</v>
      </c>
      <c r="I420" s="26">
        <f t="shared" ref="I420:I491" si="29">G420+H420</f>
        <v>0</v>
      </c>
    </row>
    <row r="421" spans="1:9" hidden="1" outlineLevel="1" x14ac:dyDescent="0.25">
      <c r="A421" s="84"/>
      <c r="B421" s="28" t="s">
        <v>176</v>
      </c>
      <c r="C421" s="21" t="s">
        <v>12</v>
      </c>
      <c r="D421" s="2">
        <v>0</v>
      </c>
      <c r="E421" s="18"/>
      <c r="F421" s="361">
        <v>6000</v>
      </c>
      <c r="G421" s="26"/>
      <c r="H421" s="2">
        <f>ROUND(D421*F421,2)</f>
        <v>0</v>
      </c>
      <c r="I421" s="26">
        <f t="shared" si="29"/>
        <v>0</v>
      </c>
    </row>
    <row r="422" spans="1:9" hidden="1" outlineLevel="1" x14ac:dyDescent="0.25">
      <c r="A422" s="84"/>
      <c r="B422" s="329" t="s">
        <v>283</v>
      </c>
      <c r="C422" s="21" t="s">
        <v>12</v>
      </c>
      <c r="D422" s="340">
        <v>0</v>
      </c>
      <c r="E422" s="18"/>
      <c r="F422" s="164">
        <v>380</v>
      </c>
      <c r="G422" s="26"/>
      <c r="H422" s="2">
        <f>ROUND(D422*F422,2)</f>
        <v>0</v>
      </c>
      <c r="I422" s="26">
        <f t="shared" si="29"/>
        <v>0</v>
      </c>
    </row>
    <row r="423" spans="1:9" hidden="1" outlineLevel="1" x14ac:dyDescent="0.25">
      <c r="A423" s="84" t="s">
        <v>320</v>
      </c>
      <c r="B423" s="29" t="s">
        <v>284</v>
      </c>
      <c r="C423" s="31" t="s">
        <v>12</v>
      </c>
      <c r="D423" s="31">
        <v>0</v>
      </c>
      <c r="E423" s="354">
        <v>250</v>
      </c>
      <c r="F423" s="137"/>
      <c r="G423" s="2">
        <f>ROUND(E423*D423,2)</f>
        <v>0</v>
      </c>
      <c r="H423" s="26"/>
      <c r="I423" s="26">
        <f>G423+H423</f>
        <v>0</v>
      </c>
    </row>
    <row r="424" spans="1:9" hidden="1" outlineLevel="1" x14ac:dyDescent="0.25">
      <c r="A424" s="84"/>
      <c r="B424" s="329" t="s">
        <v>285</v>
      </c>
      <c r="C424" s="21" t="s">
        <v>12</v>
      </c>
      <c r="D424" s="340">
        <v>0</v>
      </c>
      <c r="E424" s="18"/>
      <c r="F424" s="164">
        <v>4900</v>
      </c>
      <c r="G424" s="26"/>
      <c r="H424" s="2">
        <f t="shared" ref="H424:H444" si="30">ROUND(D424*F424,2)</f>
        <v>0</v>
      </c>
      <c r="I424" s="26">
        <f>G424+H424</f>
        <v>0</v>
      </c>
    </row>
    <row r="425" spans="1:9" hidden="1" outlineLevel="1" x14ac:dyDescent="0.25">
      <c r="A425" s="84"/>
      <c r="B425" s="329" t="s">
        <v>449</v>
      </c>
      <c r="C425" s="21" t="s">
        <v>12</v>
      </c>
      <c r="D425" s="340">
        <v>0</v>
      </c>
      <c r="E425" s="18"/>
      <c r="F425" s="164">
        <v>4900</v>
      </c>
      <c r="G425" s="26"/>
      <c r="H425" s="2">
        <f t="shared" si="30"/>
        <v>0</v>
      </c>
      <c r="I425" s="26">
        <f>G425+H425</f>
        <v>0</v>
      </c>
    </row>
    <row r="426" spans="1:9" hidden="1" outlineLevel="1" x14ac:dyDescent="0.25">
      <c r="A426" s="84"/>
      <c r="B426" s="329" t="s">
        <v>448</v>
      </c>
      <c r="C426" s="21" t="s">
        <v>12</v>
      </c>
      <c r="D426" s="340">
        <v>0</v>
      </c>
      <c r="E426" s="18"/>
      <c r="F426" s="361">
        <v>1400</v>
      </c>
      <c r="G426" s="26"/>
      <c r="H426" s="2">
        <f t="shared" si="30"/>
        <v>0</v>
      </c>
      <c r="I426" s="26">
        <f>G426+H426</f>
        <v>0</v>
      </c>
    </row>
    <row r="427" spans="1:9" hidden="1" outlineLevel="1" x14ac:dyDescent="0.25">
      <c r="A427" s="84" t="s">
        <v>321</v>
      </c>
      <c r="B427" s="29" t="s">
        <v>156</v>
      </c>
      <c r="C427" s="31" t="s">
        <v>12</v>
      </c>
      <c r="D427" s="31">
        <v>0</v>
      </c>
      <c r="E427" s="354">
        <v>1000</v>
      </c>
      <c r="F427" s="137"/>
      <c r="G427" s="2">
        <f>ROUND(E427*D427,2)</f>
        <v>0</v>
      </c>
      <c r="H427" s="26">
        <f>F427*D427</f>
        <v>0</v>
      </c>
      <c r="I427" s="26">
        <f t="shared" si="29"/>
        <v>0</v>
      </c>
    </row>
    <row r="428" spans="1:9" hidden="1" outlineLevel="1" x14ac:dyDescent="0.25">
      <c r="A428" s="84"/>
      <c r="B428" s="329" t="s">
        <v>674</v>
      </c>
      <c r="C428" s="21" t="s">
        <v>12</v>
      </c>
      <c r="D428" s="340">
        <v>0</v>
      </c>
      <c r="E428" s="18"/>
      <c r="F428" s="309">
        <v>5500</v>
      </c>
      <c r="G428" s="26"/>
      <c r="H428" s="2">
        <f>ROUND(D428*F428,2)</f>
        <v>0</v>
      </c>
      <c r="I428" s="26">
        <f>G428+H428</f>
        <v>0</v>
      </c>
    </row>
    <row r="429" spans="1:9" hidden="1" outlineLevel="1" x14ac:dyDescent="0.25">
      <c r="A429" s="84"/>
      <c r="B429" s="329" t="s">
        <v>675</v>
      </c>
      <c r="C429" s="21" t="s">
        <v>12</v>
      </c>
      <c r="D429" s="340">
        <v>0</v>
      </c>
      <c r="E429" s="18"/>
      <c r="F429" s="309">
        <v>6000</v>
      </c>
      <c r="G429" s="26"/>
      <c r="H429" s="2">
        <f>ROUND(D429*F429,2)</f>
        <v>0</v>
      </c>
      <c r="I429" s="26">
        <f>G429+H429</f>
        <v>0</v>
      </c>
    </row>
    <row r="430" spans="1:9" hidden="1" outlineLevel="1" x14ac:dyDescent="0.25">
      <c r="A430" s="84"/>
      <c r="B430" s="329" t="s">
        <v>453</v>
      </c>
      <c r="C430" s="21" t="s">
        <v>12</v>
      </c>
      <c r="D430" s="340">
        <v>0</v>
      </c>
      <c r="E430" s="18"/>
      <c r="F430" s="60">
        <v>2350</v>
      </c>
      <c r="G430" s="26"/>
      <c r="H430" s="2">
        <f t="shared" si="30"/>
        <v>0</v>
      </c>
      <c r="I430" s="26">
        <f t="shared" si="29"/>
        <v>0</v>
      </c>
    </row>
    <row r="431" spans="1:9" ht="32.4" hidden="1" customHeight="1" outlineLevel="1" x14ac:dyDescent="0.25">
      <c r="A431" s="84"/>
      <c r="B431" s="329" t="s">
        <v>286</v>
      </c>
      <c r="C431" s="21" t="s">
        <v>12</v>
      </c>
      <c r="D431" s="340">
        <v>0</v>
      </c>
      <c r="E431" s="18"/>
      <c r="F431" s="60">
        <v>955</v>
      </c>
      <c r="G431" s="26"/>
      <c r="H431" s="2">
        <f t="shared" si="30"/>
        <v>0</v>
      </c>
      <c r="I431" s="26">
        <f t="shared" si="29"/>
        <v>0</v>
      </c>
    </row>
    <row r="432" spans="1:9" ht="30" hidden="1" customHeight="1" outlineLevel="1" x14ac:dyDescent="0.25">
      <c r="A432" s="84"/>
      <c r="B432" s="329" t="s">
        <v>446</v>
      </c>
      <c r="C432" s="21" t="s">
        <v>12</v>
      </c>
      <c r="D432" s="340">
        <v>0</v>
      </c>
      <c r="E432" s="18"/>
      <c r="F432" s="60">
        <v>130</v>
      </c>
      <c r="G432" s="18"/>
      <c r="H432" s="2">
        <f t="shared" si="30"/>
        <v>0</v>
      </c>
      <c r="I432" s="26">
        <f>G432+H432</f>
        <v>0</v>
      </c>
    </row>
    <row r="433" spans="1:10" ht="20.399999999999999" hidden="1" customHeight="1" outlineLevel="1" x14ac:dyDescent="0.25">
      <c r="A433" s="84"/>
      <c r="B433" s="329" t="s">
        <v>447</v>
      </c>
      <c r="C433" s="21" t="s">
        <v>12</v>
      </c>
      <c r="D433" s="340">
        <v>0</v>
      </c>
      <c r="E433" s="18"/>
      <c r="F433" s="60">
        <v>610</v>
      </c>
      <c r="G433" s="18"/>
      <c r="H433" s="2">
        <f t="shared" si="30"/>
        <v>0</v>
      </c>
      <c r="I433" s="18">
        <f>G433+H433</f>
        <v>0</v>
      </c>
    </row>
    <row r="434" spans="1:10" ht="24.6" hidden="1" customHeight="1" outlineLevel="1" x14ac:dyDescent="0.25">
      <c r="A434" s="84"/>
      <c r="B434" s="329" t="s">
        <v>450</v>
      </c>
      <c r="C434" s="21" t="s">
        <v>12</v>
      </c>
      <c r="D434" s="340">
        <v>0</v>
      </c>
      <c r="E434" s="18"/>
      <c r="F434" s="60">
        <v>303</v>
      </c>
      <c r="G434" s="18"/>
      <c r="H434" s="2">
        <f t="shared" si="30"/>
        <v>0</v>
      </c>
      <c r="I434" s="18">
        <f>G434+H434</f>
        <v>0</v>
      </c>
    </row>
    <row r="435" spans="1:10" ht="27.75" hidden="1" customHeight="1" outlineLevel="1" x14ac:dyDescent="0.25">
      <c r="A435" s="84"/>
      <c r="B435" s="329" t="s">
        <v>454</v>
      </c>
      <c r="C435" s="21" t="s">
        <v>12</v>
      </c>
      <c r="D435" s="340">
        <v>0</v>
      </c>
      <c r="E435" s="18"/>
      <c r="F435" s="60">
        <v>1061</v>
      </c>
      <c r="G435" s="18"/>
      <c r="H435" s="2">
        <f t="shared" si="30"/>
        <v>0</v>
      </c>
      <c r="I435" s="18">
        <f>G435+H435</f>
        <v>0</v>
      </c>
    </row>
    <row r="436" spans="1:10" ht="24.6" hidden="1" customHeight="1" outlineLevel="1" x14ac:dyDescent="0.25">
      <c r="A436" s="84"/>
      <c r="B436" s="329" t="s">
        <v>455</v>
      </c>
      <c r="C436" s="21" t="s">
        <v>12</v>
      </c>
      <c r="D436" s="340">
        <v>0</v>
      </c>
      <c r="E436" s="18"/>
      <c r="F436" s="60">
        <v>386</v>
      </c>
      <c r="G436" s="18"/>
      <c r="H436" s="2">
        <f t="shared" si="30"/>
        <v>0</v>
      </c>
      <c r="I436" s="18">
        <f>G436+H436</f>
        <v>0</v>
      </c>
      <c r="J436" s="5"/>
    </row>
    <row r="437" spans="1:10" hidden="1" outlineLevel="1" x14ac:dyDescent="0.25">
      <c r="A437" s="84" t="s">
        <v>322</v>
      </c>
      <c r="B437" s="29" t="s">
        <v>162</v>
      </c>
      <c r="C437" s="31" t="s">
        <v>12</v>
      </c>
      <c r="D437" s="31">
        <v>0</v>
      </c>
      <c r="E437" s="256">
        <v>500</v>
      </c>
      <c r="F437" s="60"/>
      <c r="G437" s="2">
        <f>ROUND(E437*D437,2)</f>
        <v>0</v>
      </c>
      <c r="H437" s="18">
        <f>F437*D437</f>
        <v>0</v>
      </c>
      <c r="I437" s="18">
        <f t="shared" si="29"/>
        <v>0</v>
      </c>
    </row>
    <row r="438" spans="1:10" hidden="1" outlineLevel="1" x14ac:dyDescent="0.25">
      <c r="A438" s="84"/>
      <c r="B438" s="329" t="s">
        <v>163</v>
      </c>
      <c r="C438" s="21" t="s">
        <v>12</v>
      </c>
      <c r="D438" s="340">
        <v>0</v>
      </c>
      <c r="E438" s="18"/>
      <c r="F438" s="60">
        <f>950*1.1</f>
        <v>1045</v>
      </c>
      <c r="G438" s="18"/>
      <c r="H438" s="2">
        <f t="shared" si="30"/>
        <v>0</v>
      </c>
      <c r="I438" s="18">
        <f t="shared" si="29"/>
        <v>0</v>
      </c>
    </row>
    <row r="439" spans="1:10" hidden="1" outlineLevel="1" x14ac:dyDescent="0.25">
      <c r="A439" s="84" t="s">
        <v>323</v>
      </c>
      <c r="B439" s="29" t="s">
        <v>164</v>
      </c>
      <c r="C439" s="31" t="s">
        <v>12</v>
      </c>
      <c r="D439" s="31">
        <v>0</v>
      </c>
      <c r="E439" s="256">
        <v>250</v>
      </c>
      <c r="F439" s="60"/>
      <c r="G439" s="2">
        <f>ROUND(E439*D439,2)</f>
        <v>0</v>
      </c>
      <c r="H439" s="18">
        <f>F439*D439</f>
        <v>0</v>
      </c>
      <c r="I439" s="18">
        <f t="shared" si="29"/>
        <v>0</v>
      </c>
    </row>
    <row r="440" spans="1:10" hidden="1" outlineLevel="1" x14ac:dyDescent="0.25">
      <c r="A440" s="84"/>
      <c r="B440" s="329" t="s">
        <v>165</v>
      </c>
      <c r="C440" s="21" t="s">
        <v>12</v>
      </c>
      <c r="D440" s="340">
        <v>0</v>
      </c>
      <c r="E440" s="18"/>
      <c r="F440" s="60">
        <v>674.3</v>
      </c>
      <c r="G440" s="18"/>
      <c r="H440" s="2">
        <f t="shared" si="30"/>
        <v>0</v>
      </c>
      <c r="I440" s="18">
        <f t="shared" si="29"/>
        <v>0</v>
      </c>
    </row>
    <row r="441" spans="1:10" hidden="1" outlineLevel="1" x14ac:dyDescent="0.25">
      <c r="A441" s="84"/>
      <c r="B441" s="329" t="s">
        <v>309</v>
      </c>
      <c r="C441" s="21" t="s">
        <v>12</v>
      </c>
      <c r="D441" s="340">
        <v>0</v>
      </c>
      <c r="E441" s="18"/>
      <c r="F441" s="60">
        <v>850</v>
      </c>
      <c r="G441" s="18"/>
      <c r="H441" s="2">
        <f t="shared" si="30"/>
        <v>0</v>
      </c>
      <c r="I441" s="18">
        <f>G441+H441</f>
        <v>0</v>
      </c>
    </row>
    <row r="442" spans="1:10" hidden="1" outlineLevel="1" x14ac:dyDescent="0.25">
      <c r="A442" s="84"/>
      <c r="B442" s="329" t="s">
        <v>345</v>
      </c>
      <c r="C442" s="21" t="s">
        <v>12</v>
      </c>
      <c r="D442" s="340">
        <v>0</v>
      </c>
      <c r="E442" s="18"/>
      <c r="F442" s="60">
        <v>851</v>
      </c>
      <c r="G442" s="18"/>
      <c r="H442" s="2">
        <f>ROUND(D442*F442,2)</f>
        <v>0</v>
      </c>
      <c r="I442" s="18">
        <f>G442+H442</f>
        <v>0</v>
      </c>
    </row>
    <row r="443" spans="1:10" ht="17.25" hidden="1" customHeight="1" outlineLevel="1" x14ac:dyDescent="0.25">
      <c r="A443" s="84"/>
      <c r="B443" s="329" t="s">
        <v>301</v>
      </c>
      <c r="C443" s="21" t="s">
        <v>12</v>
      </c>
      <c r="D443" s="340">
        <v>0</v>
      </c>
      <c r="E443" s="18"/>
      <c r="F443" s="60">
        <v>449</v>
      </c>
      <c r="G443" s="18"/>
      <c r="H443" s="2">
        <f t="shared" si="30"/>
        <v>0</v>
      </c>
      <c r="I443" s="18">
        <f t="shared" si="29"/>
        <v>0</v>
      </c>
    </row>
    <row r="444" spans="1:10" ht="17.25" hidden="1" customHeight="1" outlineLevel="1" x14ac:dyDescent="0.25">
      <c r="A444" s="84"/>
      <c r="B444" s="329" t="s">
        <v>344</v>
      </c>
      <c r="C444" s="21" t="s">
        <v>12</v>
      </c>
      <c r="D444" s="340">
        <v>0</v>
      </c>
      <c r="E444" s="18"/>
      <c r="F444" s="60">
        <v>914</v>
      </c>
      <c r="G444" s="18"/>
      <c r="H444" s="18">
        <f t="shared" si="30"/>
        <v>0</v>
      </c>
      <c r="I444" s="18">
        <f t="shared" si="29"/>
        <v>0</v>
      </c>
    </row>
    <row r="445" spans="1:10" ht="17.25" hidden="1" customHeight="1" outlineLevel="1" x14ac:dyDescent="0.25">
      <c r="A445" s="84"/>
      <c r="B445" s="329" t="s">
        <v>670</v>
      </c>
      <c r="C445" s="21" t="s">
        <v>12</v>
      </c>
      <c r="D445" s="340">
        <v>0</v>
      </c>
      <c r="E445" s="18"/>
      <c r="F445" s="164">
        <v>914</v>
      </c>
      <c r="G445" s="18"/>
      <c r="H445" s="18">
        <f>ROUND(D445*F445,2)</f>
        <v>0</v>
      </c>
      <c r="I445" s="18">
        <f>G445+H445</f>
        <v>0</v>
      </c>
    </row>
    <row r="446" spans="1:10" ht="17.25" hidden="1" customHeight="1" outlineLevel="1" x14ac:dyDescent="0.25">
      <c r="A446" s="84"/>
      <c r="B446" s="329" t="s">
        <v>679</v>
      </c>
      <c r="C446" s="21" t="s">
        <v>12</v>
      </c>
      <c r="D446" s="340">
        <v>0</v>
      </c>
      <c r="E446" s="18"/>
      <c r="F446" s="164">
        <v>100</v>
      </c>
      <c r="G446" s="18"/>
      <c r="H446" s="18">
        <f>ROUND(D446*F446,2)</f>
        <v>0</v>
      </c>
      <c r="I446" s="18">
        <f>G446+H446</f>
        <v>0</v>
      </c>
    </row>
    <row r="447" spans="1:10" ht="17.25" hidden="1" customHeight="1" outlineLevel="1" x14ac:dyDescent="0.25">
      <c r="A447" s="84"/>
      <c r="B447" s="329" t="s">
        <v>680</v>
      </c>
      <c r="C447" s="21" t="s">
        <v>12</v>
      </c>
      <c r="D447" s="340">
        <v>0</v>
      </c>
      <c r="E447" s="18"/>
      <c r="F447" s="164">
        <v>200</v>
      </c>
      <c r="G447" s="18"/>
      <c r="H447" s="18">
        <f>ROUND(D447*F447,2)</f>
        <v>0</v>
      </c>
      <c r="I447" s="18">
        <f>G447+H447</f>
        <v>0</v>
      </c>
    </row>
    <row r="448" spans="1:10" ht="17.25" hidden="1" customHeight="1" outlineLevel="1" x14ac:dyDescent="0.25">
      <c r="A448" s="84"/>
      <c r="B448" s="28"/>
      <c r="C448" s="21"/>
      <c r="D448" s="340"/>
      <c r="E448" s="18"/>
      <c r="F448" s="164"/>
      <c r="G448" s="18"/>
      <c r="H448" s="18"/>
      <c r="I448" s="18"/>
    </row>
    <row r="449" spans="1:9" hidden="1" outlineLevel="1" x14ac:dyDescent="0.25">
      <c r="A449" s="84" t="s">
        <v>324</v>
      </c>
      <c r="B449" s="79" t="s">
        <v>166</v>
      </c>
      <c r="C449" s="31" t="s">
        <v>12</v>
      </c>
      <c r="D449" s="31">
        <v>0</v>
      </c>
      <c r="E449" s="256">
        <v>35</v>
      </c>
      <c r="F449" s="60"/>
      <c r="G449" s="2">
        <f>ROUND(E449*D449,2)</f>
        <v>0</v>
      </c>
      <c r="H449" s="18">
        <f>F449*D449</f>
        <v>0</v>
      </c>
      <c r="I449" s="18">
        <f t="shared" si="29"/>
        <v>0</v>
      </c>
    </row>
    <row r="450" spans="1:9" ht="31.2" hidden="1" outlineLevel="1" x14ac:dyDescent="0.25">
      <c r="A450" s="84"/>
      <c r="B450" s="329" t="s">
        <v>167</v>
      </c>
      <c r="C450" s="21" t="s">
        <v>12</v>
      </c>
      <c r="D450" s="340">
        <v>0</v>
      </c>
      <c r="E450" s="18"/>
      <c r="F450" s="60">
        <v>50</v>
      </c>
      <c r="G450" s="18"/>
      <c r="H450" s="2">
        <f t="shared" ref="H450:H462" si="31">ROUND(D450*F450,2)</f>
        <v>0</v>
      </c>
      <c r="I450" s="18">
        <f t="shared" si="29"/>
        <v>0</v>
      </c>
    </row>
    <row r="451" spans="1:9" ht="46.8" hidden="1" outlineLevel="1" x14ac:dyDescent="0.25">
      <c r="A451" s="84"/>
      <c r="B451" s="329" t="s">
        <v>292</v>
      </c>
      <c r="C451" s="21" t="s">
        <v>12</v>
      </c>
      <c r="D451" s="340">
        <v>0</v>
      </c>
      <c r="E451" s="18"/>
      <c r="F451" s="60">
        <v>30.46</v>
      </c>
      <c r="G451" s="18"/>
      <c r="H451" s="2">
        <f t="shared" si="31"/>
        <v>0</v>
      </c>
      <c r="I451" s="18">
        <f t="shared" si="29"/>
        <v>0</v>
      </c>
    </row>
    <row r="452" spans="1:9" ht="31.2" hidden="1" outlineLevel="1" x14ac:dyDescent="0.25">
      <c r="A452" s="84"/>
      <c r="B452" s="329" t="s">
        <v>293</v>
      </c>
      <c r="C452" s="21" t="s">
        <v>12</v>
      </c>
      <c r="D452" s="340">
        <v>0</v>
      </c>
      <c r="E452" s="18"/>
      <c r="F452" s="60">
        <v>30.46</v>
      </c>
      <c r="G452" s="18"/>
      <c r="H452" s="2">
        <f t="shared" si="31"/>
        <v>0</v>
      </c>
      <c r="I452" s="18">
        <f>G452+H452</f>
        <v>0</v>
      </c>
    </row>
    <row r="453" spans="1:9" ht="31.2" hidden="1" outlineLevel="1" x14ac:dyDescent="0.25">
      <c r="A453" s="84"/>
      <c r="B453" s="329" t="s">
        <v>294</v>
      </c>
      <c r="C453" s="21" t="s">
        <v>12</v>
      </c>
      <c r="D453" s="340">
        <v>0</v>
      </c>
      <c r="E453" s="18"/>
      <c r="F453" s="60">
        <v>41.85</v>
      </c>
      <c r="G453" s="18"/>
      <c r="H453" s="2">
        <f t="shared" si="31"/>
        <v>0</v>
      </c>
      <c r="I453" s="18">
        <f t="shared" si="29"/>
        <v>0</v>
      </c>
    </row>
    <row r="454" spans="1:9" ht="31.2" hidden="1" outlineLevel="1" x14ac:dyDescent="0.25">
      <c r="A454" s="84"/>
      <c r="B454" s="329" t="s">
        <v>289</v>
      </c>
      <c r="C454" s="21" t="s">
        <v>12</v>
      </c>
      <c r="D454" s="340">
        <v>0</v>
      </c>
      <c r="E454" s="18"/>
      <c r="F454" s="60">
        <f>59*1.1</f>
        <v>64.900000000000006</v>
      </c>
      <c r="G454" s="18"/>
      <c r="H454" s="2">
        <f t="shared" si="31"/>
        <v>0</v>
      </c>
      <c r="I454" s="18">
        <f t="shared" si="29"/>
        <v>0</v>
      </c>
    </row>
    <row r="455" spans="1:9" ht="31.2" hidden="1" outlineLevel="1" x14ac:dyDescent="0.25">
      <c r="A455" s="84"/>
      <c r="B455" s="329" t="s">
        <v>288</v>
      </c>
      <c r="C455" s="21" t="s">
        <v>12</v>
      </c>
      <c r="D455" s="340">
        <v>0</v>
      </c>
      <c r="E455" s="18"/>
      <c r="F455" s="60">
        <v>37.25</v>
      </c>
      <c r="G455" s="18"/>
      <c r="H455" s="2">
        <f t="shared" si="31"/>
        <v>0</v>
      </c>
      <c r="I455" s="18">
        <f t="shared" si="29"/>
        <v>0</v>
      </c>
    </row>
    <row r="456" spans="1:9" ht="31.2" hidden="1" outlineLevel="1" x14ac:dyDescent="0.25">
      <c r="A456" s="84"/>
      <c r="B456" s="329" t="s">
        <v>290</v>
      </c>
      <c r="C456" s="21" t="s">
        <v>12</v>
      </c>
      <c r="D456" s="340">
        <v>0</v>
      </c>
      <c r="E456" s="18"/>
      <c r="F456" s="60">
        <v>277</v>
      </c>
      <c r="G456" s="18"/>
      <c r="H456" s="2">
        <f t="shared" si="31"/>
        <v>0</v>
      </c>
      <c r="I456" s="18">
        <f t="shared" si="29"/>
        <v>0</v>
      </c>
    </row>
    <row r="457" spans="1:9" ht="31.2" hidden="1" outlineLevel="1" x14ac:dyDescent="0.25">
      <c r="A457" s="84"/>
      <c r="B457" s="329" t="s">
        <v>291</v>
      </c>
      <c r="C457" s="21" t="s">
        <v>12</v>
      </c>
      <c r="D457" s="340">
        <v>0</v>
      </c>
      <c r="E457" s="18"/>
      <c r="F457" s="60">
        <v>65.900000000000006</v>
      </c>
      <c r="G457" s="18"/>
      <c r="H457" s="2">
        <f t="shared" si="31"/>
        <v>0</v>
      </c>
      <c r="I457" s="18">
        <f t="shared" si="29"/>
        <v>0</v>
      </c>
    </row>
    <row r="458" spans="1:9" hidden="1" outlineLevel="1" x14ac:dyDescent="0.25">
      <c r="A458" s="84"/>
      <c r="B458" s="329" t="s">
        <v>168</v>
      </c>
      <c r="C458" s="21" t="s">
        <v>12</v>
      </c>
      <c r="D458" s="340">
        <v>0</v>
      </c>
      <c r="E458" s="18"/>
      <c r="F458" s="60">
        <v>127</v>
      </c>
      <c r="G458" s="18"/>
      <c r="H458" s="2">
        <f t="shared" si="31"/>
        <v>0</v>
      </c>
      <c r="I458" s="18">
        <f t="shared" si="29"/>
        <v>0</v>
      </c>
    </row>
    <row r="459" spans="1:9" hidden="1" outlineLevel="1" x14ac:dyDescent="0.25">
      <c r="A459" s="84"/>
      <c r="B459" s="329" t="s">
        <v>287</v>
      </c>
      <c r="C459" s="21" t="s">
        <v>12</v>
      </c>
      <c r="D459" s="340">
        <v>0</v>
      </c>
      <c r="E459" s="18"/>
      <c r="F459" s="60">
        <v>20</v>
      </c>
      <c r="G459" s="18"/>
      <c r="H459" s="2">
        <f t="shared" si="31"/>
        <v>0</v>
      </c>
      <c r="I459" s="18">
        <f t="shared" si="29"/>
        <v>0</v>
      </c>
    </row>
    <row r="460" spans="1:9" hidden="1" outlineLevel="1" x14ac:dyDescent="0.25">
      <c r="A460" s="84"/>
      <c r="B460" s="329" t="s">
        <v>677</v>
      </c>
      <c r="C460" s="21" t="s">
        <v>12</v>
      </c>
      <c r="D460" s="340">
        <v>0</v>
      </c>
      <c r="E460" s="18"/>
      <c r="F460" s="60">
        <v>30</v>
      </c>
      <c r="G460" s="18"/>
      <c r="H460" s="2">
        <f t="shared" si="31"/>
        <v>0</v>
      </c>
      <c r="I460" s="18">
        <f>G460+H460</f>
        <v>0</v>
      </c>
    </row>
    <row r="461" spans="1:9" ht="31.2" hidden="1" outlineLevel="1" x14ac:dyDescent="0.25">
      <c r="A461" s="84"/>
      <c r="B461" s="329" t="s">
        <v>442</v>
      </c>
      <c r="C461" s="21" t="s">
        <v>12</v>
      </c>
      <c r="D461" s="340">
        <v>0</v>
      </c>
      <c r="E461" s="18"/>
      <c r="F461" s="60">
        <v>78</v>
      </c>
      <c r="G461" s="18"/>
      <c r="H461" s="2">
        <f t="shared" si="31"/>
        <v>0</v>
      </c>
      <c r="I461" s="18">
        <f>G461+H461</f>
        <v>0</v>
      </c>
    </row>
    <row r="462" spans="1:9" ht="18.75" hidden="1" customHeight="1" outlineLevel="1" x14ac:dyDescent="0.25">
      <c r="A462" s="84"/>
      <c r="B462" s="329" t="s">
        <v>673</v>
      </c>
      <c r="C462" s="21" t="s">
        <v>12</v>
      </c>
      <c r="D462" s="340">
        <v>0</v>
      </c>
      <c r="E462" s="18"/>
      <c r="F462" s="60">
        <v>90</v>
      </c>
      <c r="G462" s="18"/>
      <c r="H462" s="2">
        <f t="shared" si="31"/>
        <v>0</v>
      </c>
      <c r="I462" s="18">
        <f>G462+H462</f>
        <v>0</v>
      </c>
    </row>
    <row r="463" spans="1:9" ht="31.2" hidden="1" outlineLevel="1" x14ac:dyDescent="0.25">
      <c r="A463" s="84"/>
      <c r="B463" s="329" t="s">
        <v>668</v>
      </c>
      <c r="C463" s="21" t="s">
        <v>12</v>
      </c>
      <c r="D463" s="340">
        <v>0</v>
      </c>
      <c r="E463" s="18"/>
      <c r="F463" s="60">
        <v>90</v>
      </c>
      <c r="G463" s="18"/>
      <c r="H463" s="2">
        <f>ROUND(D463*F463,2)</f>
        <v>0</v>
      </c>
      <c r="I463" s="18">
        <f>G463+H463</f>
        <v>0</v>
      </c>
    </row>
    <row r="464" spans="1:9" hidden="1" outlineLevel="1" x14ac:dyDescent="0.25">
      <c r="A464" s="84"/>
      <c r="B464" s="329" t="s">
        <v>678</v>
      </c>
      <c r="C464" s="21" t="s">
        <v>12</v>
      </c>
      <c r="D464" s="340">
        <v>0</v>
      </c>
      <c r="E464" s="18"/>
      <c r="F464" s="164">
        <v>100</v>
      </c>
      <c r="G464" s="18"/>
      <c r="H464" s="2">
        <f>ROUND(D464*F464,2)</f>
        <v>0</v>
      </c>
      <c r="I464" s="18">
        <f>G464+H464</f>
        <v>0</v>
      </c>
    </row>
    <row r="465" spans="1:9" hidden="1" outlineLevel="1" x14ac:dyDescent="0.25">
      <c r="A465" s="84" t="s">
        <v>532</v>
      </c>
      <c r="B465" s="29" t="s">
        <v>489</v>
      </c>
      <c r="C465" s="31" t="s">
        <v>29</v>
      </c>
      <c r="D465" s="31">
        <v>0</v>
      </c>
      <c r="E465" s="256">
        <v>35</v>
      </c>
      <c r="F465" s="60"/>
      <c r="G465" s="2">
        <f>ROUND(E465*D465,2)</f>
        <v>0</v>
      </c>
      <c r="H465" s="18">
        <f>F465*D465</f>
        <v>0</v>
      </c>
      <c r="I465" s="18">
        <f t="shared" si="29"/>
        <v>0</v>
      </c>
    </row>
    <row r="466" spans="1:9" hidden="1" outlineLevel="1" x14ac:dyDescent="0.25">
      <c r="A466" s="84"/>
      <c r="B466" s="329" t="s">
        <v>296</v>
      </c>
      <c r="C466" s="21" t="s">
        <v>29</v>
      </c>
      <c r="D466" s="340">
        <v>0</v>
      </c>
      <c r="E466" s="18"/>
      <c r="F466" s="60">
        <v>31</v>
      </c>
      <c r="G466" s="18"/>
      <c r="H466" s="2">
        <f t="shared" ref="H466:H484" si="32">ROUND(D466*F466,2)</f>
        <v>0</v>
      </c>
      <c r="I466" s="18">
        <f t="shared" si="29"/>
        <v>0</v>
      </c>
    </row>
    <row r="467" spans="1:9" hidden="1" outlineLevel="1" x14ac:dyDescent="0.25">
      <c r="A467" s="84"/>
      <c r="B467" s="329" t="s">
        <v>311</v>
      </c>
      <c r="C467" s="21" t="s">
        <v>29</v>
      </c>
      <c r="D467" s="340">
        <v>0</v>
      </c>
      <c r="E467" s="18"/>
      <c r="F467" s="60">
        <f>459.7*1.1</f>
        <v>505.67</v>
      </c>
      <c r="G467" s="18"/>
      <c r="H467" s="2">
        <f t="shared" si="32"/>
        <v>0</v>
      </c>
      <c r="I467" s="18">
        <f t="shared" si="29"/>
        <v>0</v>
      </c>
    </row>
    <row r="468" spans="1:9" hidden="1" outlineLevel="1" x14ac:dyDescent="0.25">
      <c r="A468" s="84"/>
      <c r="B468" s="329" t="s">
        <v>297</v>
      </c>
      <c r="C468" s="21" t="s">
        <v>29</v>
      </c>
      <c r="D468" s="340">
        <v>0</v>
      </c>
      <c r="E468" s="18"/>
      <c r="F468" s="60">
        <f>10.16*1.1</f>
        <v>11.176000000000002</v>
      </c>
      <c r="G468" s="18"/>
      <c r="H468" s="2">
        <f t="shared" si="32"/>
        <v>0</v>
      </c>
      <c r="I468" s="18">
        <f t="shared" si="29"/>
        <v>0</v>
      </c>
    </row>
    <row r="469" spans="1:9" hidden="1" outlineLevel="1" x14ac:dyDescent="0.25">
      <c r="A469" s="84"/>
      <c r="B469" s="329" t="s">
        <v>299</v>
      </c>
      <c r="C469" s="21" t="s">
        <v>29</v>
      </c>
      <c r="D469" s="340">
        <v>0</v>
      </c>
      <c r="E469" s="18"/>
      <c r="F469" s="60">
        <f>11.4*1.1</f>
        <v>12.540000000000001</v>
      </c>
      <c r="G469" s="18"/>
      <c r="H469" s="2">
        <f t="shared" si="32"/>
        <v>0</v>
      </c>
      <c r="I469" s="18">
        <f>G469+H469</f>
        <v>0</v>
      </c>
    </row>
    <row r="470" spans="1:9" hidden="1" outlineLevel="1" x14ac:dyDescent="0.25">
      <c r="A470" s="84"/>
      <c r="B470" s="329" t="s">
        <v>298</v>
      </c>
      <c r="C470" s="21" t="s">
        <v>29</v>
      </c>
      <c r="D470" s="340">
        <v>0</v>
      </c>
      <c r="E470" s="18"/>
      <c r="F470" s="60">
        <f>19.4*1.1</f>
        <v>21.34</v>
      </c>
      <c r="G470" s="18"/>
      <c r="H470" s="2">
        <f t="shared" si="32"/>
        <v>0</v>
      </c>
      <c r="I470" s="18">
        <f>G470+H470</f>
        <v>0</v>
      </c>
    </row>
    <row r="471" spans="1:9" hidden="1" outlineLevel="1" x14ac:dyDescent="0.25">
      <c r="A471" s="84"/>
      <c r="B471" s="329" t="s">
        <v>171</v>
      </c>
      <c r="C471" s="21" t="s">
        <v>29</v>
      </c>
      <c r="D471" s="340">
        <v>0</v>
      </c>
      <c r="E471" s="18"/>
      <c r="F471" s="60">
        <f>50.41*1.1</f>
        <v>55.451000000000001</v>
      </c>
      <c r="G471" s="18"/>
      <c r="H471" s="2">
        <f t="shared" si="32"/>
        <v>0</v>
      </c>
      <c r="I471" s="18">
        <f t="shared" si="29"/>
        <v>0</v>
      </c>
    </row>
    <row r="472" spans="1:9" hidden="1" outlineLevel="1" x14ac:dyDescent="0.25">
      <c r="A472" s="84"/>
      <c r="B472" s="329" t="s">
        <v>458</v>
      </c>
      <c r="C472" s="21" t="s">
        <v>29</v>
      </c>
      <c r="D472" s="340">
        <v>0</v>
      </c>
      <c r="E472" s="18"/>
      <c r="F472" s="60">
        <v>205</v>
      </c>
      <c r="G472" s="18"/>
      <c r="H472" s="2">
        <f t="shared" si="32"/>
        <v>0</v>
      </c>
      <c r="I472" s="18">
        <f>G472+H472</f>
        <v>0</v>
      </c>
    </row>
    <row r="473" spans="1:9" hidden="1" outlineLevel="1" x14ac:dyDescent="0.25">
      <c r="A473" s="84"/>
      <c r="B473" s="329" t="s">
        <v>169</v>
      </c>
      <c r="C473" s="21" t="s">
        <v>29</v>
      </c>
      <c r="D473" s="340">
        <v>0</v>
      </c>
      <c r="E473" s="18"/>
      <c r="F473" s="60">
        <f>22.48*1.1</f>
        <v>24.728000000000002</v>
      </c>
      <c r="G473" s="18"/>
      <c r="H473" s="2">
        <f t="shared" si="32"/>
        <v>0</v>
      </c>
      <c r="I473" s="18">
        <f t="shared" si="29"/>
        <v>0</v>
      </c>
    </row>
    <row r="474" spans="1:9" hidden="1" outlineLevel="1" x14ac:dyDescent="0.25">
      <c r="A474" s="84"/>
      <c r="B474" s="329" t="s">
        <v>457</v>
      </c>
      <c r="C474" s="21" t="s">
        <v>29</v>
      </c>
      <c r="D474" s="340">
        <v>0</v>
      </c>
      <c r="E474" s="18"/>
      <c r="F474" s="60">
        <f>15.53*1.1</f>
        <v>17.083000000000002</v>
      </c>
      <c r="G474" s="18"/>
      <c r="H474" s="2">
        <f t="shared" si="32"/>
        <v>0</v>
      </c>
      <c r="I474" s="18">
        <f t="shared" si="29"/>
        <v>0</v>
      </c>
    </row>
    <row r="475" spans="1:9" ht="17.25" hidden="1" customHeight="1" outlineLevel="1" x14ac:dyDescent="0.25">
      <c r="A475" s="84"/>
      <c r="B475" s="329" t="s">
        <v>170</v>
      </c>
      <c r="C475" s="21" t="s">
        <v>12</v>
      </c>
      <c r="D475" s="340">
        <v>0</v>
      </c>
      <c r="E475" s="18"/>
      <c r="F475" s="60">
        <v>8</v>
      </c>
      <c r="G475" s="18"/>
      <c r="H475" s="2">
        <f t="shared" si="32"/>
        <v>0</v>
      </c>
      <c r="I475" s="18">
        <f>G475+H475</f>
        <v>0</v>
      </c>
    </row>
    <row r="476" spans="1:9" hidden="1" outlineLevel="1" x14ac:dyDescent="0.25">
      <c r="A476" s="84"/>
      <c r="B476" s="329" t="s">
        <v>302</v>
      </c>
      <c r="C476" s="21" t="s">
        <v>29</v>
      </c>
      <c r="D476" s="340">
        <v>0</v>
      </c>
      <c r="E476" s="18"/>
      <c r="F476" s="60">
        <v>194</v>
      </c>
      <c r="G476" s="18"/>
      <c r="H476" s="2">
        <f t="shared" si="32"/>
        <v>0</v>
      </c>
      <c r="I476" s="18">
        <f t="shared" si="29"/>
        <v>0</v>
      </c>
    </row>
    <row r="477" spans="1:9" hidden="1" outlineLevel="1" x14ac:dyDescent="0.25">
      <c r="A477" s="84"/>
      <c r="B477" s="329" t="s">
        <v>443</v>
      </c>
      <c r="C477" s="21" t="s">
        <v>29</v>
      </c>
      <c r="D477" s="340">
        <v>0</v>
      </c>
      <c r="E477" s="18"/>
      <c r="F477" s="60">
        <v>45</v>
      </c>
      <c r="G477" s="18"/>
      <c r="H477" s="2">
        <f t="shared" si="32"/>
        <v>0</v>
      </c>
      <c r="I477" s="18">
        <f t="shared" si="29"/>
        <v>0</v>
      </c>
    </row>
    <row r="478" spans="1:9" hidden="1" outlineLevel="1" x14ac:dyDescent="0.25">
      <c r="A478" s="84"/>
      <c r="B478" s="329" t="s">
        <v>300</v>
      </c>
      <c r="C478" s="21" t="s">
        <v>29</v>
      </c>
      <c r="D478" s="340">
        <v>0</v>
      </c>
      <c r="E478" s="18"/>
      <c r="F478" s="60">
        <v>78</v>
      </c>
      <c r="G478" s="18"/>
      <c r="H478" s="2">
        <f t="shared" si="32"/>
        <v>0</v>
      </c>
      <c r="I478" s="18">
        <f t="shared" si="29"/>
        <v>0</v>
      </c>
    </row>
    <row r="479" spans="1:9" hidden="1" outlineLevel="1" x14ac:dyDescent="0.25">
      <c r="A479" s="84"/>
      <c r="B479" s="329" t="s">
        <v>91</v>
      </c>
      <c r="C479" s="21" t="s">
        <v>15</v>
      </c>
      <c r="D479" s="340">
        <v>0</v>
      </c>
      <c r="E479" s="18"/>
      <c r="F479" s="164">
        <v>42</v>
      </c>
      <c r="G479" s="18"/>
      <c r="H479" s="2">
        <f>ROUND(D479*F479,2)</f>
        <v>0</v>
      </c>
      <c r="I479" s="18">
        <f t="shared" si="29"/>
        <v>0</v>
      </c>
    </row>
    <row r="480" spans="1:9" hidden="1" outlineLevel="1" x14ac:dyDescent="0.25">
      <c r="A480" s="84"/>
      <c r="B480" s="329" t="s">
        <v>676</v>
      </c>
      <c r="C480" s="21" t="s">
        <v>29</v>
      </c>
      <c r="D480" s="340">
        <v>0</v>
      </c>
      <c r="E480" s="18"/>
      <c r="F480" s="164">
        <v>9.8699999999999992</v>
      </c>
      <c r="G480" s="18"/>
      <c r="H480" s="2">
        <f>ROUND(D480*F480,2)</f>
        <v>0</v>
      </c>
      <c r="I480" s="18">
        <f t="shared" si="29"/>
        <v>0</v>
      </c>
    </row>
    <row r="481" spans="1:9" hidden="1" outlineLevel="1" x14ac:dyDescent="0.25">
      <c r="A481" s="84"/>
      <c r="B481" s="329" t="s">
        <v>669</v>
      </c>
      <c r="C481" s="21" t="s">
        <v>29</v>
      </c>
      <c r="D481" s="340">
        <v>0</v>
      </c>
      <c r="E481" s="18"/>
      <c r="F481" s="164">
        <v>9.8699999999999992</v>
      </c>
      <c r="G481" s="18"/>
      <c r="H481" s="2">
        <f>ROUND(D481*F481,2)</f>
        <v>0</v>
      </c>
      <c r="I481" s="18">
        <f t="shared" si="29"/>
        <v>0</v>
      </c>
    </row>
    <row r="482" spans="1:9" hidden="1" outlineLevel="1" x14ac:dyDescent="0.25">
      <c r="A482" s="84"/>
      <c r="B482" s="329" t="s">
        <v>672</v>
      </c>
      <c r="C482" s="21" t="s">
        <v>29</v>
      </c>
      <c r="D482" s="340">
        <v>0</v>
      </c>
      <c r="E482" s="18"/>
      <c r="F482" s="164">
        <v>9.8699999999999992</v>
      </c>
      <c r="G482" s="18"/>
      <c r="H482" s="2">
        <f>ROUND(D482*F482,2)</f>
        <v>0</v>
      </c>
      <c r="I482" s="18">
        <f t="shared" si="29"/>
        <v>0</v>
      </c>
    </row>
    <row r="483" spans="1:9" hidden="1" outlineLevel="1" x14ac:dyDescent="0.25">
      <c r="A483" s="84"/>
      <c r="B483" s="329" t="s">
        <v>444</v>
      </c>
      <c r="C483" s="21" t="s">
        <v>29</v>
      </c>
      <c r="D483" s="340">
        <v>0</v>
      </c>
      <c r="E483" s="18"/>
      <c r="F483" s="60">
        <v>56</v>
      </c>
      <c r="G483" s="18"/>
      <c r="H483" s="2">
        <f t="shared" si="32"/>
        <v>0</v>
      </c>
      <c r="I483" s="18">
        <f t="shared" si="29"/>
        <v>0</v>
      </c>
    </row>
    <row r="484" spans="1:9" hidden="1" outlineLevel="1" x14ac:dyDescent="0.25">
      <c r="A484" s="84"/>
      <c r="B484" s="329" t="s">
        <v>445</v>
      </c>
      <c r="C484" s="21" t="s">
        <v>29</v>
      </c>
      <c r="D484" s="340">
        <v>0</v>
      </c>
      <c r="E484" s="18"/>
      <c r="F484" s="60">
        <v>70</v>
      </c>
      <c r="G484" s="18"/>
      <c r="H484" s="2">
        <f t="shared" si="32"/>
        <v>0</v>
      </c>
      <c r="I484" s="18">
        <f t="shared" si="29"/>
        <v>0</v>
      </c>
    </row>
    <row r="485" spans="1:9" hidden="1" outlineLevel="1" x14ac:dyDescent="0.25">
      <c r="A485" s="84"/>
      <c r="B485" s="329" t="s">
        <v>671</v>
      </c>
      <c r="C485" s="21" t="s">
        <v>29</v>
      </c>
      <c r="D485" s="340">
        <v>0</v>
      </c>
      <c r="E485" s="18"/>
      <c r="F485" s="164">
        <v>170</v>
      </c>
      <c r="G485" s="18"/>
      <c r="H485" s="2">
        <f>ROUND(D485*F485,2)</f>
        <v>0</v>
      </c>
      <c r="I485" s="18">
        <f t="shared" si="29"/>
        <v>0</v>
      </c>
    </row>
    <row r="486" spans="1:9" hidden="1" outlineLevel="1" x14ac:dyDescent="0.25">
      <c r="A486" s="84" t="s">
        <v>533</v>
      </c>
      <c r="B486" s="29" t="s">
        <v>303</v>
      </c>
      <c r="C486" s="31" t="s">
        <v>12</v>
      </c>
      <c r="D486" s="158"/>
      <c r="E486" s="18"/>
      <c r="F486" s="60"/>
      <c r="G486" s="18">
        <f>E486*D486</f>
        <v>0</v>
      </c>
      <c r="H486" s="18"/>
      <c r="I486" s="18">
        <f t="shared" si="29"/>
        <v>0</v>
      </c>
    </row>
    <row r="487" spans="1:9" hidden="1" outlineLevel="1" x14ac:dyDescent="0.25">
      <c r="A487" s="84"/>
      <c r="B487" s="329" t="s">
        <v>304</v>
      </c>
      <c r="C487" s="21" t="s">
        <v>12</v>
      </c>
      <c r="D487" s="340">
        <v>0</v>
      </c>
      <c r="E487" s="18"/>
      <c r="F487" s="60">
        <v>462</v>
      </c>
      <c r="G487" s="18"/>
      <c r="H487" s="2">
        <f>ROUND(D487*F487,2)</f>
        <v>0</v>
      </c>
      <c r="I487" s="18">
        <f t="shared" si="29"/>
        <v>0</v>
      </c>
    </row>
    <row r="488" spans="1:9" hidden="1" outlineLevel="1" x14ac:dyDescent="0.25">
      <c r="A488" s="84"/>
      <c r="B488" s="329" t="s">
        <v>306</v>
      </c>
      <c r="C488" s="21" t="s">
        <v>12</v>
      </c>
      <c r="D488" s="340">
        <v>0</v>
      </c>
      <c r="E488" s="18"/>
      <c r="F488" s="60">
        <v>216</v>
      </c>
      <c r="G488" s="18"/>
      <c r="H488" s="2">
        <f>ROUND(D488*F488,2)</f>
        <v>0</v>
      </c>
      <c r="I488" s="18">
        <f t="shared" si="29"/>
        <v>0</v>
      </c>
    </row>
    <row r="489" spans="1:9" hidden="1" outlineLevel="1" x14ac:dyDescent="0.25">
      <c r="A489" s="84"/>
      <c r="B489" s="329" t="s">
        <v>305</v>
      </c>
      <c r="C489" s="21" t="s">
        <v>12</v>
      </c>
      <c r="D489" s="340">
        <v>0</v>
      </c>
      <c r="E489" s="18"/>
      <c r="F489" s="60">
        <v>216</v>
      </c>
      <c r="G489" s="18"/>
      <c r="H489" s="2">
        <f>ROUND(D489*F489,2)</f>
        <v>0</v>
      </c>
      <c r="I489" s="18">
        <f t="shared" si="29"/>
        <v>0</v>
      </c>
    </row>
    <row r="490" spans="1:9" hidden="1" outlineLevel="1" x14ac:dyDescent="0.25">
      <c r="A490" s="84"/>
      <c r="B490" s="329" t="s">
        <v>307</v>
      </c>
      <c r="C490" s="21" t="s">
        <v>12</v>
      </c>
      <c r="D490" s="340">
        <v>0</v>
      </c>
      <c r="E490" s="18"/>
      <c r="F490" s="60">
        <v>300</v>
      </c>
      <c r="G490" s="18"/>
      <c r="H490" s="2">
        <f>ROUND(D490*F490,2)</f>
        <v>0</v>
      </c>
      <c r="I490" s="18">
        <f t="shared" si="29"/>
        <v>0</v>
      </c>
    </row>
    <row r="491" spans="1:9" hidden="1" outlineLevel="1" x14ac:dyDescent="0.25">
      <c r="A491" s="84" t="s">
        <v>534</v>
      </c>
      <c r="B491" s="29" t="s">
        <v>310</v>
      </c>
      <c r="C491" s="31" t="s">
        <v>173</v>
      </c>
      <c r="D491" s="31">
        <v>0</v>
      </c>
      <c r="E491" s="18"/>
      <c r="F491" s="60">
        <f>30000</f>
        <v>30000</v>
      </c>
      <c r="G491" s="18"/>
      <c r="H491" s="2">
        <f>ROUND(D491*F491,2)</f>
        <v>0</v>
      </c>
      <c r="I491" s="18">
        <f t="shared" si="29"/>
        <v>0</v>
      </c>
    </row>
    <row r="492" spans="1:9" hidden="1" outlineLevel="1" x14ac:dyDescent="0.25">
      <c r="A492" s="84" t="s">
        <v>611</v>
      </c>
      <c r="B492" s="192" t="s">
        <v>590</v>
      </c>
      <c r="C492" s="31"/>
      <c r="D492" s="18"/>
      <c r="E492" s="256">
        <v>0</v>
      </c>
      <c r="F492" s="60"/>
      <c r="G492" s="18">
        <f>E492</f>
        <v>0</v>
      </c>
      <c r="H492" s="18">
        <v>0</v>
      </c>
      <c r="I492" s="18">
        <f>G492+H492</f>
        <v>0</v>
      </c>
    </row>
    <row r="493" spans="1:9" hidden="1" outlineLevel="1" x14ac:dyDescent="0.25">
      <c r="A493" s="84"/>
      <c r="B493" s="329" t="s">
        <v>591</v>
      </c>
      <c r="C493" s="21" t="s">
        <v>12</v>
      </c>
      <c r="D493" s="340">
        <v>0</v>
      </c>
      <c r="E493" s="18"/>
      <c r="F493" s="60">
        <f>1144.07*1.1</f>
        <v>1258.4770000000001</v>
      </c>
      <c r="G493" s="18"/>
      <c r="H493" s="18">
        <f>F493*D493</f>
        <v>0</v>
      </c>
      <c r="I493" s="18">
        <f>G493+H493</f>
        <v>0</v>
      </c>
    </row>
    <row r="494" spans="1:9" hidden="1" outlineLevel="1" x14ac:dyDescent="0.25">
      <c r="A494" s="84"/>
      <c r="B494" s="329" t="s">
        <v>592</v>
      </c>
      <c r="C494" s="21" t="s">
        <v>12</v>
      </c>
      <c r="D494" s="340">
        <v>0</v>
      </c>
      <c r="E494" s="18"/>
      <c r="F494" s="60">
        <f>1144.07*1.1</f>
        <v>1258.4770000000001</v>
      </c>
      <c r="G494" s="18"/>
      <c r="H494" s="18">
        <f>F494*D494</f>
        <v>0</v>
      </c>
      <c r="I494" s="18">
        <f>G494+H494</f>
        <v>0</v>
      </c>
    </row>
    <row r="495" spans="1:9" hidden="1" outlineLevel="1" x14ac:dyDescent="0.25">
      <c r="A495" s="84"/>
      <c r="B495" s="329" t="s">
        <v>593</v>
      </c>
      <c r="C495" s="21" t="s">
        <v>12</v>
      </c>
      <c r="D495" s="340">
        <v>0</v>
      </c>
      <c r="E495" s="18"/>
      <c r="F495" s="60">
        <f>1144.07*1.1</f>
        <v>1258.4770000000001</v>
      </c>
      <c r="G495" s="18"/>
      <c r="H495" s="18">
        <f>F495*D495</f>
        <v>0</v>
      </c>
      <c r="I495" s="18">
        <f>G495+H495</f>
        <v>0</v>
      </c>
    </row>
    <row r="496" spans="1:9" hidden="1" outlineLevel="1" x14ac:dyDescent="0.25">
      <c r="A496" s="84"/>
      <c r="B496" s="329" t="s">
        <v>594</v>
      </c>
      <c r="C496" s="21" t="s">
        <v>12</v>
      </c>
      <c r="D496" s="340">
        <v>0</v>
      </c>
      <c r="E496" s="18"/>
      <c r="F496" s="60">
        <f>1101.7*1.18</f>
        <v>1300.0060000000001</v>
      </c>
      <c r="G496" s="18"/>
      <c r="H496" s="18">
        <f>F496*D496</f>
        <v>0</v>
      </c>
      <c r="I496" s="18">
        <f>G496+H496</f>
        <v>0</v>
      </c>
    </row>
    <row r="497" spans="1:9" hidden="1" outlineLevel="1" x14ac:dyDescent="0.25">
      <c r="A497" s="84"/>
      <c r="B497" s="308" t="s">
        <v>595</v>
      </c>
      <c r="C497" s="21" t="s">
        <v>12</v>
      </c>
      <c r="D497" s="340">
        <v>0</v>
      </c>
      <c r="E497" s="18"/>
      <c r="F497" s="60">
        <f>120</f>
        <v>120</v>
      </c>
      <c r="G497" s="18"/>
      <c r="H497" s="18">
        <f t="shared" ref="H497:H514" si="33">F497*D497</f>
        <v>0</v>
      </c>
      <c r="I497" s="18">
        <f t="shared" ref="I497:I514" si="34">G497+H497</f>
        <v>0</v>
      </c>
    </row>
    <row r="498" spans="1:9" hidden="1" outlineLevel="1" x14ac:dyDescent="0.25">
      <c r="A498" s="84"/>
      <c r="B498" s="308" t="s">
        <v>596</v>
      </c>
      <c r="C498" s="21" t="s">
        <v>12</v>
      </c>
      <c r="D498" s="340">
        <v>0</v>
      </c>
      <c r="E498" s="18"/>
      <c r="F498" s="60">
        <f>127.12*1.18</f>
        <v>150.0016</v>
      </c>
      <c r="G498" s="18"/>
      <c r="H498" s="18">
        <f t="shared" si="33"/>
        <v>0</v>
      </c>
      <c r="I498" s="18">
        <f t="shared" si="34"/>
        <v>0</v>
      </c>
    </row>
    <row r="499" spans="1:9" hidden="1" outlineLevel="1" x14ac:dyDescent="0.25">
      <c r="A499" s="84"/>
      <c r="B499" s="308" t="s">
        <v>597</v>
      </c>
      <c r="C499" s="21" t="s">
        <v>12</v>
      </c>
      <c r="D499" s="340">
        <v>0</v>
      </c>
      <c r="E499" s="18"/>
      <c r="F499" s="60">
        <f>127.12*1.18</f>
        <v>150.0016</v>
      </c>
      <c r="G499" s="18"/>
      <c r="H499" s="18">
        <f t="shared" si="33"/>
        <v>0</v>
      </c>
      <c r="I499" s="18">
        <f t="shared" si="34"/>
        <v>0</v>
      </c>
    </row>
    <row r="500" spans="1:9" hidden="1" outlineLevel="1" x14ac:dyDescent="0.25">
      <c r="A500" s="84"/>
      <c r="B500" s="308" t="s">
        <v>598</v>
      </c>
      <c r="C500" s="21" t="s">
        <v>12</v>
      </c>
      <c r="D500" s="340">
        <v>0</v>
      </c>
      <c r="E500" s="18"/>
      <c r="F500" s="60">
        <v>50</v>
      </c>
      <c r="G500" s="18"/>
      <c r="H500" s="18">
        <f t="shared" si="33"/>
        <v>0</v>
      </c>
      <c r="I500" s="18">
        <f t="shared" si="34"/>
        <v>0</v>
      </c>
    </row>
    <row r="501" spans="1:9" hidden="1" outlineLevel="1" x14ac:dyDescent="0.25">
      <c r="A501" s="84"/>
      <c r="B501" s="308" t="s">
        <v>599</v>
      </c>
      <c r="C501" s="21" t="s">
        <v>12</v>
      </c>
      <c r="D501" s="340">
        <v>0</v>
      </c>
      <c r="E501" s="18"/>
      <c r="F501" s="60">
        <v>200</v>
      </c>
      <c r="G501" s="18"/>
      <c r="H501" s="18">
        <f t="shared" si="33"/>
        <v>0</v>
      </c>
      <c r="I501" s="18">
        <f t="shared" si="34"/>
        <v>0</v>
      </c>
    </row>
    <row r="502" spans="1:9" hidden="1" outlineLevel="1" x14ac:dyDescent="0.25">
      <c r="A502" s="84"/>
      <c r="B502" s="308" t="s">
        <v>600</v>
      </c>
      <c r="C502" s="21" t="s">
        <v>12</v>
      </c>
      <c r="D502" s="340">
        <v>0</v>
      </c>
      <c r="E502" s="18"/>
      <c r="F502" s="60">
        <v>10</v>
      </c>
      <c r="G502" s="18"/>
      <c r="H502" s="18">
        <f t="shared" si="33"/>
        <v>0</v>
      </c>
      <c r="I502" s="18">
        <f t="shared" si="34"/>
        <v>0</v>
      </c>
    </row>
    <row r="503" spans="1:9" hidden="1" outlineLevel="1" x14ac:dyDescent="0.25">
      <c r="A503" s="84"/>
      <c r="B503" s="308" t="s">
        <v>601</v>
      </c>
      <c r="C503" s="21" t="s">
        <v>12</v>
      </c>
      <c r="D503" s="340">
        <v>0</v>
      </c>
      <c r="E503" s="18"/>
      <c r="F503" s="60">
        <v>18</v>
      </c>
      <c r="G503" s="18"/>
      <c r="H503" s="18">
        <f t="shared" si="33"/>
        <v>0</v>
      </c>
      <c r="I503" s="18">
        <f t="shared" si="34"/>
        <v>0</v>
      </c>
    </row>
    <row r="504" spans="1:9" hidden="1" outlineLevel="1" x14ac:dyDescent="0.25">
      <c r="A504" s="84"/>
      <c r="B504" s="308" t="s">
        <v>602</v>
      </c>
      <c r="C504" s="21" t="s">
        <v>12</v>
      </c>
      <c r="D504" s="340">
        <v>0</v>
      </c>
      <c r="E504" s="18"/>
      <c r="F504" s="60">
        <v>67</v>
      </c>
      <c r="G504" s="18"/>
      <c r="H504" s="18">
        <f t="shared" si="33"/>
        <v>0</v>
      </c>
      <c r="I504" s="18">
        <f t="shared" si="34"/>
        <v>0</v>
      </c>
    </row>
    <row r="505" spans="1:9" hidden="1" outlineLevel="1" x14ac:dyDescent="0.25">
      <c r="A505" s="84"/>
      <c r="B505" s="33" t="s">
        <v>603</v>
      </c>
      <c r="C505" s="21" t="s">
        <v>12</v>
      </c>
      <c r="D505" s="18"/>
      <c r="E505" s="18"/>
      <c r="F505" s="60">
        <v>65</v>
      </c>
      <c r="G505" s="18"/>
      <c r="H505" s="18">
        <f t="shared" si="33"/>
        <v>0</v>
      </c>
      <c r="I505" s="18">
        <f t="shared" si="34"/>
        <v>0</v>
      </c>
    </row>
    <row r="506" spans="1:9" hidden="1" outlineLevel="1" x14ac:dyDescent="0.25">
      <c r="A506" s="84"/>
      <c r="B506" s="308" t="s">
        <v>604</v>
      </c>
      <c r="C506" s="21" t="s">
        <v>12</v>
      </c>
      <c r="D506" s="340">
        <v>0</v>
      </c>
      <c r="E506" s="18"/>
      <c r="F506" s="60">
        <v>150</v>
      </c>
      <c r="G506" s="18"/>
      <c r="H506" s="18">
        <f t="shared" si="33"/>
        <v>0</v>
      </c>
      <c r="I506" s="18">
        <f t="shared" si="34"/>
        <v>0</v>
      </c>
    </row>
    <row r="507" spans="1:9" hidden="1" outlineLevel="1" x14ac:dyDescent="0.25">
      <c r="A507" s="84"/>
      <c r="B507" s="308" t="s">
        <v>605</v>
      </c>
      <c r="C507" s="21" t="s">
        <v>12</v>
      </c>
      <c r="D507" s="340">
        <v>0</v>
      </c>
      <c r="E507" s="18"/>
      <c r="F507" s="60">
        <v>45</v>
      </c>
      <c r="G507" s="18"/>
      <c r="H507" s="18">
        <f t="shared" si="33"/>
        <v>0</v>
      </c>
      <c r="I507" s="18">
        <f t="shared" si="34"/>
        <v>0</v>
      </c>
    </row>
    <row r="508" spans="1:9" hidden="1" outlineLevel="1" x14ac:dyDescent="0.25">
      <c r="A508" s="84"/>
      <c r="B508" s="308" t="s">
        <v>606</v>
      </c>
      <c r="C508" s="21" t="s">
        <v>12</v>
      </c>
      <c r="D508" s="340">
        <v>0</v>
      </c>
      <c r="E508" s="18"/>
      <c r="F508" s="60">
        <v>65</v>
      </c>
      <c r="G508" s="18"/>
      <c r="H508" s="18">
        <f t="shared" si="33"/>
        <v>0</v>
      </c>
      <c r="I508" s="18">
        <f t="shared" si="34"/>
        <v>0</v>
      </c>
    </row>
    <row r="509" spans="1:9" hidden="1" outlineLevel="1" x14ac:dyDescent="0.25">
      <c r="A509" s="84"/>
      <c r="B509" s="308" t="s">
        <v>716</v>
      </c>
      <c r="C509" s="21" t="s">
        <v>12</v>
      </c>
      <c r="D509" s="340">
        <v>0</v>
      </c>
      <c r="E509" s="18"/>
      <c r="F509" s="164">
        <v>100</v>
      </c>
      <c r="G509" s="18"/>
      <c r="H509" s="18">
        <f>F509*D509</f>
        <v>0</v>
      </c>
      <c r="I509" s="18">
        <f>G509+H509</f>
        <v>0</v>
      </c>
    </row>
    <row r="510" spans="1:9" hidden="1" outlineLevel="1" x14ac:dyDescent="0.25">
      <c r="A510" s="84"/>
      <c r="B510" s="308" t="s">
        <v>717</v>
      </c>
      <c r="C510" s="21" t="s">
        <v>12</v>
      </c>
      <c r="D510" s="340">
        <v>0</v>
      </c>
      <c r="E510" s="18"/>
      <c r="F510" s="164">
        <v>100</v>
      </c>
      <c r="G510" s="18"/>
      <c r="H510" s="18">
        <f>F510*D510</f>
        <v>0</v>
      </c>
      <c r="I510" s="18">
        <f>G510+H510</f>
        <v>0</v>
      </c>
    </row>
    <row r="511" spans="1:9" hidden="1" outlineLevel="1" x14ac:dyDescent="0.25">
      <c r="A511" s="84"/>
      <c r="B511" s="308" t="s">
        <v>607</v>
      </c>
      <c r="C511" s="21" t="s">
        <v>29</v>
      </c>
      <c r="D511" s="340">
        <v>0</v>
      </c>
      <c r="E511" s="18"/>
      <c r="F511" s="60">
        <v>50</v>
      </c>
      <c r="G511" s="18"/>
      <c r="H511" s="18">
        <f t="shared" si="33"/>
        <v>0</v>
      </c>
      <c r="I511" s="18">
        <f t="shared" si="34"/>
        <v>0</v>
      </c>
    </row>
    <row r="512" spans="1:9" hidden="1" outlineLevel="1" x14ac:dyDescent="0.25">
      <c r="A512" s="84"/>
      <c r="B512" s="308" t="s">
        <v>608</v>
      </c>
      <c r="C512" s="21" t="s">
        <v>29</v>
      </c>
      <c r="D512" s="340">
        <v>0</v>
      </c>
      <c r="E512" s="18"/>
      <c r="F512" s="60">
        <v>59</v>
      </c>
      <c r="G512" s="18"/>
      <c r="H512" s="18">
        <f t="shared" si="33"/>
        <v>0</v>
      </c>
      <c r="I512" s="18">
        <f t="shared" si="34"/>
        <v>0</v>
      </c>
    </row>
    <row r="513" spans="1:9" hidden="1" outlineLevel="1" x14ac:dyDescent="0.25">
      <c r="A513" s="84"/>
      <c r="B513" s="308" t="s">
        <v>90</v>
      </c>
      <c r="C513" s="2" t="s">
        <v>29</v>
      </c>
      <c r="D513" s="340">
        <v>0</v>
      </c>
      <c r="E513" s="18"/>
      <c r="F513" s="60">
        <v>20</v>
      </c>
      <c r="G513" s="18"/>
      <c r="H513" s="18">
        <f t="shared" si="33"/>
        <v>0</v>
      </c>
      <c r="I513" s="18">
        <f t="shared" si="34"/>
        <v>0</v>
      </c>
    </row>
    <row r="514" spans="1:9" hidden="1" outlineLevel="1" x14ac:dyDescent="0.25">
      <c r="A514" s="84"/>
      <c r="B514" s="308" t="s">
        <v>91</v>
      </c>
      <c r="C514" s="31" t="s">
        <v>15</v>
      </c>
      <c r="D514" s="340">
        <v>0</v>
      </c>
      <c r="E514" s="18"/>
      <c r="F514" s="60">
        <v>42</v>
      </c>
      <c r="G514" s="18"/>
      <c r="H514" s="18">
        <f t="shared" si="33"/>
        <v>0</v>
      </c>
      <c r="I514" s="18">
        <f t="shared" si="34"/>
        <v>0</v>
      </c>
    </row>
    <row r="515" spans="1:9" s="6" customFormat="1" hidden="1" outlineLevel="1" x14ac:dyDescent="0.25">
      <c r="A515" s="84" t="s">
        <v>612</v>
      </c>
      <c r="B515" s="192" t="s">
        <v>609</v>
      </c>
      <c r="C515" s="31"/>
      <c r="D515" s="18"/>
      <c r="E515" s="130"/>
      <c r="F515" s="60"/>
      <c r="G515" s="18"/>
      <c r="H515" s="18"/>
      <c r="I515" s="18"/>
    </row>
    <row r="516" spans="1:9" s="6" customFormat="1" hidden="1" outlineLevel="1" x14ac:dyDescent="0.25">
      <c r="A516" s="84"/>
      <c r="B516" s="308" t="s">
        <v>610</v>
      </c>
      <c r="C516" s="31" t="s">
        <v>12</v>
      </c>
      <c r="D516" s="306">
        <v>0</v>
      </c>
      <c r="E516" s="256">
        <v>0</v>
      </c>
      <c r="F516" s="57">
        <v>350</v>
      </c>
      <c r="G516" s="18">
        <f>E516</f>
        <v>0</v>
      </c>
      <c r="H516" s="18">
        <f>F516*D516</f>
        <v>0</v>
      </c>
      <c r="I516" s="18">
        <f>G516+H516</f>
        <v>0</v>
      </c>
    </row>
    <row r="517" spans="1:9" s="5" customFormat="1" ht="38.4" customHeight="1" collapsed="1" x14ac:dyDescent="0.25">
      <c r="A517" s="223"/>
      <c r="B517" s="233" t="s">
        <v>61</v>
      </c>
      <c r="C517" s="234"/>
      <c r="D517" s="235"/>
      <c r="E517" s="236"/>
      <c r="F517" s="237"/>
      <c r="G517" s="236">
        <f>SUM(G419:G516)</f>
        <v>0</v>
      </c>
      <c r="H517" s="236">
        <f>SUM(H419:H516)</f>
        <v>0</v>
      </c>
      <c r="I517" s="236">
        <f>SUM(I419:I516)</f>
        <v>0</v>
      </c>
    </row>
    <row r="518" spans="1:9" s="5" customFormat="1" ht="18.600000000000001" customHeight="1" x14ac:dyDescent="0.25">
      <c r="A518" s="92"/>
      <c r="B518" s="471" t="s">
        <v>624</v>
      </c>
      <c r="C518" s="9"/>
      <c r="D518" s="31"/>
      <c r="E518" s="10"/>
      <c r="F518" s="57"/>
      <c r="G518" s="10"/>
      <c r="H518" s="10"/>
      <c r="I518" s="31">
        <f>ROUND(I517/1.18*0.18,2)</f>
        <v>0</v>
      </c>
    </row>
    <row r="519" spans="1:9" s="5" customFormat="1" ht="18.75" customHeight="1" x14ac:dyDescent="0.25">
      <c r="A519" s="489"/>
      <c r="B519" s="491" t="s">
        <v>1210</v>
      </c>
      <c r="C519" s="490"/>
      <c r="D519" s="128"/>
      <c r="E519" s="119"/>
      <c r="F519" s="145"/>
      <c r="G519" s="128"/>
      <c r="H519" s="128"/>
      <c r="I519" s="111"/>
    </row>
    <row r="520" spans="1:9" ht="31.2" hidden="1" outlineLevel="1" x14ac:dyDescent="0.25">
      <c r="A520" s="93" t="s">
        <v>325</v>
      </c>
      <c r="B520" s="357" t="s">
        <v>77</v>
      </c>
      <c r="C520" s="72" t="s">
        <v>12</v>
      </c>
      <c r="D520" s="356">
        <v>0</v>
      </c>
      <c r="E520" s="355">
        <v>1500</v>
      </c>
      <c r="F520" s="146"/>
      <c r="G520" s="2">
        <f>ROUND(E520*D520,2)</f>
        <v>0</v>
      </c>
      <c r="H520" s="73"/>
      <c r="I520" s="73">
        <f>G520+H520</f>
        <v>0</v>
      </c>
    </row>
    <row r="521" spans="1:9" hidden="1" outlineLevel="1" x14ac:dyDescent="0.25">
      <c r="A521" s="84"/>
      <c r="B521" s="329" t="s">
        <v>181</v>
      </c>
      <c r="C521" s="21" t="s">
        <v>173</v>
      </c>
      <c r="D521" s="340">
        <v>0</v>
      </c>
      <c r="E521" s="282"/>
      <c r="F521" s="361">
        <v>31000</v>
      </c>
      <c r="G521" s="18"/>
      <c r="H521" s="2">
        <f>ROUND(D521*F521,2)</f>
        <v>0</v>
      </c>
      <c r="I521" s="18">
        <f>G521+H521</f>
        <v>0</v>
      </c>
    </row>
    <row r="522" spans="1:9" hidden="1" outlineLevel="1" x14ac:dyDescent="0.25">
      <c r="A522" s="84" t="s">
        <v>326</v>
      </c>
      <c r="B522" s="9" t="s">
        <v>79</v>
      </c>
      <c r="C522" s="31" t="s">
        <v>80</v>
      </c>
      <c r="D522" s="306">
        <v>0</v>
      </c>
      <c r="E522" s="256">
        <v>75</v>
      </c>
      <c r="F522" s="60"/>
      <c r="G522" s="2">
        <f>ROUND(E522*D522,2)</f>
        <v>0</v>
      </c>
      <c r="H522" s="18"/>
      <c r="I522" s="18">
        <f t="shared" ref="I522:I566" si="35">G522+H522</f>
        <v>0</v>
      </c>
    </row>
    <row r="523" spans="1:9" hidden="1" outlineLevel="1" x14ac:dyDescent="0.25">
      <c r="A523" s="84"/>
      <c r="B523" s="343" t="s">
        <v>81</v>
      </c>
      <c r="C523" s="21" t="s">
        <v>80</v>
      </c>
      <c r="D523" s="340">
        <v>0</v>
      </c>
      <c r="E523" s="18"/>
      <c r="F523" s="361">
        <v>240</v>
      </c>
      <c r="G523" s="18"/>
      <c r="H523" s="2">
        <f>ROUND(D523*F523,2)</f>
        <v>0</v>
      </c>
      <c r="I523" s="18">
        <f t="shared" si="35"/>
        <v>0</v>
      </c>
    </row>
    <row r="524" spans="1:9" hidden="1" outlineLevel="1" x14ac:dyDescent="0.25">
      <c r="A524" s="84" t="s">
        <v>327</v>
      </c>
      <c r="B524" s="9" t="s">
        <v>83</v>
      </c>
      <c r="C524" s="31" t="s">
        <v>12</v>
      </c>
      <c r="D524" s="306">
        <v>0</v>
      </c>
      <c r="E524" s="256">
        <v>600</v>
      </c>
      <c r="F524" s="60"/>
      <c r="G524" s="2">
        <f>ROUND(E524*D524,2)</f>
        <v>0</v>
      </c>
      <c r="H524" s="18"/>
      <c r="I524" s="18">
        <f t="shared" si="35"/>
        <v>0</v>
      </c>
    </row>
    <row r="525" spans="1:9" ht="31.2" hidden="1" outlineLevel="1" x14ac:dyDescent="0.25">
      <c r="A525" s="84"/>
      <c r="B525" s="329" t="s">
        <v>266</v>
      </c>
      <c r="C525" s="21" t="s">
        <v>12</v>
      </c>
      <c r="D525" s="340">
        <v>0</v>
      </c>
      <c r="E525" s="18"/>
      <c r="F525" s="361">
        <v>950</v>
      </c>
      <c r="G525" s="18"/>
      <c r="H525" s="2">
        <f>ROUND(D525*F525,2)</f>
        <v>0</v>
      </c>
      <c r="I525" s="18">
        <f t="shared" si="35"/>
        <v>0</v>
      </c>
    </row>
    <row r="526" spans="1:9" ht="31.2" hidden="1" outlineLevel="1" x14ac:dyDescent="0.25">
      <c r="A526" s="84" t="s">
        <v>536</v>
      </c>
      <c r="B526" s="9" t="s">
        <v>85</v>
      </c>
      <c r="C526" s="31" t="s">
        <v>29</v>
      </c>
      <c r="D526" s="31">
        <v>0</v>
      </c>
      <c r="E526" s="256">
        <v>60</v>
      </c>
      <c r="F526" s="60"/>
      <c r="G526" s="2">
        <f>ROUND(E526*D526,2)</f>
        <v>0</v>
      </c>
      <c r="H526" s="18"/>
      <c r="I526" s="18">
        <f t="shared" si="35"/>
        <v>0</v>
      </c>
    </row>
    <row r="527" spans="1:9" ht="31.2" hidden="1" outlineLevel="1" x14ac:dyDescent="0.25">
      <c r="A527" s="84"/>
      <c r="B527" s="329" t="s">
        <v>412</v>
      </c>
      <c r="C527" s="21" t="s">
        <v>29</v>
      </c>
      <c r="D527" s="340">
        <v>0</v>
      </c>
      <c r="E527" s="18"/>
      <c r="F527" s="60">
        <v>40</v>
      </c>
      <c r="G527" s="18"/>
      <c r="H527" s="2">
        <f t="shared" ref="H527:H533" si="36">ROUND(D527*F527,2)</f>
        <v>0</v>
      </c>
      <c r="I527" s="18">
        <f t="shared" si="35"/>
        <v>0</v>
      </c>
    </row>
    <row r="528" spans="1:9" hidden="1" outlineLevel="1" x14ac:dyDescent="0.25">
      <c r="A528" s="84"/>
      <c r="B528" s="343" t="s">
        <v>86</v>
      </c>
      <c r="C528" s="21" t="s">
        <v>12</v>
      </c>
      <c r="D528" s="340">
        <v>0</v>
      </c>
      <c r="E528" s="18"/>
      <c r="F528" s="60">
        <v>98.64</v>
      </c>
      <c r="G528" s="18"/>
      <c r="H528" s="2">
        <f t="shared" si="36"/>
        <v>0</v>
      </c>
      <c r="I528" s="18">
        <f t="shared" si="35"/>
        <v>0</v>
      </c>
    </row>
    <row r="529" spans="1:9" ht="31.2" hidden="1" outlineLevel="1" x14ac:dyDescent="0.25">
      <c r="A529" s="84"/>
      <c r="B529" s="343" t="s">
        <v>263</v>
      </c>
      <c r="C529" s="21" t="s">
        <v>12</v>
      </c>
      <c r="D529" s="340">
        <v>0</v>
      </c>
      <c r="E529" s="18"/>
      <c r="F529" s="60">
        <v>145.03</v>
      </c>
      <c r="G529" s="18"/>
      <c r="H529" s="2">
        <f t="shared" si="36"/>
        <v>0</v>
      </c>
      <c r="I529" s="18">
        <f t="shared" si="35"/>
        <v>0</v>
      </c>
    </row>
    <row r="530" spans="1:9" ht="31.2" hidden="1" outlineLevel="1" x14ac:dyDescent="0.25">
      <c r="A530" s="84"/>
      <c r="B530" s="329" t="s">
        <v>264</v>
      </c>
      <c r="C530" s="21" t="s">
        <v>12</v>
      </c>
      <c r="D530" s="340">
        <v>0</v>
      </c>
      <c r="E530" s="18"/>
      <c r="F530" s="60">
        <v>450</v>
      </c>
      <c r="G530" s="18"/>
      <c r="H530" s="2">
        <f t="shared" si="36"/>
        <v>0</v>
      </c>
      <c r="I530" s="18">
        <f>G530+H530</f>
        <v>0</v>
      </c>
    </row>
    <row r="531" spans="1:9" ht="31.2" hidden="1" outlineLevel="1" x14ac:dyDescent="0.25">
      <c r="A531" s="84"/>
      <c r="B531" s="329" t="s">
        <v>265</v>
      </c>
      <c r="C531" s="21" t="s">
        <v>12</v>
      </c>
      <c r="D531" s="340">
        <v>0</v>
      </c>
      <c r="E531" s="18"/>
      <c r="F531" s="60">
        <v>450</v>
      </c>
      <c r="G531" s="18"/>
      <c r="H531" s="2">
        <f t="shared" si="36"/>
        <v>0</v>
      </c>
      <c r="I531" s="18">
        <f>G531+H531</f>
        <v>0</v>
      </c>
    </row>
    <row r="532" spans="1:9" hidden="1" outlineLevel="1" x14ac:dyDescent="0.25">
      <c r="A532" s="84"/>
      <c r="B532" s="343" t="s">
        <v>87</v>
      </c>
      <c r="C532" s="21" t="s">
        <v>12</v>
      </c>
      <c r="D532" s="340">
        <v>0</v>
      </c>
      <c r="E532" s="18"/>
      <c r="F532" s="60">
        <v>470</v>
      </c>
      <c r="G532" s="18"/>
      <c r="H532" s="2">
        <f t="shared" si="36"/>
        <v>0</v>
      </c>
      <c r="I532" s="18">
        <f t="shared" si="35"/>
        <v>0</v>
      </c>
    </row>
    <row r="533" spans="1:9" hidden="1" outlineLevel="1" x14ac:dyDescent="0.25">
      <c r="A533" s="84"/>
      <c r="B533" s="343" t="s">
        <v>88</v>
      </c>
      <c r="C533" s="21" t="s">
        <v>12</v>
      </c>
      <c r="D533" s="340">
        <v>0</v>
      </c>
      <c r="E533" s="18"/>
      <c r="F533" s="60">
        <v>1.5</v>
      </c>
      <c r="G533" s="18"/>
      <c r="H533" s="2">
        <f t="shared" si="36"/>
        <v>0</v>
      </c>
      <c r="I533" s="18">
        <f t="shared" si="35"/>
        <v>0</v>
      </c>
    </row>
    <row r="534" spans="1:9" ht="31.2" hidden="1" outlineLevel="1" x14ac:dyDescent="0.25">
      <c r="A534" s="84"/>
      <c r="B534" s="343" t="s">
        <v>681</v>
      </c>
      <c r="C534" s="21" t="s">
        <v>29</v>
      </c>
      <c r="D534" s="340">
        <v>0</v>
      </c>
      <c r="E534" s="18"/>
      <c r="F534" s="164">
        <v>100</v>
      </c>
      <c r="G534" s="18"/>
      <c r="H534" s="2">
        <f>ROUND(D534*F534,2)</f>
        <v>0</v>
      </c>
      <c r="I534" s="18">
        <f>G534+H534</f>
        <v>0</v>
      </c>
    </row>
    <row r="535" spans="1:9" ht="18" hidden="1" customHeight="1" outlineLevel="1" x14ac:dyDescent="0.25">
      <c r="A535" s="84"/>
      <c r="B535" s="343" t="s">
        <v>682</v>
      </c>
      <c r="C535" s="21" t="s">
        <v>12</v>
      </c>
      <c r="D535" s="340">
        <v>0</v>
      </c>
      <c r="E535" s="18"/>
      <c r="F535" s="164">
        <v>100</v>
      </c>
      <c r="G535" s="18"/>
      <c r="H535" s="2">
        <f>ROUND(D535*F535,2)</f>
        <v>0</v>
      </c>
      <c r="I535" s="18">
        <f>G535+H535</f>
        <v>0</v>
      </c>
    </row>
    <row r="536" spans="1:9" ht="31.2" hidden="1" outlineLevel="1" x14ac:dyDescent="0.25">
      <c r="A536" s="84" t="s">
        <v>538</v>
      </c>
      <c r="B536" s="307" t="s">
        <v>267</v>
      </c>
      <c r="C536" s="31" t="s">
        <v>12</v>
      </c>
      <c r="D536" s="306">
        <f>D537</f>
        <v>0</v>
      </c>
      <c r="E536" s="256">
        <v>300</v>
      </c>
      <c r="F536" s="11"/>
      <c r="G536" s="2">
        <f>ROUND(E536*D536,2)</f>
        <v>0</v>
      </c>
      <c r="H536" s="18"/>
      <c r="I536" s="18">
        <f t="shared" si="35"/>
        <v>0</v>
      </c>
    </row>
    <row r="537" spans="1:9" hidden="1" outlineLevel="1" x14ac:dyDescent="0.25">
      <c r="A537" s="84"/>
      <c r="B537" s="308" t="s">
        <v>416</v>
      </c>
      <c r="C537" s="2" t="s">
        <v>12</v>
      </c>
      <c r="D537" s="340">
        <v>0</v>
      </c>
      <c r="E537" s="2"/>
      <c r="F537" s="11">
        <f>2500*1.1</f>
        <v>2750</v>
      </c>
      <c r="G537" s="18"/>
      <c r="H537" s="2">
        <f>ROUND(D537*F537,2)</f>
        <v>0</v>
      </c>
      <c r="I537" s="18">
        <f t="shared" si="35"/>
        <v>0</v>
      </c>
    </row>
    <row r="538" spans="1:9" collapsed="1" x14ac:dyDescent="0.25">
      <c r="A538" s="223"/>
      <c r="B538" s="238" t="s">
        <v>539</v>
      </c>
      <c r="C538" s="234"/>
      <c r="D538" s="235"/>
      <c r="E538" s="236"/>
      <c r="F538" s="237"/>
      <c r="G538" s="236">
        <f>SUM(G519:G537)</f>
        <v>0</v>
      </c>
      <c r="H538" s="236">
        <f>SUM(H519:H537)</f>
        <v>0</v>
      </c>
      <c r="I538" s="236">
        <f>SUM(I520:I537)</f>
        <v>0</v>
      </c>
    </row>
    <row r="539" spans="1:9" s="5" customFormat="1" ht="18.600000000000001" customHeight="1" x14ac:dyDescent="0.25">
      <c r="A539" s="92"/>
      <c r="B539" s="471" t="s">
        <v>624</v>
      </c>
      <c r="C539" s="9"/>
      <c r="D539" s="31"/>
      <c r="E539" s="10"/>
      <c r="F539" s="57"/>
      <c r="G539" s="10"/>
      <c r="H539" s="10"/>
      <c r="I539" s="31">
        <f>ROUND(I538/1.18*0.18,2)</f>
        <v>0</v>
      </c>
    </row>
    <row r="540" spans="1:9" s="6" customFormat="1" x14ac:dyDescent="0.25">
      <c r="A540" s="492"/>
      <c r="B540" s="771" t="s">
        <v>1211</v>
      </c>
      <c r="C540" s="771"/>
      <c r="D540" s="771"/>
      <c r="E540" s="118"/>
      <c r="F540" s="112"/>
      <c r="G540" s="102"/>
      <c r="H540" s="102"/>
      <c r="I540" s="102"/>
    </row>
    <row r="541" spans="1:9" ht="31.2" hidden="1" outlineLevel="1" x14ac:dyDescent="0.25">
      <c r="A541" s="84" t="s">
        <v>154</v>
      </c>
      <c r="B541" s="494" t="s">
        <v>269</v>
      </c>
      <c r="C541" s="192" t="s">
        <v>29</v>
      </c>
      <c r="D541" s="10">
        <f>D542+D543</f>
        <v>0</v>
      </c>
      <c r="E541" s="256">
        <v>150</v>
      </c>
      <c r="F541" s="60"/>
      <c r="G541" s="2">
        <f>ROUND(E541*D541,2)</f>
        <v>0</v>
      </c>
      <c r="H541" s="18"/>
      <c r="I541" s="18">
        <f>G541+H541</f>
        <v>0</v>
      </c>
    </row>
    <row r="542" spans="1:9" ht="31.2" hidden="1" outlineLevel="1" x14ac:dyDescent="0.25">
      <c r="A542" s="84"/>
      <c r="B542" s="308" t="s">
        <v>683</v>
      </c>
      <c r="C542" s="21" t="s">
        <v>29</v>
      </c>
      <c r="D542" s="340">
        <v>0</v>
      </c>
      <c r="E542" s="282"/>
      <c r="F542" s="60">
        <f>(0.2+0.2+0.15+0.15)*500</f>
        <v>350.00000000000006</v>
      </c>
      <c r="G542" s="18"/>
      <c r="H542" s="2">
        <f>ROUND(D542*F542,2)</f>
        <v>0</v>
      </c>
      <c r="I542" s="18">
        <f>G542+H542</f>
        <v>0</v>
      </c>
    </row>
    <row r="543" spans="1:9" ht="31.2" hidden="1" outlineLevel="1" x14ac:dyDescent="0.25">
      <c r="A543" s="84"/>
      <c r="B543" s="308" t="s">
        <v>271</v>
      </c>
      <c r="C543" s="21" t="s">
        <v>29</v>
      </c>
      <c r="D543" s="340">
        <v>0</v>
      </c>
      <c r="E543" s="282"/>
      <c r="F543" s="60">
        <f>0.15*4*500</f>
        <v>300</v>
      </c>
      <c r="G543" s="18"/>
      <c r="H543" s="2">
        <f>ROUND(D543*F543,2)</f>
        <v>0</v>
      </c>
      <c r="I543" s="18">
        <f>G543+H543</f>
        <v>0</v>
      </c>
    </row>
    <row r="544" spans="1:9" ht="31.2" hidden="1" outlineLevel="1" x14ac:dyDescent="0.25">
      <c r="A544" s="84"/>
      <c r="B544" s="308" t="s">
        <v>684</v>
      </c>
      <c r="C544" s="21" t="s">
        <v>29</v>
      </c>
      <c r="D544" s="340">
        <v>0</v>
      </c>
      <c r="E544" s="282"/>
      <c r="F544" s="60">
        <f>0.15*4*500</f>
        <v>300</v>
      </c>
      <c r="G544" s="18"/>
      <c r="H544" s="2">
        <f>ROUND(D544*F544,2)</f>
        <v>0</v>
      </c>
      <c r="I544" s="18">
        <f>G544+H544</f>
        <v>0</v>
      </c>
    </row>
    <row r="545" spans="1:9" hidden="1" outlineLevel="1" x14ac:dyDescent="0.25">
      <c r="A545" s="84" t="s">
        <v>157</v>
      </c>
      <c r="B545" s="9" t="s">
        <v>89</v>
      </c>
      <c r="C545" s="31" t="s">
        <v>12</v>
      </c>
      <c r="D545" s="10">
        <f>D546+D547+D548+D551+D549+D550</f>
        <v>0</v>
      </c>
      <c r="E545" s="256">
        <v>50</v>
      </c>
      <c r="F545" s="60"/>
      <c r="G545" s="2">
        <f>ROUND(E545*D545,2)</f>
        <v>0</v>
      </c>
      <c r="H545" s="18"/>
      <c r="I545" s="18">
        <f t="shared" si="35"/>
        <v>0</v>
      </c>
    </row>
    <row r="546" spans="1:9" hidden="1" outlineLevel="1" x14ac:dyDescent="0.25">
      <c r="A546" s="84"/>
      <c r="B546" s="329" t="s">
        <v>686</v>
      </c>
      <c r="C546" s="21" t="s">
        <v>12</v>
      </c>
      <c r="D546" s="340">
        <v>0</v>
      </c>
      <c r="E546" s="18"/>
      <c r="F546" s="361">
        <v>100</v>
      </c>
      <c r="G546" s="18"/>
      <c r="H546" s="2">
        <f t="shared" ref="H546:H558" si="37">ROUND(D546*F546,2)</f>
        <v>0</v>
      </c>
      <c r="I546" s="18">
        <f t="shared" si="35"/>
        <v>0</v>
      </c>
    </row>
    <row r="547" spans="1:9" hidden="1" outlineLevel="1" x14ac:dyDescent="0.25">
      <c r="A547" s="84"/>
      <c r="B547" s="329" t="s">
        <v>685</v>
      </c>
      <c r="C547" s="21" t="s">
        <v>12</v>
      </c>
      <c r="D547" s="340">
        <v>0</v>
      </c>
      <c r="E547" s="18"/>
      <c r="F547" s="361">
        <v>100</v>
      </c>
      <c r="G547" s="18"/>
      <c r="H547" s="2">
        <f t="shared" si="37"/>
        <v>0</v>
      </c>
      <c r="I547" s="18">
        <f t="shared" si="35"/>
        <v>0</v>
      </c>
    </row>
    <row r="548" spans="1:9" hidden="1" outlineLevel="1" x14ac:dyDescent="0.25">
      <c r="A548" s="84"/>
      <c r="B548" s="329" t="s">
        <v>274</v>
      </c>
      <c r="C548" s="21" t="s">
        <v>12</v>
      </c>
      <c r="D548" s="340">
        <v>0</v>
      </c>
      <c r="E548" s="18"/>
      <c r="F548" s="361">
        <v>150</v>
      </c>
      <c r="G548" s="18"/>
      <c r="H548" s="2">
        <f t="shared" si="37"/>
        <v>0</v>
      </c>
      <c r="I548" s="18">
        <f t="shared" si="35"/>
        <v>0</v>
      </c>
    </row>
    <row r="549" spans="1:9" hidden="1" outlineLevel="1" x14ac:dyDescent="0.25">
      <c r="A549" s="84"/>
      <c r="B549" s="329" t="s">
        <v>687</v>
      </c>
      <c r="C549" s="21" t="s">
        <v>12</v>
      </c>
      <c r="D549" s="340">
        <v>0</v>
      </c>
      <c r="E549" s="18"/>
      <c r="F549" s="361">
        <v>200</v>
      </c>
      <c r="G549" s="18"/>
      <c r="H549" s="2">
        <f t="shared" si="37"/>
        <v>0</v>
      </c>
      <c r="I549" s="18">
        <f t="shared" si="35"/>
        <v>0</v>
      </c>
    </row>
    <row r="550" spans="1:9" ht="31.2" hidden="1" outlineLevel="1" x14ac:dyDescent="0.25">
      <c r="A550" s="84"/>
      <c r="B550" s="329" t="s">
        <v>420</v>
      </c>
      <c r="C550" s="21" t="s">
        <v>12</v>
      </c>
      <c r="D550" s="340">
        <v>0</v>
      </c>
      <c r="E550" s="18"/>
      <c r="F550" s="361">
        <v>100</v>
      </c>
      <c r="G550" s="18"/>
      <c r="H550" s="2">
        <f t="shared" si="37"/>
        <v>0</v>
      </c>
      <c r="I550" s="18">
        <f t="shared" si="35"/>
        <v>0</v>
      </c>
    </row>
    <row r="551" spans="1:9" hidden="1" outlineLevel="1" x14ac:dyDescent="0.25">
      <c r="A551" s="84"/>
      <c r="B551" s="329" t="s">
        <v>275</v>
      </c>
      <c r="C551" s="21" t="s">
        <v>12</v>
      </c>
      <c r="D551" s="340">
        <v>0</v>
      </c>
      <c r="E551" s="18"/>
      <c r="F551" s="361">
        <v>1800</v>
      </c>
      <c r="G551" s="18"/>
      <c r="H551" s="2">
        <f t="shared" si="37"/>
        <v>0</v>
      </c>
      <c r="I551" s="18">
        <f t="shared" si="35"/>
        <v>0</v>
      </c>
    </row>
    <row r="552" spans="1:9" hidden="1" outlineLevel="1" x14ac:dyDescent="0.25">
      <c r="A552" s="84"/>
      <c r="B552" s="329" t="s">
        <v>688</v>
      </c>
      <c r="C552" s="21" t="s">
        <v>12</v>
      </c>
      <c r="D552" s="340">
        <v>0</v>
      </c>
      <c r="E552" s="18"/>
      <c r="F552" s="164">
        <v>2000</v>
      </c>
      <c r="G552" s="18"/>
      <c r="H552" s="2">
        <f>ROUND(D552*F552,2)</f>
        <v>0</v>
      </c>
      <c r="I552" s="18">
        <f>G552+H552</f>
        <v>0</v>
      </c>
    </row>
    <row r="553" spans="1:9" hidden="1" outlineLevel="1" x14ac:dyDescent="0.25">
      <c r="A553" s="84"/>
      <c r="B553" s="329" t="s">
        <v>689</v>
      </c>
      <c r="C553" s="21" t="s">
        <v>12</v>
      </c>
      <c r="D553" s="340">
        <v>0</v>
      </c>
      <c r="E553" s="18"/>
      <c r="F553" s="164">
        <v>2000</v>
      </c>
      <c r="G553" s="18"/>
      <c r="H553" s="2">
        <f>ROUND(D553*F553,2)</f>
        <v>0</v>
      </c>
      <c r="I553" s="18">
        <f>G553+H553</f>
        <v>0</v>
      </c>
    </row>
    <row r="554" spans="1:9" hidden="1" outlineLevel="1" x14ac:dyDescent="0.25">
      <c r="A554" s="84"/>
      <c r="B554" s="9" t="s">
        <v>691</v>
      </c>
      <c r="C554" s="31" t="s">
        <v>12</v>
      </c>
      <c r="D554" s="10">
        <v>0</v>
      </c>
      <c r="E554" s="166">
        <v>300</v>
      </c>
      <c r="F554" s="60"/>
      <c r="G554" s="2">
        <f>ROUND(E554*D554,2)</f>
        <v>0</v>
      </c>
      <c r="H554" s="18"/>
      <c r="I554" s="18">
        <f>G554+H554</f>
        <v>0</v>
      </c>
    </row>
    <row r="555" spans="1:9" hidden="1" outlineLevel="1" x14ac:dyDescent="0.25">
      <c r="A555" s="84"/>
      <c r="B555" s="329" t="s">
        <v>692</v>
      </c>
      <c r="C555" s="21" t="s">
        <v>12</v>
      </c>
      <c r="D555" s="340">
        <v>0</v>
      </c>
      <c r="E555" s="18"/>
      <c r="F555" s="164">
        <v>5000</v>
      </c>
      <c r="G555" s="18"/>
      <c r="H555" s="2">
        <f>ROUND(D555*F555,2)</f>
        <v>0</v>
      </c>
      <c r="I555" s="18">
        <f>G555+H555</f>
        <v>0</v>
      </c>
    </row>
    <row r="556" spans="1:9" hidden="1" outlineLevel="1" x14ac:dyDescent="0.25">
      <c r="A556" s="84"/>
      <c r="B556" s="329" t="s">
        <v>693</v>
      </c>
      <c r="C556" s="21" t="s">
        <v>12</v>
      </c>
      <c r="D556" s="340">
        <v>0</v>
      </c>
      <c r="E556" s="18"/>
      <c r="F556" s="164">
        <v>500</v>
      </c>
      <c r="G556" s="18"/>
      <c r="H556" s="2">
        <f>ROUND(D556*F556,2)</f>
        <v>0</v>
      </c>
      <c r="I556" s="18">
        <f>G556+H556</f>
        <v>0</v>
      </c>
    </row>
    <row r="557" spans="1:9" hidden="1" outlineLevel="1" x14ac:dyDescent="0.25">
      <c r="A557" s="84"/>
      <c r="B557" s="329" t="s">
        <v>695</v>
      </c>
      <c r="C557" s="21" t="s">
        <v>12</v>
      </c>
      <c r="D557" s="340">
        <v>0</v>
      </c>
      <c r="E557" s="18"/>
      <c r="F557" s="164">
        <v>100</v>
      </c>
      <c r="G557" s="18"/>
      <c r="H557" s="2">
        <f t="shared" si="37"/>
        <v>0</v>
      </c>
      <c r="I557" s="18">
        <f t="shared" si="35"/>
        <v>0</v>
      </c>
    </row>
    <row r="558" spans="1:9" ht="31.2" hidden="1" outlineLevel="1" x14ac:dyDescent="0.25">
      <c r="A558" s="84"/>
      <c r="B558" s="329" t="s">
        <v>694</v>
      </c>
      <c r="C558" s="21" t="s">
        <v>12</v>
      </c>
      <c r="D558" s="340">
        <v>0</v>
      </c>
      <c r="E558" s="18"/>
      <c r="F558" s="164">
        <v>100</v>
      </c>
      <c r="G558" s="18"/>
      <c r="H558" s="2">
        <f t="shared" si="37"/>
        <v>0</v>
      </c>
      <c r="I558" s="18">
        <f t="shared" si="35"/>
        <v>0</v>
      </c>
    </row>
    <row r="559" spans="1:9" ht="31.2" hidden="1" outlineLevel="1" x14ac:dyDescent="0.25">
      <c r="A559" s="84"/>
      <c r="B559" s="329" t="s">
        <v>696</v>
      </c>
      <c r="C559" s="21" t="s">
        <v>12</v>
      </c>
      <c r="D559" s="340">
        <v>0</v>
      </c>
      <c r="E559" s="18"/>
      <c r="F559" s="164">
        <v>100</v>
      </c>
      <c r="G559" s="18"/>
      <c r="H559" s="2">
        <f>ROUND(D559*F559,2)</f>
        <v>0</v>
      </c>
      <c r="I559" s="18">
        <f t="shared" si="35"/>
        <v>0</v>
      </c>
    </row>
    <row r="560" spans="1:9" ht="31.2" hidden="1" outlineLevel="1" x14ac:dyDescent="0.25">
      <c r="A560" s="84"/>
      <c r="B560" s="329" t="s">
        <v>697</v>
      </c>
      <c r="C560" s="21" t="s">
        <v>12</v>
      </c>
      <c r="D560" s="340">
        <v>0</v>
      </c>
      <c r="E560" s="18"/>
      <c r="F560" s="164">
        <v>100</v>
      </c>
      <c r="G560" s="18"/>
      <c r="H560" s="2">
        <f>ROUND(D560*F560,2)</f>
        <v>0</v>
      </c>
      <c r="I560" s="18">
        <f t="shared" si="35"/>
        <v>0</v>
      </c>
    </row>
    <row r="561" spans="1:9" ht="31.2" hidden="1" outlineLevel="1" x14ac:dyDescent="0.25">
      <c r="A561" s="84"/>
      <c r="B561" s="329" t="s">
        <v>699</v>
      </c>
      <c r="C561" s="21" t="s">
        <v>12</v>
      </c>
      <c r="D561" s="340">
        <v>0</v>
      </c>
      <c r="E561" s="18"/>
      <c r="F561" s="164">
        <v>200</v>
      </c>
      <c r="G561" s="18"/>
      <c r="H561" s="2">
        <f>ROUND(D561*F561,2)</f>
        <v>0</v>
      </c>
      <c r="I561" s="18">
        <f t="shared" si="35"/>
        <v>0</v>
      </c>
    </row>
    <row r="562" spans="1:9" ht="31.2" hidden="1" outlineLevel="1" x14ac:dyDescent="0.25">
      <c r="A562" s="84"/>
      <c r="B562" s="329" t="s">
        <v>700</v>
      </c>
      <c r="C562" s="21" t="s">
        <v>12</v>
      </c>
      <c r="D562" s="340">
        <v>0</v>
      </c>
      <c r="E562" s="18"/>
      <c r="F562" s="164">
        <v>200</v>
      </c>
      <c r="G562" s="18"/>
      <c r="H562" s="2">
        <f>ROUND(D562*F562,2)</f>
        <v>0</v>
      </c>
      <c r="I562" s="18">
        <f t="shared" si="35"/>
        <v>0</v>
      </c>
    </row>
    <row r="563" spans="1:9" ht="31.2" hidden="1" outlineLevel="1" x14ac:dyDescent="0.25">
      <c r="A563" s="84"/>
      <c r="B563" s="329" t="s">
        <v>698</v>
      </c>
      <c r="C563" s="21" t="s">
        <v>12</v>
      </c>
      <c r="D563" s="340">
        <v>0</v>
      </c>
      <c r="E563" s="18"/>
      <c r="F563" s="164">
        <v>200</v>
      </c>
      <c r="G563" s="18"/>
      <c r="H563" s="2">
        <f>ROUND(D563*F563,2)</f>
        <v>0</v>
      </c>
      <c r="I563" s="18">
        <f t="shared" si="35"/>
        <v>0</v>
      </c>
    </row>
    <row r="564" spans="1:9" hidden="1" outlineLevel="1" x14ac:dyDescent="0.25">
      <c r="A564" s="84" t="s">
        <v>158</v>
      </c>
      <c r="B564" s="9" t="s">
        <v>279</v>
      </c>
      <c r="C564" s="31" t="s">
        <v>14</v>
      </c>
      <c r="D564" s="10">
        <f>D566+D565</f>
        <v>0</v>
      </c>
      <c r="E564" s="256">
        <v>150</v>
      </c>
      <c r="F564" s="60"/>
      <c r="G564" s="2">
        <f>ROUND(E564*D564,2)</f>
        <v>0</v>
      </c>
      <c r="H564" s="18"/>
      <c r="I564" s="18">
        <f t="shared" si="35"/>
        <v>0</v>
      </c>
    </row>
    <row r="565" spans="1:9" hidden="1" outlineLevel="1" x14ac:dyDescent="0.25">
      <c r="A565" s="84"/>
      <c r="B565" s="329" t="s">
        <v>422</v>
      </c>
      <c r="C565" s="21" t="s">
        <v>14</v>
      </c>
      <c r="D565" s="340">
        <v>0</v>
      </c>
      <c r="E565" s="18"/>
      <c r="F565" s="164">
        <v>350</v>
      </c>
      <c r="G565" s="18"/>
      <c r="H565" s="2">
        <f>ROUND(D565*F565,2)</f>
        <v>0</v>
      </c>
      <c r="I565" s="18">
        <f t="shared" si="35"/>
        <v>0</v>
      </c>
    </row>
    <row r="566" spans="1:9" ht="31.2" hidden="1" outlineLevel="1" x14ac:dyDescent="0.25">
      <c r="A566" s="84"/>
      <c r="B566" s="329" t="s">
        <v>690</v>
      </c>
      <c r="C566" s="21" t="s">
        <v>14</v>
      </c>
      <c r="D566" s="340">
        <v>0</v>
      </c>
      <c r="E566" s="18"/>
      <c r="F566" s="164">
        <v>350</v>
      </c>
      <c r="G566" s="18"/>
      <c r="H566" s="2">
        <f>ROUND(D566*F566,2)</f>
        <v>0</v>
      </c>
      <c r="I566" s="18">
        <f t="shared" si="35"/>
        <v>0</v>
      </c>
    </row>
    <row r="567" spans="1:9" s="5" customFormat="1" collapsed="1" x14ac:dyDescent="0.25">
      <c r="A567" s="223"/>
      <c r="B567" s="238" t="s">
        <v>328</v>
      </c>
      <c r="C567" s="234"/>
      <c r="D567" s="235"/>
      <c r="E567" s="236"/>
      <c r="F567" s="237"/>
      <c r="G567" s="236">
        <f>SUM(G540:G566)</f>
        <v>0</v>
      </c>
      <c r="H567" s="236">
        <f>SUM(H540:H566)</f>
        <v>0</v>
      </c>
      <c r="I567" s="236">
        <f>SUM(I540:I566)</f>
        <v>0</v>
      </c>
    </row>
    <row r="568" spans="1:9" s="5" customFormat="1" ht="18.600000000000001" customHeight="1" x14ac:dyDescent="0.25">
      <c r="A568" s="84"/>
      <c r="B568" s="471" t="s">
        <v>624</v>
      </c>
      <c r="C568" s="9"/>
      <c r="D568" s="31"/>
      <c r="E568" s="10"/>
      <c r="F568" s="57"/>
      <c r="G568" s="10"/>
      <c r="H568" s="10"/>
      <c r="I568" s="31">
        <f>ROUND(I567/1.18*0.18,2)</f>
        <v>0</v>
      </c>
    </row>
    <row r="569" spans="1:9" s="5" customFormat="1" ht="18.75" customHeight="1" x14ac:dyDescent="0.25">
      <c r="A569" s="109"/>
      <c r="B569" s="771" t="s">
        <v>1212</v>
      </c>
      <c r="C569" s="771"/>
      <c r="D569" s="771"/>
      <c r="E569" s="105"/>
      <c r="F569" s="138"/>
      <c r="G569" s="105"/>
      <c r="H569" s="105"/>
      <c r="I569" s="106"/>
    </row>
    <row r="570" spans="1:9" s="36" customFormat="1" ht="30" hidden="1" customHeight="1" outlineLevel="1" x14ac:dyDescent="0.25">
      <c r="A570" s="84" t="s">
        <v>76</v>
      </c>
      <c r="B570" s="495" t="s">
        <v>120</v>
      </c>
      <c r="C570" s="2"/>
      <c r="D570" s="2"/>
      <c r="E570" s="117"/>
      <c r="F570" s="11"/>
      <c r="G570" s="18"/>
      <c r="H570" s="18"/>
      <c r="I570" s="18"/>
    </row>
    <row r="571" spans="1:9" ht="31.2" hidden="1" outlineLevel="1" x14ac:dyDescent="0.25">
      <c r="A571" s="84" t="s">
        <v>542</v>
      </c>
      <c r="B571" s="29" t="s">
        <v>95</v>
      </c>
      <c r="C571" s="31" t="s">
        <v>29</v>
      </c>
      <c r="D571" s="10">
        <f>D572+D573+D574+D575+D576</f>
        <v>0</v>
      </c>
      <c r="E571" s="256">
        <v>85</v>
      </c>
      <c r="F571" s="60"/>
      <c r="G571" s="2">
        <f>ROUND(E571*D571,2)</f>
        <v>0</v>
      </c>
      <c r="H571" s="18"/>
      <c r="I571" s="18">
        <f>G571+H571</f>
        <v>0</v>
      </c>
    </row>
    <row r="572" spans="1:9" hidden="1" outlineLevel="1" x14ac:dyDescent="0.25">
      <c r="A572" s="84"/>
      <c r="B572" s="329" t="s">
        <v>96</v>
      </c>
      <c r="C572" s="21" t="s">
        <v>29</v>
      </c>
      <c r="D572" s="340">
        <v>0</v>
      </c>
      <c r="E572" s="18"/>
      <c r="F572" s="60">
        <v>42.23</v>
      </c>
      <c r="G572" s="18"/>
      <c r="H572" s="2">
        <f t="shared" ref="H572:H579" si="38">ROUND(D572*F572,2)</f>
        <v>0</v>
      </c>
      <c r="I572" s="18">
        <f>G572+H572</f>
        <v>0</v>
      </c>
    </row>
    <row r="573" spans="1:9" hidden="1" outlineLevel="1" x14ac:dyDescent="0.25">
      <c r="A573" s="84"/>
      <c r="B573" s="343" t="s">
        <v>98</v>
      </c>
      <c r="C573" s="21" t="s">
        <v>29</v>
      </c>
      <c r="D573" s="340">
        <v>0</v>
      </c>
      <c r="E573" s="18"/>
      <c r="F573" s="60">
        <v>58.9</v>
      </c>
      <c r="G573" s="18"/>
      <c r="H573" s="2">
        <f t="shared" si="38"/>
        <v>0</v>
      </c>
      <c r="I573" s="18">
        <f>G573+H573</f>
        <v>0</v>
      </c>
    </row>
    <row r="574" spans="1:9" hidden="1" outlineLevel="1" x14ac:dyDescent="0.25">
      <c r="A574" s="84"/>
      <c r="B574" s="329" t="s">
        <v>423</v>
      </c>
      <c r="C574" s="21" t="s">
        <v>29</v>
      </c>
      <c r="D574" s="340">
        <v>0</v>
      </c>
      <c r="E574" s="18"/>
      <c r="F574" s="60">
        <v>94.01</v>
      </c>
      <c r="G574" s="18"/>
      <c r="H574" s="2">
        <f t="shared" si="38"/>
        <v>0</v>
      </c>
      <c r="I574" s="18">
        <f>G574+H574</f>
        <v>0</v>
      </c>
    </row>
    <row r="575" spans="1:9" hidden="1" outlineLevel="1" x14ac:dyDescent="0.25">
      <c r="A575" s="84"/>
      <c r="B575" s="329" t="s">
        <v>424</v>
      </c>
      <c r="C575" s="21" t="s">
        <v>29</v>
      </c>
      <c r="D575" s="340">
        <v>0</v>
      </c>
      <c r="E575" s="18"/>
      <c r="F575" s="60">
        <v>135.80000000000001</v>
      </c>
      <c r="G575" s="18"/>
      <c r="H575" s="2">
        <f t="shared" si="38"/>
        <v>0</v>
      </c>
      <c r="I575" s="18">
        <f>G575+H575</f>
        <v>0</v>
      </c>
    </row>
    <row r="576" spans="1:9" hidden="1" outlineLevel="1" x14ac:dyDescent="0.25">
      <c r="A576" s="84"/>
      <c r="B576" s="329" t="s">
        <v>119</v>
      </c>
      <c r="C576" s="21" t="s">
        <v>29</v>
      </c>
      <c r="D576" s="340">
        <v>0</v>
      </c>
      <c r="E576" s="18"/>
      <c r="F576" s="60">
        <v>226</v>
      </c>
      <c r="G576" s="18"/>
      <c r="H576" s="2">
        <f t="shared" si="38"/>
        <v>0</v>
      </c>
      <c r="I576" s="18">
        <f t="shared" ref="I576:I648" si="39">G576+H576</f>
        <v>0</v>
      </c>
    </row>
    <row r="577" spans="1:9" hidden="1" outlineLevel="1" x14ac:dyDescent="0.25">
      <c r="A577" s="84"/>
      <c r="B577" s="329" t="s">
        <v>121</v>
      </c>
      <c r="C577" s="21" t="s">
        <v>12</v>
      </c>
      <c r="D577" s="340">
        <v>0</v>
      </c>
      <c r="E577" s="18"/>
      <c r="F577" s="60">
        <v>77.25</v>
      </c>
      <c r="G577" s="18"/>
      <c r="H577" s="2">
        <f t="shared" si="38"/>
        <v>0</v>
      </c>
      <c r="I577" s="18">
        <f t="shared" si="39"/>
        <v>0</v>
      </c>
    </row>
    <row r="578" spans="1:9" hidden="1" outlineLevel="1" x14ac:dyDescent="0.25">
      <c r="A578" s="84"/>
      <c r="B578" s="329" t="s">
        <v>426</v>
      </c>
      <c r="C578" s="21" t="s">
        <v>12</v>
      </c>
      <c r="D578" s="340">
        <v>0</v>
      </c>
      <c r="E578" s="18"/>
      <c r="F578" s="60">
        <v>77.25</v>
      </c>
      <c r="G578" s="18"/>
      <c r="H578" s="2">
        <f t="shared" si="38"/>
        <v>0</v>
      </c>
      <c r="I578" s="18">
        <f>G578+H578</f>
        <v>0</v>
      </c>
    </row>
    <row r="579" spans="1:9" ht="31.2" hidden="1" outlineLevel="1" x14ac:dyDescent="0.25">
      <c r="A579" s="84"/>
      <c r="B579" s="329" t="s">
        <v>107</v>
      </c>
      <c r="C579" s="21" t="s">
        <v>12</v>
      </c>
      <c r="D579" s="340">
        <v>0</v>
      </c>
      <c r="E579" s="18"/>
      <c r="F579" s="60">
        <v>40</v>
      </c>
      <c r="G579" s="18"/>
      <c r="H579" s="2">
        <f t="shared" si="38"/>
        <v>0</v>
      </c>
      <c r="I579" s="18">
        <f t="shared" si="39"/>
        <v>0</v>
      </c>
    </row>
    <row r="580" spans="1:9" hidden="1" outlineLevel="1" x14ac:dyDescent="0.25">
      <c r="A580" s="84"/>
      <c r="B580" s="329" t="s">
        <v>703</v>
      </c>
      <c r="C580" s="21" t="s">
        <v>14</v>
      </c>
      <c r="D580" s="340">
        <v>0</v>
      </c>
      <c r="E580" s="18"/>
      <c r="F580" s="164">
        <v>100</v>
      </c>
      <c r="G580" s="18"/>
      <c r="H580" s="2">
        <f>ROUND(D580*F580,2)</f>
        <v>0</v>
      </c>
      <c r="I580" s="18">
        <f>G580+H580</f>
        <v>0</v>
      </c>
    </row>
    <row r="581" spans="1:9" hidden="1" outlineLevel="1" x14ac:dyDescent="0.25">
      <c r="A581" s="84" t="s">
        <v>543</v>
      </c>
      <c r="B581" s="358" t="s">
        <v>427</v>
      </c>
      <c r="C581" s="176" t="s">
        <v>12</v>
      </c>
      <c r="D581" s="306">
        <v>0</v>
      </c>
      <c r="E581" s="18"/>
      <c r="F581" s="60"/>
      <c r="G581" s="18"/>
      <c r="H581" s="18"/>
      <c r="I581" s="18"/>
    </row>
    <row r="582" spans="1:9" hidden="1" outlineLevel="1" x14ac:dyDescent="0.25">
      <c r="A582" s="84"/>
      <c r="B582" s="329" t="s">
        <v>702</v>
      </c>
      <c r="C582" s="21" t="s">
        <v>12</v>
      </c>
      <c r="D582" s="340">
        <v>0</v>
      </c>
      <c r="E582" s="18"/>
      <c r="F582" s="60">
        <v>283</v>
      </c>
      <c r="G582" s="18"/>
      <c r="H582" s="2">
        <f>ROUND(D582*F582,2)</f>
        <v>0</v>
      </c>
      <c r="I582" s="18">
        <f t="shared" si="39"/>
        <v>0</v>
      </c>
    </row>
    <row r="583" spans="1:9" hidden="1" outlineLevel="1" x14ac:dyDescent="0.25">
      <c r="A583" s="84"/>
      <c r="B583" s="329" t="s">
        <v>467</v>
      </c>
      <c r="C583" s="21" t="s">
        <v>12</v>
      </c>
      <c r="D583" s="340">
        <v>0</v>
      </c>
      <c r="E583" s="18"/>
      <c r="F583" s="60">
        <v>322.2</v>
      </c>
      <c r="G583" s="18"/>
      <c r="H583" s="2">
        <f>ROUND(D583*F583,2)</f>
        <v>0</v>
      </c>
      <c r="I583" s="18">
        <f t="shared" si="39"/>
        <v>0</v>
      </c>
    </row>
    <row r="584" spans="1:9" hidden="1" outlineLevel="1" x14ac:dyDescent="0.25">
      <c r="A584" s="84" t="s">
        <v>544</v>
      </c>
      <c r="B584" s="307" t="s">
        <v>101</v>
      </c>
      <c r="C584" s="31" t="s">
        <v>29</v>
      </c>
      <c r="D584" s="306">
        <f>D571</f>
        <v>0</v>
      </c>
      <c r="E584" s="256">
        <v>30</v>
      </c>
      <c r="F584" s="60"/>
      <c r="G584" s="2">
        <f>ROUND(E584*D584,2)</f>
        <v>0</v>
      </c>
      <c r="H584" s="18"/>
      <c r="I584" s="18">
        <f t="shared" si="39"/>
        <v>0</v>
      </c>
    </row>
    <row r="585" spans="1:9" hidden="1" outlineLevel="1" x14ac:dyDescent="0.25">
      <c r="A585" s="84"/>
      <c r="B585" s="329" t="s">
        <v>122</v>
      </c>
      <c r="C585" s="21" t="s">
        <v>29</v>
      </c>
      <c r="D585" s="340">
        <v>0</v>
      </c>
      <c r="E585" s="282"/>
      <c r="F585" s="60">
        <v>62</v>
      </c>
      <c r="G585" s="18"/>
      <c r="H585" s="2">
        <f>ROUND(D585*F585,2)</f>
        <v>0</v>
      </c>
      <c r="I585" s="18">
        <f t="shared" si="39"/>
        <v>0</v>
      </c>
    </row>
    <row r="586" spans="1:9" hidden="1" outlineLevel="1" x14ac:dyDescent="0.25">
      <c r="A586" s="84" t="s">
        <v>545</v>
      </c>
      <c r="B586" s="307" t="s">
        <v>123</v>
      </c>
      <c r="C586" s="31" t="s">
        <v>12</v>
      </c>
      <c r="D586" s="306">
        <v>0</v>
      </c>
      <c r="E586" s="256">
        <v>500</v>
      </c>
      <c r="F586" s="60"/>
      <c r="G586" s="2">
        <f>ROUND(E586*D586,2)</f>
        <v>0</v>
      </c>
      <c r="H586" s="18"/>
      <c r="I586" s="18">
        <f t="shared" si="39"/>
        <v>0</v>
      </c>
    </row>
    <row r="587" spans="1:9" hidden="1" outlineLevel="1" x14ac:dyDescent="0.25">
      <c r="A587" s="84"/>
      <c r="B587" s="329" t="s">
        <v>124</v>
      </c>
      <c r="C587" s="21" t="s">
        <v>12</v>
      </c>
      <c r="D587" s="340">
        <v>0</v>
      </c>
      <c r="E587" s="282"/>
      <c r="F587" s="60">
        <v>100</v>
      </c>
      <c r="G587" s="18"/>
      <c r="H587" s="2">
        <f>ROUND(D587*F587,2)</f>
        <v>0</v>
      </c>
      <c r="I587" s="18">
        <f t="shared" si="39"/>
        <v>0</v>
      </c>
    </row>
    <row r="588" spans="1:9" hidden="1" outlineLevel="1" x14ac:dyDescent="0.25">
      <c r="A588" s="84"/>
      <c r="B588" s="343" t="s">
        <v>125</v>
      </c>
      <c r="C588" s="21" t="s">
        <v>12</v>
      </c>
      <c r="D588" s="340">
        <v>0</v>
      </c>
      <c r="E588" s="282"/>
      <c r="F588" s="60">
        <f>30*20</f>
        <v>600</v>
      </c>
      <c r="G588" s="18"/>
      <c r="H588" s="2">
        <f>ROUND(D588*F588,2)</f>
        <v>0</v>
      </c>
      <c r="I588" s="18">
        <f t="shared" si="39"/>
        <v>0</v>
      </c>
    </row>
    <row r="589" spans="1:9" hidden="1" outlineLevel="1" x14ac:dyDescent="0.25">
      <c r="A589" s="84" t="s">
        <v>78</v>
      </c>
      <c r="B589" s="75" t="s">
        <v>126</v>
      </c>
      <c r="C589" s="2"/>
      <c r="D589" s="2"/>
      <c r="E589" s="282"/>
      <c r="F589" s="11"/>
      <c r="G589" s="18"/>
      <c r="H589" s="18"/>
      <c r="I589" s="18">
        <f t="shared" si="39"/>
        <v>0</v>
      </c>
    </row>
    <row r="590" spans="1:9" hidden="1" outlineLevel="1" x14ac:dyDescent="0.25">
      <c r="A590" s="84" t="s">
        <v>546</v>
      </c>
      <c r="B590" s="29" t="s">
        <v>127</v>
      </c>
      <c r="C590" s="31" t="s">
        <v>12</v>
      </c>
      <c r="D590" s="31">
        <v>0</v>
      </c>
      <c r="E590" s="256">
        <v>10000</v>
      </c>
      <c r="F590" s="60"/>
      <c r="G590" s="2">
        <f>ROUND(E590*D590,2)</f>
        <v>0</v>
      </c>
      <c r="H590" s="18"/>
      <c r="I590" s="18">
        <f t="shared" si="39"/>
        <v>0</v>
      </c>
    </row>
    <row r="591" spans="1:9" hidden="1" outlineLevel="1" x14ac:dyDescent="0.25">
      <c r="A591" s="84"/>
      <c r="B591" s="343" t="s">
        <v>128</v>
      </c>
      <c r="C591" s="21" t="s">
        <v>12</v>
      </c>
      <c r="D591" s="340">
        <v>0</v>
      </c>
      <c r="E591" s="18"/>
      <c r="F591" s="60">
        <v>1033.78</v>
      </c>
      <c r="G591" s="18"/>
      <c r="H591" s="2">
        <f t="shared" ref="H591:H601" si="40">ROUND(D591*F591,2)</f>
        <v>0</v>
      </c>
      <c r="I591" s="18">
        <f t="shared" si="39"/>
        <v>0</v>
      </c>
    </row>
    <row r="592" spans="1:9" hidden="1" outlineLevel="1" x14ac:dyDescent="0.25">
      <c r="A592" s="84"/>
      <c r="B592" s="343" t="s">
        <v>129</v>
      </c>
      <c r="C592" s="21" t="s">
        <v>12</v>
      </c>
      <c r="D592" s="340">
        <v>0</v>
      </c>
      <c r="E592" s="18"/>
      <c r="F592" s="60">
        <v>2018.83</v>
      </c>
      <c r="G592" s="18"/>
      <c r="H592" s="2">
        <f t="shared" si="40"/>
        <v>0</v>
      </c>
      <c r="I592" s="18">
        <f t="shared" si="39"/>
        <v>0</v>
      </c>
    </row>
    <row r="593" spans="1:9" hidden="1" outlineLevel="1" x14ac:dyDescent="0.25">
      <c r="A593" s="84"/>
      <c r="B593" s="329" t="s">
        <v>130</v>
      </c>
      <c r="C593" s="21" t="s">
        <v>12</v>
      </c>
      <c r="D593" s="340">
        <v>0</v>
      </c>
      <c r="E593" s="18"/>
      <c r="F593" s="60">
        <v>109.44</v>
      </c>
      <c r="G593" s="18"/>
      <c r="H593" s="2">
        <f t="shared" si="40"/>
        <v>0</v>
      </c>
      <c r="I593" s="18">
        <f t="shared" si="39"/>
        <v>0</v>
      </c>
    </row>
    <row r="594" spans="1:9" hidden="1" outlineLevel="1" x14ac:dyDescent="0.25">
      <c r="A594" s="84"/>
      <c r="B594" s="329" t="s">
        <v>131</v>
      </c>
      <c r="C594" s="21" t="s">
        <v>12</v>
      </c>
      <c r="D594" s="340">
        <v>0</v>
      </c>
      <c r="E594" s="18"/>
      <c r="F594" s="60">
        <v>228.92</v>
      </c>
      <c r="G594" s="18"/>
      <c r="H594" s="2">
        <f t="shared" si="40"/>
        <v>0</v>
      </c>
      <c r="I594" s="18">
        <f t="shared" si="39"/>
        <v>0</v>
      </c>
    </row>
    <row r="595" spans="1:9" hidden="1" outlineLevel="1" x14ac:dyDescent="0.25">
      <c r="A595" s="84"/>
      <c r="B595" s="329" t="s">
        <v>132</v>
      </c>
      <c r="C595" s="21" t="s">
        <v>12</v>
      </c>
      <c r="D595" s="340">
        <v>0</v>
      </c>
      <c r="E595" s="18"/>
      <c r="F595" s="60">
        <v>198</v>
      </c>
      <c r="G595" s="18"/>
      <c r="H595" s="2">
        <f t="shared" si="40"/>
        <v>0</v>
      </c>
      <c r="I595" s="18">
        <f t="shared" si="39"/>
        <v>0</v>
      </c>
    </row>
    <row r="596" spans="1:9" hidden="1" outlineLevel="1" x14ac:dyDescent="0.25">
      <c r="A596" s="84"/>
      <c r="B596" s="329" t="s">
        <v>704</v>
      </c>
      <c r="C596" s="21" t="s">
        <v>12</v>
      </c>
      <c r="D596" s="340">
        <v>0</v>
      </c>
      <c r="E596" s="18"/>
      <c r="F596" s="164">
        <v>100</v>
      </c>
      <c r="G596" s="18"/>
      <c r="H596" s="2">
        <f>ROUND(D596*F596,2)</f>
        <v>0</v>
      </c>
      <c r="I596" s="18">
        <f>G596+H596</f>
        <v>0</v>
      </c>
    </row>
    <row r="597" spans="1:9" ht="19.95" hidden="1" customHeight="1" outlineLevel="1" x14ac:dyDescent="0.25">
      <c r="A597" s="84"/>
      <c r="B597" s="329" t="s">
        <v>706</v>
      </c>
      <c r="C597" s="21" t="s">
        <v>12</v>
      </c>
      <c r="D597" s="340">
        <v>0</v>
      </c>
      <c r="E597" s="18"/>
      <c r="F597" s="60">
        <v>43</v>
      </c>
      <c r="G597" s="18"/>
      <c r="H597" s="2">
        <f t="shared" si="40"/>
        <v>0</v>
      </c>
      <c r="I597" s="18">
        <f t="shared" si="39"/>
        <v>0</v>
      </c>
    </row>
    <row r="598" spans="1:9" ht="31.2" hidden="1" customHeight="1" outlineLevel="1" x14ac:dyDescent="0.25">
      <c r="A598" s="84"/>
      <c r="B598" s="329" t="s">
        <v>707</v>
      </c>
      <c r="C598" s="21" t="s">
        <v>12</v>
      </c>
      <c r="D598" s="340">
        <v>0</v>
      </c>
      <c r="E598" s="18"/>
      <c r="F598" s="60">
        <v>448</v>
      </c>
      <c r="G598" s="18"/>
      <c r="H598" s="2">
        <f t="shared" si="40"/>
        <v>0</v>
      </c>
      <c r="I598" s="18">
        <f t="shared" si="39"/>
        <v>0</v>
      </c>
    </row>
    <row r="599" spans="1:9" hidden="1" outlineLevel="1" x14ac:dyDescent="0.25">
      <c r="A599" s="84"/>
      <c r="B599" s="329" t="s">
        <v>133</v>
      </c>
      <c r="C599" s="21" t="s">
        <v>12</v>
      </c>
      <c r="D599" s="340">
        <v>0</v>
      </c>
      <c r="E599" s="18"/>
      <c r="F599" s="60">
        <v>5922.3</v>
      </c>
      <c r="G599" s="18"/>
      <c r="H599" s="2">
        <f t="shared" si="40"/>
        <v>0</v>
      </c>
      <c r="I599" s="18">
        <f>G599+H599</f>
        <v>0</v>
      </c>
    </row>
    <row r="600" spans="1:9" hidden="1" outlineLevel="1" x14ac:dyDescent="0.25">
      <c r="A600" s="84"/>
      <c r="B600" s="329" t="s">
        <v>705</v>
      </c>
      <c r="C600" s="21" t="s">
        <v>12</v>
      </c>
      <c r="D600" s="340">
        <v>0</v>
      </c>
      <c r="E600" s="18"/>
      <c r="F600" s="60">
        <v>127</v>
      </c>
      <c r="G600" s="18"/>
      <c r="H600" s="2">
        <f t="shared" si="40"/>
        <v>0</v>
      </c>
      <c r="I600" s="18">
        <f t="shared" si="39"/>
        <v>0</v>
      </c>
    </row>
    <row r="601" spans="1:9" hidden="1" outlineLevel="1" x14ac:dyDescent="0.25">
      <c r="A601" s="84"/>
      <c r="B601" s="329" t="s">
        <v>91</v>
      </c>
      <c r="C601" s="21" t="s">
        <v>15</v>
      </c>
      <c r="D601" s="340">
        <v>0</v>
      </c>
      <c r="E601" s="18"/>
      <c r="F601" s="60">
        <f>37500/1000</f>
        <v>37.5</v>
      </c>
      <c r="G601" s="18"/>
      <c r="H601" s="2">
        <f t="shared" si="40"/>
        <v>0</v>
      </c>
      <c r="I601" s="18">
        <f t="shared" si="39"/>
        <v>0</v>
      </c>
    </row>
    <row r="602" spans="1:9" hidden="1" outlineLevel="1" x14ac:dyDescent="0.25">
      <c r="A602" s="84" t="s">
        <v>82</v>
      </c>
      <c r="B602" s="75" t="s">
        <v>134</v>
      </c>
      <c r="C602" s="2"/>
      <c r="D602" s="158"/>
      <c r="E602" s="2"/>
      <c r="F602" s="11"/>
      <c r="G602" s="18"/>
      <c r="H602" s="18"/>
      <c r="I602" s="18">
        <f t="shared" si="39"/>
        <v>0</v>
      </c>
    </row>
    <row r="603" spans="1:9" ht="31.2" hidden="1" outlineLevel="1" x14ac:dyDescent="0.25">
      <c r="A603" s="84" t="s">
        <v>547</v>
      </c>
      <c r="B603" s="307" t="s">
        <v>112</v>
      </c>
      <c r="C603" s="31" t="s">
        <v>29</v>
      </c>
      <c r="D603" s="31">
        <f>D604</f>
        <v>0</v>
      </c>
      <c r="E603" s="256">
        <v>85</v>
      </c>
      <c r="F603" s="60"/>
      <c r="G603" s="2">
        <f>ROUND(E603*D603,2)</f>
        <v>0</v>
      </c>
      <c r="H603" s="18"/>
      <c r="I603" s="18">
        <f t="shared" si="39"/>
        <v>0</v>
      </c>
    </row>
    <row r="604" spans="1:9" hidden="1" outlineLevel="1" x14ac:dyDescent="0.25">
      <c r="A604" s="84"/>
      <c r="B604" s="329" t="s">
        <v>114</v>
      </c>
      <c r="C604" s="21" t="s">
        <v>29</v>
      </c>
      <c r="D604" s="340">
        <v>0</v>
      </c>
      <c r="E604" s="282"/>
      <c r="F604" s="60">
        <f>311.85/3</f>
        <v>103.95</v>
      </c>
      <c r="G604" s="18"/>
      <c r="H604" s="2">
        <f>ROUND(D604*F604,2)</f>
        <v>0</v>
      </c>
      <c r="I604" s="18">
        <f t="shared" si="39"/>
        <v>0</v>
      </c>
    </row>
    <row r="605" spans="1:9" hidden="1" outlineLevel="1" x14ac:dyDescent="0.25">
      <c r="A605" s="84"/>
      <c r="B605" s="329" t="s">
        <v>329</v>
      </c>
      <c r="C605" s="21" t="s">
        <v>12</v>
      </c>
      <c r="D605" s="340">
        <v>0</v>
      </c>
      <c r="E605" s="282"/>
      <c r="F605" s="60">
        <v>200</v>
      </c>
      <c r="G605" s="18"/>
      <c r="H605" s="2">
        <f>ROUND(D605*F605,2)</f>
        <v>0</v>
      </c>
      <c r="I605" s="18">
        <f t="shared" si="39"/>
        <v>0</v>
      </c>
    </row>
    <row r="606" spans="1:9" hidden="1" outlineLevel="1" x14ac:dyDescent="0.25">
      <c r="A606" s="84"/>
      <c r="B606" s="329" t="s">
        <v>135</v>
      </c>
      <c r="C606" s="21" t="s">
        <v>12</v>
      </c>
      <c r="D606" s="340">
        <v>0</v>
      </c>
      <c r="E606" s="282"/>
      <c r="F606" s="60">
        <v>61.27</v>
      </c>
      <c r="G606" s="18"/>
      <c r="H606" s="2">
        <f>ROUND(D606*F606,2)</f>
        <v>0</v>
      </c>
      <c r="I606" s="18">
        <f t="shared" si="39"/>
        <v>0</v>
      </c>
    </row>
    <row r="607" spans="1:9" hidden="1" outlineLevel="1" x14ac:dyDescent="0.25">
      <c r="A607" s="84"/>
      <c r="B607" s="329" t="s">
        <v>433</v>
      </c>
      <c r="C607" s="21" t="s">
        <v>12</v>
      </c>
      <c r="D607" s="340">
        <v>0</v>
      </c>
      <c r="E607" s="282"/>
      <c r="F607" s="60">
        <v>40</v>
      </c>
      <c r="G607" s="18"/>
      <c r="H607" s="2">
        <f>ROUND(D607*F607,2)</f>
        <v>0</v>
      </c>
      <c r="I607" s="18">
        <f>G607+H607</f>
        <v>0</v>
      </c>
    </row>
    <row r="608" spans="1:9" hidden="1" outlineLevel="1" x14ac:dyDescent="0.25">
      <c r="A608" s="84" t="s">
        <v>548</v>
      </c>
      <c r="B608" s="307" t="s">
        <v>136</v>
      </c>
      <c r="C608" s="31" t="s">
        <v>29</v>
      </c>
      <c r="D608" s="306">
        <f>D609</f>
        <v>0</v>
      </c>
      <c r="E608" s="256">
        <v>150</v>
      </c>
      <c r="F608" s="60"/>
      <c r="G608" s="2">
        <f>ROUND(E608*D608,2)</f>
        <v>0</v>
      </c>
      <c r="H608" s="18"/>
      <c r="I608" s="18">
        <f t="shared" si="39"/>
        <v>0</v>
      </c>
    </row>
    <row r="609" spans="1:10" hidden="1" outlineLevel="1" x14ac:dyDescent="0.25">
      <c r="A609" s="84"/>
      <c r="B609" s="329" t="s">
        <v>432</v>
      </c>
      <c r="C609" s="21" t="s">
        <v>29</v>
      </c>
      <c r="D609" s="340">
        <v>0</v>
      </c>
      <c r="E609" s="282"/>
      <c r="F609" s="60">
        <f>107*3</f>
        <v>321</v>
      </c>
      <c r="G609" s="18"/>
      <c r="H609" s="2">
        <f>ROUND(D609*F609,2)</f>
        <v>0</v>
      </c>
      <c r="I609" s="18">
        <f t="shared" si="39"/>
        <v>0</v>
      </c>
    </row>
    <row r="610" spans="1:10" hidden="1" outlineLevel="1" x14ac:dyDescent="0.25">
      <c r="A610" s="84"/>
      <c r="B610" s="329" t="s">
        <v>708</v>
      </c>
      <c r="C610" s="21" t="s">
        <v>12</v>
      </c>
      <c r="D610" s="340">
        <v>0</v>
      </c>
      <c r="E610" s="282"/>
      <c r="F610" s="60">
        <v>205</v>
      </c>
      <c r="G610" s="18"/>
      <c r="H610" s="2">
        <f>ROUND(D610*F610,2)</f>
        <v>0</v>
      </c>
      <c r="I610" s="18">
        <f t="shared" si="39"/>
        <v>0</v>
      </c>
    </row>
    <row r="611" spans="1:10" hidden="1" outlineLevel="1" x14ac:dyDescent="0.25">
      <c r="A611" s="87" t="s">
        <v>549</v>
      </c>
      <c r="B611" s="29" t="s">
        <v>101</v>
      </c>
      <c r="C611" s="31" t="s">
        <v>29</v>
      </c>
      <c r="D611" s="31">
        <f>D603</f>
        <v>0</v>
      </c>
      <c r="E611" s="256">
        <v>150</v>
      </c>
      <c r="F611" s="60"/>
      <c r="G611" s="2">
        <f>ROUND(E611*D611,2)</f>
        <v>0</v>
      </c>
      <c r="H611" s="18"/>
      <c r="I611" s="18">
        <f t="shared" si="39"/>
        <v>0</v>
      </c>
    </row>
    <row r="612" spans="1:10" hidden="1" outlineLevel="1" x14ac:dyDescent="0.25">
      <c r="A612" s="84"/>
      <c r="B612" s="329" t="s">
        <v>174</v>
      </c>
      <c r="C612" s="21" t="s">
        <v>12</v>
      </c>
      <c r="D612" s="340">
        <v>0</v>
      </c>
      <c r="E612" s="282"/>
      <c r="F612" s="60">
        <v>200</v>
      </c>
      <c r="G612" s="18"/>
      <c r="H612" s="2">
        <f>ROUND(D612*F612,2)</f>
        <v>0</v>
      </c>
      <c r="I612" s="18">
        <f t="shared" si="39"/>
        <v>0</v>
      </c>
    </row>
    <row r="613" spans="1:10" hidden="1" outlineLevel="1" x14ac:dyDescent="0.25">
      <c r="A613" s="87" t="s">
        <v>550</v>
      </c>
      <c r="B613" s="307" t="s">
        <v>138</v>
      </c>
      <c r="C613" s="31" t="s">
        <v>12</v>
      </c>
      <c r="D613" s="306">
        <v>0</v>
      </c>
      <c r="E613" s="282"/>
      <c r="F613" s="60"/>
      <c r="G613" s="18"/>
      <c r="H613" s="18"/>
      <c r="I613" s="18">
        <f t="shared" si="39"/>
        <v>0</v>
      </c>
    </row>
    <row r="614" spans="1:10" hidden="1" outlineLevel="1" x14ac:dyDescent="0.25">
      <c r="A614" s="84"/>
      <c r="B614" s="329" t="s">
        <v>709</v>
      </c>
      <c r="C614" s="21" t="s">
        <v>12</v>
      </c>
      <c r="D614" s="340">
        <v>0</v>
      </c>
      <c r="E614" s="282"/>
      <c r="F614" s="60">
        <v>5555</v>
      </c>
      <c r="G614" s="18"/>
      <c r="H614" s="2">
        <f>ROUND(D614*F614,2)</f>
        <v>0</v>
      </c>
      <c r="I614" s="18">
        <f t="shared" si="39"/>
        <v>0</v>
      </c>
    </row>
    <row r="615" spans="1:10" hidden="1" outlineLevel="1" x14ac:dyDescent="0.25">
      <c r="A615" s="84"/>
      <c r="B615" s="329" t="s">
        <v>710</v>
      </c>
      <c r="C615" s="21" t="s">
        <v>12</v>
      </c>
      <c r="D615" s="340">
        <v>0</v>
      </c>
      <c r="E615" s="282"/>
      <c r="F615" s="164">
        <v>300</v>
      </c>
      <c r="G615" s="18"/>
      <c r="H615" s="2">
        <f>ROUND(D615*F615,2)</f>
        <v>0</v>
      </c>
      <c r="I615" s="18">
        <f>G615+H615</f>
        <v>0</v>
      </c>
    </row>
    <row r="616" spans="1:10" ht="31.2" hidden="1" outlineLevel="1" x14ac:dyDescent="0.25">
      <c r="A616" s="87" t="s">
        <v>551</v>
      </c>
      <c r="B616" s="29" t="s">
        <v>434</v>
      </c>
      <c r="C616" s="31" t="s">
        <v>29</v>
      </c>
      <c r="D616" s="31">
        <f>D617</f>
        <v>0</v>
      </c>
      <c r="E616" s="256">
        <v>250</v>
      </c>
      <c r="F616" s="60"/>
      <c r="G616" s="2">
        <f>ROUND(E616*D616,2)</f>
        <v>0</v>
      </c>
      <c r="H616" s="18"/>
      <c r="I616" s="18">
        <f t="shared" si="39"/>
        <v>0</v>
      </c>
    </row>
    <row r="617" spans="1:10" hidden="1" outlineLevel="1" x14ac:dyDescent="0.25">
      <c r="A617" s="84"/>
      <c r="B617" s="329" t="s">
        <v>114</v>
      </c>
      <c r="C617" s="21" t="s">
        <v>29</v>
      </c>
      <c r="D617" s="340">
        <v>0</v>
      </c>
      <c r="E617" s="18"/>
      <c r="F617" s="60">
        <v>103.95</v>
      </c>
      <c r="G617" s="18"/>
      <c r="H617" s="2">
        <f>ROUND(D617*F617,2)</f>
        <v>0</v>
      </c>
      <c r="I617" s="18">
        <f t="shared" si="39"/>
        <v>0</v>
      </c>
    </row>
    <row r="618" spans="1:10" hidden="1" outlineLevel="1" x14ac:dyDescent="0.25">
      <c r="A618" s="84"/>
      <c r="B618" s="329" t="s">
        <v>703</v>
      </c>
      <c r="C618" s="21" t="s">
        <v>14</v>
      </c>
      <c r="D618" s="340">
        <v>0</v>
      </c>
      <c r="E618" s="18"/>
      <c r="F618" s="164">
        <v>100</v>
      </c>
      <c r="G618" s="18"/>
      <c r="H618" s="2">
        <f>ROUND(D618*F618,2)</f>
        <v>0</v>
      </c>
      <c r="I618" s="18">
        <f t="shared" si="39"/>
        <v>0</v>
      </c>
    </row>
    <row r="619" spans="1:10" hidden="1" outlineLevel="1" x14ac:dyDescent="0.25">
      <c r="A619" s="84"/>
      <c r="B619" s="192" t="s">
        <v>140</v>
      </c>
      <c r="C619" s="2"/>
      <c r="D619" s="2"/>
      <c r="E619" s="2"/>
      <c r="F619" s="11"/>
      <c r="G619" s="18"/>
      <c r="H619" s="18"/>
      <c r="I619" s="18">
        <f t="shared" si="39"/>
        <v>0</v>
      </c>
    </row>
    <row r="620" spans="1:10" ht="31.2" hidden="1" outlineLevel="1" x14ac:dyDescent="0.25">
      <c r="A620" s="84"/>
      <c r="B620" s="307" t="s">
        <v>112</v>
      </c>
      <c r="C620" s="2" t="s">
        <v>29</v>
      </c>
      <c r="D620" s="306">
        <f>D621</f>
        <v>0</v>
      </c>
      <c r="E620" s="31">
        <v>250</v>
      </c>
      <c r="F620" s="60"/>
      <c r="G620" s="2">
        <f>ROUND(E620*D620,2)</f>
        <v>0</v>
      </c>
      <c r="H620" s="18"/>
      <c r="I620" s="18">
        <f>G620+H620</f>
        <v>0</v>
      </c>
      <c r="J620" s="780"/>
    </row>
    <row r="621" spans="1:10" hidden="1" outlineLevel="1" x14ac:dyDescent="0.25">
      <c r="A621" s="84"/>
      <c r="B621" s="329" t="s">
        <v>711</v>
      </c>
      <c r="C621" s="21" t="s">
        <v>29</v>
      </c>
      <c r="D621" s="340">
        <v>0</v>
      </c>
      <c r="E621" s="2"/>
      <c r="F621" s="11">
        <v>103.95</v>
      </c>
      <c r="G621" s="158"/>
      <c r="H621" s="2">
        <f t="shared" ref="H621:H631" si="41">ROUND(D621*F621,2)</f>
        <v>0</v>
      </c>
      <c r="I621" s="18">
        <f t="shared" si="39"/>
        <v>0</v>
      </c>
      <c r="J621" s="780"/>
    </row>
    <row r="622" spans="1:10" hidden="1" outlineLevel="1" x14ac:dyDescent="0.25">
      <c r="A622" s="84"/>
      <c r="B622" s="329" t="s">
        <v>91</v>
      </c>
      <c r="C622" s="21" t="s">
        <v>15</v>
      </c>
      <c r="D622" s="340">
        <v>0</v>
      </c>
      <c r="E622" s="2"/>
      <c r="F622" s="11">
        <v>42</v>
      </c>
      <c r="G622" s="158"/>
      <c r="H622" s="2">
        <f t="shared" si="41"/>
        <v>0</v>
      </c>
      <c r="I622" s="18">
        <f t="shared" si="39"/>
        <v>0</v>
      </c>
      <c r="J622" s="780"/>
    </row>
    <row r="623" spans="1:10" hidden="1" outlineLevel="1" x14ac:dyDescent="0.25">
      <c r="A623" s="84"/>
      <c r="B623" s="307" t="s">
        <v>141</v>
      </c>
      <c r="C623" s="2" t="s">
        <v>12</v>
      </c>
      <c r="D623" s="340">
        <v>0</v>
      </c>
      <c r="E623" s="2"/>
      <c r="F623" s="11"/>
      <c r="G623" s="158"/>
      <c r="H623" s="2">
        <f t="shared" si="41"/>
        <v>0</v>
      </c>
      <c r="I623" s="18">
        <f t="shared" si="39"/>
        <v>0</v>
      </c>
      <c r="J623" s="780"/>
    </row>
    <row r="624" spans="1:10" hidden="1" outlineLevel="1" x14ac:dyDescent="0.25">
      <c r="A624" s="84"/>
      <c r="B624" s="329" t="s">
        <v>142</v>
      </c>
      <c r="C624" s="21" t="s">
        <v>12</v>
      </c>
      <c r="D624" s="340">
        <v>0</v>
      </c>
      <c r="E624" s="2"/>
      <c r="F624" s="11">
        <v>586.74</v>
      </c>
      <c r="G624" s="158"/>
      <c r="H624" s="2">
        <f t="shared" si="41"/>
        <v>0</v>
      </c>
      <c r="I624" s="18">
        <f t="shared" si="39"/>
        <v>0</v>
      </c>
      <c r="J624" s="780"/>
    </row>
    <row r="625" spans="1:10" hidden="1" outlineLevel="1" x14ac:dyDescent="0.25">
      <c r="A625" s="84"/>
      <c r="B625" s="329" t="s">
        <v>143</v>
      </c>
      <c r="C625" s="21" t="s">
        <v>12</v>
      </c>
      <c r="D625" s="340">
        <v>0</v>
      </c>
      <c r="E625" s="2"/>
      <c r="F625" s="11">
        <v>429</v>
      </c>
      <c r="G625" s="158"/>
      <c r="H625" s="2">
        <f t="shared" si="41"/>
        <v>0</v>
      </c>
      <c r="I625" s="18">
        <f t="shared" si="39"/>
        <v>0</v>
      </c>
      <c r="J625" s="780"/>
    </row>
    <row r="626" spans="1:10" hidden="1" outlineLevel="1" x14ac:dyDescent="0.25">
      <c r="A626" s="84"/>
      <c r="B626" s="329" t="s">
        <v>712</v>
      </c>
      <c r="C626" s="21" t="s">
        <v>12</v>
      </c>
      <c r="D626" s="340">
        <v>0</v>
      </c>
      <c r="E626" s="18"/>
      <c r="F626" s="164">
        <v>100</v>
      </c>
      <c r="G626" s="18"/>
      <c r="H626" s="2">
        <f t="shared" si="41"/>
        <v>0</v>
      </c>
      <c r="I626" s="18">
        <f t="shared" si="39"/>
        <v>0</v>
      </c>
      <c r="J626" s="780"/>
    </row>
    <row r="627" spans="1:10" hidden="1" outlineLevel="1" x14ac:dyDescent="0.25">
      <c r="A627" s="84"/>
      <c r="B627" s="329" t="s">
        <v>713</v>
      </c>
      <c r="C627" s="21" t="s">
        <v>12</v>
      </c>
      <c r="D627" s="340">
        <v>0</v>
      </c>
      <c r="E627" s="282"/>
      <c r="F627" s="164">
        <v>40</v>
      </c>
      <c r="G627" s="18"/>
      <c r="H627" s="2">
        <f>ROUND(D627*F627,2)</f>
        <v>0</v>
      </c>
      <c r="I627" s="18">
        <f>G627+H627</f>
        <v>0</v>
      </c>
      <c r="J627" s="780"/>
    </row>
    <row r="628" spans="1:10" hidden="1" outlineLevel="1" x14ac:dyDescent="0.25">
      <c r="A628" s="84"/>
      <c r="B628" s="307" t="s">
        <v>101</v>
      </c>
      <c r="C628" s="2" t="s">
        <v>29</v>
      </c>
      <c r="D628" s="340">
        <f>D620</f>
        <v>0</v>
      </c>
      <c r="E628" s="2"/>
      <c r="F628" s="11"/>
      <c r="G628" s="158"/>
      <c r="H628" s="2">
        <f t="shared" si="41"/>
        <v>0</v>
      </c>
      <c r="I628" s="18">
        <f t="shared" si="39"/>
        <v>0</v>
      </c>
      <c r="J628" s="780"/>
    </row>
    <row r="629" spans="1:10" hidden="1" outlineLevel="1" x14ac:dyDescent="0.25">
      <c r="A629" s="84"/>
      <c r="B629" s="329" t="s">
        <v>137</v>
      </c>
      <c r="C629" s="21" t="s">
        <v>12</v>
      </c>
      <c r="D629" s="340">
        <v>0</v>
      </c>
      <c r="E629" s="2"/>
      <c r="F629" s="11">
        <v>200</v>
      </c>
      <c r="G629" s="158"/>
      <c r="H629" s="2">
        <f t="shared" si="41"/>
        <v>0</v>
      </c>
      <c r="I629" s="18">
        <f t="shared" si="39"/>
        <v>0</v>
      </c>
      <c r="J629" s="780"/>
    </row>
    <row r="630" spans="1:10" hidden="1" outlineLevel="1" x14ac:dyDescent="0.25">
      <c r="A630" s="84"/>
      <c r="B630" s="329" t="s">
        <v>703</v>
      </c>
      <c r="C630" s="21" t="s">
        <v>14</v>
      </c>
      <c r="D630" s="340">
        <v>0</v>
      </c>
      <c r="E630" s="18"/>
      <c r="F630" s="164">
        <v>100</v>
      </c>
      <c r="G630" s="18"/>
      <c r="H630" s="2">
        <f t="shared" si="41"/>
        <v>0</v>
      </c>
      <c r="I630" s="18">
        <f>G630+H630</f>
        <v>0</v>
      </c>
      <c r="J630" s="359"/>
    </row>
    <row r="631" spans="1:10" hidden="1" outlineLevel="1" x14ac:dyDescent="0.25">
      <c r="A631" s="84" t="s">
        <v>84</v>
      </c>
      <c r="B631" s="75" t="s">
        <v>144</v>
      </c>
      <c r="C631" s="2"/>
      <c r="D631" s="2"/>
      <c r="E631" s="2"/>
      <c r="F631" s="11"/>
      <c r="G631" s="18"/>
      <c r="H631" s="2">
        <f t="shared" si="41"/>
        <v>0</v>
      </c>
      <c r="I631" s="18">
        <f t="shared" si="39"/>
        <v>0</v>
      </c>
    </row>
    <row r="632" spans="1:10" ht="31.2" hidden="1" outlineLevel="1" x14ac:dyDescent="0.25">
      <c r="A632" s="84" t="s">
        <v>552</v>
      </c>
      <c r="B632" s="177" t="s">
        <v>145</v>
      </c>
      <c r="C632" s="31" t="s">
        <v>29</v>
      </c>
      <c r="D632" s="31">
        <v>0</v>
      </c>
      <c r="E632" s="256">
        <v>30</v>
      </c>
      <c r="F632" s="60"/>
      <c r="G632" s="2"/>
      <c r="H632" s="18"/>
      <c r="I632" s="18"/>
    </row>
    <row r="633" spans="1:10" hidden="1" outlineLevel="1" x14ac:dyDescent="0.25">
      <c r="A633" s="84"/>
      <c r="B633" s="173" t="s">
        <v>146</v>
      </c>
      <c r="C633" s="21" t="s">
        <v>12</v>
      </c>
      <c r="D633" s="184">
        <v>0</v>
      </c>
      <c r="E633" s="18"/>
      <c r="F633" s="60">
        <v>9275</v>
      </c>
      <c r="G633" s="18"/>
      <c r="H633" s="2"/>
      <c r="I633" s="18"/>
    </row>
    <row r="634" spans="1:10" hidden="1" outlineLevel="1" x14ac:dyDescent="0.25">
      <c r="A634" s="84"/>
      <c r="B634" s="173" t="s">
        <v>147</v>
      </c>
      <c r="C634" s="21" t="s">
        <v>29</v>
      </c>
      <c r="D634" s="2">
        <f>D632</f>
        <v>0</v>
      </c>
      <c r="E634" s="18"/>
      <c r="F634" s="60">
        <v>3</v>
      </c>
      <c r="G634" s="18"/>
      <c r="H634" s="2"/>
      <c r="I634" s="18"/>
    </row>
    <row r="635" spans="1:10" ht="31.2" hidden="1" outlineLevel="1" x14ac:dyDescent="0.25">
      <c r="A635" s="84" t="s">
        <v>331</v>
      </c>
      <c r="B635" s="75" t="s">
        <v>148</v>
      </c>
      <c r="C635" s="2"/>
      <c r="D635" s="2"/>
      <c r="E635" s="2"/>
      <c r="F635" s="11"/>
      <c r="G635" s="18"/>
      <c r="H635" s="18"/>
      <c r="I635" s="18">
        <f t="shared" si="39"/>
        <v>0</v>
      </c>
    </row>
    <row r="636" spans="1:10" hidden="1" outlineLevel="1" x14ac:dyDescent="0.25">
      <c r="A636" s="84"/>
      <c r="B636" s="177" t="s">
        <v>149</v>
      </c>
      <c r="C636" s="158" t="s">
        <v>12</v>
      </c>
      <c r="D636" s="158">
        <v>0</v>
      </c>
      <c r="E636" s="158"/>
      <c r="F636" s="164"/>
      <c r="G636" s="158"/>
      <c r="H636" s="158"/>
      <c r="I636" s="158"/>
      <c r="J636" s="780" t="s">
        <v>625</v>
      </c>
    </row>
    <row r="637" spans="1:10" ht="31.2" hidden="1" outlineLevel="1" x14ac:dyDescent="0.25">
      <c r="A637" s="84"/>
      <c r="B637" s="173" t="s">
        <v>150</v>
      </c>
      <c r="C637" s="171" t="s">
        <v>12</v>
      </c>
      <c r="D637" s="158">
        <v>0</v>
      </c>
      <c r="E637" s="158"/>
      <c r="F637" s="164">
        <f>2352*1.18</f>
        <v>2775.3599999999997</v>
      </c>
      <c r="G637" s="158"/>
      <c r="H637" s="158"/>
      <c r="I637" s="158"/>
      <c r="J637" s="780"/>
    </row>
    <row r="638" spans="1:10" hidden="1" outlineLevel="1" x14ac:dyDescent="0.25">
      <c r="A638" s="84" t="s">
        <v>553</v>
      </c>
      <c r="B638" s="307" t="s">
        <v>151</v>
      </c>
      <c r="C638" s="31" t="s">
        <v>29</v>
      </c>
      <c r="D638" s="306">
        <f>D639</f>
        <v>0</v>
      </c>
      <c r="E638" s="256">
        <v>100</v>
      </c>
      <c r="F638" s="60"/>
      <c r="G638" s="2">
        <f>ROUND(E638*D638,2)</f>
        <v>0</v>
      </c>
      <c r="H638" s="18"/>
      <c r="I638" s="18">
        <f t="shared" si="39"/>
        <v>0</v>
      </c>
    </row>
    <row r="639" spans="1:10" hidden="1" outlineLevel="1" x14ac:dyDescent="0.25">
      <c r="A639" s="84"/>
      <c r="B639" s="329" t="s">
        <v>701</v>
      </c>
      <c r="C639" s="21" t="s">
        <v>29</v>
      </c>
      <c r="D639" s="340">
        <v>0</v>
      </c>
      <c r="E639" s="18"/>
      <c r="F639" s="60">
        <f>2779*1.18</f>
        <v>3279.22</v>
      </c>
      <c r="G639" s="18"/>
      <c r="H639" s="2">
        <f>ROUND(D639*F639,2)</f>
        <v>0</v>
      </c>
      <c r="I639" s="18">
        <f t="shared" si="39"/>
        <v>0</v>
      </c>
    </row>
    <row r="640" spans="1:10" ht="31.2" hidden="1" outlineLevel="1" x14ac:dyDescent="0.25">
      <c r="A640" s="84" t="s">
        <v>554</v>
      </c>
      <c r="B640" s="307" t="s">
        <v>152</v>
      </c>
      <c r="C640" s="31" t="s">
        <v>29</v>
      </c>
      <c r="D640" s="306">
        <f>D641</f>
        <v>0</v>
      </c>
      <c r="E640" s="256">
        <v>85</v>
      </c>
      <c r="F640" s="60"/>
      <c r="G640" s="2">
        <f>ROUND(E640*D640,2)</f>
        <v>0</v>
      </c>
      <c r="H640" s="18"/>
      <c r="I640" s="18">
        <f t="shared" si="39"/>
        <v>0</v>
      </c>
    </row>
    <row r="641" spans="1:9" hidden="1" outlineLevel="1" x14ac:dyDescent="0.25">
      <c r="A641" s="84"/>
      <c r="B641" s="329" t="s">
        <v>438</v>
      </c>
      <c r="C641" s="21" t="s">
        <v>29</v>
      </c>
      <c r="D641" s="340">
        <v>0</v>
      </c>
      <c r="E641" s="18"/>
      <c r="F641" s="60">
        <f>1626.1/5.5</f>
        <v>295.65454545454543</v>
      </c>
      <c r="G641" s="18"/>
      <c r="H641" s="2">
        <f>ROUND(D641*F641,2)</f>
        <v>0</v>
      </c>
      <c r="I641" s="18">
        <f t="shared" si="39"/>
        <v>0</v>
      </c>
    </row>
    <row r="642" spans="1:9" s="6" customFormat="1" hidden="1" outlineLevel="1" x14ac:dyDescent="0.25">
      <c r="A642" s="84" t="s">
        <v>555</v>
      </c>
      <c r="B642" s="307" t="s">
        <v>153</v>
      </c>
      <c r="C642" s="31" t="s">
        <v>12</v>
      </c>
      <c r="D642" s="306">
        <v>0</v>
      </c>
      <c r="E642" s="5"/>
      <c r="F642" s="60"/>
      <c r="G642" s="18"/>
      <c r="H642" s="18"/>
      <c r="I642" s="18">
        <f t="shared" si="39"/>
        <v>0</v>
      </c>
    </row>
    <row r="643" spans="1:9" hidden="1" outlineLevel="1" x14ac:dyDescent="0.25">
      <c r="A643" s="84"/>
      <c r="B643" s="329" t="s">
        <v>436</v>
      </c>
      <c r="C643" s="21" t="s">
        <v>12</v>
      </c>
      <c r="D643" s="340">
        <v>0</v>
      </c>
      <c r="E643" s="18"/>
      <c r="F643" s="60">
        <v>480.3</v>
      </c>
      <c r="G643" s="18"/>
      <c r="H643" s="2">
        <f>ROUND(D643*F643,2)</f>
        <v>0</v>
      </c>
      <c r="I643" s="18">
        <f t="shared" si="39"/>
        <v>0</v>
      </c>
    </row>
    <row r="644" spans="1:9" hidden="1" outlineLevel="1" x14ac:dyDescent="0.25">
      <c r="A644" s="84"/>
      <c r="B644" s="329" t="s">
        <v>435</v>
      </c>
      <c r="C644" s="21" t="s">
        <v>12</v>
      </c>
      <c r="D644" s="340">
        <v>0</v>
      </c>
      <c r="E644" s="18"/>
      <c r="F644" s="60">
        <v>322.2</v>
      </c>
      <c r="G644" s="18"/>
      <c r="H644" s="2">
        <f>ROUND(D644*F644,2)</f>
        <v>0</v>
      </c>
      <c r="I644" s="18">
        <f t="shared" si="39"/>
        <v>0</v>
      </c>
    </row>
    <row r="645" spans="1:9" hidden="1" outlineLevel="1" x14ac:dyDescent="0.25">
      <c r="A645" s="84" t="s">
        <v>556</v>
      </c>
      <c r="B645" s="75" t="s">
        <v>92</v>
      </c>
      <c r="C645" s="2"/>
      <c r="D645" s="2"/>
      <c r="E645" s="2"/>
      <c r="F645" s="11"/>
      <c r="G645" s="18"/>
      <c r="H645" s="18"/>
      <c r="I645" s="18">
        <f t="shared" si="39"/>
        <v>0</v>
      </c>
    </row>
    <row r="646" spans="1:9" ht="31.2" hidden="1" outlineLevel="1" x14ac:dyDescent="0.25">
      <c r="A646" s="84" t="s">
        <v>557</v>
      </c>
      <c r="B646" s="9" t="s">
        <v>93</v>
      </c>
      <c r="C646" s="31" t="s">
        <v>29</v>
      </c>
      <c r="D646" s="31">
        <v>0</v>
      </c>
      <c r="E646" s="256">
        <v>150</v>
      </c>
      <c r="F646" s="60"/>
      <c r="G646" s="2">
        <f>ROUND(E646*D646,2)</f>
        <v>0</v>
      </c>
      <c r="H646" s="18"/>
      <c r="I646" s="18">
        <f t="shared" si="39"/>
        <v>0</v>
      </c>
    </row>
    <row r="647" spans="1:9" hidden="1" outlineLevel="1" x14ac:dyDescent="0.25">
      <c r="A647" s="84"/>
      <c r="B647" s="343" t="s">
        <v>94</v>
      </c>
      <c r="C647" s="21" t="s">
        <v>29</v>
      </c>
      <c r="D647" s="340">
        <v>0</v>
      </c>
      <c r="E647" s="282"/>
      <c r="F647" s="60">
        <v>64.900000000000006</v>
      </c>
      <c r="G647" s="18"/>
      <c r="H647" s="2">
        <f>ROUND(D647*F647,2)</f>
        <v>0</v>
      </c>
      <c r="I647" s="18">
        <f t="shared" si="39"/>
        <v>0</v>
      </c>
    </row>
    <row r="648" spans="1:9" ht="31.2" hidden="1" outlineLevel="1" x14ac:dyDescent="0.25">
      <c r="A648" s="84" t="s">
        <v>558</v>
      </c>
      <c r="B648" s="29" t="s">
        <v>95</v>
      </c>
      <c r="C648" s="31" t="s">
        <v>29</v>
      </c>
      <c r="D648" s="31">
        <f>D649+D650+D651+D652</f>
        <v>0</v>
      </c>
      <c r="E648" s="256">
        <v>85</v>
      </c>
      <c r="F648" s="60"/>
      <c r="G648" s="2">
        <f>ROUND(E648*D648,2)</f>
        <v>0</v>
      </c>
      <c r="H648" s="18"/>
      <c r="I648" s="18">
        <f t="shared" si="39"/>
        <v>0</v>
      </c>
    </row>
    <row r="649" spans="1:9" hidden="1" outlineLevel="1" x14ac:dyDescent="0.25">
      <c r="A649" s="84"/>
      <c r="B649" s="343" t="s">
        <v>96</v>
      </c>
      <c r="C649" s="21" t="s">
        <v>29</v>
      </c>
      <c r="D649" s="340">
        <v>0</v>
      </c>
      <c r="E649" s="282"/>
      <c r="F649" s="60">
        <v>22.07</v>
      </c>
      <c r="G649" s="18"/>
      <c r="H649" s="2">
        <f t="shared" ref="H649:H656" si="42">ROUND(D649*F649,2)</f>
        <v>0</v>
      </c>
      <c r="I649" s="18">
        <f t="shared" ref="I649:I679" si="43">G649+H649</f>
        <v>0</v>
      </c>
    </row>
    <row r="650" spans="1:9" hidden="1" outlineLevel="1" x14ac:dyDescent="0.25">
      <c r="A650" s="84"/>
      <c r="B650" s="343" t="s">
        <v>97</v>
      </c>
      <c r="C650" s="21" t="s">
        <v>29</v>
      </c>
      <c r="D650" s="340">
        <v>0</v>
      </c>
      <c r="E650" s="282"/>
      <c r="F650" s="60">
        <v>25.75</v>
      </c>
      <c r="G650" s="18"/>
      <c r="H650" s="2">
        <f t="shared" si="42"/>
        <v>0</v>
      </c>
      <c r="I650" s="18">
        <f t="shared" si="43"/>
        <v>0</v>
      </c>
    </row>
    <row r="651" spans="1:9" hidden="1" outlineLevel="1" x14ac:dyDescent="0.25">
      <c r="A651" s="84"/>
      <c r="B651" s="343" t="s">
        <v>98</v>
      </c>
      <c r="C651" s="21" t="s">
        <v>29</v>
      </c>
      <c r="D651" s="340">
        <v>0</v>
      </c>
      <c r="E651" s="282"/>
      <c r="F651" s="60">
        <v>58.9</v>
      </c>
      <c r="G651" s="18"/>
      <c r="H651" s="2">
        <f t="shared" si="42"/>
        <v>0</v>
      </c>
      <c r="I651" s="18">
        <f t="shared" si="43"/>
        <v>0</v>
      </c>
    </row>
    <row r="652" spans="1:9" hidden="1" outlineLevel="1" x14ac:dyDescent="0.25">
      <c r="A652" s="84"/>
      <c r="B652" s="343" t="s">
        <v>241</v>
      </c>
      <c r="C652" s="21" t="s">
        <v>29</v>
      </c>
      <c r="D652" s="340">
        <v>0</v>
      </c>
      <c r="E652" s="282"/>
      <c r="F652" s="60">
        <v>75</v>
      </c>
      <c r="G652" s="18"/>
      <c r="H652" s="2">
        <f t="shared" si="42"/>
        <v>0</v>
      </c>
      <c r="I652" s="18">
        <f>G652+H652</f>
        <v>0</v>
      </c>
    </row>
    <row r="653" spans="1:9" hidden="1" outlineLevel="1" x14ac:dyDescent="0.25">
      <c r="A653" s="84"/>
      <c r="B653" s="329" t="s">
        <v>99</v>
      </c>
      <c r="C653" s="21" t="s">
        <v>12</v>
      </c>
      <c r="D653" s="340">
        <v>0</v>
      </c>
      <c r="E653" s="282"/>
      <c r="F653" s="60">
        <v>198</v>
      </c>
      <c r="G653" s="18"/>
      <c r="H653" s="2">
        <f t="shared" si="42"/>
        <v>0</v>
      </c>
      <c r="I653" s="18">
        <f t="shared" si="43"/>
        <v>0</v>
      </c>
    </row>
    <row r="654" spans="1:9" hidden="1" outlineLevel="1" x14ac:dyDescent="0.25">
      <c r="A654" s="84"/>
      <c r="B654" s="329" t="s">
        <v>100</v>
      </c>
      <c r="C654" s="21" t="s">
        <v>12</v>
      </c>
      <c r="D654" s="340">
        <v>0</v>
      </c>
      <c r="E654" s="282"/>
      <c r="F654" s="60">
        <v>198</v>
      </c>
      <c r="G654" s="18"/>
      <c r="H654" s="2">
        <f t="shared" si="42"/>
        <v>0</v>
      </c>
      <c r="I654" s="18">
        <f t="shared" si="43"/>
        <v>0</v>
      </c>
    </row>
    <row r="655" spans="1:9" ht="31.2" hidden="1" outlineLevel="1" x14ac:dyDescent="0.25">
      <c r="A655" s="84"/>
      <c r="B655" s="329" t="s">
        <v>107</v>
      </c>
      <c r="C655" s="21" t="s">
        <v>12</v>
      </c>
      <c r="D655" s="360">
        <v>0</v>
      </c>
      <c r="E655" s="282"/>
      <c r="F655" s="361">
        <v>70</v>
      </c>
      <c r="G655" s="18"/>
      <c r="H655" s="2">
        <f t="shared" si="42"/>
        <v>0</v>
      </c>
      <c r="I655" s="18">
        <f t="shared" si="43"/>
        <v>0</v>
      </c>
    </row>
    <row r="656" spans="1:9" ht="31.2" hidden="1" outlineLevel="1" x14ac:dyDescent="0.25">
      <c r="A656" s="84"/>
      <c r="B656" s="329" t="s">
        <v>242</v>
      </c>
      <c r="C656" s="21" t="s">
        <v>29</v>
      </c>
      <c r="D656" s="340">
        <v>0</v>
      </c>
      <c r="E656" s="282"/>
      <c r="F656" s="60">
        <v>35</v>
      </c>
      <c r="G656" s="18"/>
      <c r="H656" s="2">
        <f t="shared" si="42"/>
        <v>0</v>
      </c>
      <c r="I656" s="18">
        <f>G656+H656</f>
        <v>0</v>
      </c>
    </row>
    <row r="657" spans="1:9" hidden="1" outlineLevel="1" x14ac:dyDescent="0.25">
      <c r="A657" s="84" t="s">
        <v>559</v>
      </c>
      <c r="B657" s="29" t="s">
        <v>101</v>
      </c>
      <c r="C657" s="31" t="s">
        <v>29</v>
      </c>
      <c r="D657" s="306">
        <f>D658</f>
        <v>0</v>
      </c>
      <c r="E657" s="256">
        <v>30</v>
      </c>
      <c r="F657" s="60"/>
      <c r="G657" s="2">
        <f>ROUND(E657*D657,2)</f>
        <v>0</v>
      </c>
      <c r="H657" s="18"/>
      <c r="I657" s="18">
        <f t="shared" si="43"/>
        <v>0</v>
      </c>
    </row>
    <row r="658" spans="1:9" hidden="1" outlineLevel="1" x14ac:dyDescent="0.25">
      <c r="A658" s="84"/>
      <c r="B658" s="329" t="s">
        <v>175</v>
      </c>
      <c r="C658" s="21" t="s">
        <v>29</v>
      </c>
      <c r="D658" s="340">
        <v>0</v>
      </c>
      <c r="E658" s="18"/>
      <c r="F658" s="164">
        <v>74</v>
      </c>
      <c r="G658" s="18"/>
      <c r="H658" s="2">
        <f>ROUND(D658*F658,2)</f>
        <v>0</v>
      </c>
      <c r="I658" s="18">
        <f t="shared" si="43"/>
        <v>0</v>
      </c>
    </row>
    <row r="659" spans="1:9" hidden="1" outlineLevel="1" x14ac:dyDescent="0.25">
      <c r="A659" s="84" t="s">
        <v>560</v>
      </c>
      <c r="B659" s="29" t="s">
        <v>102</v>
      </c>
      <c r="C659" s="31" t="s">
        <v>12</v>
      </c>
      <c r="D659" s="306">
        <f>D660</f>
        <v>0</v>
      </c>
      <c r="E659" s="256">
        <v>500</v>
      </c>
      <c r="F659" s="60"/>
      <c r="G659" s="2">
        <f>ROUND(E659*D659,2)</f>
        <v>0</v>
      </c>
      <c r="H659" s="18"/>
      <c r="I659" s="18">
        <f t="shared" si="43"/>
        <v>0</v>
      </c>
    </row>
    <row r="660" spans="1:9" hidden="1" outlineLevel="1" x14ac:dyDescent="0.25">
      <c r="A660" s="84"/>
      <c r="B660" s="343" t="s">
        <v>103</v>
      </c>
      <c r="C660" s="21" t="s">
        <v>12</v>
      </c>
      <c r="D660" s="340">
        <v>0</v>
      </c>
      <c r="E660" s="282"/>
      <c r="F660" s="60">
        <v>400</v>
      </c>
      <c r="G660" s="18"/>
      <c r="H660" s="2">
        <f>ROUND(D660*F660,2)</f>
        <v>0</v>
      </c>
      <c r="I660" s="18">
        <f t="shared" si="43"/>
        <v>0</v>
      </c>
    </row>
    <row r="661" spans="1:9" hidden="1" outlineLevel="1" x14ac:dyDescent="0.25">
      <c r="A661" s="84"/>
      <c r="B661" s="343" t="s">
        <v>104</v>
      </c>
      <c r="C661" s="21" t="s">
        <v>12</v>
      </c>
      <c r="D661" s="340">
        <f>D660</f>
        <v>0</v>
      </c>
      <c r="E661" s="282"/>
      <c r="F661" s="60">
        <v>210.8</v>
      </c>
      <c r="G661" s="18"/>
      <c r="H661" s="2">
        <f>ROUND(D661*F661,2)</f>
        <v>0</v>
      </c>
      <c r="I661" s="18">
        <f t="shared" si="43"/>
        <v>0</v>
      </c>
    </row>
    <row r="662" spans="1:9" hidden="1" outlineLevel="1" x14ac:dyDescent="0.25">
      <c r="A662" s="84" t="s">
        <v>561</v>
      </c>
      <c r="B662" s="29" t="s">
        <v>105</v>
      </c>
      <c r="C662" s="31" t="s">
        <v>12</v>
      </c>
      <c r="D662" s="306">
        <f>D661</f>
        <v>0</v>
      </c>
      <c r="E662" s="256">
        <v>520</v>
      </c>
      <c r="F662" s="60"/>
      <c r="G662" s="2">
        <f>ROUND(E662*D662,2)</f>
        <v>0</v>
      </c>
      <c r="H662" s="18"/>
      <c r="I662" s="18">
        <f t="shared" si="43"/>
        <v>0</v>
      </c>
    </row>
    <row r="663" spans="1:9" ht="31.2" hidden="1" outlineLevel="1" x14ac:dyDescent="0.25">
      <c r="A663" s="84"/>
      <c r="B663" s="343" t="s">
        <v>106</v>
      </c>
      <c r="C663" s="21" t="s">
        <v>12</v>
      </c>
      <c r="D663" s="340">
        <f>D662</f>
        <v>0</v>
      </c>
      <c r="E663" s="282"/>
      <c r="F663" s="60">
        <v>900</v>
      </c>
      <c r="G663" s="18"/>
      <c r="H663" s="2">
        <f>ROUND(D663*F663,2)</f>
        <v>0</v>
      </c>
      <c r="I663" s="18">
        <f t="shared" si="43"/>
        <v>0</v>
      </c>
    </row>
    <row r="664" spans="1:9" hidden="1" outlineLevel="1" x14ac:dyDescent="0.25">
      <c r="A664" s="84" t="s">
        <v>562</v>
      </c>
      <c r="B664" s="75" t="s">
        <v>108</v>
      </c>
      <c r="C664" s="2"/>
      <c r="D664" s="158"/>
      <c r="E664" s="282"/>
      <c r="F664" s="11"/>
      <c r="G664" s="18"/>
      <c r="H664" s="18"/>
      <c r="I664" s="18">
        <f t="shared" si="43"/>
        <v>0</v>
      </c>
    </row>
    <row r="665" spans="1:9" ht="31.2" hidden="1" outlineLevel="1" x14ac:dyDescent="0.25">
      <c r="A665" s="84" t="s">
        <v>563</v>
      </c>
      <c r="B665" s="29" t="s">
        <v>110</v>
      </c>
      <c r="C665" s="31" t="s">
        <v>29</v>
      </c>
      <c r="D665" s="31">
        <f>D666</f>
        <v>0</v>
      </c>
      <c r="E665" s="256">
        <v>85</v>
      </c>
      <c r="F665" s="60"/>
      <c r="G665" s="2">
        <f>ROUND(E665*D665,2)</f>
        <v>0</v>
      </c>
      <c r="H665" s="18">
        <f>D665*F665</f>
        <v>0</v>
      </c>
      <c r="I665" s="18">
        <f t="shared" si="43"/>
        <v>0</v>
      </c>
    </row>
    <row r="666" spans="1:9" ht="31.2" hidden="1" outlineLevel="1" x14ac:dyDescent="0.25">
      <c r="A666" s="84"/>
      <c r="B666" s="343" t="s">
        <v>109</v>
      </c>
      <c r="C666" s="21" t="s">
        <v>29</v>
      </c>
      <c r="D666" s="340">
        <v>0</v>
      </c>
      <c r="E666" s="18"/>
      <c r="F666" s="361">
        <v>170</v>
      </c>
      <c r="G666" s="18"/>
      <c r="H666" s="2">
        <f>ROUND(D666*F666,2)</f>
        <v>0</v>
      </c>
      <c r="I666" s="18">
        <f t="shared" si="43"/>
        <v>0</v>
      </c>
    </row>
    <row r="667" spans="1:9" hidden="1" outlineLevel="1" x14ac:dyDescent="0.25">
      <c r="A667" s="84"/>
      <c r="B667" s="329" t="s">
        <v>100</v>
      </c>
      <c r="C667" s="21" t="s">
        <v>12</v>
      </c>
      <c r="D667" s="340">
        <v>0</v>
      </c>
      <c r="E667" s="18"/>
      <c r="F667" s="361">
        <v>198</v>
      </c>
      <c r="G667" s="18"/>
      <c r="H667" s="2">
        <f>ROUND(D667*F667,2)</f>
        <v>0</v>
      </c>
      <c r="I667" s="18">
        <f t="shared" si="43"/>
        <v>0</v>
      </c>
    </row>
    <row r="668" spans="1:9" ht="31.2" hidden="1" outlineLevel="1" x14ac:dyDescent="0.25">
      <c r="A668" s="84"/>
      <c r="B668" s="329" t="s">
        <v>107</v>
      </c>
      <c r="C668" s="21" t="s">
        <v>12</v>
      </c>
      <c r="D668" s="340">
        <v>0</v>
      </c>
      <c r="E668" s="18"/>
      <c r="F668" s="361">
        <v>120</v>
      </c>
      <c r="G668" s="18"/>
      <c r="H668" s="2">
        <f>ROUND(D668*F668,2)</f>
        <v>0</v>
      </c>
      <c r="I668" s="18">
        <f t="shared" si="43"/>
        <v>0</v>
      </c>
    </row>
    <row r="669" spans="1:9" ht="31.2" hidden="1" outlineLevel="1" x14ac:dyDescent="0.25">
      <c r="A669" s="84"/>
      <c r="B669" s="329" t="s">
        <v>439</v>
      </c>
      <c r="C669" s="21" t="s">
        <v>29</v>
      </c>
      <c r="D669" s="340">
        <v>0</v>
      </c>
      <c r="E669" s="18"/>
      <c r="F669" s="60">
        <v>35</v>
      </c>
      <c r="G669" s="18"/>
      <c r="H669" s="2">
        <f>ROUND(D669*F669,2)</f>
        <v>0</v>
      </c>
      <c r="I669" s="18">
        <f>G669+H669</f>
        <v>0</v>
      </c>
    </row>
    <row r="670" spans="1:9" hidden="1" outlineLevel="1" x14ac:dyDescent="0.25">
      <c r="A670" s="84" t="s">
        <v>564</v>
      </c>
      <c r="B670" s="75" t="s">
        <v>111</v>
      </c>
      <c r="C670" s="2"/>
      <c r="D670" s="158"/>
      <c r="E670" s="2"/>
      <c r="F670" s="11"/>
      <c r="G670" s="18"/>
      <c r="H670" s="18"/>
      <c r="I670" s="18">
        <f t="shared" si="43"/>
        <v>0</v>
      </c>
    </row>
    <row r="671" spans="1:9" ht="31.2" hidden="1" outlineLevel="1" x14ac:dyDescent="0.25">
      <c r="A671" s="84" t="s">
        <v>565</v>
      </c>
      <c r="B671" s="29" t="s">
        <v>112</v>
      </c>
      <c r="C671" s="31" t="s">
        <v>29</v>
      </c>
      <c r="D671" s="31">
        <f>D672+D673+D674</f>
        <v>0</v>
      </c>
      <c r="E671" s="256">
        <v>85</v>
      </c>
      <c r="F671" s="60"/>
      <c r="G671" s="2">
        <f>ROUND(E671*D671,2)</f>
        <v>0</v>
      </c>
      <c r="H671" s="18"/>
      <c r="I671" s="18">
        <f t="shared" si="43"/>
        <v>0</v>
      </c>
    </row>
    <row r="672" spans="1:9" hidden="1" outlineLevel="1" x14ac:dyDescent="0.25">
      <c r="A672" s="84"/>
      <c r="B672" s="329" t="s">
        <v>113</v>
      </c>
      <c r="C672" s="21" t="s">
        <v>29</v>
      </c>
      <c r="D672" s="340">
        <v>0</v>
      </c>
      <c r="E672" s="18"/>
      <c r="F672" s="60">
        <v>63.8</v>
      </c>
      <c r="G672" s="18"/>
      <c r="H672" s="2">
        <f t="shared" ref="H672:H678" si="44">ROUND(D672*F672,2)</f>
        <v>0</v>
      </c>
      <c r="I672" s="18">
        <f t="shared" si="43"/>
        <v>0</v>
      </c>
    </row>
    <row r="673" spans="1:10" hidden="1" outlineLevel="1" x14ac:dyDescent="0.25">
      <c r="A673" s="84"/>
      <c r="B673" s="329" t="s">
        <v>440</v>
      </c>
      <c r="C673" s="21" t="s">
        <v>29</v>
      </c>
      <c r="D673" s="340">
        <v>0</v>
      </c>
      <c r="E673" s="18"/>
      <c r="F673" s="11">
        <v>55</v>
      </c>
      <c r="G673" s="18"/>
      <c r="H673" s="2">
        <f t="shared" si="44"/>
        <v>0</v>
      </c>
      <c r="I673" s="18">
        <f>G673+H673</f>
        <v>0</v>
      </c>
    </row>
    <row r="674" spans="1:10" hidden="1" outlineLevel="1" x14ac:dyDescent="0.25">
      <c r="A674" s="84"/>
      <c r="B674" s="329" t="s">
        <v>114</v>
      </c>
      <c r="C674" s="21" t="s">
        <v>29</v>
      </c>
      <c r="D674" s="340">
        <v>0</v>
      </c>
      <c r="E674" s="18"/>
      <c r="F674" s="60">
        <v>103.95</v>
      </c>
      <c r="G674" s="18"/>
      <c r="H674" s="2">
        <f t="shared" si="44"/>
        <v>0</v>
      </c>
      <c r="I674" s="18">
        <f>G674+H674</f>
        <v>0</v>
      </c>
    </row>
    <row r="675" spans="1:10" hidden="1" outlineLevel="1" x14ac:dyDescent="0.25">
      <c r="A675" s="84"/>
      <c r="B675" s="329" t="s">
        <v>115</v>
      </c>
      <c r="C675" s="21" t="s">
        <v>12</v>
      </c>
      <c r="D675" s="340">
        <v>0</v>
      </c>
      <c r="E675" s="18"/>
      <c r="F675" s="60">
        <v>61.27</v>
      </c>
      <c r="G675" s="18"/>
      <c r="H675" s="2">
        <f t="shared" si="44"/>
        <v>0</v>
      </c>
      <c r="I675" s="18">
        <f t="shared" si="43"/>
        <v>0</v>
      </c>
    </row>
    <row r="676" spans="1:10" hidden="1" outlineLevel="1" x14ac:dyDescent="0.25">
      <c r="A676" s="84"/>
      <c r="B676" s="343" t="s">
        <v>91</v>
      </c>
      <c r="C676" s="21" t="s">
        <v>15</v>
      </c>
      <c r="D676" s="340">
        <v>0</v>
      </c>
      <c r="E676" s="18"/>
      <c r="F676" s="60">
        <f>37500/1000</f>
        <v>37.5</v>
      </c>
      <c r="G676" s="18"/>
      <c r="H676" s="2">
        <f t="shared" si="44"/>
        <v>0</v>
      </c>
      <c r="I676" s="18">
        <f t="shared" si="43"/>
        <v>0</v>
      </c>
    </row>
    <row r="677" spans="1:10" hidden="1" outlineLevel="1" x14ac:dyDescent="0.25">
      <c r="A677" s="84"/>
      <c r="B677" s="329" t="s">
        <v>116</v>
      </c>
      <c r="C677" s="21" t="s">
        <v>12</v>
      </c>
      <c r="D677" s="340">
        <v>0</v>
      </c>
      <c r="E677" s="18"/>
      <c r="F677" s="60">
        <v>320</v>
      </c>
      <c r="G677" s="18"/>
      <c r="H677" s="2">
        <f t="shared" si="44"/>
        <v>0</v>
      </c>
      <c r="I677" s="18">
        <f t="shared" si="43"/>
        <v>0</v>
      </c>
    </row>
    <row r="678" spans="1:10" hidden="1" outlineLevel="1" x14ac:dyDescent="0.25">
      <c r="A678" s="84"/>
      <c r="B678" s="329" t="s">
        <v>441</v>
      </c>
      <c r="C678" s="21" t="s">
        <v>12</v>
      </c>
      <c r="D678" s="340">
        <v>0</v>
      </c>
      <c r="E678" s="18"/>
      <c r="F678" s="60">
        <v>1250</v>
      </c>
      <c r="G678" s="18"/>
      <c r="H678" s="2">
        <f t="shared" si="44"/>
        <v>0</v>
      </c>
      <c r="I678" s="18">
        <f>G678+H678</f>
        <v>0</v>
      </c>
    </row>
    <row r="679" spans="1:10" hidden="1" outlineLevel="1" x14ac:dyDescent="0.25">
      <c r="A679" s="84"/>
      <c r="B679" s="75" t="s">
        <v>117</v>
      </c>
      <c r="C679" s="2"/>
      <c r="D679" s="158"/>
      <c r="E679" s="2"/>
      <c r="F679" s="11"/>
      <c r="G679" s="18"/>
      <c r="H679" s="18"/>
      <c r="I679" s="18">
        <f t="shared" si="43"/>
        <v>0</v>
      </c>
    </row>
    <row r="680" spans="1:10" ht="31.2" hidden="1" outlineLevel="1" x14ac:dyDescent="0.25">
      <c r="A680" s="87"/>
      <c r="B680" s="307" t="s">
        <v>112</v>
      </c>
      <c r="C680" s="2" t="s">
        <v>29</v>
      </c>
      <c r="D680" s="306">
        <f>D681</f>
        <v>0</v>
      </c>
      <c r="E680" s="256">
        <v>85</v>
      </c>
      <c r="F680" s="60"/>
      <c r="G680" s="2">
        <f>ROUND(E680*D680,2)</f>
        <v>0</v>
      </c>
      <c r="H680" s="18"/>
      <c r="I680" s="18">
        <f>G680+H680</f>
        <v>0</v>
      </c>
      <c r="J680" s="780" t="s">
        <v>625</v>
      </c>
    </row>
    <row r="681" spans="1:10" hidden="1" outlineLevel="1" x14ac:dyDescent="0.25">
      <c r="A681" s="84"/>
      <c r="B681" s="329" t="s">
        <v>114</v>
      </c>
      <c r="C681" s="21" t="s">
        <v>29</v>
      </c>
      <c r="D681" s="340">
        <v>0</v>
      </c>
      <c r="E681" s="158"/>
      <c r="F681" s="60">
        <v>103.95</v>
      </c>
      <c r="G681" s="158"/>
      <c r="H681" s="2">
        <f t="shared" ref="H681:H686" si="45">ROUND(D681*F681,2)</f>
        <v>0</v>
      </c>
      <c r="I681" s="18">
        <f t="shared" ref="I681:I686" si="46">G681+H681</f>
        <v>0</v>
      </c>
      <c r="J681" s="780"/>
    </row>
    <row r="682" spans="1:10" hidden="1" outlineLevel="1" x14ac:dyDescent="0.25">
      <c r="A682" s="84"/>
      <c r="B682" s="329" t="s">
        <v>115</v>
      </c>
      <c r="C682" s="21" t="s">
        <v>12</v>
      </c>
      <c r="D682" s="340">
        <v>0</v>
      </c>
      <c r="E682" s="158"/>
      <c r="F682" s="60">
        <v>61.27</v>
      </c>
      <c r="G682" s="158"/>
      <c r="H682" s="2">
        <f t="shared" si="45"/>
        <v>0</v>
      </c>
      <c r="I682" s="18">
        <f t="shared" si="46"/>
        <v>0</v>
      </c>
      <c r="J682" s="780"/>
    </row>
    <row r="683" spans="1:10" hidden="1" outlineLevel="1" x14ac:dyDescent="0.25">
      <c r="A683" s="84"/>
      <c r="B683" s="343" t="s">
        <v>91</v>
      </c>
      <c r="C683" s="21" t="s">
        <v>15</v>
      </c>
      <c r="D683" s="340">
        <v>0</v>
      </c>
      <c r="E683" s="158"/>
      <c r="F683" s="11">
        <f>37500/1000</f>
        <v>37.5</v>
      </c>
      <c r="G683" s="158"/>
      <c r="H683" s="2">
        <f t="shared" si="45"/>
        <v>0</v>
      </c>
      <c r="I683" s="18">
        <f t="shared" si="46"/>
        <v>0</v>
      </c>
      <c r="J683" s="780"/>
    </row>
    <row r="684" spans="1:10" hidden="1" outlineLevel="1" x14ac:dyDescent="0.25">
      <c r="A684" s="84"/>
      <c r="B684" s="329" t="s">
        <v>116</v>
      </c>
      <c r="C684" s="21" t="s">
        <v>12</v>
      </c>
      <c r="D684" s="340">
        <v>0</v>
      </c>
      <c r="E684" s="158"/>
      <c r="F684" s="11">
        <v>320</v>
      </c>
      <c r="G684" s="158"/>
      <c r="H684" s="2">
        <f t="shared" si="45"/>
        <v>0</v>
      </c>
      <c r="I684" s="18">
        <f t="shared" si="46"/>
        <v>0</v>
      </c>
      <c r="J684" s="780"/>
    </row>
    <row r="685" spans="1:10" hidden="1" outlineLevel="1" x14ac:dyDescent="0.25">
      <c r="A685" s="84"/>
      <c r="B685" s="329" t="s">
        <v>118</v>
      </c>
      <c r="C685" s="21" t="s">
        <v>12</v>
      </c>
      <c r="D685" s="340">
        <v>0</v>
      </c>
      <c r="E685" s="158"/>
      <c r="F685" s="164">
        <v>2435.6</v>
      </c>
      <c r="G685" s="158"/>
      <c r="H685" s="2">
        <f>ROUND(D685*F685,2)</f>
        <v>0</v>
      </c>
      <c r="I685" s="18">
        <f>G685+H685</f>
        <v>0</v>
      </c>
      <c r="J685" s="780"/>
    </row>
    <row r="686" spans="1:10" hidden="1" outlineLevel="1" x14ac:dyDescent="0.25">
      <c r="A686" s="84"/>
      <c r="B686" s="329" t="s">
        <v>714</v>
      </c>
      <c r="C686" s="21" t="s">
        <v>12</v>
      </c>
      <c r="D686" s="340">
        <v>0</v>
      </c>
      <c r="E686" s="158"/>
      <c r="F686" s="164">
        <v>100</v>
      </c>
      <c r="G686" s="158"/>
      <c r="H686" s="2">
        <f t="shared" si="45"/>
        <v>0</v>
      </c>
      <c r="I686" s="18">
        <f t="shared" si="46"/>
        <v>0</v>
      </c>
      <c r="J686" s="780"/>
    </row>
    <row r="687" spans="1:10" s="5" customFormat="1" ht="26.4" customHeight="1" collapsed="1" x14ac:dyDescent="0.25">
      <c r="A687" s="223"/>
      <c r="B687" s="233" t="s">
        <v>62</v>
      </c>
      <c r="C687" s="234"/>
      <c r="D687" s="235"/>
      <c r="E687" s="236"/>
      <c r="F687" s="237"/>
      <c r="G687" s="236">
        <f>SUM(G571:G686)</f>
        <v>0</v>
      </c>
      <c r="H687" s="236">
        <f>SUM(H570:H686)</f>
        <v>0</v>
      </c>
      <c r="I687" s="236">
        <f>SUM(I571:I686)</f>
        <v>0</v>
      </c>
    </row>
    <row r="688" spans="1:10" s="5" customFormat="1" x14ac:dyDescent="0.25">
      <c r="A688" s="84"/>
      <c r="B688" s="471" t="s">
        <v>624</v>
      </c>
      <c r="C688" s="9"/>
      <c r="D688" s="31"/>
      <c r="E688" s="10"/>
      <c r="F688" s="57"/>
      <c r="G688" s="10"/>
      <c r="H688" s="10"/>
      <c r="I688" s="31">
        <f>ROUND(I687/1.18*0.18,2)</f>
        <v>0</v>
      </c>
    </row>
    <row r="689" spans="1:12" s="5" customFormat="1" ht="18.75" customHeight="1" x14ac:dyDescent="0.25">
      <c r="A689" s="109"/>
      <c r="B689" s="771" t="s">
        <v>1213</v>
      </c>
      <c r="C689" s="771"/>
      <c r="D689" s="771"/>
      <c r="E689" s="105"/>
      <c r="F689" s="138"/>
      <c r="G689" s="105"/>
      <c r="H689" s="105"/>
      <c r="I689" s="106"/>
    </row>
    <row r="690" spans="1:12" hidden="1" outlineLevel="1" x14ac:dyDescent="0.25">
      <c r="A690" s="90"/>
      <c r="B690" s="496" t="s">
        <v>177</v>
      </c>
      <c r="C690" s="13"/>
      <c r="D690" s="2"/>
      <c r="E690" s="130">
        <f>H724*0.5</f>
        <v>0</v>
      </c>
      <c r="F690" s="147"/>
      <c r="G690" s="516">
        <f>E690</f>
        <v>0</v>
      </c>
      <c r="H690" s="26"/>
      <c r="I690" s="516">
        <f>G690+H690</f>
        <v>0</v>
      </c>
    </row>
    <row r="691" spans="1:12" hidden="1" outlineLevel="1" x14ac:dyDescent="0.25">
      <c r="A691" s="87" t="s">
        <v>338</v>
      </c>
      <c r="B691" s="29" t="s">
        <v>178</v>
      </c>
      <c r="C691" s="2" t="s">
        <v>12</v>
      </c>
      <c r="D691" s="340">
        <v>0</v>
      </c>
      <c r="E691" s="18"/>
      <c r="F691" s="60"/>
      <c r="G691" s="18"/>
      <c r="H691" s="18"/>
      <c r="I691" s="18">
        <f>G691+H691</f>
        <v>0</v>
      </c>
    </row>
    <row r="692" spans="1:12" hidden="1" outlineLevel="1" x14ac:dyDescent="0.25">
      <c r="A692" s="84"/>
      <c r="B692" s="28" t="s">
        <v>243</v>
      </c>
      <c r="C692" s="21" t="s">
        <v>12</v>
      </c>
      <c r="D692" s="340">
        <v>0</v>
      </c>
      <c r="E692" s="18"/>
      <c r="F692" s="60">
        <v>1530</v>
      </c>
      <c r="G692" s="18"/>
      <c r="H692" s="2">
        <f>ROUND(D692*F692,2)</f>
        <v>0</v>
      </c>
      <c r="I692" s="18">
        <f t="shared" ref="I692:I718" si="47">G692+H692</f>
        <v>0</v>
      </c>
    </row>
    <row r="693" spans="1:12" s="6" customFormat="1" hidden="1" outlineLevel="1" x14ac:dyDescent="0.25">
      <c r="A693" s="87" t="s">
        <v>567</v>
      </c>
      <c r="B693" s="63" t="s">
        <v>179</v>
      </c>
      <c r="C693" s="2" t="s">
        <v>173</v>
      </c>
      <c r="D693" s="340">
        <v>0</v>
      </c>
      <c r="E693" s="2"/>
      <c r="F693" s="11"/>
      <c r="G693" s="18"/>
      <c r="H693" s="18"/>
      <c r="I693" s="18">
        <f t="shared" si="47"/>
        <v>0</v>
      </c>
    </row>
    <row r="694" spans="1:12" hidden="1" outlineLevel="1" x14ac:dyDescent="0.25">
      <c r="A694" s="84"/>
      <c r="B694" s="60" t="s">
        <v>180</v>
      </c>
      <c r="C694" s="2" t="s">
        <v>12</v>
      </c>
      <c r="D694" s="340">
        <v>0</v>
      </c>
      <c r="E694" s="2"/>
      <c r="F694" s="11">
        <v>4200</v>
      </c>
      <c r="G694" s="18"/>
      <c r="H694" s="2">
        <f>ROUND(D694*F694,2)</f>
        <v>0</v>
      </c>
      <c r="I694" s="18">
        <f t="shared" si="47"/>
        <v>0</v>
      </c>
    </row>
    <row r="695" spans="1:12" hidden="1" outlineLevel="1" x14ac:dyDescent="0.25">
      <c r="A695" s="84"/>
      <c r="B695" s="60" t="s">
        <v>244</v>
      </c>
      <c r="C695" s="2" t="s">
        <v>12</v>
      </c>
      <c r="D695" s="340">
        <v>0</v>
      </c>
      <c r="E695" s="2"/>
      <c r="F695" s="11">
        <v>380</v>
      </c>
      <c r="G695" s="18"/>
      <c r="H695" s="2">
        <f>ROUND(D695*F695,2)</f>
        <v>0</v>
      </c>
      <c r="I695" s="18">
        <f>G695+H695</f>
        <v>0</v>
      </c>
    </row>
    <row r="696" spans="1:12" ht="31.2" hidden="1" outlineLevel="1" x14ac:dyDescent="0.25">
      <c r="A696" s="84" t="s">
        <v>568</v>
      </c>
      <c r="B696" s="63" t="s">
        <v>262</v>
      </c>
      <c r="C696" s="2" t="s">
        <v>173</v>
      </c>
      <c r="D696" s="2">
        <v>0</v>
      </c>
      <c r="E696" s="2"/>
      <c r="F696" s="11"/>
      <c r="G696" s="18"/>
      <c r="H696" s="18"/>
      <c r="I696" s="18">
        <f>G696+H696</f>
        <v>0</v>
      </c>
    </row>
    <row r="697" spans="1:12" ht="25.2" hidden="1" customHeight="1" outlineLevel="1" x14ac:dyDescent="0.25">
      <c r="A697" s="84"/>
      <c r="B697" s="152" t="s">
        <v>353</v>
      </c>
      <c r="C697" s="150" t="s">
        <v>12</v>
      </c>
      <c r="D697" s="150">
        <f>D696</f>
        <v>0</v>
      </c>
      <c r="E697" s="150"/>
      <c r="F697" s="151">
        <f>185000/3</f>
        <v>61666.666666666664</v>
      </c>
      <c r="G697" s="149"/>
      <c r="H697" s="150">
        <f>ROUND(D697*F697,2)</f>
        <v>0</v>
      </c>
      <c r="I697" s="149">
        <f>G697+H697</f>
        <v>0</v>
      </c>
      <c r="K697" s="781" t="s">
        <v>466</v>
      </c>
      <c r="L697" s="782"/>
    </row>
    <row r="698" spans="1:12" hidden="1" outlineLevel="1" x14ac:dyDescent="0.25">
      <c r="A698" s="84" t="s">
        <v>569</v>
      </c>
      <c r="B698" s="62" t="s">
        <v>245</v>
      </c>
      <c r="C698" s="2" t="s">
        <v>29</v>
      </c>
      <c r="D698" s="2">
        <f>D700+D701+D702+D703+D699</f>
        <v>0</v>
      </c>
      <c r="E698" s="2"/>
      <c r="F698" s="11"/>
      <c r="G698" s="18"/>
      <c r="H698" s="18">
        <f>E698*D698</f>
        <v>0</v>
      </c>
      <c r="I698" s="18">
        <f t="shared" si="47"/>
        <v>0</v>
      </c>
    </row>
    <row r="699" spans="1:12" hidden="1" outlineLevel="1" x14ac:dyDescent="0.25">
      <c r="A699" s="84"/>
      <c r="B699" s="74" t="s">
        <v>460</v>
      </c>
      <c r="C699" s="2" t="s">
        <v>29</v>
      </c>
      <c r="D699" s="2">
        <v>0</v>
      </c>
      <c r="E699" s="2"/>
      <c r="F699" s="11">
        <v>252.4</v>
      </c>
      <c r="G699" s="18"/>
      <c r="H699" s="2">
        <f t="shared" ref="H699:H718" si="48">ROUND(D699*F699,2)</f>
        <v>0</v>
      </c>
      <c r="I699" s="18">
        <f>G699+H699</f>
        <v>0</v>
      </c>
    </row>
    <row r="700" spans="1:12" hidden="1" outlineLevel="1" x14ac:dyDescent="0.25">
      <c r="A700" s="84"/>
      <c r="B700" s="74" t="s">
        <v>246</v>
      </c>
      <c r="C700" s="2" t="s">
        <v>29</v>
      </c>
      <c r="D700" s="2">
        <v>0</v>
      </c>
      <c r="E700" s="2"/>
      <c r="F700" s="11">
        <v>145.19999999999999</v>
      </c>
      <c r="G700" s="18"/>
      <c r="H700" s="2">
        <f t="shared" si="48"/>
        <v>0</v>
      </c>
      <c r="I700" s="18">
        <f t="shared" si="47"/>
        <v>0</v>
      </c>
    </row>
    <row r="701" spans="1:12" hidden="1" outlineLevel="1" x14ac:dyDescent="0.25">
      <c r="A701" s="84"/>
      <c r="B701" s="74" t="s">
        <v>247</v>
      </c>
      <c r="C701" s="2" t="s">
        <v>29</v>
      </c>
      <c r="D701" s="2">
        <v>0</v>
      </c>
      <c r="E701" s="2"/>
      <c r="F701" s="11">
        <f>2.91*42</f>
        <v>122.22</v>
      </c>
      <c r="G701" s="18"/>
      <c r="H701" s="2">
        <f t="shared" si="48"/>
        <v>0</v>
      </c>
      <c r="I701" s="18">
        <f t="shared" si="47"/>
        <v>0</v>
      </c>
    </row>
    <row r="702" spans="1:12" hidden="1" outlineLevel="1" x14ac:dyDescent="0.25">
      <c r="A702" s="84"/>
      <c r="B702" s="74" t="s">
        <v>248</v>
      </c>
      <c r="C702" s="2" t="s">
        <v>29</v>
      </c>
      <c r="D702" s="2">
        <v>0</v>
      </c>
      <c r="E702" s="2"/>
      <c r="F702" s="11">
        <f>2.12*42</f>
        <v>89.04</v>
      </c>
      <c r="G702" s="18"/>
      <c r="H702" s="2">
        <f t="shared" si="48"/>
        <v>0</v>
      </c>
      <c r="I702" s="18">
        <f t="shared" si="47"/>
        <v>0</v>
      </c>
    </row>
    <row r="703" spans="1:12" hidden="1" outlineLevel="1" x14ac:dyDescent="0.25">
      <c r="A703" s="84"/>
      <c r="B703" s="74" t="s">
        <v>249</v>
      </c>
      <c r="C703" s="2" t="s">
        <v>29</v>
      </c>
      <c r="D703" s="2">
        <v>0</v>
      </c>
      <c r="E703" s="2"/>
      <c r="F703" s="11">
        <v>70.900000000000006</v>
      </c>
      <c r="G703" s="18"/>
      <c r="H703" s="2">
        <f t="shared" si="48"/>
        <v>0</v>
      </c>
      <c r="I703" s="18">
        <f t="shared" si="47"/>
        <v>0</v>
      </c>
    </row>
    <row r="704" spans="1:12" hidden="1" outlineLevel="1" x14ac:dyDescent="0.25">
      <c r="A704" s="84"/>
      <c r="B704" s="74" t="s">
        <v>465</v>
      </c>
      <c r="C704" s="2" t="s">
        <v>29</v>
      </c>
      <c r="D704" s="2">
        <v>0</v>
      </c>
      <c r="E704" s="2"/>
      <c r="F704" s="11">
        <v>232</v>
      </c>
      <c r="G704" s="18"/>
      <c r="H704" s="2">
        <f t="shared" si="48"/>
        <v>0</v>
      </c>
      <c r="I704" s="18">
        <f t="shared" si="47"/>
        <v>0</v>
      </c>
    </row>
    <row r="705" spans="1:9" hidden="1" outlineLevel="1" x14ac:dyDescent="0.25">
      <c r="A705" s="84"/>
      <c r="B705" s="74" t="s">
        <v>254</v>
      </c>
      <c r="C705" s="2" t="s">
        <v>29</v>
      </c>
      <c r="D705" s="2">
        <v>0</v>
      </c>
      <c r="E705" s="2"/>
      <c r="F705" s="11">
        <v>158</v>
      </c>
      <c r="G705" s="18"/>
      <c r="H705" s="2">
        <f t="shared" si="48"/>
        <v>0</v>
      </c>
      <c r="I705" s="18">
        <f t="shared" si="47"/>
        <v>0</v>
      </c>
    </row>
    <row r="706" spans="1:9" hidden="1" outlineLevel="1" x14ac:dyDescent="0.25">
      <c r="A706" s="84"/>
      <c r="B706" s="74" t="s">
        <v>463</v>
      </c>
      <c r="C706" s="2" t="s">
        <v>15</v>
      </c>
      <c r="D706" s="2">
        <v>0</v>
      </c>
      <c r="E706" s="2"/>
      <c r="F706" s="11">
        <v>45</v>
      </c>
      <c r="G706" s="18"/>
      <c r="H706" s="18">
        <f t="shared" si="48"/>
        <v>0</v>
      </c>
      <c r="I706" s="18">
        <f t="shared" si="47"/>
        <v>0</v>
      </c>
    </row>
    <row r="707" spans="1:9" hidden="1" outlineLevel="1" x14ac:dyDescent="0.25">
      <c r="A707" s="84" t="s">
        <v>570</v>
      </c>
      <c r="B707" s="63" t="s">
        <v>250</v>
      </c>
      <c r="C707" s="2" t="s">
        <v>12</v>
      </c>
      <c r="D707" s="2">
        <f>D708+D709+D710+D712+D711+D713</f>
        <v>0</v>
      </c>
      <c r="E707" s="2"/>
      <c r="F707" s="11"/>
      <c r="G707" s="18"/>
      <c r="H707" s="18"/>
      <c r="I707" s="18">
        <f t="shared" si="47"/>
        <v>0</v>
      </c>
    </row>
    <row r="708" spans="1:9" hidden="1" outlineLevel="1" x14ac:dyDescent="0.25">
      <c r="A708" s="84"/>
      <c r="B708" s="28" t="s">
        <v>251</v>
      </c>
      <c r="C708" s="21" t="s">
        <v>12</v>
      </c>
      <c r="D708" s="2">
        <v>0</v>
      </c>
      <c r="E708" s="18"/>
      <c r="F708" s="60">
        <v>278</v>
      </c>
      <c r="G708" s="18"/>
      <c r="H708" s="18">
        <f t="shared" si="48"/>
        <v>0</v>
      </c>
      <c r="I708" s="18">
        <f t="shared" si="47"/>
        <v>0</v>
      </c>
    </row>
    <row r="709" spans="1:9" hidden="1" outlineLevel="1" x14ac:dyDescent="0.25">
      <c r="A709" s="84"/>
      <c r="B709" s="28" t="s">
        <v>252</v>
      </c>
      <c r="C709" s="21" t="s">
        <v>12</v>
      </c>
      <c r="D709" s="2">
        <v>0</v>
      </c>
      <c r="E709" s="18"/>
      <c r="F709" s="60">
        <v>143</v>
      </c>
      <c r="G709" s="18"/>
      <c r="H709" s="18">
        <f t="shared" si="48"/>
        <v>0</v>
      </c>
      <c r="I709" s="18">
        <f t="shared" si="47"/>
        <v>0</v>
      </c>
    </row>
    <row r="710" spans="1:9" hidden="1" outlineLevel="1" x14ac:dyDescent="0.25">
      <c r="A710" s="84"/>
      <c r="B710" s="28" t="s">
        <v>253</v>
      </c>
      <c r="C710" s="21" t="s">
        <v>12</v>
      </c>
      <c r="D710" s="2">
        <v>0</v>
      </c>
      <c r="E710" s="18"/>
      <c r="F710" s="60">
        <v>89.7</v>
      </c>
      <c r="G710" s="18"/>
      <c r="H710" s="18">
        <f t="shared" si="48"/>
        <v>0</v>
      </c>
      <c r="I710" s="18">
        <f t="shared" si="47"/>
        <v>0</v>
      </c>
    </row>
    <row r="711" spans="1:9" hidden="1" outlineLevel="1" x14ac:dyDescent="0.25">
      <c r="A711" s="84"/>
      <c r="B711" s="74" t="s">
        <v>488</v>
      </c>
      <c r="C711" s="2" t="s">
        <v>12</v>
      </c>
      <c r="D711" s="2">
        <v>0</v>
      </c>
      <c r="E711" s="2"/>
      <c r="F711" s="60">
        <v>1320</v>
      </c>
      <c r="G711" s="18"/>
      <c r="H711" s="18">
        <f t="shared" si="48"/>
        <v>0</v>
      </c>
      <c r="I711" s="18">
        <f t="shared" si="47"/>
        <v>0</v>
      </c>
    </row>
    <row r="712" spans="1:9" hidden="1" outlineLevel="1" x14ac:dyDescent="0.25">
      <c r="A712" s="84"/>
      <c r="B712" s="74" t="s">
        <v>487</v>
      </c>
      <c r="C712" s="2" t="s">
        <v>12</v>
      </c>
      <c r="D712" s="2">
        <v>0</v>
      </c>
      <c r="E712" s="2"/>
      <c r="F712" s="60">
        <v>1200</v>
      </c>
      <c r="G712" s="18"/>
      <c r="H712" s="18">
        <f t="shared" si="48"/>
        <v>0</v>
      </c>
      <c r="I712" s="18">
        <f t="shared" si="47"/>
        <v>0</v>
      </c>
    </row>
    <row r="713" spans="1:9" hidden="1" outlineLevel="1" x14ac:dyDescent="0.25">
      <c r="A713" s="84"/>
      <c r="B713" s="28" t="s">
        <v>459</v>
      </c>
      <c r="C713" s="21" t="s">
        <v>12</v>
      </c>
      <c r="D713" s="2">
        <v>0</v>
      </c>
      <c r="E713" s="2"/>
      <c r="F713" s="60">
        <v>490</v>
      </c>
      <c r="G713" s="18"/>
      <c r="H713" s="18">
        <f t="shared" si="48"/>
        <v>0</v>
      </c>
      <c r="I713" s="18">
        <f t="shared" si="47"/>
        <v>0</v>
      </c>
    </row>
    <row r="714" spans="1:9" hidden="1" outlineLevel="1" x14ac:dyDescent="0.25">
      <c r="A714" s="84"/>
      <c r="B714" s="74" t="s">
        <v>255</v>
      </c>
      <c r="C714" s="2" t="s">
        <v>12</v>
      </c>
      <c r="D714" s="2">
        <v>0</v>
      </c>
      <c r="E714" s="2"/>
      <c r="F714" s="11">
        <v>22.22</v>
      </c>
      <c r="G714" s="18"/>
      <c r="H714" s="18">
        <f t="shared" si="48"/>
        <v>0</v>
      </c>
      <c r="I714" s="18">
        <f t="shared" si="47"/>
        <v>0</v>
      </c>
    </row>
    <row r="715" spans="1:9" hidden="1" outlineLevel="1" x14ac:dyDescent="0.25">
      <c r="A715" s="84"/>
      <c r="B715" s="74" t="s">
        <v>256</v>
      </c>
      <c r="C715" s="2" t="s">
        <v>12</v>
      </c>
      <c r="D715" s="2">
        <v>0</v>
      </c>
      <c r="E715" s="2"/>
      <c r="F715" s="11">
        <v>16.760000000000002</v>
      </c>
      <c r="G715" s="18"/>
      <c r="H715" s="18">
        <f t="shared" si="48"/>
        <v>0</v>
      </c>
      <c r="I715" s="18">
        <f t="shared" si="47"/>
        <v>0</v>
      </c>
    </row>
    <row r="716" spans="1:9" hidden="1" outlineLevel="1" x14ac:dyDescent="0.25">
      <c r="A716" s="84"/>
      <c r="B716" s="74" t="s">
        <v>461</v>
      </c>
      <c r="C716" s="2" t="s">
        <v>12</v>
      </c>
      <c r="D716" s="2">
        <v>0</v>
      </c>
      <c r="E716" s="2"/>
      <c r="F716" s="11">
        <v>54.92</v>
      </c>
      <c r="G716" s="18"/>
      <c r="H716" s="18">
        <f t="shared" si="48"/>
        <v>0</v>
      </c>
      <c r="I716" s="18">
        <f t="shared" si="47"/>
        <v>0</v>
      </c>
    </row>
    <row r="717" spans="1:9" hidden="1" outlineLevel="1" x14ac:dyDescent="0.25">
      <c r="A717" s="84"/>
      <c r="B717" s="74" t="s">
        <v>257</v>
      </c>
      <c r="C717" s="2" t="s">
        <v>12</v>
      </c>
      <c r="D717" s="2">
        <v>0</v>
      </c>
      <c r="E717" s="2"/>
      <c r="F717" s="11">
        <v>19.12</v>
      </c>
      <c r="G717" s="18"/>
      <c r="H717" s="18">
        <f t="shared" si="48"/>
        <v>0</v>
      </c>
      <c r="I717" s="18">
        <f t="shared" si="47"/>
        <v>0</v>
      </c>
    </row>
    <row r="718" spans="1:9" hidden="1" outlineLevel="1" x14ac:dyDescent="0.25">
      <c r="A718" s="84"/>
      <c r="B718" s="74" t="s">
        <v>258</v>
      </c>
      <c r="C718" s="2" t="s">
        <v>12</v>
      </c>
      <c r="D718" s="2">
        <v>0</v>
      </c>
      <c r="E718" s="2"/>
      <c r="F718" s="11">
        <v>19.13</v>
      </c>
      <c r="G718" s="18"/>
      <c r="H718" s="18">
        <f t="shared" si="48"/>
        <v>0</v>
      </c>
      <c r="I718" s="18">
        <f t="shared" si="47"/>
        <v>0</v>
      </c>
    </row>
    <row r="719" spans="1:9" hidden="1" outlineLevel="1" x14ac:dyDescent="0.25">
      <c r="A719" s="84"/>
      <c r="B719" s="74" t="s">
        <v>462</v>
      </c>
      <c r="C719" s="2" t="s">
        <v>12</v>
      </c>
      <c r="D719" s="2">
        <v>0</v>
      </c>
      <c r="E719" s="2"/>
      <c r="F719" s="11">
        <v>32.700000000000003</v>
      </c>
      <c r="G719" s="18"/>
      <c r="H719" s="18">
        <f>ROUND(D719*F719,2)</f>
        <v>0</v>
      </c>
      <c r="I719" s="18">
        <f>G719+H719</f>
        <v>0</v>
      </c>
    </row>
    <row r="720" spans="1:9" hidden="1" outlineLevel="1" x14ac:dyDescent="0.25">
      <c r="A720" s="84" t="s">
        <v>571</v>
      </c>
      <c r="B720" s="62" t="s">
        <v>259</v>
      </c>
      <c r="C720" s="2" t="s">
        <v>14</v>
      </c>
      <c r="D720" s="2">
        <v>0</v>
      </c>
      <c r="E720" s="2"/>
      <c r="F720" s="11"/>
      <c r="G720" s="18"/>
      <c r="H720" s="18"/>
      <c r="I720" s="18"/>
    </row>
    <row r="721" spans="1:12" hidden="1" outlineLevel="1" x14ac:dyDescent="0.25">
      <c r="A721" s="84"/>
      <c r="B721" s="28" t="s">
        <v>260</v>
      </c>
      <c r="C721" s="21" t="s">
        <v>15</v>
      </c>
      <c r="D721" s="2">
        <f>D720*0.2</f>
        <v>0</v>
      </c>
      <c r="E721" s="18"/>
      <c r="F721" s="60">
        <v>100</v>
      </c>
      <c r="G721" s="18"/>
      <c r="H721" s="18">
        <f>ROUND(D721*F721,2)</f>
        <v>0</v>
      </c>
      <c r="I721" s="18">
        <f>H721+G721</f>
        <v>0</v>
      </c>
    </row>
    <row r="722" spans="1:12" hidden="1" outlineLevel="1" x14ac:dyDescent="0.25">
      <c r="A722" s="84"/>
      <c r="B722" s="28" t="s">
        <v>261</v>
      </c>
      <c r="C722" s="21" t="s">
        <v>15</v>
      </c>
      <c r="D722" s="2">
        <f>D720*0.4</f>
        <v>0</v>
      </c>
      <c r="E722" s="18"/>
      <c r="F722" s="60">
        <v>200</v>
      </c>
      <c r="G722" s="18"/>
      <c r="H722" s="18">
        <f>ROUND(D722*F722,2)</f>
        <v>0</v>
      </c>
      <c r="I722" s="18">
        <f>H722+G722</f>
        <v>0</v>
      </c>
    </row>
    <row r="723" spans="1:12" hidden="1" outlineLevel="1" x14ac:dyDescent="0.25">
      <c r="A723" s="84" t="s">
        <v>572</v>
      </c>
      <c r="B723" s="183" t="s">
        <v>464</v>
      </c>
      <c r="C723" s="178" t="s">
        <v>29</v>
      </c>
      <c r="D723" s="179">
        <f>D698</f>
        <v>0</v>
      </c>
      <c r="E723" s="180"/>
      <c r="F723" s="181"/>
      <c r="G723" s="182"/>
      <c r="H723" s="18"/>
      <c r="I723" s="18"/>
    </row>
    <row r="724" spans="1:12" s="5" customFormat="1" collapsed="1" x14ac:dyDescent="0.25">
      <c r="A724" s="223"/>
      <c r="B724" s="233" t="s">
        <v>63</v>
      </c>
      <c r="C724" s="234"/>
      <c r="D724" s="235"/>
      <c r="E724" s="236"/>
      <c r="F724" s="237"/>
      <c r="G724" s="236">
        <f>SUM(G690:G722)</f>
        <v>0</v>
      </c>
      <c r="H724" s="236">
        <f>SUM(H690:H722)</f>
        <v>0</v>
      </c>
      <c r="I724" s="236">
        <f>SUM(I690:I722)</f>
        <v>0</v>
      </c>
    </row>
    <row r="725" spans="1:12" s="5" customFormat="1" ht="18.600000000000001" customHeight="1" x14ac:dyDescent="0.25">
      <c r="A725" s="84"/>
      <c r="B725" s="471" t="s">
        <v>624</v>
      </c>
      <c r="C725" s="9"/>
      <c r="D725" s="31"/>
      <c r="E725" s="10"/>
      <c r="F725" s="57"/>
      <c r="G725" s="10"/>
      <c r="H725" s="10"/>
      <c r="I725" s="31">
        <f>ROUND(I724/1.18*0.18,2)</f>
        <v>0</v>
      </c>
    </row>
    <row r="726" spans="1:12" s="5" customFormat="1" ht="24" customHeight="1" x14ac:dyDescent="0.25">
      <c r="A726" s="492"/>
      <c r="B726" s="771" t="s">
        <v>1214</v>
      </c>
      <c r="C726" s="771"/>
      <c r="D726" s="771"/>
      <c r="E726" s="111"/>
      <c r="F726" s="145"/>
      <c r="G726" s="111"/>
      <c r="H726" s="111"/>
      <c r="I726" s="111"/>
      <c r="K726" s="129"/>
      <c r="L726" s="197"/>
    </row>
    <row r="727" spans="1:12" s="5" customFormat="1" outlineLevel="1" x14ac:dyDescent="0.25">
      <c r="A727" s="87" t="s">
        <v>1225</v>
      </c>
      <c r="B727" s="498" t="s">
        <v>341</v>
      </c>
      <c r="C727" s="176" t="s">
        <v>340</v>
      </c>
      <c r="D727" s="166">
        <v>0</v>
      </c>
      <c r="E727" s="10">
        <v>1320</v>
      </c>
      <c r="F727" s="57"/>
      <c r="G727" s="26">
        <f>E727*D727</f>
        <v>0</v>
      </c>
      <c r="H727" s="26"/>
      <c r="I727" s="26">
        <f>G727+H727</f>
        <v>0</v>
      </c>
      <c r="K727" s="129"/>
      <c r="L727" s="129"/>
    </row>
    <row r="728" spans="1:12" s="5" customFormat="1" x14ac:dyDescent="0.25">
      <c r="A728" s="223"/>
      <c r="B728" s="238" t="s">
        <v>308</v>
      </c>
      <c r="C728" s="234"/>
      <c r="D728" s="235"/>
      <c r="E728" s="236"/>
      <c r="F728" s="237"/>
      <c r="G728" s="236">
        <f>SUM(G727:G727)</f>
        <v>0</v>
      </c>
      <c r="H728" s="236">
        <f>SUM(H727:H727)</f>
        <v>0</v>
      </c>
      <c r="I728" s="236">
        <f>SUM(I727:I727)</f>
        <v>0</v>
      </c>
      <c r="K728" s="162"/>
      <c r="L728" s="129"/>
    </row>
    <row r="729" spans="1:12" s="5" customFormat="1" ht="16.95" customHeight="1" x14ac:dyDescent="0.25">
      <c r="A729" s="84"/>
      <c r="B729" s="58" t="s">
        <v>624</v>
      </c>
      <c r="C729" s="9"/>
      <c r="D729" s="31"/>
      <c r="E729" s="10"/>
      <c r="F729" s="57"/>
      <c r="G729" s="10"/>
      <c r="H729" s="10"/>
      <c r="I729" s="31">
        <f>ROUND(I728/1.18*0.18,2)</f>
        <v>0</v>
      </c>
    </row>
    <row r="730" spans="1:12" s="5" customFormat="1" ht="25.5" customHeight="1" x14ac:dyDescent="0.25">
      <c r="A730" s="241"/>
      <c r="B730" s="242" t="s">
        <v>24</v>
      </c>
      <c r="C730" s="243"/>
      <c r="D730" s="244"/>
      <c r="E730" s="243"/>
      <c r="F730" s="242"/>
      <c r="G730" s="243">
        <f>G43+G105+G157+G317+G323+G339+G354+G387+G405+G416+G517+G567+G687+G724+G728+G538+G382+G261+G178+G195</f>
        <v>3138940.4559399998</v>
      </c>
      <c r="H730" s="243">
        <f>H43+H105+H157+H317+H323+H339+H354+H387+H405+H416+H517+H567+H687+H724+H728+H538+H382+H261+H195+H178</f>
        <v>5958082.8274393994</v>
      </c>
      <c r="I730" s="243">
        <f>I728+I724+I687+I567+I538+I517+I416+I405+I387+I354+I339+I323+I317+I157+I105+I51+I178+I195+I261+I382</f>
        <v>11265855.875899998</v>
      </c>
      <c r="J730" s="5">
        <f>I416+I405+I387+I382+I354+I339+I323+I317+I261+I195+I178+I157+I105+I51</f>
        <v>11265855.8759</v>
      </c>
    </row>
    <row r="731" spans="1:12" s="101" customFormat="1" ht="21" customHeight="1" x14ac:dyDescent="0.25">
      <c r="A731" s="245"/>
      <c r="B731" s="246" t="s">
        <v>26</v>
      </c>
      <c r="C731" s="247"/>
      <c r="D731" s="247"/>
      <c r="E731" s="247"/>
      <c r="F731" s="246"/>
      <c r="G731" s="247"/>
      <c r="H731" s="247"/>
      <c r="I731" s="247">
        <f>I730/1.18*18/100</f>
        <v>1718520.3878491523</v>
      </c>
    </row>
    <row r="732" spans="1:12" ht="25.5" customHeight="1" x14ac:dyDescent="0.25">
      <c r="A732" s="98"/>
      <c r="B732" s="99" t="s">
        <v>342</v>
      </c>
      <c r="C732" s="100"/>
      <c r="D732" s="100"/>
      <c r="E732" s="100"/>
      <c r="F732" s="99"/>
      <c r="G732" s="100">
        <f>G730/C10</f>
        <v>5365.7101810940167</v>
      </c>
      <c r="H732" s="100">
        <f>H730/C10</f>
        <v>10184.75696998188</v>
      </c>
      <c r="I732" s="100">
        <f>I730/C10</f>
        <v>19257.873292136748</v>
      </c>
    </row>
  </sheetData>
  <mergeCells count="24">
    <mergeCell ref="B15:E15"/>
    <mergeCell ref="B53:F53"/>
    <mergeCell ref="B356:F356"/>
    <mergeCell ref="B418:D418"/>
    <mergeCell ref="B7:H7"/>
    <mergeCell ref="B8:H8"/>
    <mergeCell ref="G9:H9"/>
    <mergeCell ref="A10:B10"/>
    <mergeCell ref="F10:H10"/>
    <mergeCell ref="A13:A14"/>
    <mergeCell ref="G13:H13"/>
    <mergeCell ref="I13:I14"/>
    <mergeCell ref="B13:B14"/>
    <mergeCell ref="C13:C14"/>
    <mergeCell ref="D13:D14"/>
    <mergeCell ref="E13:F13"/>
    <mergeCell ref="B540:D540"/>
    <mergeCell ref="B569:D569"/>
    <mergeCell ref="B689:D689"/>
    <mergeCell ref="B726:D726"/>
    <mergeCell ref="J680:J686"/>
    <mergeCell ref="K697:L697"/>
    <mergeCell ref="J620:J629"/>
    <mergeCell ref="J636:J6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R768"/>
  <sheetViews>
    <sheetView topLeftCell="A37" workbookViewId="0">
      <selection activeCell="B53" sqref="B53"/>
    </sheetView>
  </sheetViews>
  <sheetFormatPr defaultColWidth="9" defaultRowHeight="15.6" outlineLevelRow="1" x14ac:dyDescent="0.25"/>
  <cols>
    <col min="1" max="1" width="5.21875" style="81" customWidth="1"/>
    <col min="2" max="2" width="44.44140625" style="25" customWidth="1"/>
    <col min="3" max="3" width="11.6640625" style="550" customWidth="1"/>
    <col min="4" max="4" width="12.33203125" style="550" customWidth="1"/>
    <col min="5" max="5" width="13.109375" style="550" customWidth="1"/>
    <col min="6" max="6" width="13" style="148" customWidth="1"/>
    <col min="7" max="7" width="15.33203125" style="550" customWidth="1"/>
    <col min="8" max="8" width="16.44140625" style="550" customWidth="1"/>
    <col min="9" max="9" width="16.33203125" style="550" customWidth="1"/>
    <col min="10" max="10" width="14.44140625" style="25" bestFit="1" customWidth="1"/>
    <col min="11" max="11" width="17.109375" style="25" customWidth="1"/>
    <col min="12" max="12" width="16.33203125" style="25" customWidth="1"/>
    <col min="13" max="13" width="10.6640625" style="25" customWidth="1"/>
    <col min="14" max="14" width="8.88671875" style="25" customWidth="1"/>
    <col min="15" max="15" width="26.21875" style="25" customWidth="1"/>
    <col min="16" max="16" width="17.33203125" style="25" customWidth="1"/>
    <col min="17" max="16384" width="9" style="25"/>
  </cols>
  <sheetData>
    <row r="1" spans="1:15" s="251" customFormat="1" ht="14.4" x14ac:dyDescent="0.25">
      <c r="A1" s="249"/>
      <c r="B1" s="249"/>
      <c r="C1" s="249"/>
      <c r="D1" s="249"/>
      <c r="E1" s="249"/>
      <c r="F1" s="249"/>
      <c r="G1" s="250"/>
      <c r="H1" s="250"/>
      <c r="I1" s="250"/>
    </row>
    <row r="2" spans="1:15" s="251" customFormat="1" ht="27.75" customHeight="1" x14ac:dyDescent="0.25">
      <c r="A2" s="249"/>
      <c r="B2" s="252" t="s">
        <v>626</v>
      </c>
      <c r="C2" s="249"/>
      <c r="D2" s="249"/>
      <c r="E2" s="249"/>
      <c r="F2" s="249"/>
      <c r="G2" s="253" t="s">
        <v>627</v>
      </c>
      <c r="H2" s="250"/>
      <c r="I2" s="250"/>
    </row>
    <row r="3" spans="1:15" s="251" customFormat="1" ht="14.4" x14ac:dyDescent="0.25">
      <c r="A3" s="249"/>
      <c r="B3" s="249"/>
      <c r="C3" s="249"/>
      <c r="D3" s="249"/>
      <c r="E3" s="249"/>
      <c r="F3" s="249"/>
      <c r="G3" s="250"/>
      <c r="H3" s="250" t="s">
        <v>628</v>
      </c>
      <c r="I3" s="250"/>
      <c r="N3" s="251">
        <v>42.1</v>
      </c>
      <c r="O3" s="251">
        <v>30.1</v>
      </c>
    </row>
    <row r="4" spans="1:15" s="251" customFormat="1" ht="14.4" x14ac:dyDescent="0.25">
      <c r="A4" s="249"/>
      <c r="B4" s="249"/>
      <c r="C4" s="249"/>
      <c r="D4" s="249"/>
      <c r="E4" s="249"/>
      <c r="F4" s="249"/>
      <c r="G4" s="250"/>
      <c r="H4" s="250"/>
      <c r="I4" s="250"/>
      <c r="N4" s="251">
        <v>30.1</v>
      </c>
      <c r="O4" s="251">
        <v>30.1</v>
      </c>
    </row>
    <row r="5" spans="1:15" s="251" customFormat="1" ht="14.4" x14ac:dyDescent="0.25">
      <c r="A5" s="249"/>
      <c r="B5" s="254"/>
      <c r="C5" s="249"/>
      <c r="D5" s="249"/>
      <c r="E5" s="255"/>
      <c r="F5" s="249" t="s">
        <v>629</v>
      </c>
      <c r="G5" s="250"/>
      <c r="H5" s="250"/>
      <c r="I5" s="250"/>
      <c r="N5" s="251">
        <v>30.1</v>
      </c>
      <c r="O5" s="251">
        <v>26.7</v>
      </c>
    </row>
    <row r="6" spans="1:15" s="251" customFormat="1" ht="14.4" x14ac:dyDescent="0.25">
      <c r="A6" s="249"/>
      <c r="B6" s="249"/>
      <c r="C6" s="249"/>
      <c r="D6" s="249"/>
      <c r="E6" s="249"/>
      <c r="F6" s="249"/>
      <c r="G6" s="250"/>
      <c r="H6" s="250" t="s">
        <v>630</v>
      </c>
      <c r="I6" s="250"/>
      <c r="N6" s="251">
        <v>26.7</v>
      </c>
      <c r="O6" s="251">
        <v>27.4</v>
      </c>
    </row>
    <row r="7" spans="1:15" s="251" customFormat="1" ht="14.4" x14ac:dyDescent="0.25">
      <c r="A7" s="249"/>
      <c r="B7" s="772" t="s">
        <v>631</v>
      </c>
      <c r="C7" s="773"/>
      <c r="D7" s="773"/>
      <c r="E7" s="773"/>
      <c r="F7" s="773"/>
      <c r="G7" s="773"/>
      <c r="H7" s="773"/>
      <c r="I7" s="250"/>
      <c r="N7" s="251">
        <v>27.4</v>
      </c>
      <c r="O7" s="251">
        <v>47.8</v>
      </c>
    </row>
    <row r="8" spans="1:15" s="251" customFormat="1" ht="29.25" customHeight="1" x14ac:dyDescent="0.25">
      <c r="A8" s="249"/>
      <c r="B8" s="774" t="s">
        <v>1324</v>
      </c>
      <c r="C8" s="775"/>
      <c r="D8" s="775"/>
      <c r="E8" s="775"/>
      <c r="F8" s="775"/>
      <c r="G8" s="775"/>
      <c r="H8" s="775"/>
      <c r="I8" s="250"/>
      <c r="N8" s="251">
        <v>47.8</v>
      </c>
      <c r="O8" s="251">
        <v>47.9</v>
      </c>
    </row>
    <row r="9" spans="1:15" s="7" customFormat="1" ht="15.75" customHeight="1" x14ac:dyDescent="0.25">
      <c r="A9" s="82"/>
      <c r="B9" s="4"/>
      <c r="C9" s="4"/>
      <c r="D9" s="4"/>
      <c r="E9" s="4"/>
      <c r="F9" s="134"/>
      <c r="G9" s="776" t="s">
        <v>342</v>
      </c>
      <c r="H9" s="776"/>
      <c r="I9" s="94">
        <f>I10/C10</f>
        <v>17056.392832695416</v>
      </c>
      <c r="M9" s="640" t="s">
        <v>1434</v>
      </c>
      <c r="N9" s="640">
        <v>54.2</v>
      </c>
      <c r="O9" s="7">
        <v>41.2</v>
      </c>
    </row>
    <row r="10" spans="1:15" s="7" customFormat="1" ht="15.75" customHeight="1" x14ac:dyDescent="0.25">
      <c r="A10" s="777" t="s">
        <v>227</v>
      </c>
      <c r="B10" s="777"/>
      <c r="C10" s="594">
        <f>N13+O13*2</f>
        <v>1175.7</v>
      </c>
      <c r="D10" s="59" t="s">
        <v>343</v>
      </c>
      <c r="E10" s="595">
        <f>26+4</f>
        <v>30</v>
      </c>
      <c r="F10" s="778" t="s">
        <v>17</v>
      </c>
      <c r="G10" s="778"/>
      <c r="H10" s="778"/>
      <c r="I10" s="8">
        <f>I766*1</f>
        <v>20053201.053400002</v>
      </c>
      <c r="N10" s="640">
        <v>46.1</v>
      </c>
      <c r="O10" s="7">
        <v>39.799999999999997</v>
      </c>
    </row>
    <row r="11" spans="1:15" s="7" customFormat="1" ht="15.75" customHeight="1" x14ac:dyDescent="0.25">
      <c r="A11" s="325"/>
      <c r="B11" s="325"/>
      <c r="C11" s="122"/>
      <c r="D11" s="59"/>
      <c r="E11" s="123"/>
      <c r="F11" s="548"/>
      <c r="G11" s="548"/>
      <c r="H11" s="548"/>
      <c r="I11" s="8"/>
      <c r="N11" s="640">
        <v>45.5</v>
      </c>
      <c r="O11" s="7">
        <v>38.200000000000003</v>
      </c>
    </row>
    <row r="12" spans="1:15" s="7" customFormat="1" ht="15.75" customHeight="1" x14ac:dyDescent="0.25">
      <c r="A12" s="325"/>
      <c r="B12" s="325"/>
      <c r="C12" s="122"/>
      <c r="D12" s="59"/>
      <c r="E12" s="123"/>
      <c r="F12" s="548"/>
      <c r="G12" s="548"/>
      <c r="H12" s="548"/>
      <c r="I12" s="8"/>
      <c r="N12" s="640">
        <v>55.3</v>
      </c>
      <c r="O12" s="7">
        <v>56</v>
      </c>
    </row>
    <row r="13" spans="1:15" ht="25.5" customHeight="1" x14ac:dyDescent="0.25">
      <c r="A13" s="779" t="s">
        <v>0</v>
      </c>
      <c r="B13" s="783" t="s">
        <v>1</v>
      </c>
      <c r="C13" s="783" t="s">
        <v>2</v>
      </c>
      <c r="D13" s="783" t="s">
        <v>3</v>
      </c>
      <c r="E13" s="783" t="s">
        <v>4</v>
      </c>
      <c r="F13" s="783"/>
      <c r="G13" s="783" t="s">
        <v>5</v>
      </c>
      <c r="H13" s="783"/>
      <c r="I13" s="783" t="s">
        <v>6</v>
      </c>
      <c r="N13" s="25">
        <f>SUM(N3:N12)</f>
        <v>405.3</v>
      </c>
      <c r="O13" s="25">
        <f>SUM(O3:O12)</f>
        <v>385.20000000000005</v>
      </c>
    </row>
    <row r="14" spans="1:15" x14ac:dyDescent="0.25">
      <c r="A14" s="779"/>
      <c r="B14" s="783"/>
      <c r="C14" s="783"/>
      <c r="D14" s="783"/>
      <c r="E14" s="546" t="s">
        <v>7</v>
      </c>
      <c r="F14" s="135" t="s">
        <v>475</v>
      </c>
      <c r="G14" s="546" t="s">
        <v>7</v>
      </c>
      <c r="H14" s="546" t="s">
        <v>339</v>
      </c>
      <c r="I14" s="783"/>
    </row>
    <row r="15" spans="1:15" s="5" customFormat="1" ht="24" customHeight="1" x14ac:dyDescent="0.25">
      <c r="A15" s="104"/>
      <c r="B15" s="771" t="s">
        <v>1532</v>
      </c>
      <c r="C15" s="771"/>
      <c r="D15" s="771"/>
      <c r="E15" s="771"/>
      <c r="F15" s="138"/>
      <c r="G15" s="105"/>
      <c r="H15" s="105"/>
      <c r="I15" s="106"/>
      <c r="J15" s="5" t="s">
        <v>792</v>
      </c>
    </row>
    <row r="16" spans="1:15" s="6" customFormat="1" ht="21.75" customHeight="1" outlineLevel="1" x14ac:dyDescent="0.25">
      <c r="A16" s="107" t="s">
        <v>492</v>
      </c>
      <c r="B16" s="531" t="s">
        <v>1533</v>
      </c>
      <c r="C16" s="31" t="s">
        <v>8</v>
      </c>
      <c r="D16" s="166">
        <f>431.97*0.55+135.27*0.85</f>
        <v>352.56300000000005</v>
      </c>
      <c r="E16" s="166">
        <v>500</v>
      </c>
      <c r="F16" s="60"/>
      <c r="G16" s="2">
        <f>ROUND(E16*D16,2)</f>
        <v>176281.5</v>
      </c>
      <c r="H16" s="18"/>
      <c r="I16" s="11">
        <f>G16+H16</f>
        <v>176281.5</v>
      </c>
      <c r="J16" s="541">
        <f>(93.04*0.1+557.43)*0.1</f>
        <v>56.673399999999994</v>
      </c>
      <c r="K16" s="351"/>
      <c r="L16" s="161"/>
      <c r="M16" s="161"/>
    </row>
    <row r="17" spans="1:252" outlineLevel="1" x14ac:dyDescent="0.25">
      <c r="A17" s="84"/>
      <c r="B17" s="377" t="s">
        <v>1502</v>
      </c>
      <c r="C17" s="31" t="s">
        <v>8</v>
      </c>
      <c r="D17" s="158">
        <f>D16*1.1</f>
        <v>387.81930000000006</v>
      </c>
      <c r="E17" s="18"/>
      <c r="F17" s="164">
        <v>320</v>
      </c>
      <c r="G17" s="18"/>
      <c r="H17" s="18">
        <f>ROUND(D17*F17,2)</f>
        <v>124102.18</v>
      </c>
      <c r="I17" s="11">
        <f>G17+H17</f>
        <v>124102.18</v>
      </c>
      <c r="K17" s="161"/>
      <c r="L17" s="161"/>
      <c r="M17" s="161"/>
    </row>
    <row r="18" spans="1:252" s="6" customFormat="1" ht="18" customHeight="1" outlineLevel="1" x14ac:dyDescent="0.25">
      <c r="A18" s="107" t="s">
        <v>210</v>
      </c>
      <c r="B18" s="531" t="s">
        <v>1534</v>
      </c>
      <c r="C18" s="31" t="s">
        <v>8</v>
      </c>
      <c r="D18" s="166">
        <f>567.24*0.1</f>
        <v>56.724000000000004</v>
      </c>
      <c r="E18" s="256">
        <v>1600</v>
      </c>
      <c r="F18" s="60"/>
      <c r="G18" s="2">
        <f>ROUND(E18*D18,2)</f>
        <v>90758.399999999994</v>
      </c>
      <c r="H18" s="18"/>
      <c r="I18" s="27">
        <f t="shared" ref="I18:I51" si="0">G18+H18</f>
        <v>90758.399999999994</v>
      </c>
      <c r="J18" s="256">
        <v>195.1</v>
      </c>
      <c r="K18" s="161"/>
      <c r="L18" s="161"/>
      <c r="M18" s="161"/>
    </row>
    <row r="19" spans="1:252" s="38" customFormat="1" outlineLevel="1" x14ac:dyDescent="0.25">
      <c r="A19" s="84"/>
      <c r="B19" s="377" t="s">
        <v>486</v>
      </c>
      <c r="C19" s="31" t="s">
        <v>8</v>
      </c>
      <c r="D19" s="158">
        <f>D18*1.015</f>
        <v>57.574860000000001</v>
      </c>
      <c r="E19" s="18"/>
      <c r="F19" s="664">
        <v>3450</v>
      </c>
      <c r="G19" s="18"/>
      <c r="H19" s="18">
        <f>ROUND(D19*F19,2)</f>
        <v>198633.27</v>
      </c>
      <c r="I19" s="27">
        <f t="shared" si="0"/>
        <v>198633.27</v>
      </c>
      <c r="J19" s="15"/>
      <c r="K19" s="161"/>
      <c r="L19" s="161"/>
      <c r="M19" s="161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</row>
    <row r="20" spans="1:252" s="38" customFormat="1" ht="17.25" customHeight="1" outlineLevel="1" x14ac:dyDescent="0.25">
      <c r="A20" s="107" t="s">
        <v>211</v>
      </c>
      <c r="B20" s="531" t="s">
        <v>1535</v>
      </c>
      <c r="C20" s="31" t="s">
        <v>8</v>
      </c>
      <c r="D20" s="166">
        <f>557.53*0.35</f>
        <v>195.13549999999998</v>
      </c>
      <c r="E20" s="256">
        <v>2500</v>
      </c>
      <c r="F20" s="60"/>
      <c r="G20" s="2">
        <f>ROUND(E20*D20,2)</f>
        <v>487838.75</v>
      </c>
      <c r="H20" s="18"/>
      <c r="I20" s="663">
        <f t="shared" si="0"/>
        <v>487838.75</v>
      </c>
      <c r="J20" s="15"/>
      <c r="K20" s="407"/>
      <c r="L20" s="161"/>
      <c r="M20" s="161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</row>
    <row r="21" spans="1:252" s="38" customFormat="1" outlineLevel="1" x14ac:dyDescent="0.25">
      <c r="A21" s="83"/>
      <c r="B21" s="361" t="s">
        <v>724</v>
      </c>
      <c r="C21" s="2" t="s">
        <v>8</v>
      </c>
      <c r="D21" s="158">
        <f>D20*1.015</f>
        <v>198.06253249999995</v>
      </c>
      <c r="E21" s="2"/>
      <c r="F21" s="664">
        <v>4500</v>
      </c>
      <c r="G21" s="2"/>
      <c r="H21" s="2">
        <f>ROUND(D21*F21,2)</f>
        <v>891281.4</v>
      </c>
      <c r="I21" s="27">
        <f t="shared" si="0"/>
        <v>891281.4</v>
      </c>
      <c r="J21" s="15"/>
      <c r="K21" s="161"/>
      <c r="L21" s="161"/>
      <c r="M21" s="161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</row>
    <row r="22" spans="1:252" s="5" customFormat="1" ht="19.5" customHeight="1" outlineLevel="1" x14ac:dyDescent="0.25">
      <c r="A22" s="83"/>
      <c r="B22" s="377" t="s">
        <v>358</v>
      </c>
      <c r="C22" s="2" t="s">
        <v>9</v>
      </c>
      <c r="D22" s="257">
        <f>26251.8/1000</f>
        <v>26.251799999999999</v>
      </c>
      <c r="E22" s="2"/>
      <c r="F22" s="361">
        <v>34000</v>
      </c>
      <c r="G22" s="2"/>
      <c r="H22" s="2">
        <f>ROUND(D22*F22,2)</f>
        <v>892561.2</v>
      </c>
      <c r="I22" s="27">
        <f t="shared" si="0"/>
        <v>892561.2</v>
      </c>
      <c r="J22" s="544">
        <f>93.04*0.35</f>
        <v>32.564</v>
      </c>
      <c r="L22" s="161"/>
      <c r="M22" s="161"/>
    </row>
    <row r="23" spans="1:252" outlineLevel="1" x14ac:dyDescent="0.25">
      <c r="A23" s="83"/>
      <c r="B23" s="361" t="s">
        <v>11</v>
      </c>
      <c r="C23" s="2" t="s">
        <v>8</v>
      </c>
      <c r="D23" s="282">
        <f>0.0061*D20</f>
        <v>1.19032655</v>
      </c>
      <c r="E23" s="2"/>
      <c r="F23" s="361">
        <v>7500</v>
      </c>
      <c r="G23" s="2"/>
      <c r="H23" s="2">
        <f>ROUND(D23*F23,2)</f>
        <v>8927.4500000000007</v>
      </c>
      <c r="I23" s="27">
        <f t="shared" si="0"/>
        <v>8927.4500000000007</v>
      </c>
      <c r="K23" s="161"/>
      <c r="L23" s="161"/>
      <c r="M23" s="161"/>
    </row>
    <row r="24" spans="1:252" ht="16.2" customHeight="1" outlineLevel="1" x14ac:dyDescent="0.25">
      <c r="A24" s="107" t="s">
        <v>212</v>
      </c>
      <c r="B24" s="543" t="s">
        <v>22</v>
      </c>
      <c r="C24" s="31" t="s">
        <v>14</v>
      </c>
      <c r="D24" s="690">
        <f>108.7*0.35</f>
        <v>38.045000000000002</v>
      </c>
      <c r="E24" s="256">
        <v>150</v>
      </c>
      <c r="F24" s="11"/>
      <c r="G24" s="2">
        <f>ROUND(E24*D24,2)</f>
        <v>5706.75</v>
      </c>
      <c r="H24" s="18"/>
      <c r="I24" s="27">
        <f t="shared" si="0"/>
        <v>5706.75</v>
      </c>
      <c r="K24" s="161"/>
      <c r="L24" s="161"/>
      <c r="M24" s="161"/>
    </row>
    <row r="25" spans="1:252" ht="16.2" customHeight="1" outlineLevel="1" x14ac:dyDescent="0.25">
      <c r="A25" s="84"/>
      <c r="B25" s="361" t="s">
        <v>1311</v>
      </c>
      <c r="C25" s="2" t="s">
        <v>15</v>
      </c>
      <c r="D25" s="158">
        <f>2.5*D24</f>
        <v>95.112500000000011</v>
      </c>
      <c r="E25" s="2"/>
      <c r="F25" s="361">
        <v>55</v>
      </c>
      <c r="G25" s="18"/>
      <c r="H25" s="2">
        <f>ROUND(D25*F25,2)</f>
        <v>5231.1899999999996</v>
      </c>
      <c r="I25" s="663">
        <f t="shared" si="0"/>
        <v>5231.1899999999996</v>
      </c>
      <c r="J25" s="545">
        <f>557.43*0.02</f>
        <v>11.1486</v>
      </c>
      <c r="K25" s="161"/>
      <c r="L25" s="161"/>
      <c r="M25" s="161"/>
    </row>
    <row r="26" spans="1:252" ht="16.2" customHeight="1" outlineLevel="1" x14ac:dyDescent="0.25">
      <c r="A26" s="84"/>
      <c r="B26" s="361" t="s">
        <v>1312</v>
      </c>
      <c r="C26" s="2" t="s">
        <v>30</v>
      </c>
      <c r="D26" s="158">
        <f>0.35*D24</f>
        <v>13.31575</v>
      </c>
      <c r="E26" s="2"/>
      <c r="F26" s="361">
        <v>44</v>
      </c>
      <c r="G26" s="18"/>
      <c r="H26" s="2">
        <f>ROUND(D26*F26,2)</f>
        <v>585.89</v>
      </c>
      <c r="I26" s="663">
        <f t="shared" si="0"/>
        <v>585.89</v>
      </c>
      <c r="K26" s="161"/>
      <c r="L26" s="161"/>
      <c r="M26" s="161"/>
    </row>
    <row r="27" spans="1:252" ht="26.25" customHeight="1" outlineLevel="1" x14ac:dyDescent="0.25">
      <c r="A27" s="107" t="s">
        <v>213</v>
      </c>
      <c r="B27" s="543" t="s">
        <v>1536</v>
      </c>
      <c r="C27" s="31" t="s">
        <v>8</v>
      </c>
      <c r="D27" s="350">
        <f>557.53*0.02</f>
        <v>11.150599999999999</v>
      </c>
      <c r="E27" s="264">
        <v>250</v>
      </c>
      <c r="F27" s="140"/>
      <c r="G27" s="51">
        <f>E27*D27</f>
        <v>2787.6499999999996</v>
      </c>
      <c r="H27" s="51"/>
      <c r="I27" s="669">
        <f>H27+G27</f>
        <v>2787.6499999999996</v>
      </c>
      <c r="K27" s="406"/>
      <c r="L27" s="161"/>
      <c r="M27" s="161"/>
    </row>
    <row r="28" spans="1:252" ht="15.75" customHeight="1" outlineLevel="1" x14ac:dyDescent="0.25">
      <c r="A28" s="84"/>
      <c r="B28" s="377" t="s">
        <v>1244</v>
      </c>
      <c r="C28" s="2" t="s">
        <v>8</v>
      </c>
      <c r="D28" s="158">
        <f>ROUND(D27*1.015,2)</f>
        <v>11.32</v>
      </c>
      <c r="E28" s="2"/>
      <c r="F28" s="164">
        <f>ROUND(4100*1.1,2)</f>
        <v>4510</v>
      </c>
      <c r="G28" s="2"/>
      <c r="H28" s="2">
        <f>ROUND(D28*F28,2)</f>
        <v>51053.2</v>
      </c>
      <c r="I28" s="27">
        <f>G28+H28</f>
        <v>51053.2</v>
      </c>
      <c r="K28" s="407"/>
      <c r="L28" s="161"/>
      <c r="M28" s="161"/>
    </row>
    <row r="29" spans="1:252" ht="15.75" customHeight="1" outlineLevel="1" x14ac:dyDescent="0.25">
      <c r="A29" s="107" t="s">
        <v>493</v>
      </c>
      <c r="B29" s="531" t="s">
        <v>731</v>
      </c>
      <c r="C29" s="31" t="s">
        <v>12</v>
      </c>
      <c r="D29" s="256">
        <f>SUM(D30:D35)</f>
        <v>382</v>
      </c>
      <c r="E29" s="256">
        <v>550</v>
      </c>
      <c r="F29" s="60"/>
      <c r="G29" s="2">
        <f>ROUND(E29*D29,2)</f>
        <v>210100</v>
      </c>
      <c r="H29" s="18"/>
      <c r="I29" s="663">
        <f t="shared" si="0"/>
        <v>210100</v>
      </c>
      <c r="K29" s="407"/>
      <c r="L29" s="161"/>
      <c r="M29" s="161"/>
    </row>
    <row r="30" spans="1:252" ht="15.75" customHeight="1" outlineLevel="1" x14ac:dyDescent="0.25">
      <c r="A30" s="84"/>
      <c r="B30" s="377" t="s">
        <v>732</v>
      </c>
      <c r="C30" s="2" t="s">
        <v>12</v>
      </c>
      <c r="D30" s="282">
        <f>126+2</f>
        <v>128</v>
      </c>
      <c r="E30" s="31"/>
      <c r="F30" s="664">
        <v>1935.11</v>
      </c>
      <c r="G30" s="2"/>
      <c r="H30" s="2">
        <f t="shared" ref="H30:H37" si="1">ROUND(D30*F30,2)</f>
        <v>247694.07999999999</v>
      </c>
      <c r="I30" s="663">
        <f t="shared" si="0"/>
        <v>247694.07999999999</v>
      </c>
      <c r="K30" s="407"/>
      <c r="L30" s="161"/>
      <c r="M30" s="161"/>
    </row>
    <row r="31" spans="1:252" ht="15.75" customHeight="1" outlineLevel="1" x14ac:dyDescent="0.25">
      <c r="A31" s="84"/>
      <c r="B31" s="377" t="s">
        <v>733</v>
      </c>
      <c r="C31" s="2" t="s">
        <v>12</v>
      </c>
      <c r="D31" s="282">
        <f>50+3</f>
        <v>53</v>
      </c>
      <c r="E31" s="31"/>
      <c r="F31" s="664">
        <v>944.39</v>
      </c>
      <c r="G31" s="2"/>
      <c r="H31" s="2">
        <f t="shared" si="1"/>
        <v>50052.67</v>
      </c>
      <c r="I31" s="663">
        <f t="shared" si="0"/>
        <v>50052.67</v>
      </c>
      <c r="K31" s="407"/>
      <c r="L31" s="161"/>
      <c r="M31" s="161"/>
    </row>
    <row r="32" spans="1:252" ht="15.75" customHeight="1" outlineLevel="1" x14ac:dyDescent="0.25">
      <c r="A32" s="84"/>
      <c r="B32" s="377" t="s">
        <v>735</v>
      </c>
      <c r="C32" s="2" t="s">
        <v>12</v>
      </c>
      <c r="D32" s="282">
        <f>117+4</f>
        <v>121</v>
      </c>
      <c r="E32" s="18"/>
      <c r="F32" s="664">
        <v>694.93</v>
      </c>
      <c r="G32" s="18"/>
      <c r="H32" s="2">
        <f t="shared" si="1"/>
        <v>84086.53</v>
      </c>
      <c r="I32" s="663">
        <f t="shared" si="0"/>
        <v>84086.53</v>
      </c>
      <c r="K32" s="407"/>
      <c r="L32" s="161"/>
      <c r="M32" s="161"/>
    </row>
    <row r="33" spans="1:13" ht="15.75" customHeight="1" outlineLevel="1" x14ac:dyDescent="0.25">
      <c r="A33" s="84"/>
      <c r="B33" s="377" t="s">
        <v>1302</v>
      </c>
      <c r="C33" s="2" t="s">
        <v>12</v>
      </c>
      <c r="D33" s="282">
        <f>15+2</f>
        <v>17</v>
      </c>
      <c r="E33" s="18"/>
      <c r="F33" s="363">
        <v>900</v>
      </c>
      <c r="G33" s="18"/>
      <c r="H33" s="2">
        <f t="shared" si="1"/>
        <v>15300</v>
      </c>
      <c r="I33" s="663">
        <f>G33+H33</f>
        <v>15300</v>
      </c>
      <c r="K33" s="407"/>
      <c r="L33" s="161"/>
      <c r="M33" s="161"/>
    </row>
    <row r="34" spans="1:13" outlineLevel="1" x14ac:dyDescent="0.25">
      <c r="A34" s="84"/>
      <c r="B34" s="377" t="s">
        <v>1313</v>
      </c>
      <c r="C34" s="2" t="s">
        <v>12</v>
      </c>
      <c r="D34" s="282">
        <f>13+1</f>
        <v>14</v>
      </c>
      <c r="E34" s="31"/>
      <c r="F34" s="664">
        <v>1365.97</v>
      </c>
      <c r="G34" s="2"/>
      <c r="H34" s="2">
        <f>ROUND(D34*F34,2)</f>
        <v>19123.580000000002</v>
      </c>
      <c r="I34" s="663">
        <f>G34+H34</f>
        <v>19123.580000000002</v>
      </c>
      <c r="K34" s="161"/>
      <c r="L34" s="161"/>
      <c r="M34" s="161"/>
    </row>
    <row r="35" spans="1:13" outlineLevel="1" x14ac:dyDescent="0.25">
      <c r="A35" s="84"/>
      <c r="B35" s="377" t="s">
        <v>734</v>
      </c>
      <c r="C35" s="2" t="s">
        <v>12</v>
      </c>
      <c r="D35" s="282">
        <v>49</v>
      </c>
      <c r="E35" s="31"/>
      <c r="F35" s="664">
        <v>452.6</v>
      </c>
      <c r="G35" s="2"/>
      <c r="H35" s="2">
        <f>ROUND(D35*F35,2)</f>
        <v>22177.4</v>
      </c>
      <c r="I35" s="663">
        <f>G35+H35</f>
        <v>22177.4</v>
      </c>
      <c r="K35" s="638"/>
      <c r="L35" s="161"/>
      <c r="M35" s="161"/>
    </row>
    <row r="36" spans="1:13" outlineLevel="1" x14ac:dyDescent="0.25">
      <c r="A36" s="84"/>
      <c r="B36" s="361" t="s">
        <v>72</v>
      </c>
      <c r="C36" s="2" t="s">
        <v>8</v>
      </c>
      <c r="D36" s="282">
        <f>D29*0.05</f>
        <v>19.100000000000001</v>
      </c>
      <c r="E36" s="18"/>
      <c r="F36" s="361">
        <v>2600</v>
      </c>
      <c r="G36" s="18"/>
      <c r="H36" s="2">
        <f t="shared" si="1"/>
        <v>49660</v>
      </c>
      <c r="I36" s="663">
        <f t="shared" si="0"/>
        <v>49660</v>
      </c>
      <c r="K36" s="638"/>
      <c r="L36" s="161"/>
      <c r="M36" s="161"/>
    </row>
    <row r="37" spans="1:13" outlineLevel="1" x14ac:dyDescent="0.25">
      <c r="A37" s="92"/>
      <c r="B37" s="533" t="s">
        <v>1494</v>
      </c>
      <c r="C37" s="41" t="s">
        <v>15</v>
      </c>
      <c r="D37" s="277">
        <f>[1]арматура!M74</f>
        <v>164.72</v>
      </c>
      <c r="E37" s="2"/>
      <c r="F37" s="364">
        <v>42</v>
      </c>
      <c r="G37" s="10"/>
      <c r="H37" s="2">
        <f t="shared" si="1"/>
        <v>6918.24</v>
      </c>
      <c r="I37" s="27">
        <f t="shared" si="0"/>
        <v>6918.24</v>
      </c>
      <c r="K37" s="638"/>
      <c r="L37" s="161"/>
      <c r="M37" s="161"/>
    </row>
    <row r="38" spans="1:13" ht="31.2" outlineLevel="1" x14ac:dyDescent="0.25">
      <c r="A38" s="107" t="s">
        <v>1246</v>
      </c>
      <c r="B38" s="531" t="s">
        <v>1245</v>
      </c>
      <c r="C38" s="41" t="s">
        <v>8</v>
      </c>
      <c r="D38" s="277">
        <f>6.6+0.3</f>
        <v>6.8999999999999995</v>
      </c>
      <c r="E38" s="256">
        <v>800</v>
      </c>
      <c r="F38" s="60"/>
      <c r="G38" s="2">
        <f>ROUND(E38*D38,2)</f>
        <v>5520</v>
      </c>
      <c r="H38" s="18"/>
      <c r="I38" s="27">
        <f t="shared" si="0"/>
        <v>5520</v>
      </c>
      <c r="K38" s="259"/>
      <c r="L38" s="161"/>
      <c r="M38" s="161"/>
    </row>
    <row r="39" spans="1:13" outlineLevel="1" x14ac:dyDescent="0.25">
      <c r="A39" s="92"/>
      <c r="B39" s="361" t="s">
        <v>738</v>
      </c>
      <c r="C39" s="2" t="s">
        <v>8</v>
      </c>
      <c r="D39" s="282">
        <f>D38*1.015</f>
        <v>7.0034999999999989</v>
      </c>
      <c r="E39" s="2"/>
      <c r="F39" s="664">
        <v>4200</v>
      </c>
      <c r="G39" s="2"/>
      <c r="H39" s="2">
        <f>ROUND(D39*F39,2)</f>
        <v>29414.7</v>
      </c>
      <c r="I39" s="27">
        <f t="shared" si="0"/>
        <v>29414.7</v>
      </c>
      <c r="K39" s="161"/>
      <c r="L39" s="161"/>
      <c r="M39" s="161"/>
    </row>
    <row r="40" spans="1:13" outlineLevel="1" x14ac:dyDescent="0.25">
      <c r="A40" s="107" t="s">
        <v>1247</v>
      </c>
      <c r="B40" s="531" t="s">
        <v>1353</v>
      </c>
      <c r="C40" s="31" t="s">
        <v>8</v>
      </c>
      <c r="D40" s="256">
        <v>17.5</v>
      </c>
      <c r="E40" s="256">
        <v>2600</v>
      </c>
      <c r="F40" s="60"/>
      <c r="G40" s="2">
        <f>ROUND(E40*D40,2)</f>
        <v>45500</v>
      </c>
      <c r="H40" s="18"/>
      <c r="I40" s="663">
        <f t="shared" si="0"/>
        <v>45500</v>
      </c>
      <c r="K40" s="407"/>
      <c r="L40" s="161"/>
      <c r="M40" s="161"/>
    </row>
    <row r="41" spans="1:13" outlineLevel="1" x14ac:dyDescent="0.25">
      <c r="A41" s="83"/>
      <c r="B41" s="361" t="s">
        <v>738</v>
      </c>
      <c r="C41" s="2" t="s">
        <v>8</v>
      </c>
      <c r="D41" s="282">
        <f>D40*1.015</f>
        <v>17.762499999999999</v>
      </c>
      <c r="E41" s="2"/>
      <c r="F41" s="664">
        <v>4200</v>
      </c>
      <c r="G41" s="2"/>
      <c r="H41" s="2">
        <f>ROUND(D41*F41,2)</f>
        <v>74602.5</v>
      </c>
      <c r="I41" s="27">
        <f t="shared" si="0"/>
        <v>74602.5</v>
      </c>
      <c r="K41" s="161"/>
      <c r="L41" s="161"/>
      <c r="M41" s="161"/>
    </row>
    <row r="42" spans="1:13" s="36" customFormat="1" ht="33" customHeight="1" x14ac:dyDescent="0.25">
      <c r="A42" s="83"/>
      <c r="B42" s="377" t="s">
        <v>358</v>
      </c>
      <c r="C42" s="2" t="s">
        <v>9</v>
      </c>
      <c r="D42" s="257">
        <f>230.4/1000</f>
        <v>0.23039999999999999</v>
      </c>
      <c r="E42" s="2"/>
      <c r="F42" s="361">
        <v>34000</v>
      </c>
      <c r="G42" s="2"/>
      <c r="H42" s="2">
        <f>ROUND(D42*F42,2)</f>
        <v>7833.6</v>
      </c>
      <c r="I42" s="27">
        <f t="shared" si="0"/>
        <v>7833.6</v>
      </c>
      <c r="K42" s="162"/>
      <c r="L42" s="162"/>
      <c r="M42" s="162"/>
    </row>
    <row r="43" spans="1:13" s="36" customFormat="1" x14ac:dyDescent="0.25">
      <c r="A43" s="83"/>
      <c r="B43" s="361" t="s">
        <v>11</v>
      </c>
      <c r="C43" s="2" t="s">
        <v>8</v>
      </c>
      <c r="D43" s="282">
        <f>0.0061*D40</f>
        <v>0.10675000000000001</v>
      </c>
      <c r="E43" s="2"/>
      <c r="F43" s="361">
        <v>7500</v>
      </c>
      <c r="G43" s="2"/>
      <c r="H43" s="2">
        <f>ROUND(D43*F43,2)</f>
        <v>800.63</v>
      </c>
      <c r="I43" s="27">
        <f t="shared" si="0"/>
        <v>800.63</v>
      </c>
      <c r="K43" s="162"/>
      <c r="L43" s="162"/>
      <c r="M43" s="162"/>
    </row>
    <row r="44" spans="1:13" s="36" customFormat="1" ht="31.2" x14ac:dyDescent="0.25">
      <c r="A44" s="107" t="s">
        <v>1496</v>
      </c>
      <c r="B44" s="543" t="s">
        <v>1503</v>
      </c>
      <c r="C44" s="31" t="s">
        <v>14</v>
      </c>
      <c r="D44" s="690">
        <f>365.38*0.6+375.38*0.31</f>
        <v>335.5958</v>
      </c>
      <c r="E44" s="256">
        <v>150</v>
      </c>
      <c r="F44" s="11"/>
      <c r="G44" s="2">
        <f>ROUND(E44*D44,2)</f>
        <v>50339.37</v>
      </c>
      <c r="H44" s="18"/>
      <c r="I44" s="27">
        <f t="shared" si="0"/>
        <v>50339.37</v>
      </c>
      <c r="K44" s="162"/>
      <c r="L44" s="162"/>
      <c r="M44" s="162"/>
    </row>
    <row r="45" spans="1:13" s="36" customFormat="1" x14ac:dyDescent="0.25">
      <c r="A45" s="84"/>
      <c r="B45" s="361" t="s">
        <v>1311</v>
      </c>
      <c r="C45" s="2" t="s">
        <v>15</v>
      </c>
      <c r="D45" s="158">
        <f>2.5*D44</f>
        <v>838.98950000000002</v>
      </c>
      <c r="E45" s="2"/>
      <c r="F45" s="361">
        <v>55</v>
      </c>
      <c r="G45" s="18"/>
      <c r="H45" s="2">
        <f>ROUND(D45*F45,2)</f>
        <v>46144.42</v>
      </c>
      <c r="I45" s="663">
        <f t="shared" si="0"/>
        <v>46144.42</v>
      </c>
      <c r="K45" s="162"/>
      <c r="L45" s="162"/>
      <c r="M45" s="162"/>
    </row>
    <row r="46" spans="1:13" s="36" customFormat="1" x14ac:dyDescent="0.25">
      <c r="A46" s="84"/>
      <c r="B46" s="361" t="s">
        <v>1312</v>
      </c>
      <c r="C46" s="2" t="s">
        <v>30</v>
      </c>
      <c r="D46" s="158">
        <f>0.35*D44</f>
        <v>117.45853</v>
      </c>
      <c r="E46" s="2"/>
      <c r="F46" s="361">
        <v>44</v>
      </c>
      <c r="G46" s="18"/>
      <c r="H46" s="2">
        <f>ROUND(D46*F46,2)</f>
        <v>5168.18</v>
      </c>
      <c r="I46" s="663">
        <f t="shared" si="0"/>
        <v>5168.18</v>
      </c>
      <c r="K46" s="162"/>
      <c r="L46" s="162"/>
      <c r="M46" s="162"/>
    </row>
    <row r="47" spans="1:13" s="36" customFormat="1" x14ac:dyDescent="0.25">
      <c r="A47" s="107" t="s">
        <v>1497</v>
      </c>
      <c r="B47" s="543" t="s">
        <v>1504</v>
      </c>
      <c r="C47" s="31" t="s">
        <v>14</v>
      </c>
      <c r="D47" s="350">
        <f>80.92-3.6-2.29</f>
        <v>75.03</v>
      </c>
      <c r="E47" s="264">
        <v>250</v>
      </c>
      <c r="F47" s="140"/>
      <c r="G47" s="51">
        <f>E47*D47</f>
        <v>18757.5</v>
      </c>
      <c r="H47" s="51"/>
      <c r="I47" s="140">
        <f>H47+G47</f>
        <v>18757.5</v>
      </c>
      <c r="K47" s="162"/>
      <c r="L47" s="162"/>
      <c r="M47" s="162"/>
    </row>
    <row r="48" spans="1:13" s="36" customFormat="1" x14ac:dyDescent="0.25">
      <c r="A48" s="553"/>
      <c r="B48" s="377" t="s">
        <v>1318</v>
      </c>
      <c r="C48" s="2" t="s">
        <v>14</v>
      </c>
      <c r="D48" s="158">
        <f>ROUND(D47*2,2)</f>
        <v>150.06</v>
      </c>
      <c r="E48" s="2"/>
      <c r="F48" s="665">
        <v>86.8</v>
      </c>
      <c r="G48" s="2"/>
      <c r="H48" s="2">
        <f>ROUND(D48*F48,2)</f>
        <v>13025.21</v>
      </c>
      <c r="I48" s="11">
        <f>G48+H48</f>
        <v>13025.21</v>
      </c>
      <c r="K48" s="162"/>
      <c r="L48" s="162"/>
      <c r="M48" s="162"/>
    </row>
    <row r="49" spans="1:14" s="36" customFormat="1" x14ac:dyDescent="0.25">
      <c r="A49" s="107" t="s">
        <v>1499</v>
      </c>
      <c r="B49" s="531" t="s">
        <v>1500</v>
      </c>
      <c r="C49" s="2" t="s">
        <v>8</v>
      </c>
      <c r="D49" s="256">
        <v>1.2</v>
      </c>
      <c r="E49" s="256">
        <v>1500</v>
      </c>
      <c r="F49" s="164"/>
      <c r="G49" s="2">
        <f>ROUND(E49*D49,2)</f>
        <v>1800</v>
      </c>
      <c r="H49" s="2"/>
      <c r="I49" s="11">
        <f t="shared" si="0"/>
        <v>1800</v>
      </c>
      <c r="K49" s="162"/>
      <c r="L49" s="162"/>
      <c r="M49" s="162"/>
    </row>
    <row r="50" spans="1:14" s="36" customFormat="1" x14ac:dyDescent="0.25">
      <c r="A50" s="84"/>
      <c r="B50" s="361" t="s">
        <v>738</v>
      </c>
      <c r="C50" s="2" t="s">
        <v>8</v>
      </c>
      <c r="D50" s="282">
        <f>D49*1.02</f>
        <v>1.224</v>
      </c>
      <c r="E50" s="2"/>
      <c r="F50" s="664">
        <v>4200</v>
      </c>
      <c r="G50" s="2"/>
      <c r="H50" s="2">
        <f>ROUND(D50*F50,2)</f>
        <v>5140.8</v>
      </c>
      <c r="I50" s="60">
        <f t="shared" si="0"/>
        <v>5140.8</v>
      </c>
      <c r="K50" s="162"/>
      <c r="L50" s="162"/>
      <c r="M50" s="162"/>
    </row>
    <row r="51" spans="1:14" s="36" customFormat="1" x14ac:dyDescent="0.25">
      <c r="A51" s="84"/>
      <c r="B51" s="361" t="s">
        <v>737</v>
      </c>
      <c r="C51" s="41" t="s">
        <v>15</v>
      </c>
      <c r="D51" s="277">
        <f>2*17.1+14*0.15+3*9.77</f>
        <v>65.61</v>
      </c>
      <c r="E51" s="2"/>
      <c r="F51" s="364">
        <v>42</v>
      </c>
      <c r="G51" s="10"/>
      <c r="H51" s="2">
        <f>ROUND(D51*F51,2)</f>
        <v>2755.62</v>
      </c>
      <c r="I51" s="11">
        <f t="shared" si="0"/>
        <v>2755.62</v>
      </c>
      <c r="K51" s="162"/>
      <c r="L51" s="162"/>
      <c r="M51" s="162"/>
    </row>
    <row r="52" spans="1:14" s="36" customFormat="1" ht="46.8" x14ac:dyDescent="0.25">
      <c r="A52" s="212"/>
      <c r="B52" s="213" t="s">
        <v>1537</v>
      </c>
      <c r="C52" s="222"/>
      <c r="D52" s="215"/>
      <c r="E52" s="216"/>
      <c r="F52" s="217"/>
      <c r="G52" s="216">
        <f>SUM(G16:G51)</f>
        <v>1095389.9200000002</v>
      </c>
      <c r="H52" s="216">
        <f>SUM(H16:H51)</f>
        <v>2852273.9400000004</v>
      </c>
      <c r="I52" s="215">
        <f>SUM(I16:I51)</f>
        <v>3947663.8600000008</v>
      </c>
      <c r="K52" s="162"/>
      <c r="L52" s="162"/>
      <c r="M52" s="162"/>
    </row>
    <row r="53" spans="1:14" s="36" customFormat="1" x14ac:dyDescent="0.25">
      <c r="A53" s="85"/>
      <c r="B53" s="58" t="s">
        <v>624</v>
      </c>
      <c r="C53" s="9"/>
      <c r="D53" s="31"/>
      <c r="E53" s="10"/>
      <c r="F53" s="57"/>
      <c r="G53" s="10"/>
      <c r="H53" s="10"/>
      <c r="I53" s="31">
        <f>ROUND(I52/1.18*0.18,2)</f>
        <v>602186.01</v>
      </c>
      <c r="K53" s="162"/>
      <c r="L53" s="162"/>
      <c r="M53" s="162"/>
    </row>
    <row r="54" spans="1:14" ht="18.75" customHeight="1" x14ac:dyDescent="0.25">
      <c r="A54" s="104"/>
      <c r="B54" s="771" t="s">
        <v>494</v>
      </c>
      <c r="C54" s="771"/>
      <c r="D54" s="771"/>
      <c r="E54" s="771"/>
      <c r="F54" s="771"/>
      <c r="G54" s="105"/>
      <c r="H54" s="105"/>
      <c r="I54" s="106"/>
      <c r="K54" s="129"/>
      <c r="L54" s="133"/>
      <c r="M54" s="133"/>
    </row>
    <row r="55" spans="1:14" ht="31.5" customHeight="1" outlineLevel="1" x14ac:dyDescent="0.25">
      <c r="A55" s="107" t="s">
        <v>204</v>
      </c>
      <c r="B55" s="531" t="s">
        <v>755</v>
      </c>
      <c r="C55" s="31" t="s">
        <v>8</v>
      </c>
      <c r="D55" s="541">
        <f>(2.4-1.33)*(7.25-2.24)*0.25</f>
        <v>1.3401749999999997</v>
      </c>
      <c r="E55" s="256">
        <v>500</v>
      </c>
      <c r="F55" s="11"/>
      <c r="G55" s="2">
        <f>ROUND(E55*D55,2)</f>
        <v>670.09</v>
      </c>
      <c r="H55" s="2"/>
      <c r="I55" s="11">
        <f>G55+H55</f>
        <v>670.09</v>
      </c>
      <c r="K55" s="161"/>
      <c r="L55" s="161"/>
      <c r="M55" s="161"/>
    </row>
    <row r="56" spans="1:14" ht="31.2" outlineLevel="1" x14ac:dyDescent="0.25">
      <c r="A56" s="84"/>
      <c r="B56" s="361" t="s">
        <v>764</v>
      </c>
      <c r="C56" s="2" t="s">
        <v>12</v>
      </c>
      <c r="D56" s="597">
        <f>D55*400</f>
        <v>536.06999999999982</v>
      </c>
      <c r="E56" s="2"/>
      <c r="F56" s="664">
        <v>10.75</v>
      </c>
      <c r="G56" s="2"/>
      <c r="H56" s="2">
        <f>ROUND(D56*F56,2)</f>
        <v>5762.75</v>
      </c>
      <c r="I56" s="11">
        <f>G56+H56</f>
        <v>5762.75</v>
      </c>
      <c r="K56" s="161"/>
      <c r="L56" s="161"/>
      <c r="M56" s="161"/>
    </row>
    <row r="57" spans="1:14" outlineLevel="1" x14ac:dyDescent="0.25">
      <c r="A57" s="84"/>
      <c r="B57" s="361" t="s">
        <v>756</v>
      </c>
      <c r="C57" s="2" t="s">
        <v>8</v>
      </c>
      <c r="D57" s="597">
        <f>ROUND(0.23*D55,2)</f>
        <v>0.31</v>
      </c>
      <c r="E57" s="2"/>
      <c r="F57" s="361">
        <v>2600</v>
      </c>
      <c r="G57" s="2"/>
      <c r="H57" s="2">
        <f>ROUND(D57*F57,2)</f>
        <v>806</v>
      </c>
      <c r="I57" s="11">
        <f>G57+H57</f>
        <v>806</v>
      </c>
      <c r="K57" s="161"/>
      <c r="L57" s="161"/>
      <c r="M57" s="161"/>
    </row>
    <row r="58" spans="1:14" outlineLevel="1" x14ac:dyDescent="0.25">
      <c r="A58" s="107" t="s">
        <v>205</v>
      </c>
      <c r="B58" s="539" t="s">
        <v>16</v>
      </c>
      <c r="C58" s="31" t="s">
        <v>12</v>
      </c>
      <c r="D58" s="268">
        <f>D59</f>
        <v>12</v>
      </c>
      <c r="E58" s="256">
        <v>100</v>
      </c>
      <c r="F58" s="11"/>
      <c r="G58" s="2">
        <f>ROUND(E58*D58,2)</f>
        <v>1200</v>
      </c>
      <c r="H58" s="2"/>
      <c r="I58" s="11">
        <f t="shared" ref="I58:I81" si="2">G58+H58</f>
        <v>1200</v>
      </c>
      <c r="K58" s="163"/>
      <c r="L58" s="163"/>
      <c r="M58" s="163"/>
      <c r="N58" s="5"/>
    </row>
    <row r="59" spans="1:14" outlineLevel="1" x14ac:dyDescent="0.25">
      <c r="A59" s="84"/>
      <c r="B59" s="377" t="s">
        <v>880</v>
      </c>
      <c r="C59" s="2" t="s">
        <v>12</v>
      </c>
      <c r="D59" s="540">
        <v>12</v>
      </c>
      <c r="E59" s="2"/>
      <c r="F59" s="664">
        <v>386</v>
      </c>
      <c r="G59" s="2"/>
      <c r="H59" s="2">
        <f>ROUND(D59*F59,2)</f>
        <v>4632</v>
      </c>
      <c r="I59" s="11">
        <f t="shared" si="2"/>
        <v>4632</v>
      </c>
      <c r="K59" s="163"/>
      <c r="L59" s="163"/>
      <c r="M59" s="163"/>
      <c r="N59" s="5"/>
    </row>
    <row r="60" spans="1:14" outlineLevel="1" x14ac:dyDescent="0.25">
      <c r="A60" s="84"/>
      <c r="B60" s="361" t="s">
        <v>72</v>
      </c>
      <c r="C60" s="2" t="s">
        <v>8</v>
      </c>
      <c r="D60" s="540">
        <f>ROUND(0.23*D58,2)</f>
        <v>2.76</v>
      </c>
      <c r="E60" s="2"/>
      <c r="F60" s="361">
        <v>2600</v>
      </c>
      <c r="G60" s="2"/>
      <c r="H60" s="2">
        <f>ROUND(D60*F60,2)</f>
        <v>7176</v>
      </c>
      <c r="I60" s="11">
        <f t="shared" si="2"/>
        <v>7176</v>
      </c>
      <c r="K60" s="163"/>
      <c r="L60" s="163"/>
      <c r="M60" s="163"/>
      <c r="N60" s="5"/>
    </row>
    <row r="61" spans="1:14" outlineLevel="1" x14ac:dyDescent="0.25">
      <c r="A61" s="107" t="s">
        <v>207</v>
      </c>
      <c r="B61" s="555" t="s">
        <v>784</v>
      </c>
      <c r="C61" s="46" t="s">
        <v>12</v>
      </c>
      <c r="D61" s="275">
        <v>1</v>
      </c>
      <c r="E61" s="166">
        <v>1000</v>
      </c>
      <c r="F61" s="43"/>
      <c r="G61" s="2">
        <f>ROUND(E61*D61,2)</f>
        <v>1000</v>
      </c>
      <c r="H61" s="11">
        <f>D61*F61</f>
        <v>0</v>
      </c>
      <c r="I61" s="11">
        <f t="shared" si="2"/>
        <v>1000</v>
      </c>
      <c r="K61" s="163"/>
      <c r="L61" s="163"/>
      <c r="M61" s="163"/>
      <c r="N61" s="5"/>
    </row>
    <row r="62" spans="1:14" outlineLevel="1" x14ac:dyDescent="0.25">
      <c r="A62" s="84"/>
      <c r="B62" s="361" t="s">
        <v>785</v>
      </c>
      <c r="C62" s="2" t="s">
        <v>12</v>
      </c>
      <c r="D62" s="540">
        <v>6</v>
      </c>
      <c r="E62" s="2"/>
      <c r="F62" s="164">
        <v>1300</v>
      </c>
      <c r="G62" s="2"/>
      <c r="H62" s="2">
        <f t="shared" ref="H62:H68" si="3">ROUND(D62*F62,2)</f>
        <v>7800</v>
      </c>
      <c r="I62" s="11">
        <f t="shared" si="2"/>
        <v>7800</v>
      </c>
      <c r="K62" s="163"/>
      <c r="L62" s="163"/>
      <c r="M62" s="163"/>
      <c r="N62" s="5"/>
    </row>
    <row r="63" spans="1:14" outlineLevel="1" x14ac:dyDescent="0.25">
      <c r="A63" s="84"/>
      <c r="B63" s="361" t="s">
        <v>1326</v>
      </c>
      <c r="C63" s="2" t="s">
        <v>12</v>
      </c>
      <c r="D63" s="540">
        <v>1</v>
      </c>
      <c r="E63" s="2"/>
      <c r="F63" s="164">
        <v>1300</v>
      </c>
      <c r="G63" s="2"/>
      <c r="H63" s="2">
        <f t="shared" si="3"/>
        <v>1300</v>
      </c>
      <c r="I63" s="11">
        <f t="shared" si="2"/>
        <v>1300</v>
      </c>
      <c r="K63" s="163"/>
      <c r="L63" s="163"/>
      <c r="M63" s="163"/>
      <c r="N63" s="5"/>
    </row>
    <row r="64" spans="1:14" outlineLevel="1" x14ac:dyDescent="0.25">
      <c r="A64" s="84"/>
      <c r="B64" s="361" t="s">
        <v>786</v>
      </c>
      <c r="C64" s="2" t="s">
        <v>12</v>
      </c>
      <c r="D64" s="540">
        <f>6</f>
        <v>6</v>
      </c>
      <c r="E64" s="2"/>
      <c r="F64" s="164">
        <v>1300</v>
      </c>
      <c r="G64" s="2"/>
      <c r="H64" s="2">
        <f t="shared" si="3"/>
        <v>7800</v>
      </c>
      <c r="I64" s="11">
        <f t="shared" si="2"/>
        <v>7800</v>
      </c>
      <c r="K64" s="163"/>
      <c r="L64" s="163"/>
      <c r="M64" s="163"/>
      <c r="N64" s="5"/>
    </row>
    <row r="65" spans="1:14" outlineLevel="1" x14ac:dyDescent="0.25">
      <c r="A65" s="84"/>
      <c r="B65" s="361" t="s">
        <v>1327</v>
      </c>
      <c r="C65" s="2" t="s">
        <v>12</v>
      </c>
      <c r="D65" s="540">
        <f>1</f>
        <v>1</v>
      </c>
      <c r="E65" s="2"/>
      <c r="F65" s="164">
        <v>1300</v>
      </c>
      <c r="G65" s="2"/>
      <c r="H65" s="2">
        <f t="shared" si="3"/>
        <v>1300</v>
      </c>
      <c r="I65" s="11">
        <f t="shared" si="2"/>
        <v>1300</v>
      </c>
      <c r="K65" s="163"/>
      <c r="L65" s="163"/>
      <c r="M65" s="163"/>
      <c r="N65" s="5"/>
    </row>
    <row r="66" spans="1:14" outlineLevel="1" x14ac:dyDescent="0.25">
      <c r="A66" s="84"/>
      <c r="B66" s="361" t="s">
        <v>1518</v>
      </c>
      <c r="C66" s="2" t="s">
        <v>12</v>
      </c>
      <c r="D66" s="540">
        <v>1</v>
      </c>
      <c r="E66" s="2"/>
      <c r="F66" s="164">
        <v>1300</v>
      </c>
      <c r="G66" s="2"/>
      <c r="H66" s="2">
        <f t="shared" si="3"/>
        <v>1300</v>
      </c>
      <c r="I66" s="11">
        <f t="shared" si="2"/>
        <v>1300</v>
      </c>
      <c r="K66" s="163"/>
      <c r="L66" s="163"/>
      <c r="M66" s="163"/>
      <c r="N66" s="5"/>
    </row>
    <row r="67" spans="1:14" outlineLevel="1" x14ac:dyDescent="0.25">
      <c r="A67" s="84"/>
      <c r="B67" s="361" t="s">
        <v>738</v>
      </c>
      <c r="C67" s="2" t="s">
        <v>8</v>
      </c>
      <c r="D67" s="282">
        <v>0.05</v>
      </c>
      <c r="E67" s="2"/>
      <c r="F67" s="664">
        <v>4200</v>
      </c>
      <c r="G67" s="2"/>
      <c r="H67" s="2">
        <f>ROUND(D67*F67,2)</f>
        <v>210</v>
      </c>
      <c r="I67" s="11">
        <f>G67+H67</f>
        <v>210</v>
      </c>
      <c r="K67" s="163"/>
      <c r="L67" s="163"/>
      <c r="M67" s="163"/>
      <c r="N67" s="5"/>
    </row>
    <row r="68" spans="1:14" outlineLevel="1" x14ac:dyDescent="0.25">
      <c r="A68" s="84"/>
      <c r="B68" s="361" t="s">
        <v>763</v>
      </c>
      <c r="C68" s="2" t="s">
        <v>1323</v>
      </c>
      <c r="D68" s="540">
        <f>10.8</f>
        <v>10.8</v>
      </c>
      <c r="E68" s="2"/>
      <c r="F68" s="164">
        <v>300</v>
      </c>
      <c r="G68" s="2"/>
      <c r="H68" s="2">
        <f t="shared" si="3"/>
        <v>3240</v>
      </c>
      <c r="I68" s="11">
        <f t="shared" si="2"/>
        <v>3240</v>
      </c>
      <c r="K68" s="163"/>
      <c r="L68" s="163"/>
      <c r="M68" s="163"/>
      <c r="N68" s="5"/>
    </row>
    <row r="69" spans="1:14" outlineLevel="1" x14ac:dyDescent="0.25">
      <c r="A69" s="84"/>
      <c r="B69" s="361" t="s">
        <v>767</v>
      </c>
      <c r="C69" s="2" t="s">
        <v>15</v>
      </c>
      <c r="D69" s="540">
        <v>135</v>
      </c>
      <c r="E69" s="2"/>
      <c r="F69" s="361">
        <v>40</v>
      </c>
      <c r="G69" s="2"/>
      <c r="H69" s="2">
        <f t="shared" ref="H69:H75" si="4">ROUND(D69*F69,2)</f>
        <v>5400</v>
      </c>
      <c r="I69" s="11">
        <f t="shared" si="2"/>
        <v>5400</v>
      </c>
      <c r="K69" s="163"/>
      <c r="L69" s="163"/>
      <c r="M69" s="163"/>
      <c r="N69" s="5"/>
    </row>
    <row r="70" spans="1:14" outlineLevel="1" x14ac:dyDescent="0.25">
      <c r="A70" s="84"/>
      <c r="B70" s="361" t="s">
        <v>768</v>
      </c>
      <c r="C70" s="2" t="s">
        <v>15</v>
      </c>
      <c r="D70" s="540">
        <v>350</v>
      </c>
      <c r="E70" s="2"/>
      <c r="F70" s="361">
        <v>40</v>
      </c>
      <c r="G70" s="2"/>
      <c r="H70" s="2">
        <f t="shared" si="4"/>
        <v>14000</v>
      </c>
      <c r="I70" s="11">
        <f t="shared" si="2"/>
        <v>14000</v>
      </c>
      <c r="K70" s="163"/>
      <c r="L70" s="163"/>
      <c r="M70" s="163"/>
      <c r="N70" s="5"/>
    </row>
    <row r="71" spans="1:14" outlineLevel="1" x14ac:dyDescent="0.25">
      <c r="A71" s="84"/>
      <c r="B71" s="361" t="s">
        <v>770</v>
      </c>
      <c r="C71" s="2" t="s">
        <v>15</v>
      </c>
      <c r="D71" s="540">
        <v>5</v>
      </c>
      <c r="E71" s="2"/>
      <c r="F71" s="361">
        <v>36</v>
      </c>
      <c r="G71" s="2"/>
      <c r="H71" s="2">
        <f t="shared" si="4"/>
        <v>180</v>
      </c>
      <c r="I71" s="11">
        <f t="shared" si="2"/>
        <v>180</v>
      </c>
      <c r="K71" s="163"/>
      <c r="L71" s="163"/>
      <c r="M71" s="163"/>
      <c r="N71" s="5"/>
    </row>
    <row r="72" spans="1:14" outlineLevel="1" x14ac:dyDescent="0.25">
      <c r="A72" s="84"/>
      <c r="B72" s="361" t="s">
        <v>1331</v>
      </c>
      <c r="C72" s="2" t="s">
        <v>15</v>
      </c>
      <c r="D72" s="540">
        <v>97</v>
      </c>
      <c r="E72" s="2"/>
      <c r="F72" s="361">
        <v>36</v>
      </c>
      <c r="G72" s="2"/>
      <c r="H72" s="2">
        <f t="shared" si="4"/>
        <v>3492</v>
      </c>
      <c r="I72" s="11">
        <f t="shared" si="2"/>
        <v>3492</v>
      </c>
      <c r="K72" s="163"/>
      <c r="L72" s="163"/>
      <c r="M72" s="163"/>
      <c r="N72" s="5"/>
    </row>
    <row r="73" spans="1:14" outlineLevel="1" x14ac:dyDescent="0.25">
      <c r="A73" s="84"/>
      <c r="B73" s="361" t="s">
        <v>771</v>
      </c>
      <c r="C73" s="2" t="s">
        <v>15</v>
      </c>
      <c r="D73" s="540">
        <v>0</v>
      </c>
      <c r="E73" s="2"/>
      <c r="F73" s="361">
        <v>36</v>
      </c>
      <c r="G73" s="2"/>
      <c r="H73" s="2">
        <f t="shared" si="4"/>
        <v>0</v>
      </c>
      <c r="I73" s="11">
        <f t="shared" si="2"/>
        <v>0</v>
      </c>
      <c r="K73" s="163"/>
      <c r="L73" s="163"/>
      <c r="M73" s="163"/>
      <c r="N73" s="5"/>
    </row>
    <row r="74" spans="1:14" outlineLevel="1" x14ac:dyDescent="0.25">
      <c r="A74" s="84"/>
      <c r="B74" s="361" t="s">
        <v>772</v>
      </c>
      <c r="C74" s="2" t="s">
        <v>15</v>
      </c>
      <c r="D74" s="540">
        <v>25</v>
      </c>
      <c r="E74" s="2"/>
      <c r="F74" s="361">
        <v>33</v>
      </c>
      <c r="G74" s="2"/>
      <c r="H74" s="2">
        <f t="shared" si="4"/>
        <v>825</v>
      </c>
      <c r="I74" s="11">
        <f t="shared" si="2"/>
        <v>825</v>
      </c>
      <c r="K74" s="163"/>
      <c r="L74" s="163"/>
      <c r="M74" s="163"/>
      <c r="N74" s="5"/>
    </row>
    <row r="75" spans="1:14" outlineLevel="1" x14ac:dyDescent="0.25">
      <c r="A75" s="84"/>
      <c r="B75" s="361" t="s">
        <v>773</v>
      </c>
      <c r="C75" s="2" t="s">
        <v>15</v>
      </c>
      <c r="D75" s="540">
        <v>40</v>
      </c>
      <c r="E75" s="2"/>
      <c r="F75" s="361">
        <v>33</v>
      </c>
      <c r="G75" s="2"/>
      <c r="H75" s="2">
        <f t="shared" si="4"/>
        <v>1320</v>
      </c>
      <c r="I75" s="11">
        <f t="shared" si="2"/>
        <v>1320</v>
      </c>
      <c r="K75" s="163"/>
      <c r="L75" s="163"/>
      <c r="M75" s="163"/>
      <c r="N75" s="5"/>
    </row>
    <row r="76" spans="1:14" outlineLevel="1" x14ac:dyDescent="0.25">
      <c r="A76" s="107" t="s">
        <v>66</v>
      </c>
      <c r="B76" s="538" t="s">
        <v>807</v>
      </c>
      <c r="C76" s="41" t="s">
        <v>14</v>
      </c>
      <c r="D76" s="282">
        <f>SUM(D68:D75)*27/1000</f>
        <v>17.895599999999998</v>
      </c>
      <c r="E76" s="353">
        <v>150</v>
      </c>
      <c r="F76" s="362"/>
      <c r="G76" s="2">
        <f>D76*E76</f>
        <v>2684.3399999999997</v>
      </c>
      <c r="H76" s="2"/>
      <c r="I76" s="11">
        <f>G76</f>
        <v>2684.3399999999997</v>
      </c>
      <c r="K76" s="163"/>
      <c r="L76" s="163"/>
      <c r="M76" s="163"/>
      <c r="N76" s="5"/>
    </row>
    <row r="77" spans="1:14" outlineLevel="1" x14ac:dyDescent="0.25">
      <c r="A77" s="84"/>
      <c r="B77" s="533" t="s">
        <v>908</v>
      </c>
      <c r="C77" s="41" t="s">
        <v>15</v>
      </c>
      <c r="D77" s="282">
        <f>D76*0.2</f>
        <v>3.5791199999999996</v>
      </c>
      <c r="E77" s="390"/>
      <c r="F77" s="362">
        <v>85</v>
      </c>
      <c r="G77" s="2"/>
      <c r="H77" s="2">
        <f>F77*D77</f>
        <v>304.22519999999997</v>
      </c>
      <c r="I77" s="11">
        <f>H77</f>
        <v>304.22519999999997</v>
      </c>
      <c r="K77" s="163"/>
      <c r="L77" s="163"/>
      <c r="M77" s="163"/>
      <c r="N77" s="5"/>
    </row>
    <row r="78" spans="1:14" outlineLevel="1" x14ac:dyDescent="0.25">
      <c r="A78" s="84"/>
      <c r="B78" s="533" t="s">
        <v>809</v>
      </c>
      <c r="C78" s="41" t="s">
        <v>15</v>
      </c>
      <c r="D78" s="282">
        <f>D76*0.3</f>
        <v>5.3686799999999995</v>
      </c>
      <c r="E78" s="390"/>
      <c r="F78" s="362">
        <v>115</v>
      </c>
      <c r="G78" s="2"/>
      <c r="H78" s="2">
        <f>F78*D78</f>
        <v>617.39819999999997</v>
      </c>
      <c r="I78" s="11">
        <f>H78</f>
        <v>617.39819999999997</v>
      </c>
      <c r="K78" s="163"/>
      <c r="L78" s="163"/>
      <c r="M78" s="163"/>
      <c r="N78" s="5"/>
    </row>
    <row r="79" spans="1:14" outlineLevel="1" x14ac:dyDescent="0.25">
      <c r="A79" s="107" t="s">
        <v>349</v>
      </c>
      <c r="B79" s="531" t="s">
        <v>787</v>
      </c>
      <c r="C79" s="31" t="s">
        <v>8</v>
      </c>
      <c r="D79" s="256">
        <v>0.92</v>
      </c>
      <c r="E79" s="256">
        <v>800</v>
      </c>
      <c r="F79" s="11"/>
      <c r="G79" s="2">
        <f>ROUND(E79*D79,2)</f>
        <v>736</v>
      </c>
      <c r="H79" s="2"/>
      <c r="I79" s="11">
        <f t="shared" si="2"/>
        <v>736</v>
      </c>
      <c r="K79" s="163"/>
      <c r="L79" s="163"/>
      <c r="M79" s="163"/>
      <c r="N79" s="5"/>
    </row>
    <row r="80" spans="1:14" outlineLevel="1" x14ac:dyDescent="0.25">
      <c r="A80" s="84"/>
      <c r="B80" s="361" t="s">
        <v>738</v>
      </c>
      <c r="C80" s="2" t="s">
        <v>8</v>
      </c>
      <c r="D80" s="282">
        <f>D79*1.02</f>
        <v>0.93840000000000001</v>
      </c>
      <c r="E80" s="282"/>
      <c r="F80" s="664">
        <v>4200</v>
      </c>
      <c r="G80" s="2"/>
      <c r="H80" s="2">
        <f>ROUND(D80*F80,2)</f>
        <v>3941.28</v>
      </c>
      <c r="I80" s="11">
        <f t="shared" si="2"/>
        <v>3941.28</v>
      </c>
      <c r="K80" s="163"/>
      <c r="L80" s="163"/>
      <c r="M80" s="163"/>
      <c r="N80" s="5"/>
    </row>
    <row r="81" spans="1:14" outlineLevel="1" x14ac:dyDescent="0.25">
      <c r="A81" s="84"/>
      <c r="B81" s="533" t="s">
        <v>1354</v>
      </c>
      <c r="C81" s="41" t="s">
        <v>15</v>
      </c>
      <c r="D81" s="277">
        <f>18*0.61+57*0.54</f>
        <v>41.760000000000005</v>
      </c>
      <c r="E81" s="282"/>
      <c r="F81" s="364">
        <v>42</v>
      </c>
      <c r="G81" s="10"/>
      <c r="H81" s="2">
        <f>ROUND(D81*F81,2)</f>
        <v>1753.92</v>
      </c>
      <c r="I81" s="11">
        <f t="shared" si="2"/>
        <v>1753.92</v>
      </c>
      <c r="K81" s="163"/>
      <c r="L81" s="163"/>
      <c r="M81" s="163"/>
      <c r="N81" s="5"/>
    </row>
    <row r="82" spans="1:14" ht="17.25" customHeight="1" outlineLevel="1" x14ac:dyDescent="0.25">
      <c r="A82" s="107" t="s">
        <v>495</v>
      </c>
      <c r="B82" s="531" t="s">
        <v>1305</v>
      </c>
      <c r="C82" s="2" t="s">
        <v>8</v>
      </c>
      <c r="D82" s="256">
        <v>1.2</v>
      </c>
      <c r="E82" s="256">
        <v>1500</v>
      </c>
      <c r="F82" s="164"/>
      <c r="G82" s="2">
        <f>ROUND(E82*D82,2)</f>
        <v>1800</v>
      </c>
      <c r="H82" s="2"/>
      <c r="I82" s="11">
        <f t="shared" ref="I82:I88" si="5">G82+H82</f>
        <v>1800</v>
      </c>
      <c r="K82" s="161"/>
      <c r="L82" s="161"/>
      <c r="M82" s="161"/>
      <c r="N82" s="5"/>
    </row>
    <row r="83" spans="1:14" outlineLevel="1" x14ac:dyDescent="0.25">
      <c r="A83" s="84"/>
      <c r="B83" s="361" t="s">
        <v>738</v>
      </c>
      <c r="C83" s="2" t="s">
        <v>8</v>
      </c>
      <c r="D83" s="282">
        <f>D82*1.02</f>
        <v>1.224</v>
      </c>
      <c r="E83" s="2"/>
      <c r="F83" s="664">
        <v>4200</v>
      </c>
      <c r="G83" s="2"/>
      <c r="H83" s="2">
        <f>ROUND(D83*F83,2)</f>
        <v>5140.8</v>
      </c>
      <c r="I83" s="60">
        <f t="shared" si="5"/>
        <v>5140.8</v>
      </c>
      <c r="K83" s="161"/>
      <c r="L83" s="161"/>
      <c r="M83" s="161"/>
      <c r="N83" s="5"/>
    </row>
    <row r="84" spans="1:14" outlineLevel="1" x14ac:dyDescent="0.25">
      <c r="A84" s="84"/>
      <c r="B84" s="361" t="s">
        <v>737</v>
      </c>
      <c r="C84" s="41" t="s">
        <v>15</v>
      </c>
      <c r="D84" s="277">
        <f>2*17.1+14*0.15+3*9.77</f>
        <v>65.61</v>
      </c>
      <c r="E84" s="2"/>
      <c r="F84" s="364">
        <v>42</v>
      </c>
      <c r="G84" s="10"/>
      <c r="H84" s="2">
        <f>ROUND(D84*F84,2)</f>
        <v>2755.62</v>
      </c>
      <c r="I84" s="11">
        <f t="shared" si="5"/>
        <v>2755.62</v>
      </c>
      <c r="K84" s="161"/>
      <c r="L84" s="161"/>
      <c r="M84" s="161"/>
      <c r="N84" s="5"/>
    </row>
    <row r="85" spans="1:14" ht="21" customHeight="1" outlineLevel="1" x14ac:dyDescent="0.25">
      <c r="A85" s="107" t="s">
        <v>495</v>
      </c>
      <c r="B85" s="531" t="s">
        <v>1352</v>
      </c>
      <c r="C85" s="2" t="s">
        <v>8</v>
      </c>
      <c r="D85" s="256">
        <f>0.4*0.3*0.2*7</f>
        <v>0.16800000000000001</v>
      </c>
      <c r="E85" s="256">
        <v>600</v>
      </c>
      <c r="F85" s="164"/>
      <c r="G85" s="2">
        <f>ROUND(E85*D85,2)</f>
        <v>100.8</v>
      </c>
      <c r="H85" s="2"/>
      <c r="I85" s="11">
        <f t="shared" si="5"/>
        <v>100.8</v>
      </c>
      <c r="K85" s="161"/>
      <c r="L85" s="161"/>
      <c r="M85" s="161"/>
      <c r="N85" s="5"/>
    </row>
    <row r="86" spans="1:14" outlineLevel="1" x14ac:dyDescent="0.25">
      <c r="A86" s="84"/>
      <c r="B86" s="361" t="s">
        <v>738</v>
      </c>
      <c r="C86" s="2" t="s">
        <v>8</v>
      </c>
      <c r="D86" s="282">
        <f>D85*1.02</f>
        <v>0.17136000000000001</v>
      </c>
      <c r="E86" s="2"/>
      <c r="F86" s="664">
        <v>4200</v>
      </c>
      <c r="G86" s="2"/>
      <c r="H86" s="2">
        <f>ROUND(D86*F86,2)</f>
        <v>719.71</v>
      </c>
      <c r="I86" s="60">
        <f t="shared" si="5"/>
        <v>719.71</v>
      </c>
      <c r="K86" s="161"/>
      <c r="L86" s="161"/>
      <c r="M86" s="161"/>
      <c r="N86" s="5"/>
    </row>
    <row r="87" spans="1:14" outlineLevel="1" x14ac:dyDescent="0.25">
      <c r="A87" s="84"/>
      <c r="B87" s="361" t="s">
        <v>737</v>
      </c>
      <c r="C87" s="41" t="s">
        <v>15</v>
      </c>
      <c r="D87" s="277">
        <f>12*0.98+24*0.15</f>
        <v>15.36</v>
      </c>
      <c r="E87" s="2"/>
      <c r="F87" s="364">
        <v>42</v>
      </c>
      <c r="G87" s="10"/>
      <c r="H87" s="2">
        <f>ROUND(D87*F87,2)</f>
        <v>645.12</v>
      </c>
      <c r="I87" s="11">
        <f t="shared" si="5"/>
        <v>645.12</v>
      </c>
      <c r="K87" s="161"/>
      <c r="L87" s="161"/>
      <c r="M87" s="161"/>
      <c r="N87" s="5"/>
    </row>
    <row r="88" spans="1:14" outlineLevel="1" x14ac:dyDescent="0.25">
      <c r="A88" s="107" t="s">
        <v>496</v>
      </c>
      <c r="B88" s="536" t="s">
        <v>740</v>
      </c>
      <c r="C88" s="46" t="s">
        <v>12</v>
      </c>
      <c r="D88" s="275">
        <f>SUM(D89:D96)</f>
        <v>65</v>
      </c>
      <c r="E88" s="275">
        <v>600</v>
      </c>
      <c r="F88" s="43"/>
      <c r="G88" s="2">
        <f>ROUND(E88*D88,2)</f>
        <v>39000</v>
      </c>
      <c r="H88" s="11"/>
      <c r="I88" s="11">
        <f t="shared" si="5"/>
        <v>39000</v>
      </c>
      <c r="K88" s="161"/>
      <c r="L88" s="161"/>
      <c r="M88" s="161"/>
      <c r="N88" s="5"/>
    </row>
    <row r="89" spans="1:14" outlineLevel="1" x14ac:dyDescent="0.25">
      <c r="A89" s="84"/>
      <c r="B89" s="533" t="s">
        <v>751</v>
      </c>
      <c r="C89" s="2" t="s">
        <v>12</v>
      </c>
      <c r="D89" s="282">
        <v>19</v>
      </c>
      <c r="E89" s="31"/>
      <c r="F89" s="363">
        <v>15000</v>
      </c>
      <c r="G89" s="2"/>
      <c r="H89" s="2">
        <f>ROUND(D89*F89,2)</f>
        <v>285000</v>
      </c>
      <c r="I89" s="60">
        <f t="shared" ref="I89:I96" si="6">G89+H89</f>
        <v>285000</v>
      </c>
      <c r="K89" s="161"/>
      <c r="L89" s="161"/>
      <c r="M89" s="161"/>
      <c r="N89" s="5"/>
    </row>
    <row r="90" spans="1:14" outlineLevel="1" x14ac:dyDescent="0.25">
      <c r="A90" s="84"/>
      <c r="B90" s="533" t="s">
        <v>887</v>
      </c>
      <c r="C90" s="2" t="s">
        <v>12</v>
      </c>
      <c r="D90" s="282">
        <v>5</v>
      </c>
      <c r="E90" s="31"/>
      <c r="F90" s="363">
        <v>15000</v>
      </c>
      <c r="G90" s="2"/>
      <c r="H90" s="2">
        <f>ROUND(D90*F90,2)</f>
        <v>75000</v>
      </c>
      <c r="I90" s="60">
        <f t="shared" si="6"/>
        <v>75000</v>
      </c>
      <c r="K90" s="161"/>
      <c r="L90" s="161"/>
      <c r="M90" s="161"/>
      <c r="N90" s="5"/>
    </row>
    <row r="91" spans="1:14" outlineLevel="1" x14ac:dyDescent="0.25">
      <c r="A91" s="84"/>
      <c r="B91" s="533" t="s">
        <v>743</v>
      </c>
      <c r="C91" s="2" t="s">
        <v>12</v>
      </c>
      <c r="D91" s="282">
        <f>3+22</f>
        <v>25</v>
      </c>
      <c r="E91" s="31"/>
      <c r="F91" s="362">
        <v>9631</v>
      </c>
      <c r="G91" s="2"/>
      <c r="H91" s="2">
        <f t="shared" ref="H91:H96" si="7">ROUND(D91*F91,2)</f>
        <v>240775</v>
      </c>
      <c r="I91" s="60">
        <f t="shared" si="6"/>
        <v>240775</v>
      </c>
      <c r="K91" s="161"/>
      <c r="L91" s="161"/>
      <c r="M91" s="161"/>
      <c r="N91" s="5"/>
    </row>
    <row r="92" spans="1:14" outlineLevel="1" x14ac:dyDescent="0.25">
      <c r="A92" s="84"/>
      <c r="B92" s="533" t="s">
        <v>744</v>
      </c>
      <c r="C92" s="2" t="s">
        <v>12</v>
      </c>
      <c r="D92" s="282">
        <f>5+3</f>
        <v>8</v>
      </c>
      <c r="E92" s="31"/>
      <c r="F92" s="362">
        <v>11987</v>
      </c>
      <c r="G92" s="2"/>
      <c r="H92" s="2">
        <f t="shared" si="7"/>
        <v>95896</v>
      </c>
      <c r="I92" s="60">
        <f t="shared" si="6"/>
        <v>95896</v>
      </c>
      <c r="K92" s="161"/>
      <c r="L92" s="161"/>
      <c r="M92" s="161"/>
      <c r="N92" s="5"/>
    </row>
    <row r="93" spans="1:14" outlineLevel="1" x14ac:dyDescent="0.25">
      <c r="A93" s="84"/>
      <c r="B93" s="533" t="s">
        <v>1337</v>
      </c>
      <c r="C93" s="2" t="s">
        <v>12</v>
      </c>
      <c r="D93" s="282">
        <v>2</v>
      </c>
      <c r="E93" s="31"/>
      <c r="F93" s="362">
        <v>4100</v>
      </c>
      <c r="G93" s="2"/>
      <c r="H93" s="2">
        <f t="shared" si="7"/>
        <v>8200</v>
      </c>
      <c r="I93" s="60">
        <f t="shared" si="6"/>
        <v>8200</v>
      </c>
      <c r="K93" s="161"/>
      <c r="L93" s="161"/>
      <c r="M93" s="161"/>
      <c r="N93" s="5"/>
    </row>
    <row r="94" spans="1:14" outlineLevel="1" x14ac:dyDescent="0.25">
      <c r="A94" s="84"/>
      <c r="B94" s="533" t="s">
        <v>1338</v>
      </c>
      <c r="C94" s="2" t="s">
        <v>12</v>
      </c>
      <c r="D94" s="282">
        <v>1</v>
      </c>
      <c r="E94" s="31"/>
      <c r="F94" s="363">
        <v>12000</v>
      </c>
      <c r="G94" s="2"/>
      <c r="H94" s="2">
        <f t="shared" si="7"/>
        <v>12000</v>
      </c>
      <c r="I94" s="60">
        <f t="shared" si="6"/>
        <v>12000</v>
      </c>
      <c r="K94" s="161"/>
      <c r="L94" s="161"/>
      <c r="M94" s="161"/>
      <c r="N94" s="5"/>
    </row>
    <row r="95" spans="1:14" outlineLevel="1" x14ac:dyDescent="0.25">
      <c r="A95" s="84"/>
      <c r="B95" s="533" t="s">
        <v>1319</v>
      </c>
      <c r="C95" s="2" t="s">
        <v>12</v>
      </c>
      <c r="D95" s="282">
        <f>2</f>
        <v>2</v>
      </c>
      <c r="E95" s="31"/>
      <c r="F95" s="363">
        <v>15000</v>
      </c>
      <c r="G95" s="2"/>
      <c r="H95" s="2">
        <f t="shared" si="7"/>
        <v>30000</v>
      </c>
      <c r="I95" s="60">
        <f t="shared" si="6"/>
        <v>30000</v>
      </c>
      <c r="K95" s="161"/>
      <c r="L95" s="161"/>
      <c r="M95" s="161"/>
      <c r="N95" s="5"/>
    </row>
    <row r="96" spans="1:14" outlineLevel="1" x14ac:dyDescent="0.25">
      <c r="A96" s="84"/>
      <c r="B96" s="533" t="s">
        <v>1307</v>
      </c>
      <c r="C96" s="2" t="s">
        <v>12</v>
      </c>
      <c r="D96" s="282">
        <v>3</v>
      </c>
      <c r="E96" s="31"/>
      <c r="F96" s="362">
        <v>18060</v>
      </c>
      <c r="G96" s="2"/>
      <c r="H96" s="2">
        <f t="shared" si="7"/>
        <v>54180</v>
      </c>
      <c r="I96" s="60">
        <f t="shared" si="6"/>
        <v>54180</v>
      </c>
      <c r="K96" s="161"/>
      <c r="L96" s="161"/>
      <c r="M96" s="161"/>
      <c r="N96" s="5"/>
    </row>
    <row r="97" spans="1:252" outlineLevel="1" x14ac:dyDescent="0.25">
      <c r="A97" s="84"/>
      <c r="B97" s="535" t="s">
        <v>480</v>
      </c>
      <c r="C97" s="41" t="s">
        <v>9</v>
      </c>
      <c r="D97" s="534">
        <f>МЭ!T10/1000</f>
        <v>9.8220000000000002E-2</v>
      </c>
      <c r="E97" s="43"/>
      <c r="F97" s="364">
        <v>40000</v>
      </c>
      <c r="G97" s="18"/>
      <c r="H97" s="2">
        <f>ROUND(D97*F97,2)</f>
        <v>3928.8</v>
      </c>
      <c r="I97" s="11">
        <f t="shared" ref="I97:I102" si="8">G97+H97</f>
        <v>3928.8</v>
      </c>
      <c r="K97" s="161"/>
      <c r="L97" s="161"/>
      <c r="M97" s="161"/>
      <c r="N97" s="5"/>
    </row>
    <row r="98" spans="1:252" outlineLevel="1" x14ac:dyDescent="0.25">
      <c r="A98" s="84"/>
      <c r="B98" s="45" t="s">
        <v>198</v>
      </c>
      <c r="C98" s="41" t="s">
        <v>9</v>
      </c>
      <c r="D98" s="42">
        <f>0.11/334.51*D84</f>
        <v>2.1575139756658993E-2</v>
      </c>
      <c r="E98" s="43"/>
      <c r="F98" s="364">
        <f>65*1.1*1000</f>
        <v>71500</v>
      </c>
      <c r="G98" s="2"/>
      <c r="H98" s="2">
        <f>ROUND(D98*F98,2)</f>
        <v>1542.62</v>
      </c>
      <c r="I98" s="11">
        <f t="shared" si="8"/>
        <v>1542.62</v>
      </c>
      <c r="K98" s="161"/>
      <c r="L98" s="161"/>
      <c r="M98" s="161"/>
      <c r="N98" s="5"/>
    </row>
    <row r="99" spans="1:252" outlineLevel="1" x14ac:dyDescent="0.25">
      <c r="A99" s="107" t="s">
        <v>621</v>
      </c>
      <c r="B99" s="538" t="s">
        <v>788</v>
      </c>
      <c r="C99" s="203" t="s">
        <v>8</v>
      </c>
      <c r="D99" s="537">
        <f>1.6+0.41</f>
        <v>2.0100000000000002</v>
      </c>
      <c r="E99" s="353">
        <v>800</v>
      </c>
      <c r="F99" s="139"/>
      <c r="G99" s="2">
        <f>ROUND(E99*D99,2)</f>
        <v>1608</v>
      </c>
      <c r="H99" s="26"/>
      <c r="I99" s="11">
        <f t="shared" si="8"/>
        <v>1608</v>
      </c>
      <c r="K99" s="161"/>
      <c r="L99" s="161"/>
      <c r="M99" s="161"/>
      <c r="N99" s="5"/>
    </row>
    <row r="100" spans="1:252" outlineLevel="1" x14ac:dyDescent="0.25">
      <c r="A100" s="84"/>
      <c r="B100" s="533" t="s">
        <v>366</v>
      </c>
      <c r="C100" s="41" t="s">
        <v>15</v>
      </c>
      <c r="D100" s="277">
        <f>МЭ!T19</f>
        <v>285.36</v>
      </c>
      <c r="E100" s="2"/>
      <c r="F100" s="364">
        <v>34</v>
      </c>
      <c r="G100" s="10"/>
      <c r="H100" s="2">
        <f>ROUND(D100*F100,2)</f>
        <v>9702.24</v>
      </c>
      <c r="I100" s="11">
        <f t="shared" si="8"/>
        <v>9702.24</v>
      </c>
      <c r="K100" s="161"/>
      <c r="L100" s="161"/>
      <c r="M100" s="161"/>
      <c r="N100" s="5"/>
    </row>
    <row r="101" spans="1:252" outlineLevel="1" x14ac:dyDescent="0.25">
      <c r="A101" s="84"/>
      <c r="B101" s="533" t="s">
        <v>1308</v>
      </c>
      <c r="C101" s="41" t="s">
        <v>15</v>
      </c>
      <c r="D101" s="277">
        <f>140*0.04+70*0.03+14*0.04+48*0.03</f>
        <v>9.7000000000000011</v>
      </c>
      <c r="E101" s="2"/>
      <c r="F101" s="364">
        <v>42</v>
      </c>
      <c r="G101" s="10"/>
      <c r="H101" s="2">
        <f>ROUND(D101*F101,2)</f>
        <v>407.4</v>
      </c>
      <c r="I101" s="11">
        <f t="shared" si="8"/>
        <v>407.4</v>
      </c>
      <c r="K101" s="161"/>
      <c r="L101" s="161"/>
      <c r="M101" s="161"/>
      <c r="N101" s="5"/>
    </row>
    <row r="102" spans="1:252" outlineLevel="1" x14ac:dyDescent="0.25">
      <c r="A102" s="84"/>
      <c r="B102" s="533" t="s">
        <v>1309</v>
      </c>
      <c r="C102" s="41" t="s">
        <v>8</v>
      </c>
      <c r="D102" s="277">
        <f>D99*1.015</f>
        <v>2.0401500000000001</v>
      </c>
      <c r="E102" s="2"/>
      <c r="F102" s="664">
        <v>4200</v>
      </c>
      <c r="G102" s="31"/>
      <c r="H102" s="2">
        <f>ROUND(D102*F102,2)</f>
        <v>8568.6299999999992</v>
      </c>
      <c r="I102" s="11">
        <f t="shared" si="8"/>
        <v>8568.6299999999992</v>
      </c>
      <c r="K102" s="161"/>
      <c r="L102" s="161"/>
      <c r="M102" s="161"/>
      <c r="N102" s="5"/>
    </row>
    <row r="103" spans="1:252" outlineLevel="1" x14ac:dyDescent="0.25">
      <c r="A103" s="84"/>
      <c r="B103" s="309"/>
      <c r="C103" s="2"/>
      <c r="D103" s="340"/>
      <c r="E103" s="2"/>
      <c r="F103" s="164"/>
      <c r="G103" s="2"/>
      <c r="H103" s="2"/>
      <c r="I103" s="60"/>
      <c r="K103" s="161"/>
      <c r="L103" s="161"/>
      <c r="M103" s="161"/>
      <c r="N103" s="5"/>
    </row>
    <row r="104" spans="1:252" s="6" customFormat="1" hidden="1" outlineLevel="1" x14ac:dyDescent="0.25">
      <c r="A104" s="269" t="s">
        <v>496</v>
      </c>
      <c r="B104" s="313" t="s">
        <v>27</v>
      </c>
      <c r="C104" s="31" t="s">
        <v>14</v>
      </c>
      <c r="D104" s="306">
        <v>0</v>
      </c>
      <c r="E104" s="256">
        <v>100</v>
      </c>
      <c r="F104" s="11"/>
      <c r="G104" s="2">
        <f>ROUND(E104*D104,2)</f>
        <v>0</v>
      </c>
      <c r="H104" s="2"/>
      <c r="I104" s="11">
        <f>G104+H104</f>
        <v>0</v>
      </c>
      <c r="K104" s="161"/>
      <c r="L104" s="161"/>
      <c r="M104" s="161"/>
      <c r="N104" s="5"/>
    </row>
    <row r="105" spans="1:252" ht="31.2" hidden="1" outlineLevel="1" x14ac:dyDescent="0.25">
      <c r="A105" s="86"/>
      <c r="B105" s="309" t="s">
        <v>28</v>
      </c>
      <c r="C105" s="2" t="s">
        <v>8</v>
      </c>
      <c r="D105" s="340">
        <f>ROUND(D104*0.1*1.03,2)</f>
        <v>0</v>
      </c>
      <c r="E105" s="2"/>
      <c r="F105" s="164">
        <v>4100</v>
      </c>
      <c r="G105" s="2"/>
      <c r="H105" s="2">
        <f>ROUND(D105*F105,2)</f>
        <v>0</v>
      </c>
      <c r="I105" s="11">
        <f>G105+H105</f>
        <v>0</v>
      </c>
      <c r="K105" s="161"/>
      <c r="L105" s="161"/>
      <c r="M105" s="161"/>
      <c r="N105" s="5"/>
    </row>
    <row r="106" spans="1:252" s="36" customFormat="1" ht="36" hidden="1" customHeight="1" outlineLevel="1" x14ac:dyDescent="0.25">
      <c r="A106" s="261" t="s">
        <v>621</v>
      </c>
      <c r="B106" s="307" t="s">
        <v>209</v>
      </c>
      <c r="C106" s="31" t="s">
        <v>14</v>
      </c>
      <c r="D106" s="306">
        <v>0</v>
      </c>
      <c r="E106" s="256">
        <v>150</v>
      </c>
      <c r="F106" s="11"/>
      <c r="G106" s="2">
        <f>ROUND(E106*D106,2)</f>
        <v>0</v>
      </c>
      <c r="H106" s="2"/>
      <c r="I106" s="11">
        <f>G106+H106</f>
        <v>0</v>
      </c>
      <c r="K106" s="161"/>
      <c r="L106" s="161"/>
      <c r="M106" s="161"/>
      <c r="N106" s="5"/>
    </row>
    <row r="107" spans="1:252" hidden="1" outlineLevel="1" x14ac:dyDescent="0.25">
      <c r="A107" s="84"/>
      <c r="B107" s="309" t="s">
        <v>65</v>
      </c>
      <c r="C107" s="2" t="s">
        <v>15</v>
      </c>
      <c r="D107" s="340">
        <f>2.5*D106</f>
        <v>0</v>
      </c>
      <c r="E107" s="2"/>
      <c r="F107" s="361">
        <v>55</v>
      </c>
      <c r="G107" s="2"/>
      <c r="H107" s="2">
        <f>ROUND(D107*F107,2)</f>
        <v>0</v>
      </c>
      <c r="I107" s="11">
        <f>G107+H107</f>
        <v>0</v>
      </c>
      <c r="K107" s="161"/>
      <c r="L107" s="161"/>
      <c r="M107" s="161"/>
      <c r="N107" s="5"/>
    </row>
    <row r="108" spans="1:252" hidden="1" outlineLevel="1" x14ac:dyDescent="0.25">
      <c r="A108" s="84"/>
      <c r="B108" s="309" t="s">
        <v>68</v>
      </c>
      <c r="C108" s="2" t="s">
        <v>30</v>
      </c>
      <c r="D108" s="340">
        <f>0.35*D106</f>
        <v>0</v>
      </c>
      <c r="E108" s="2"/>
      <c r="F108" s="361">
        <v>44</v>
      </c>
      <c r="G108" s="2"/>
      <c r="H108" s="2">
        <f>ROUND(D108*F108,2)</f>
        <v>0</v>
      </c>
      <c r="I108" s="11">
        <f>G108+H108</f>
        <v>0</v>
      </c>
      <c r="K108" s="161"/>
      <c r="L108" s="161"/>
      <c r="M108" s="161"/>
      <c r="N108" s="5"/>
    </row>
    <row r="109" spans="1:252" s="36" customFormat="1" ht="31.2" collapsed="1" x14ac:dyDescent="0.25">
      <c r="A109" s="212"/>
      <c r="B109" s="213" t="s">
        <v>577</v>
      </c>
      <c r="C109" s="222"/>
      <c r="D109" s="215"/>
      <c r="E109" s="216"/>
      <c r="F109" s="217"/>
      <c r="G109" s="216">
        <f>SUM(G55:G108)</f>
        <v>48799.23</v>
      </c>
      <c r="H109" s="216">
        <f>SUM(H55:H108)</f>
        <v>907622.51340000005</v>
      </c>
      <c r="I109" s="215">
        <f>SUM(I55:I108)</f>
        <v>956421.74340000004</v>
      </c>
    </row>
    <row r="110" spans="1:252" s="39" customFormat="1" ht="18.600000000000001" customHeight="1" x14ac:dyDescent="0.25">
      <c r="A110" s="549"/>
      <c r="B110" s="58" t="s">
        <v>624</v>
      </c>
      <c r="C110" s="9"/>
      <c r="D110" s="31"/>
      <c r="E110" s="10"/>
      <c r="F110" s="57"/>
      <c r="G110" s="10"/>
      <c r="H110" s="10"/>
      <c r="I110" s="31">
        <f>ROUND(I109/1.18*0.18,2)</f>
        <v>145894.84</v>
      </c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  <c r="IK110" s="25"/>
      <c r="IL110" s="25"/>
      <c r="IM110" s="25"/>
      <c r="IN110" s="25"/>
      <c r="IO110" s="25"/>
      <c r="IP110" s="25"/>
      <c r="IQ110" s="25"/>
      <c r="IR110" s="25"/>
    </row>
    <row r="111" spans="1:252" ht="18.75" customHeight="1" x14ac:dyDescent="0.25">
      <c r="A111" s="104"/>
      <c r="B111" s="556" t="s">
        <v>789</v>
      </c>
      <c r="C111" s="105"/>
      <c r="D111" s="105"/>
      <c r="E111" s="105"/>
      <c r="F111" s="138"/>
      <c r="G111" s="105"/>
      <c r="H111" s="105"/>
      <c r="I111" s="106"/>
    </row>
    <row r="112" spans="1:252" ht="32.25" customHeight="1" outlineLevel="1" x14ac:dyDescent="0.25">
      <c r="A112" s="107" t="s">
        <v>219</v>
      </c>
      <c r="B112" s="531" t="s">
        <v>1285</v>
      </c>
      <c r="C112" s="30" t="s">
        <v>8</v>
      </c>
      <c r="D112" s="256">
        <f>кладка!J26-окна!Q45-окна!T35</f>
        <v>487.4530190000001</v>
      </c>
      <c r="E112" s="256">
        <v>1600</v>
      </c>
      <c r="F112" s="11"/>
      <c r="G112" s="2">
        <f>ROUND(E112*D112,2)</f>
        <v>779924.83</v>
      </c>
      <c r="H112" s="2"/>
      <c r="I112" s="11">
        <f>G112+H112</f>
        <v>779924.83</v>
      </c>
      <c r="J112" s="25">
        <f>D112+D116</f>
        <v>566.18689550000011</v>
      </c>
      <c r="K112" s="280"/>
    </row>
    <row r="113" spans="1:12" ht="17.25" customHeight="1" outlineLevel="1" x14ac:dyDescent="0.25">
      <c r="A113" s="84"/>
      <c r="B113" s="361" t="s">
        <v>796</v>
      </c>
      <c r="C113" s="2" t="s">
        <v>12</v>
      </c>
      <c r="D113" s="282">
        <f>D112*400</f>
        <v>194981.20760000005</v>
      </c>
      <c r="E113" s="158"/>
      <c r="F113" s="664">
        <v>8.27</v>
      </c>
      <c r="G113" s="2"/>
      <c r="H113" s="2">
        <f>ROUND(D113*F113,2)</f>
        <v>1612494.59</v>
      </c>
      <c r="I113" s="11">
        <f>G113+H113</f>
        <v>1612494.59</v>
      </c>
      <c r="K113" s="280"/>
    </row>
    <row r="114" spans="1:12" ht="17.25" customHeight="1" outlineLevel="1" x14ac:dyDescent="0.25">
      <c r="A114" s="84"/>
      <c r="B114" s="361" t="s">
        <v>797</v>
      </c>
      <c r="C114" s="2" t="s">
        <v>8</v>
      </c>
      <c r="D114" s="282">
        <f>ROUND(0.23*D112,2)</f>
        <v>112.11</v>
      </c>
      <c r="E114" s="158"/>
      <c r="F114" s="361">
        <v>2600</v>
      </c>
      <c r="G114" s="2"/>
      <c r="H114" s="2">
        <f>ROUND(D114*F114,2)</f>
        <v>291486</v>
      </c>
      <c r="I114" s="11">
        <f>G114+H114</f>
        <v>291486</v>
      </c>
      <c r="K114" s="280"/>
    </row>
    <row r="115" spans="1:12" ht="14.25" customHeight="1" outlineLevel="1" x14ac:dyDescent="0.25">
      <c r="A115" s="84"/>
      <c r="B115" s="361" t="s">
        <v>862</v>
      </c>
      <c r="C115" s="2" t="s">
        <v>9</v>
      </c>
      <c r="D115" s="282">
        <f>(1.97*2526+2.56*498)/1000</f>
        <v>6.2511000000000001</v>
      </c>
      <c r="E115" s="158"/>
      <c r="F115" s="361">
        <v>42000</v>
      </c>
      <c r="G115" s="2"/>
      <c r="H115" s="2">
        <f>ROUND(D115*F115,2)</f>
        <v>262546.2</v>
      </c>
      <c r="I115" s="11">
        <f>G115+H115</f>
        <v>262546.2</v>
      </c>
      <c r="K115" s="280"/>
    </row>
    <row r="116" spans="1:12" ht="18.75" customHeight="1" outlineLevel="1" x14ac:dyDescent="0.25">
      <c r="A116" s="107" t="s">
        <v>498</v>
      </c>
      <c r="B116" s="531" t="s">
        <v>963</v>
      </c>
      <c r="C116" s="30" t="s">
        <v>8</v>
      </c>
      <c r="D116" s="256">
        <f>кладка!N26</f>
        <v>78.733876500000008</v>
      </c>
      <c r="E116" s="256">
        <v>1600</v>
      </c>
      <c r="F116" s="11"/>
      <c r="G116" s="2">
        <f>ROUND(E116*D116,2)</f>
        <v>125974.2</v>
      </c>
      <c r="H116" s="2"/>
      <c r="I116" s="11">
        <f t="shared" ref="I116:I157" si="9">G116+H116</f>
        <v>125974.2</v>
      </c>
      <c r="K116" s="280"/>
    </row>
    <row r="117" spans="1:12" ht="33.75" customHeight="1" outlineLevel="1" x14ac:dyDescent="0.25">
      <c r="A117" s="84"/>
      <c r="B117" s="361" t="s">
        <v>793</v>
      </c>
      <c r="C117" s="2" t="s">
        <v>12</v>
      </c>
      <c r="D117" s="282">
        <f>D116*513</f>
        <v>40390.478644500006</v>
      </c>
      <c r="E117" s="158"/>
      <c r="F117" s="664">
        <v>10.75</v>
      </c>
      <c r="G117" s="2"/>
      <c r="H117" s="2">
        <f>ROUND(D117*F117,2)</f>
        <v>434197.65</v>
      </c>
      <c r="I117" s="11">
        <f t="shared" si="9"/>
        <v>434197.65</v>
      </c>
      <c r="K117" s="280"/>
    </row>
    <row r="118" spans="1:12" ht="15" customHeight="1" outlineLevel="1" x14ac:dyDescent="0.25">
      <c r="A118" s="84"/>
      <c r="B118" s="361" t="s">
        <v>797</v>
      </c>
      <c r="C118" s="2" t="s">
        <v>8</v>
      </c>
      <c r="D118" s="282">
        <f>ROUND(0.23*D116,2)</f>
        <v>18.11</v>
      </c>
      <c r="E118" s="158"/>
      <c r="F118" s="361">
        <v>2600</v>
      </c>
      <c r="G118" s="2"/>
      <c r="H118" s="2">
        <f>ROUND(D118*F118,2)</f>
        <v>47086</v>
      </c>
      <c r="I118" s="11">
        <f t="shared" si="9"/>
        <v>47086</v>
      </c>
      <c r="K118" s="280"/>
    </row>
    <row r="119" spans="1:12" ht="16.5" hidden="1" customHeight="1" outlineLevel="1" x14ac:dyDescent="0.25">
      <c r="A119" s="84"/>
      <c r="B119" s="164" t="s">
        <v>794</v>
      </c>
      <c r="C119" s="2" t="s">
        <v>8</v>
      </c>
      <c r="D119" s="401">
        <v>0</v>
      </c>
      <c r="E119" s="158"/>
      <c r="F119" s="164">
        <v>4100</v>
      </c>
      <c r="G119" s="2"/>
      <c r="H119" s="2">
        <f>ROUND(D119*F119,2)</f>
        <v>0</v>
      </c>
      <c r="I119" s="11">
        <f t="shared" si="9"/>
        <v>0</v>
      </c>
      <c r="K119" s="280"/>
    </row>
    <row r="120" spans="1:12" ht="15" hidden="1" customHeight="1" outlineLevel="1" x14ac:dyDescent="0.25">
      <c r="A120" s="107" t="s">
        <v>501</v>
      </c>
      <c r="B120" s="379" t="s">
        <v>964</v>
      </c>
      <c r="C120" s="30" t="s">
        <v>8</v>
      </c>
      <c r="D120" s="351">
        <v>0</v>
      </c>
      <c r="E120" s="166">
        <v>1500</v>
      </c>
      <c r="F120" s="11"/>
      <c r="G120" s="2">
        <f>ROUND(E120*D120,2)</f>
        <v>0</v>
      </c>
      <c r="H120" s="2"/>
      <c r="I120" s="11">
        <f t="shared" si="9"/>
        <v>0</v>
      </c>
      <c r="K120" s="280"/>
    </row>
    <row r="121" spans="1:12" ht="15" hidden="1" customHeight="1" outlineLevel="1" x14ac:dyDescent="0.25">
      <c r="A121" s="84"/>
      <c r="B121" s="368" t="s">
        <v>796</v>
      </c>
      <c r="C121" s="2" t="s">
        <v>12</v>
      </c>
      <c r="D121" s="401">
        <f>D120*400</f>
        <v>0</v>
      </c>
      <c r="E121" s="158"/>
      <c r="F121" s="361">
        <v>11.7</v>
      </c>
      <c r="G121" s="2"/>
      <c r="H121" s="2">
        <f>ROUND(D121*F121,2)</f>
        <v>0</v>
      </c>
      <c r="I121" s="11">
        <f t="shared" si="9"/>
        <v>0</v>
      </c>
      <c r="K121" s="280"/>
    </row>
    <row r="122" spans="1:12" ht="15" hidden="1" customHeight="1" outlineLevel="1" x14ac:dyDescent="0.25">
      <c r="A122" s="84"/>
      <c r="B122" s="368" t="s">
        <v>756</v>
      </c>
      <c r="C122" s="2" t="s">
        <v>8</v>
      </c>
      <c r="D122" s="401">
        <f>ROUND(0.23*D120,2)</f>
        <v>0</v>
      </c>
      <c r="E122" s="158"/>
      <c r="F122" s="361">
        <v>2700</v>
      </c>
      <c r="G122" s="2"/>
      <c r="H122" s="2">
        <f>ROUND(D122*F122,2)</f>
        <v>0</v>
      </c>
      <c r="I122" s="11">
        <f t="shared" si="9"/>
        <v>0</v>
      </c>
      <c r="K122" s="280"/>
    </row>
    <row r="123" spans="1:12" ht="18.899999999999999" hidden="1" customHeight="1" outlineLevel="1" x14ac:dyDescent="0.25">
      <c r="A123" s="107" t="s">
        <v>502</v>
      </c>
      <c r="B123" s="379" t="s">
        <v>795</v>
      </c>
      <c r="C123" s="30" t="s">
        <v>8</v>
      </c>
      <c r="D123" s="351">
        <v>0</v>
      </c>
      <c r="E123" s="166">
        <v>1500</v>
      </c>
      <c r="F123" s="11"/>
      <c r="G123" s="2">
        <f>ROUND(E123*D123,2)</f>
        <v>0</v>
      </c>
      <c r="H123" s="2"/>
      <c r="I123" s="11">
        <f t="shared" si="9"/>
        <v>0</v>
      </c>
      <c r="K123" s="280"/>
    </row>
    <row r="124" spans="1:12" ht="15.75" hidden="1" customHeight="1" outlineLevel="1" x14ac:dyDescent="0.25">
      <c r="A124" s="84"/>
      <c r="B124" s="368" t="s">
        <v>796</v>
      </c>
      <c r="C124" s="2" t="s">
        <v>12</v>
      </c>
      <c r="D124" s="401">
        <f>D123*400</f>
        <v>0</v>
      </c>
      <c r="E124" s="158"/>
      <c r="F124" s="361">
        <v>11.7</v>
      </c>
      <c r="G124" s="2"/>
      <c r="H124" s="2">
        <f>ROUND(D124*F124,2)</f>
        <v>0</v>
      </c>
      <c r="I124" s="11">
        <f t="shared" si="9"/>
        <v>0</v>
      </c>
      <c r="K124" s="280"/>
    </row>
    <row r="125" spans="1:12" ht="15" hidden="1" customHeight="1" outlineLevel="1" x14ac:dyDescent="0.25">
      <c r="A125" s="84"/>
      <c r="B125" s="368" t="s">
        <v>756</v>
      </c>
      <c r="C125" s="2" t="s">
        <v>8</v>
      </c>
      <c r="D125" s="401">
        <f>ROUND(0.23*D123,2)</f>
        <v>0</v>
      </c>
      <c r="E125" s="158"/>
      <c r="F125" s="361">
        <v>2700</v>
      </c>
      <c r="G125" s="2"/>
      <c r="H125" s="2">
        <f>ROUND(D125*F125,2)</f>
        <v>0</v>
      </c>
      <c r="I125" s="11">
        <f t="shared" si="9"/>
        <v>0</v>
      </c>
      <c r="K125" s="280"/>
    </row>
    <row r="126" spans="1:12" ht="31.2" outlineLevel="1" x14ac:dyDescent="0.25">
      <c r="A126" s="107" t="s">
        <v>499</v>
      </c>
      <c r="B126" s="531" t="s">
        <v>798</v>
      </c>
      <c r="C126" s="30" t="s">
        <v>8</v>
      </c>
      <c r="D126" s="541">
        <f>кладка!O70</f>
        <v>22.031257999999987</v>
      </c>
      <c r="E126" s="256">
        <v>1600</v>
      </c>
      <c r="F126" s="11"/>
      <c r="G126" s="2">
        <f>ROUND(E126*D126,2)</f>
        <v>35250.01</v>
      </c>
      <c r="H126" s="2"/>
      <c r="I126" s="11">
        <f t="shared" si="9"/>
        <v>35250.01</v>
      </c>
      <c r="K126" s="5"/>
      <c r="L126" s="132"/>
    </row>
    <row r="127" spans="1:12" s="17" customFormat="1" ht="31.2" outlineLevel="1" x14ac:dyDescent="0.25">
      <c r="A127" s="86"/>
      <c r="B127" s="361" t="s">
        <v>799</v>
      </c>
      <c r="C127" s="2" t="s">
        <v>12</v>
      </c>
      <c r="D127" s="282">
        <f>D126*513</f>
        <v>11302.035353999994</v>
      </c>
      <c r="E127" s="2"/>
      <c r="F127" s="664">
        <v>10.75</v>
      </c>
      <c r="G127" s="2"/>
      <c r="H127" s="2">
        <f>ROUND(D127*F127,2)</f>
        <v>121496.88</v>
      </c>
      <c r="I127" s="11">
        <f t="shared" si="9"/>
        <v>121496.88</v>
      </c>
    </row>
    <row r="128" spans="1:12" s="6" customFormat="1" outlineLevel="1" x14ac:dyDescent="0.25">
      <c r="A128" s="88"/>
      <c r="B128" s="361" t="s">
        <v>800</v>
      </c>
      <c r="C128" s="2" t="s">
        <v>8</v>
      </c>
      <c r="D128" s="282">
        <f>ROUND(0.23*D126,2)</f>
        <v>5.07</v>
      </c>
      <c r="E128" s="2"/>
      <c r="F128" s="361">
        <v>2500</v>
      </c>
      <c r="G128" s="2"/>
      <c r="H128" s="2">
        <f>ROUND(D128*F128,2)</f>
        <v>12675</v>
      </c>
      <c r="I128" s="11">
        <f t="shared" si="9"/>
        <v>12675</v>
      </c>
    </row>
    <row r="129" spans="1:9" s="6" customFormat="1" outlineLevel="1" x14ac:dyDescent="0.25">
      <c r="A129" s="83"/>
      <c r="B129" s="361" t="s">
        <v>794</v>
      </c>
      <c r="C129" s="2" t="s">
        <v>8</v>
      </c>
      <c r="D129" s="542">
        <f>кладка!P70*0.15</f>
        <v>21.192149999999984</v>
      </c>
      <c r="E129" s="2"/>
      <c r="F129" s="664">
        <v>3196</v>
      </c>
      <c r="G129" s="2"/>
      <c r="H129" s="2">
        <f>ROUND(D129*F129,2)</f>
        <v>67730.11</v>
      </c>
      <c r="I129" s="11">
        <f t="shared" si="9"/>
        <v>67730.11</v>
      </c>
    </row>
    <row r="130" spans="1:9" s="6" customFormat="1" outlineLevel="1" x14ac:dyDescent="0.25">
      <c r="A130" s="107" t="s">
        <v>500</v>
      </c>
      <c r="B130" s="539" t="s">
        <v>16</v>
      </c>
      <c r="C130" s="31" t="s">
        <v>12</v>
      </c>
      <c r="D130" s="268">
        <f>SUM(D131:D144)</f>
        <v>168</v>
      </c>
      <c r="E130" s="256">
        <v>100</v>
      </c>
      <c r="F130" s="11"/>
      <c r="G130" s="2">
        <f>ROUND(E130*D130,2)</f>
        <v>16800</v>
      </c>
      <c r="H130" s="2"/>
      <c r="I130" s="11">
        <f t="shared" si="9"/>
        <v>16800</v>
      </c>
    </row>
    <row r="131" spans="1:9" s="6" customFormat="1" outlineLevel="1" x14ac:dyDescent="0.25">
      <c r="A131" s="83"/>
      <c r="B131" s="377" t="s">
        <v>855</v>
      </c>
      <c r="C131" s="2" t="s">
        <v>12</v>
      </c>
      <c r="D131" s="540">
        <f>38</f>
        <v>38</v>
      </c>
      <c r="E131" s="2"/>
      <c r="F131" s="664">
        <v>2147</v>
      </c>
      <c r="G131" s="2"/>
      <c r="H131" s="2">
        <f>ROUND(D131*F131,2)</f>
        <v>81586</v>
      </c>
      <c r="I131" s="11">
        <f t="shared" si="9"/>
        <v>81586</v>
      </c>
    </row>
    <row r="132" spans="1:9" s="6" customFormat="1" outlineLevel="1" x14ac:dyDescent="0.25">
      <c r="A132" s="83"/>
      <c r="B132" s="377" t="s">
        <v>857</v>
      </c>
      <c r="C132" s="2" t="s">
        <v>12</v>
      </c>
      <c r="D132" s="540">
        <f>6</f>
        <v>6</v>
      </c>
      <c r="E132" s="2"/>
      <c r="F132" s="664">
        <v>1415</v>
      </c>
      <c r="G132" s="2"/>
      <c r="H132" s="2">
        <f t="shared" ref="H132:H149" si="10">ROUND(D132*F132,2)</f>
        <v>8490</v>
      </c>
      <c r="I132" s="11">
        <f t="shared" si="9"/>
        <v>8490</v>
      </c>
    </row>
    <row r="133" spans="1:9" s="6" customFormat="1" outlineLevel="1" x14ac:dyDescent="0.25">
      <c r="A133" s="83"/>
      <c r="B133" s="377" t="s">
        <v>871</v>
      </c>
      <c r="C133" s="2" t="s">
        <v>12</v>
      </c>
      <c r="D133" s="540">
        <f>17</f>
        <v>17</v>
      </c>
      <c r="E133" s="2"/>
      <c r="F133" s="164">
        <v>2500</v>
      </c>
      <c r="G133" s="2"/>
      <c r="H133" s="2">
        <f t="shared" si="10"/>
        <v>42500</v>
      </c>
      <c r="I133" s="11">
        <f t="shared" si="9"/>
        <v>42500</v>
      </c>
    </row>
    <row r="134" spans="1:9" s="6" customFormat="1" outlineLevel="1" x14ac:dyDescent="0.25">
      <c r="A134" s="83"/>
      <c r="B134" s="377" t="s">
        <v>858</v>
      </c>
      <c r="C134" s="2" t="s">
        <v>12</v>
      </c>
      <c r="D134" s="540">
        <f>7</f>
        <v>7</v>
      </c>
      <c r="E134" s="2"/>
      <c r="F134" s="164">
        <v>1900</v>
      </c>
      <c r="G134" s="2"/>
      <c r="H134" s="2">
        <f t="shared" si="10"/>
        <v>13300</v>
      </c>
      <c r="I134" s="11">
        <f t="shared" si="9"/>
        <v>13300</v>
      </c>
    </row>
    <row r="135" spans="1:9" s="6" customFormat="1" outlineLevel="1" x14ac:dyDescent="0.25">
      <c r="A135" s="83"/>
      <c r="B135" s="377" t="s">
        <v>859</v>
      </c>
      <c r="C135" s="2" t="s">
        <v>12</v>
      </c>
      <c r="D135" s="540">
        <f>6</f>
        <v>6</v>
      </c>
      <c r="E135" s="2"/>
      <c r="F135" s="664">
        <v>1317</v>
      </c>
      <c r="G135" s="2"/>
      <c r="H135" s="2">
        <f t="shared" si="10"/>
        <v>7902</v>
      </c>
      <c r="I135" s="11">
        <f t="shared" si="9"/>
        <v>7902</v>
      </c>
    </row>
    <row r="136" spans="1:9" s="6" customFormat="1" outlineLevel="1" x14ac:dyDescent="0.25">
      <c r="A136" s="83"/>
      <c r="B136" s="361" t="s">
        <v>872</v>
      </c>
      <c r="C136" s="2" t="s">
        <v>12</v>
      </c>
      <c r="D136" s="277">
        <f>33</f>
        <v>33</v>
      </c>
      <c r="E136" s="2"/>
      <c r="F136" s="664">
        <v>495</v>
      </c>
      <c r="G136" s="2"/>
      <c r="H136" s="2">
        <f t="shared" si="10"/>
        <v>16335</v>
      </c>
      <c r="I136" s="11">
        <f t="shared" si="9"/>
        <v>16335</v>
      </c>
    </row>
    <row r="137" spans="1:9" s="6" customFormat="1" outlineLevel="1" x14ac:dyDescent="0.25">
      <c r="A137" s="83"/>
      <c r="B137" s="361" t="s">
        <v>1394</v>
      </c>
      <c r="C137" s="2" t="s">
        <v>12</v>
      </c>
      <c r="D137" s="277">
        <f>2</f>
        <v>2</v>
      </c>
      <c r="E137" s="2"/>
      <c r="F137" s="164">
        <v>280</v>
      </c>
      <c r="G137" s="2"/>
      <c r="H137" s="2">
        <f t="shared" si="10"/>
        <v>560</v>
      </c>
      <c r="I137" s="11">
        <f t="shared" si="9"/>
        <v>560</v>
      </c>
    </row>
    <row r="138" spans="1:9" s="6" customFormat="1" outlineLevel="1" x14ac:dyDescent="0.25">
      <c r="A138" s="83"/>
      <c r="B138" s="535" t="s">
        <v>876</v>
      </c>
      <c r="C138" s="2" t="s">
        <v>12</v>
      </c>
      <c r="D138" s="277">
        <f>22</f>
        <v>22</v>
      </c>
      <c r="E138" s="2"/>
      <c r="F138" s="664">
        <v>631</v>
      </c>
      <c r="G138" s="2"/>
      <c r="H138" s="2">
        <f t="shared" si="10"/>
        <v>13882</v>
      </c>
      <c r="I138" s="11">
        <f t="shared" si="9"/>
        <v>13882</v>
      </c>
    </row>
    <row r="139" spans="1:9" s="6" customFormat="1" outlineLevel="1" x14ac:dyDescent="0.25">
      <c r="A139" s="83"/>
      <c r="B139" s="535" t="s">
        <v>361</v>
      </c>
      <c r="C139" s="2" t="s">
        <v>12</v>
      </c>
      <c r="D139" s="277">
        <f>4</f>
        <v>4</v>
      </c>
      <c r="E139" s="2"/>
      <c r="F139" s="164">
        <v>300</v>
      </c>
      <c r="G139" s="2"/>
      <c r="H139" s="2">
        <f t="shared" si="10"/>
        <v>1200</v>
      </c>
      <c r="I139" s="11">
        <f t="shared" si="9"/>
        <v>1200</v>
      </c>
    </row>
    <row r="140" spans="1:9" s="6" customFormat="1" outlineLevel="1" x14ac:dyDescent="0.25">
      <c r="A140" s="83"/>
      <c r="B140" s="535" t="s">
        <v>880</v>
      </c>
      <c r="C140" s="2" t="s">
        <v>12</v>
      </c>
      <c r="D140" s="277">
        <f>6+9</f>
        <v>15</v>
      </c>
      <c r="E140" s="2"/>
      <c r="F140" s="664">
        <v>386</v>
      </c>
      <c r="G140" s="2"/>
      <c r="H140" s="2">
        <f t="shared" si="10"/>
        <v>5790</v>
      </c>
      <c r="I140" s="11">
        <f t="shared" si="9"/>
        <v>5790</v>
      </c>
    </row>
    <row r="141" spans="1:9" s="6" customFormat="1" outlineLevel="1" x14ac:dyDescent="0.25">
      <c r="A141" s="83"/>
      <c r="B141" s="535" t="s">
        <v>1395</v>
      </c>
      <c r="C141" s="2" t="s">
        <v>12</v>
      </c>
      <c r="D141" s="277">
        <f>2</f>
        <v>2</v>
      </c>
      <c r="E141" s="2"/>
      <c r="F141" s="164">
        <v>800</v>
      </c>
      <c r="G141" s="2"/>
      <c r="H141" s="2">
        <f t="shared" si="10"/>
        <v>1600</v>
      </c>
      <c r="I141" s="11">
        <f t="shared" si="9"/>
        <v>1600</v>
      </c>
    </row>
    <row r="142" spans="1:9" s="6" customFormat="1" outlineLevel="1" x14ac:dyDescent="0.25">
      <c r="A142" s="83"/>
      <c r="B142" s="535" t="s">
        <v>1396</v>
      </c>
      <c r="C142" s="2" t="s">
        <v>12</v>
      </c>
      <c r="D142" s="277">
        <v>5</v>
      </c>
      <c r="E142" s="2"/>
      <c r="F142" s="164">
        <v>2000</v>
      </c>
      <c r="G142" s="2"/>
      <c r="H142" s="2">
        <f>ROUND(D142*F142,2)</f>
        <v>10000</v>
      </c>
      <c r="I142" s="11">
        <f>G142+H142</f>
        <v>10000</v>
      </c>
    </row>
    <row r="143" spans="1:9" s="6" customFormat="1" outlineLevel="1" x14ac:dyDescent="0.25">
      <c r="A143" s="83"/>
      <c r="B143" s="535" t="s">
        <v>1355</v>
      </c>
      <c r="C143" s="2" t="s">
        <v>12</v>
      </c>
      <c r="D143" s="277">
        <v>3</v>
      </c>
      <c r="E143" s="2"/>
      <c r="F143" s="164">
        <v>1000</v>
      </c>
      <c r="G143" s="2"/>
      <c r="H143" s="2">
        <f>ROUND(D143*F143,2)</f>
        <v>3000</v>
      </c>
      <c r="I143" s="11">
        <f>G143+H143</f>
        <v>3000</v>
      </c>
    </row>
    <row r="144" spans="1:9" s="6" customFormat="1" outlineLevel="1" x14ac:dyDescent="0.25">
      <c r="A144" s="83"/>
      <c r="B144" s="535" t="s">
        <v>882</v>
      </c>
      <c r="C144" s="41" t="s">
        <v>12</v>
      </c>
      <c r="D144" s="277">
        <v>8</v>
      </c>
      <c r="E144" s="2"/>
      <c r="F144" s="361">
        <v>454</v>
      </c>
      <c r="G144" s="2"/>
      <c r="H144" s="2">
        <f t="shared" si="10"/>
        <v>3632</v>
      </c>
      <c r="I144" s="11">
        <f t="shared" si="9"/>
        <v>3632</v>
      </c>
    </row>
    <row r="145" spans="1:11" s="6" customFormat="1" outlineLevel="1" x14ac:dyDescent="0.25">
      <c r="A145" s="83"/>
      <c r="B145" s="535" t="s">
        <v>875</v>
      </c>
      <c r="C145" s="41" t="s">
        <v>15</v>
      </c>
      <c r="D145" s="277">
        <f>34*8.76+2*10.73</f>
        <v>319.29999999999995</v>
      </c>
      <c r="E145" s="2"/>
      <c r="F145" s="364">
        <v>36</v>
      </c>
      <c r="G145" s="2"/>
      <c r="H145" s="2">
        <f t="shared" si="10"/>
        <v>11494.8</v>
      </c>
      <c r="I145" s="11">
        <f t="shared" si="9"/>
        <v>11494.8</v>
      </c>
    </row>
    <row r="146" spans="1:11" s="6" customFormat="1" outlineLevel="1" x14ac:dyDescent="0.25">
      <c r="A146" s="83"/>
      <c r="B146" s="535" t="s">
        <v>883</v>
      </c>
      <c r="C146" s="41" t="s">
        <v>15</v>
      </c>
      <c r="D146" s="277">
        <f>48*0.68</f>
        <v>32.64</v>
      </c>
      <c r="E146" s="2"/>
      <c r="F146" s="364">
        <v>33</v>
      </c>
      <c r="G146" s="2"/>
      <c r="H146" s="2">
        <f t="shared" si="10"/>
        <v>1077.1199999999999</v>
      </c>
      <c r="I146" s="11">
        <f t="shared" si="9"/>
        <v>1077.1199999999999</v>
      </c>
    </row>
    <row r="147" spans="1:11" s="6" customFormat="1" outlineLevel="1" x14ac:dyDescent="0.25">
      <c r="A147" s="83"/>
      <c r="B147" s="535" t="s">
        <v>884</v>
      </c>
      <c r="C147" s="41" t="s">
        <v>15</v>
      </c>
      <c r="D147" s="275">
        <f>2*2.37</f>
        <v>4.74</v>
      </c>
      <c r="E147" s="351"/>
      <c r="F147" s="364">
        <v>33</v>
      </c>
      <c r="G147" s="2"/>
      <c r="H147" s="2">
        <f t="shared" si="10"/>
        <v>156.41999999999999</v>
      </c>
      <c r="I147" s="11">
        <f t="shared" si="9"/>
        <v>156.41999999999999</v>
      </c>
      <c r="K147" s="5"/>
    </row>
    <row r="148" spans="1:11" s="6" customFormat="1" outlineLevel="1" x14ac:dyDescent="0.25">
      <c r="A148" s="83"/>
      <c r="B148" s="535" t="s">
        <v>1393</v>
      </c>
      <c r="C148" s="41" t="s">
        <v>15</v>
      </c>
      <c r="D148" s="275">
        <f>4*1.06</f>
        <v>4.24</v>
      </c>
      <c r="E148" s="351"/>
      <c r="F148" s="364">
        <v>33</v>
      </c>
      <c r="G148" s="2"/>
      <c r="H148" s="2">
        <f>ROUND(D148*F148,2)</f>
        <v>139.91999999999999</v>
      </c>
      <c r="I148" s="11">
        <f>G148+H148</f>
        <v>139.91999999999999</v>
      </c>
      <c r="K148" s="5"/>
    </row>
    <row r="149" spans="1:11" s="6" customFormat="1" outlineLevel="1" x14ac:dyDescent="0.25">
      <c r="A149" s="76"/>
      <c r="B149" s="535" t="s">
        <v>1392</v>
      </c>
      <c r="C149" s="41" t="s">
        <v>15</v>
      </c>
      <c r="D149" s="620">
        <f>29*11.93+7*7.22</f>
        <v>396.51</v>
      </c>
      <c r="E149" s="2"/>
      <c r="F149" s="364">
        <v>33</v>
      </c>
      <c r="G149" s="2"/>
      <c r="H149" s="2">
        <f t="shared" si="10"/>
        <v>13084.83</v>
      </c>
      <c r="I149" s="11">
        <f t="shared" si="9"/>
        <v>13084.83</v>
      </c>
      <c r="K149" s="5"/>
    </row>
    <row r="150" spans="1:11" s="6" customFormat="1" outlineLevel="1" x14ac:dyDescent="0.25">
      <c r="A150" s="107" t="s">
        <v>501</v>
      </c>
      <c r="B150" s="531" t="s">
        <v>965</v>
      </c>
      <c r="C150" s="30" t="s">
        <v>8</v>
      </c>
      <c r="D150" s="256">
        <v>69</v>
      </c>
      <c r="E150" s="256">
        <v>1600</v>
      </c>
      <c r="F150" s="11"/>
      <c r="G150" s="2">
        <f>ROUND(E150*D150,2)</f>
        <v>110400</v>
      </c>
      <c r="H150" s="2"/>
      <c r="I150" s="11">
        <f t="shared" si="9"/>
        <v>110400</v>
      </c>
      <c r="K150" s="5"/>
    </row>
    <row r="151" spans="1:11" s="6" customFormat="1" outlineLevel="1" x14ac:dyDescent="0.25">
      <c r="A151" s="76"/>
      <c r="B151" s="361" t="s">
        <v>966</v>
      </c>
      <c r="C151" s="2" t="s">
        <v>8</v>
      </c>
      <c r="D151" s="540">
        <f>D150*1.05</f>
        <v>72.45</v>
      </c>
      <c r="E151" s="2"/>
      <c r="F151" s="361">
        <v>3450</v>
      </c>
      <c r="G151" s="2"/>
      <c r="H151" s="2">
        <f>ROUND(D151*F151,2)</f>
        <v>249952.5</v>
      </c>
      <c r="I151" s="11">
        <f t="shared" si="9"/>
        <v>249952.5</v>
      </c>
      <c r="K151" s="5"/>
    </row>
    <row r="152" spans="1:11" s="6" customFormat="1" outlineLevel="1" x14ac:dyDescent="0.25">
      <c r="A152" s="76"/>
      <c r="B152" s="361" t="s">
        <v>756</v>
      </c>
      <c r="C152" s="2" t="s">
        <v>8</v>
      </c>
      <c r="D152" s="282">
        <f>ROUND(0.23*D150,2)</f>
        <v>15.87</v>
      </c>
      <c r="E152" s="2"/>
      <c r="F152" s="361">
        <v>2500</v>
      </c>
      <c r="G152" s="2"/>
      <c r="H152" s="2">
        <f>ROUND(D152*F152,2)</f>
        <v>39675</v>
      </c>
      <c r="I152" s="11">
        <f t="shared" si="9"/>
        <v>39675</v>
      </c>
      <c r="K152" s="5"/>
    </row>
    <row r="153" spans="1:11" s="6" customFormat="1" ht="31.2" outlineLevel="1" x14ac:dyDescent="0.25">
      <c r="A153" s="107" t="s">
        <v>502</v>
      </c>
      <c r="B153" s="531" t="s">
        <v>645</v>
      </c>
      <c r="C153" s="174" t="s">
        <v>14</v>
      </c>
      <c r="D153" s="256">
        <v>480</v>
      </c>
      <c r="E153" s="256">
        <v>500</v>
      </c>
      <c r="F153" s="11"/>
      <c r="G153" s="2">
        <f>ROUND(E153*D153,2)</f>
        <v>240000</v>
      </c>
      <c r="H153" s="2"/>
      <c r="I153" s="11">
        <f t="shared" si="9"/>
        <v>240000</v>
      </c>
    </row>
    <row r="154" spans="1:11" s="6" customFormat="1" ht="31.2" outlineLevel="1" x14ac:dyDescent="0.25">
      <c r="A154" s="76"/>
      <c r="B154" s="361" t="s">
        <v>968</v>
      </c>
      <c r="C154" s="2" t="s">
        <v>14</v>
      </c>
      <c r="D154" s="282">
        <f>D153*1.012</f>
        <v>485.76</v>
      </c>
      <c r="E154" s="2"/>
      <c r="F154" s="664">
        <v>351</v>
      </c>
      <c r="G154" s="2"/>
      <c r="H154" s="2">
        <f>ROUND(D154*F154,2)</f>
        <v>170501.76000000001</v>
      </c>
      <c r="I154" s="11">
        <f t="shared" si="9"/>
        <v>170501.76000000001</v>
      </c>
    </row>
    <row r="155" spans="1:11" s="6" customFormat="1" outlineLevel="1" x14ac:dyDescent="0.25">
      <c r="A155" s="76"/>
      <c r="B155" s="361" t="s">
        <v>642</v>
      </c>
      <c r="C155" s="2" t="s">
        <v>12</v>
      </c>
      <c r="D155" s="282">
        <f>D153*0.75</f>
        <v>360</v>
      </c>
      <c r="E155" s="2"/>
      <c r="F155" s="164">
        <v>2.79</v>
      </c>
      <c r="G155" s="2"/>
      <c r="H155" s="2">
        <f>ROUND(D155*F155,2)</f>
        <v>1004.4</v>
      </c>
      <c r="I155" s="11">
        <f t="shared" si="9"/>
        <v>1004.4</v>
      </c>
    </row>
    <row r="156" spans="1:11" s="6" customFormat="1" ht="31.2" outlineLevel="1" x14ac:dyDescent="0.25">
      <c r="A156" s="76"/>
      <c r="B156" s="361" t="s">
        <v>644</v>
      </c>
      <c r="C156" s="2" t="s">
        <v>643</v>
      </c>
      <c r="D156" s="282">
        <f>D153*0.026</f>
        <v>12.479999999999999</v>
      </c>
      <c r="E156" s="2"/>
      <c r="F156" s="164">
        <v>110</v>
      </c>
      <c r="G156" s="2"/>
      <c r="H156" s="2">
        <f>ROUND(D156*F156,2)</f>
        <v>1372.8</v>
      </c>
      <c r="I156" s="11">
        <f t="shared" si="9"/>
        <v>1372.8</v>
      </c>
    </row>
    <row r="157" spans="1:11" s="6" customFormat="1" outlineLevel="1" x14ac:dyDescent="0.25">
      <c r="A157" s="76"/>
      <c r="B157" s="361" t="s">
        <v>967</v>
      </c>
      <c r="C157" s="2" t="s">
        <v>15</v>
      </c>
      <c r="D157" s="282">
        <f>D153*2</f>
        <v>960</v>
      </c>
      <c r="E157" s="2"/>
      <c r="F157" s="164">
        <v>8.9700000000000006</v>
      </c>
      <c r="G157" s="2"/>
      <c r="H157" s="2">
        <f>ROUND(D157*F157,2)</f>
        <v>8611.2000000000007</v>
      </c>
      <c r="I157" s="11">
        <f t="shared" si="9"/>
        <v>8611.2000000000007</v>
      </c>
    </row>
    <row r="158" spans="1:11" s="6" customFormat="1" ht="31.2" outlineLevel="1" x14ac:dyDescent="0.25">
      <c r="A158" s="107" t="s">
        <v>503</v>
      </c>
      <c r="B158" s="531" t="s">
        <v>646</v>
      </c>
      <c r="C158" s="174" t="s">
        <v>14</v>
      </c>
      <c r="D158" s="256">
        <v>279</v>
      </c>
      <c r="E158" s="256">
        <v>500</v>
      </c>
      <c r="F158" s="164"/>
      <c r="G158" s="2">
        <f>ROUND(E158*D158,2)</f>
        <v>139500</v>
      </c>
      <c r="H158" s="2"/>
      <c r="I158" s="11">
        <f t="shared" ref="I158:I169" si="11">G158+H158</f>
        <v>139500</v>
      </c>
    </row>
    <row r="159" spans="1:11" s="6" customFormat="1" ht="31.2" outlineLevel="1" x14ac:dyDescent="0.25">
      <c r="A159" s="76"/>
      <c r="B159" s="361" t="s">
        <v>647</v>
      </c>
      <c r="C159" s="2" t="s">
        <v>14</v>
      </c>
      <c r="D159" s="282">
        <f>D158*1.012</f>
        <v>282.34800000000001</v>
      </c>
      <c r="E159" s="2"/>
      <c r="F159" s="664">
        <v>405</v>
      </c>
      <c r="G159" s="2"/>
      <c r="H159" s="2">
        <f>ROUND(D159*F159,2)</f>
        <v>114350.94</v>
      </c>
      <c r="I159" s="11">
        <f t="shared" si="11"/>
        <v>114350.94</v>
      </c>
    </row>
    <row r="160" spans="1:11" s="6" customFormat="1" outlineLevel="1" x14ac:dyDescent="0.25">
      <c r="A160" s="76"/>
      <c r="B160" s="361" t="s">
        <v>642</v>
      </c>
      <c r="C160" s="2" t="s">
        <v>12</v>
      </c>
      <c r="D160" s="282">
        <f>D158*0.75</f>
        <v>209.25</v>
      </c>
      <c r="E160" s="2"/>
      <c r="F160" s="164">
        <v>2.79</v>
      </c>
      <c r="G160" s="2"/>
      <c r="H160" s="2">
        <f>ROUND(D160*F160,2)</f>
        <v>583.80999999999995</v>
      </c>
      <c r="I160" s="11">
        <f t="shared" si="11"/>
        <v>583.80999999999995</v>
      </c>
    </row>
    <row r="161" spans="1:11" s="6" customFormat="1" ht="31.2" outlineLevel="1" x14ac:dyDescent="0.25">
      <c r="A161" s="76"/>
      <c r="B161" s="361" t="s">
        <v>644</v>
      </c>
      <c r="C161" s="2" t="s">
        <v>643</v>
      </c>
      <c r="D161" s="282">
        <f>D158*0.026</f>
        <v>7.2539999999999996</v>
      </c>
      <c r="E161" s="2"/>
      <c r="F161" s="164">
        <v>110</v>
      </c>
      <c r="G161" s="2"/>
      <c r="H161" s="2">
        <f>ROUND(D161*F161,2)</f>
        <v>797.94</v>
      </c>
      <c r="I161" s="11">
        <f t="shared" si="11"/>
        <v>797.94</v>
      </c>
    </row>
    <row r="162" spans="1:11" s="6" customFormat="1" outlineLevel="1" x14ac:dyDescent="0.25">
      <c r="A162" s="76"/>
      <c r="B162" s="361" t="s">
        <v>967</v>
      </c>
      <c r="C162" s="2" t="s">
        <v>15</v>
      </c>
      <c r="D162" s="282">
        <f>D158*2</f>
        <v>558</v>
      </c>
      <c r="E162" s="2"/>
      <c r="F162" s="164">
        <v>8.9700000000000006</v>
      </c>
      <c r="G162" s="2"/>
      <c r="H162" s="2">
        <f>ROUND(D162*F162,2)</f>
        <v>5005.26</v>
      </c>
      <c r="I162" s="11">
        <f t="shared" si="11"/>
        <v>5005.26</v>
      </c>
    </row>
    <row r="163" spans="1:11" s="6" customFormat="1" outlineLevel="1" x14ac:dyDescent="0.25">
      <c r="A163" s="261" t="s">
        <v>978</v>
      </c>
      <c r="B163" s="531" t="s">
        <v>367</v>
      </c>
      <c r="C163" s="30" t="s">
        <v>8</v>
      </c>
      <c r="D163" s="256">
        <v>2.42</v>
      </c>
      <c r="E163" s="256">
        <v>1600</v>
      </c>
      <c r="F163" s="11"/>
      <c r="G163" s="2">
        <f>ROUND(E163*D163,2)</f>
        <v>3872</v>
      </c>
      <c r="H163" s="2"/>
      <c r="I163" s="11">
        <f t="shared" si="11"/>
        <v>3872</v>
      </c>
    </row>
    <row r="164" spans="1:11" s="6" customFormat="1" outlineLevel="1" x14ac:dyDescent="0.25">
      <c r="A164" s="76"/>
      <c r="B164" s="361" t="s">
        <v>966</v>
      </c>
      <c r="C164" s="2" t="s">
        <v>8</v>
      </c>
      <c r="D164" s="540">
        <f>D163*1.05</f>
        <v>2.5409999999999999</v>
      </c>
      <c r="E164" s="2"/>
      <c r="F164" s="361">
        <v>3450</v>
      </c>
      <c r="G164" s="2"/>
      <c r="H164" s="2">
        <f>ROUND(D164*F164,2)</f>
        <v>8766.4500000000007</v>
      </c>
      <c r="I164" s="11">
        <f t="shared" si="11"/>
        <v>8766.4500000000007</v>
      </c>
    </row>
    <row r="165" spans="1:11" s="6" customFormat="1" outlineLevel="1" x14ac:dyDescent="0.25">
      <c r="A165" s="76"/>
      <c r="B165" s="361" t="s">
        <v>756</v>
      </c>
      <c r="C165" s="2" t="s">
        <v>8</v>
      </c>
      <c r="D165" s="282">
        <f>ROUND(0.23*D163,2)</f>
        <v>0.56000000000000005</v>
      </c>
      <c r="E165" s="2"/>
      <c r="F165" s="361">
        <v>2500</v>
      </c>
      <c r="G165" s="2"/>
      <c r="H165" s="2">
        <f>ROUND(D165*F165,2)</f>
        <v>1400</v>
      </c>
      <c r="I165" s="11">
        <f t="shared" si="11"/>
        <v>1400</v>
      </c>
    </row>
    <row r="166" spans="1:11" s="6" customFormat="1" hidden="1" outlineLevel="1" x14ac:dyDescent="0.25">
      <c r="A166" s="549" t="s">
        <v>504</v>
      </c>
      <c r="B166" s="330" t="s">
        <v>376</v>
      </c>
      <c r="C166" s="46" t="s">
        <v>9</v>
      </c>
      <c r="D166" s="336">
        <v>0</v>
      </c>
      <c r="E166" s="256">
        <v>15000</v>
      </c>
      <c r="F166" s="56"/>
      <c r="G166" s="2">
        <f>ROUND(E166*D166,2)</f>
        <v>0</v>
      </c>
      <c r="H166" s="11"/>
      <c r="I166" s="11">
        <f t="shared" si="11"/>
        <v>0</v>
      </c>
    </row>
    <row r="167" spans="1:11" s="6" customFormat="1" hidden="1" outlineLevel="1" x14ac:dyDescent="0.25">
      <c r="A167" s="265"/>
      <c r="B167" s="335" t="s">
        <v>377</v>
      </c>
      <c r="C167" s="41" t="s">
        <v>9</v>
      </c>
      <c r="D167" s="324">
        <v>0</v>
      </c>
      <c r="E167" s="31"/>
      <c r="F167" s="164">
        <v>32000</v>
      </c>
      <c r="G167" s="10"/>
      <c r="H167" s="2">
        <f>ROUND(D167*F167,2)</f>
        <v>0</v>
      </c>
      <c r="I167" s="11">
        <f t="shared" si="11"/>
        <v>0</v>
      </c>
    </row>
    <row r="168" spans="1:11" s="6" customFormat="1" hidden="1" outlineLevel="1" x14ac:dyDescent="0.25">
      <c r="A168" s="265"/>
      <c r="B168" s="335" t="s">
        <v>378</v>
      </c>
      <c r="C168" s="41" t="s">
        <v>9</v>
      </c>
      <c r="D168" s="324">
        <v>0</v>
      </c>
      <c r="E168" s="31"/>
      <c r="F168" s="164">
        <v>32000</v>
      </c>
      <c r="G168" s="10"/>
      <c r="H168" s="2">
        <f>ROUND(D168*F168,2)</f>
        <v>0</v>
      </c>
      <c r="I168" s="11">
        <f t="shared" si="11"/>
        <v>0</v>
      </c>
    </row>
    <row r="169" spans="1:11" s="6" customFormat="1" hidden="1" outlineLevel="1" x14ac:dyDescent="0.25">
      <c r="A169" s="265"/>
      <c r="B169" s="335" t="s">
        <v>379</v>
      </c>
      <c r="C169" s="41" t="s">
        <v>9</v>
      </c>
      <c r="D169" s="324">
        <v>0</v>
      </c>
      <c r="E169" s="31"/>
      <c r="F169" s="164">
        <v>32000</v>
      </c>
      <c r="G169" s="10"/>
      <c r="H169" s="2">
        <f>ROUND(D169*F169,2)</f>
        <v>0</v>
      </c>
      <c r="I169" s="11">
        <f t="shared" si="11"/>
        <v>0</v>
      </c>
    </row>
    <row r="170" spans="1:11" ht="24" customHeight="1" collapsed="1" x14ac:dyDescent="0.25">
      <c r="A170" s="223"/>
      <c r="B170" s="224" t="s">
        <v>801</v>
      </c>
      <c r="C170" s="225"/>
      <c r="D170" s="226"/>
      <c r="E170" s="227"/>
      <c r="F170" s="228"/>
      <c r="G170" s="227">
        <f>SUM(G112:G169)</f>
        <v>1451721.04</v>
      </c>
      <c r="H170" s="227">
        <f>SUM(H112:H169)</f>
        <v>3687464.5799999991</v>
      </c>
      <c r="I170" s="230">
        <f>ROUND(SUM(I112:I169),2)</f>
        <v>5139185.62</v>
      </c>
      <c r="K170" s="133"/>
    </row>
    <row r="171" spans="1:11" s="5" customFormat="1" ht="15.6" customHeight="1" x14ac:dyDescent="0.25">
      <c r="A171" s="89"/>
      <c r="B171" s="58" t="s">
        <v>624</v>
      </c>
      <c r="C171" s="9"/>
      <c r="D171" s="31"/>
      <c r="E171" s="10"/>
      <c r="F171" s="57"/>
      <c r="G171" s="10"/>
      <c r="H171" s="10"/>
      <c r="I171" s="31">
        <f>ROUND(I170/1.18*0.18,2)</f>
        <v>783943.57</v>
      </c>
    </row>
    <row r="172" spans="1:11" s="5" customFormat="1" ht="21" customHeight="1" x14ac:dyDescent="0.25">
      <c r="A172" s="108"/>
      <c r="B172" s="562" t="s">
        <v>802</v>
      </c>
      <c r="C172" s="105"/>
      <c r="D172" s="105"/>
      <c r="E172" s="105"/>
      <c r="F172" s="138"/>
      <c r="G172" s="105"/>
      <c r="H172" s="105"/>
      <c r="I172" s="106"/>
    </row>
    <row r="173" spans="1:11" s="5" customFormat="1" ht="15.6" customHeight="1" x14ac:dyDescent="0.25">
      <c r="A173" s="107" t="s">
        <v>223</v>
      </c>
      <c r="B173" s="536" t="s">
        <v>740</v>
      </c>
      <c r="C173" s="46" t="s">
        <v>12</v>
      </c>
      <c r="D173" s="275">
        <f>SUM(D174:D182)</f>
        <v>184</v>
      </c>
      <c r="E173" s="275">
        <v>600</v>
      </c>
      <c r="F173" s="43"/>
      <c r="G173" s="2">
        <f>ROUND(E173*D173,2)</f>
        <v>110400</v>
      </c>
      <c r="H173" s="11"/>
      <c r="I173" s="11">
        <f>G173+H173</f>
        <v>110400</v>
      </c>
    </row>
    <row r="174" spans="1:11" s="5" customFormat="1" ht="15.6" customHeight="1" x14ac:dyDescent="0.25">
      <c r="A174" s="84"/>
      <c r="B174" s="533" t="s">
        <v>751</v>
      </c>
      <c r="C174" s="2" t="s">
        <v>12</v>
      </c>
      <c r="D174" s="277">
        <v>51</v>
      </c>
      <c r="E174" s="31"/>
      <c r="F174" s="363">
        <v>15000</v>
      </c>
      <c r="G174" s="2"/>
      <c r="H174" s="2">
        <f t="shared" ref="H174:H182" si="12">ROUND(D174*F174,2)</f>
        <v>765000</v>
      </c>
      <c r="I174" s="60">
        <f t="shared" ref="I174:I187" si="13">G174+H174</f>
        <v>765000</v>
      </c>
    </row>
    <row r="175" spans="1:11" s="5" customFormat="1" ht="15.6" customHeight="1" x14ac:dyDescent="0.25">
      <c r="A175" s="84"/>
      <c r="B175" s="533" t="s">
        <v>887</v>
      </c>
      <c r="C175" s="2" t="s">
        <v>12</v>
      </c>
      <c r="D175" s="277">
        <v>21</v>
      </c>
      <c r="E175" s="31"/>
      <c r="F175" s="363">
        <v>15000</v>
      </c>
      <c r="G175" s="2"/>
      <c r="H175" s="2">
        <f t="shared" si="12"/>
        <v>315000</v>
      </c>
      <c r="I175" s="60">
        <f t="shared" si="13"/>
        <v>315000</v>
      </c>
    </row>
    <row r="176" spans="1:11" s="5" customFormat="1" ht="15.6" customHeight="1" x14ac:dyDescent="0.25">
      <c r="A176" s="84"/>
      <c r="B176" s="533" t="s">
        <v>889</v>
      </c>
      <c r="C176" s="2" t="s">
        <v>12</v>
      </c>
      <c r="D176" s="277">
        <v>69</v>
      </c>
      <c r="E176" s="31"/>
      <c r="F176" s="362">
        <v>9631</v>
      </c>
      <c r="G176" s="2"/>
      <c r="H176" s="2">
        <f t="shared" si="12"/>
        <v>664539</v>
      </c>
      <c r="I176" s="60">
        <f t="shared" si="13"/>
        <v>664539</v>
      </c>
    </row>
    <row r="177" spans="1:9" s="5" customFormat="1" ht="15.6" customHeight="1" x14ac:dyDescent="0.25">
      <c r="A177" s="84"/>
      <c r="B177" s="533" t="s">
        <v>744</v>
      </c>
      <c r="C177" s="2" t="s">
        <v>12</v>
      </c>
      <c r="D177" s="277">
        <v>12</v>
      </c>
      <c r="E177" s="31"/>
      <c r="F177" s="362">
        <v>11987</v>
      </c>
      <c r="G177" s="2"/>
      <c r="H177" s="2">
        <f t="shared" si="12"/>
        <v>143844</v>
      </c>
      <c r="I177" s="60">
        <f t="shared" si="13"/>
        <v>143844</v>
      </c>
    </row>
    <row r="178" spans="1:9" s="5" customFormat="1" ht="15.6" customHeight="1" x14ac:dyDescent="0.25">
      <c r="A178" s="84"/>
      <c r="B178" s="533" t="s">
        <v>1337</v>
      </c>
      <c r="C178" s="2" t="s">
        <v>12</v>
      </c>
      <c r="D178" s="277">
        <v>7</v>
      </c>
      <c r="E178" s="31"/>
      <c r="F178" s="363">
        <v>4100</v>
      </c>
      <c r="G178" s="2"/>
      <c r="H178" s="2">
        <f t="shared" si="12"/>
        <v>28700</v>
      </c>
      <c r="I178" s="60">
        <f t="shared" si="13"/>
        <v>28700</v>
      </c>
    </row>
    <row r="179" spans="1:9" s="5" customFormat="1" ht="15.6" customHeight="1" x14ac:dyDescent="0.25">
      <c r="A179" s="89"/>
      <c r="B179" s="533" t="s">
        <v>1306</v>
      </c>
      <c r="C179" s="2" t="s">
        <v>12</v>
      </c>
      <c r="D179" s="277">
        <v>4</v>
      </c>
      <c r="E179" s="31"/>
      <c r="F179" s="664">
        <v>5621</v>
      </c>
      <c r="G179" s="2"/>
      <c r="H179" s="2">
        <f t="shared" si="12"/>
        <v>22484</v>
      </c>
      <c r="I179" s="60">
        <f t="shared" si="13"/>
        <v>22484</v>
      </c>
    </row>
    <row r="180" spans="1:9" s="5" customFormat="1" ht="15.6" customHeight="1" x14ac:dyDescent="0.25">
      <c r="A180" s="89"/>
      <c r="B180" s="533" t="s">
        <v>747</v>
      </c>
      <c r="C180" s="2" t="s">
        <v>12</v>
      </c>
      <c r="D180" s="277">
        <v>12</v>
      </c>
      <c r="E180" s="31"/>
      <c r="F180" s="362">
        <v>10206.120000000001</v>
      </c>
      <c r="G180" s="2"/>
      <c r="H180" s="2">
        <f t="shared" si="12"/>
        <v>122473.44</v>
      </c>
      <c r="I180" s="60">
        <f t="shared" si="13"/>
        <v>122473.44</v>
      </c>
    </row>
    <row r="181" spans="1:9" s="5" customFormat="1" ht="15.6" customHeight="1" x14ac:dyDescent="0.25">
      <c r="A181" s="89"/>
      <c r="B181" s="533" t="s">
        <v>749</v>
      </c>
      <c r="C181" s="2" t="s">
        <v>12</v>
      </c>
      <c r="D181" s="277">
        <v>4</v>
      </c>
      <c r="E181" s="31"/>
      <c r="F181" s="362">
        <v>14953.2</v>
      </c>
      <c r="G181" s="2"/>
      <c r="H181" s="2">
        <f t="shared" si="12"/>
        <v>59812.800000000003</v>
      </c>
      <c r="I181" s="60">
        <f t="shared" si="13"/>
        <v>59812.800000000003</v>
      </c>
    </row>
    <row r="182" spans="1:9" s="5" customFormat="1" ht="15.6" customHeight="1" x14ac:dyDescent="0.25">
      <c r="A182" s="89"/>
      <c r="B182" s="533" t="s">
        <v>750</v>
      </c>
      <c r="C182" s="2" t="s">
        <v>12</v>
      </c>
      <c r="D182" s="277">
        <v>4</v>
      </c>
      <c r="E182" s="31"/>
      <c r="F182" s="362">
        <v>10358.1</v>
      </c>
      <c r="G182" s="2"/>
      <c r="H182" s="2">
        <f t="shared" si="12"/>
        <v>41432.400000000001</v>
      </c>
      <c r="I182" s="60">
        <f t="shared" si="13"/>
        <v>41432.400000000001</v>
      </c>
    </row>
    <row r="183" spans="1:9" s="5" customFormat="1" ht="18" customHeight="1" x14ac:dyDescent="0.25">
      <c r="A183" s="89"/>
      <c r="B183" s="533" t="s">
        <v>902</v>
      </c>
      <c r="C183" s="41" t="s">
        <v>9</v>
      </c>
      <c r="D183" s="277">
        <f>МЭ!M49/1000</f>
        <v>1.35155</v>
      </c>
      <c r="E183" s="43"/>
      <c r="F183" s="364">
        <v>33000</v>
      </c>
      <c r="G183" s="18"/>
      <c r="H183" s="2">
        <f>ROUND(D183*F183,2)</f>
        <v>44601.15</v>
      </c>
      <c r="I183" s="11">
        <f t="shared" si="13"/>
        <v>44601.15</v>
      </c>
    </row>
    <row r="184" spans="1:9" s="5" customFormat="1" ht="15.6" customHeight="1" x14ac:dyDescent="0.25">
      <c r="A184" s="89"/>
      <c r="B184" s="533" t="s">
        <v>901</v>
      </c>
      <c r="C184" s="41" t="s">
        <v>15</v>
      </c>
      <c r="D184" s="277">
        <f>41*1.13</f>
        <v>46.33</v>
      </c>
      <c r="E184" s="43"/>
      <c r="F184" s="364">
        <v>33</v>
      </c>
      <c r="G184" s="18"/>
      <c r="H184" s="2">
        <f>ROUND(D184*F184,2)</f>
        <v>1528.89</v>
      </c>
      <c r="I184" s="11">
        <f t="shared" si="13"/>
        <v>1528.89</v>
      </c>
    </row>
    <row r="185" spans="1:9" s="5" customFormat="1" ht="15.6" customHeight="1" x14ac:dyDescent="0.25">
      <c r="A185" s="107" t="s">
        <v>224</v>
      </c>
      <c r="B185" s="538" t="s">
        <v>788</v>
      </c>
      <c r="C185" s="203" t="s">
        <v>8</v>
      </c>
      <c r="D185" s="537">
        <f>МУ!E80</f>
        <v>11.14</v>
      </c>
      <c r="E185" s="353">
        <v>800</v>
      </c>
      <c r="F185" s="139"/>
      <c r="G185" s="2">
        <f>ROUND(E185*D185,2)</f>
        <v>8912</v>
      </c>
      <c r="H185" s="26"/>
      <c r="I185" s="11">
        <f t="shared" si="13"/>
        <v>8912</v>
      </c>
    </row>
    <row r="186" spans="1:9" s="5" customFormat="1" ht="15.6" customHeight="1" x14ac:dyDescent="0.25">
      <c r="A186" s="89"/>
      <c r="B186" s="533" t="s">
        <v>366</v>
      </c>
      <c r="C186" s="41" t="s">
        <v>9</v>
      </c>
      <c r="D186" s="277">
        <f>МУ!C80/1000</f>
        <v>2.0429100000000004</v>
      </c>
      <c r="E186" s="2"/>
      <c r="F186" s="364">
        <v>34000</v>
      </c>
      <c r="G186" s="10"/>
      <c r="H186" s="2">
        <f>ROUND(D186*F186,2)</f>
        <v>69458.94</v>
      </c>
      <c r="I186" s="11">
        <f t="shared" si="13"/>
        <v>69458.94</v>
      </c>
    </row>
    <row r="187" spans="1:9" s="5" customFormat="1" ht="15.6" customHeight="1" x14ac:dyDescent="0.25">
      <c r="A187" s="89"/>
      <c r="B187" s="533" t="s">
        <v>483</v>
      </c>
      <c r="C187" s="41" t="s">
        <v>8</v>
      </c>
      <c r="D187" s="277">
        <f>D185*1.015</f>
        <v>11.3071</v>
      </c>
      <c r="E187" s="2"/>
      <c r="F187" s="664">
        <v>4200</v>
      </c>
      <c r="G187" s="31"/>
      <c r="H187" s="2">
        <f>ROUND(D187*F187,2)</f>
        <v>47489.82</v>
      </c>
      <c r="I187" s="11">
        <f t="shared" si="13"/>
        <v>47489.82</v>
      </c>
    </row>
    <row r="188" spans="1:9" s="5" customFormat="1" ht="15.6" customHeight="1" x14ac:dyDescent="0.25">
      <c r="A188" s="89"/>
      <c r="B188" s="384"/>
      <c r="C188" s="385"/>
      <c r="D188" s="386"/>
      <c r="E188" s="387"/>
      <c r="F188" s="388"/>
      <c r="G188" s="387"/>
      <c r="H188" s="387"/>
      <c r="I188" s="389"/>
    </row>
    <row r="189" spans="1:9" s="5" customFormat="1" ht="36" customHeight="1" x14ac:dyDescent="0.25">
      <c r="A189" s="223"/>
      <c r="B189" s="232" t="s">
        <v>803</v>
      </c>
      <c r="C189" s="225"/>
      <c r="D189" s="239"/>
      <c r="E189" s="230"/>
      <c r="F189" s="240"/>
      <c r="G189" s="230">
        <f>SUM(G173:G188)</f>
        <v>119312</v>
      </c>
      <c r="H189" s="230">
        <f>SUM(H173:H188)</f>
        <v>2326364.4399999995</v>
      </c>
      <c r="I189" s="230">
        <f>ROUND(SUM(I173:I188),2)</f>
        <v>2445676.44</v>
      </c>
    </row>
    <row r="190" spans="1:9" s="5" customFormat="1" ht="15.6" customHeight="1" x14ac:dyDescent="0.25">
      <c r="A190" s="90"/>
      <c r="B190" s="58" t="s">
        <v>624</v>
      </c>
      <c r="C190" s="9"/>
      <c r="D190" s="31"/>
      <c r="E190" s="10"/>
      <c r="F190" s="57"/>
      <c r="G190" s="10"/>
      <c r="H190" s="10"/>
      <c r="I190" s="31">
        <f>ROUND(I189/1.18*0.18,2)</f>
        <v>373069.29</v>
      </c>
    </row>
    <row r="191" spans="1:9" s="5" customFormat="1" ht="21" customHeight="1" x14ac:dyDescent="0.25">
      <c r="A191" s="108"/>
      <c r="B191" s="562" t="s">
        <v>810</v>
      </c>
      <c r="C191" s="105"/>
      <c r="D191" s="105"/>
      <c r="E191" s="105"/>
      <c r="F191" s="138"/>
      <c r="G191" s="105"/>
      <c r="H191" s="105"/>
      <c r="I191" s="106"/>
    </row>
    <row r="192" spans="1:9" s="5" customFormat="1" ht="15.6" customHeight="1" x14ac:dyDescent="0.25">
      <c r="A192" s="107" t="s">
        <v>979</v>
      </c>
      <c r="B192" s="538" t="s">
        <v>384</v>
      </c>
      <c r="C192" s="203" t="s">
        <v>12</v>
      </c>
      <c r="D192" s="277">
        <f>D193</f>
        <v>38</v>
      </c>
      <c r="E192" s="353">
        <v>100</v>
      </c>
      <c r="F192" s="139"/>
      <c r="G192" s="2">
        <f>ROUND(E192*D192,2)</f>
        <v>3800</v>
      </c>
      <c r="H192" s="26"/>
      <c r="I192" s="11">
        <f>G192+H192</f>
        <v>3800</v>
      </c>
    </row>
    <row r="193" spans="1:9" s="5" customFormat="1" ht="15.6" customHeight="1" x14ac:dyDescent="0.25">
      <c r="A193" s="391"/>
      <c r="B193" s="533" t="s">
        <v>1375</v>
      </c>
      <c r="C193" s="41" t="s">
        <v>12</v>
      </c>
      <c r="D193" s="277">
        <v>38</v>
      </c>
      <c r="E193" s="282"/>
      <c r="F193" s="668">
        <v>784</v>
      </c>
      <c r="G193" s="10"/>
      <c r="H193" s="2">
        <f>ROUND(D193*F193,2)</f>
        <v>29792</v>
      </c>
      <c r="I193" s="11">
        <f>G193+H193</f>
        <v>29792</v>
      </c>
    </row>
    <row r="194" spans="1:9" s="5" customFormat="1" ht="15.6" customHeight="1" x14ac:dyDescent="0.25">
      <c r="A194" s="107" t="s">
        <v>980</v>
      </c>
      <c r="B194" s="538" t="s">
        <v>824</v>
      </c>
      <c r="C194" s="203" t="s">
        <v>9</v>
      </c>
      <c r="D194" s="610">
        <f>D195</f>
        <v>0.44619999999999993</v>
      </c>
      <c r="E194" s="353">
        <v>30000</v>
      </c>
      <c r="F194" s="139"/>
      <c r="G194" s="2">
        <f>ROUND(E194*D194,2)</f>
        <v>13386</v>
      </c>
      <c r="H194" s="26"/>
      <c r="I194" s="11">
        <f>G194+H194</f>
        <v>13386</v>
      </c>
    </row>
    <row r="195" spans="1:9" s="5" customFormat="1" ht="15.6" customHeight="1" x14ac:dyDescent="0.25">
      <c r="A195" s="391"/>
      <c r="B195" s="533" t="s">
        <v>1376</v>
      </c>
      <c r="C195" s="41" t="s">
        <v>9</v>
      </c>
      <c r="D195" s="277">
        <f>металл!D19/1000</f>
        <v>0.44619999999999993</v>
      </c>
      <c r="E195" s="282"/>
      <c r="F195" s="364">
        <v>34000</v>
      </c>
      <c r="G195" s="10"/>
      <c r="H195" s="2">
        <f>ROUND(D195*F195,2)</f>
        <v>15170.8</v>
      </c>
      <c r="I195" s="11">
        <f>G195+H195</f>
        <v>15170.8</v>
      </c>
    </row>
    <row r="196" spans="1:9" s="5" customFormat="1" ht="15.6" customHeight="1" x14ac:dyDescent="0.3">
      <c r="A196" s="107" t="s">
        <v>981</v>
      </c>
      <c r="B196" s="538" t="s">
        <v>903</v>
      </c>
      <c r="C196" s="41" t="s">
        <v>12</v>
      </c>
      <c r="D196" s="256">
        <v>4</v>
      </c>
      <c r="E196" s="353">
        <v>600</v>
      </c>
      <c r="F196" s="392"/>
      <c r="G196" s="2">
        <f>D196*E196</f>
        <v>2400</v>
      </c>
      <c r="H196" s="2"/>
      <c r="I196" s="11">
        <f>G196+H196</f>
        <v>2400</v>
      </c>
    </row>
    <row r="197" spans="1:9" s="5" customFormat="1" ht="15.6" customHeight="1" x14ac:dyDescent="0.25">
      <c r="A197" s="391"/>
      <c r="B197" s="533" t="s">
        <v>1378</v>
      </c>
      <c r="C197" s="41" t="s">
        <v>9</v>
      </c>
      <c r="D197" s="282">
        <f>4*76.18/1000</f>
        <v>0.30472000000000005</v>
      </c>
      <c r="E197" s="353"/>
      <c r="F197" s="364">
        <v>34000</v>
      </c>
      <c r="G197" s="2"/>
      <c r="H197" s="2">
        <f>D197*F197</f>
        <v>10360.480000000001</v>
      </c>
      <c r="I197" s="11">
        <f>H197</f>
        <v>10360.480000000001</v>
      </c>
    </row>
    <row r="198" spans="1:9" s="5" customFormat="1" ht="15.6" customHeight="1" x14ac:dyDescent="0.25">
      <c r="A198" s="107" t="s">
        <v>982</v>
      </c>
      <c r="B198" s="538" t="s">
        <v>788</v>
      </c>
      <c r="C198" s="41" t="s">
        <v>8</v>
      </c>
      <c r="D198" s="282">
        <f>0.033+0.065</f>
        <v>9.8000000000000004E-2</v>
      </c>
      <c r="E198" s="353">
        <v>500</v>
      </c>
      <c r="F198" s="363"/>
      <c r="G198" s="2">
        <f>E198*D198</f>
        <v>49</v>
      </c>
      <c r="H198" s="2"/>
      <c r="I198" s="11">
        <f>G198</f>
        <v>49</v>
      </c>
    </row>
    <row r="199" spans="1:9" s="5" customFormat="1" ht="15.6" customHeight="1" x14ac:dyDescent="0.25">
      <c r="A199" s="391"/>
      <c r="B199" s="533" t="s">
        <v>804</v>
      </c>
      <c r="C199" s="41" t="s">
        <v>8</v>
      </c>
      <c r="D199" s="277">
        <f>D198*1.015</f>
        <v>9.9469999999999989E-2</v>
      </c>
      <c r="E199" s="353"/>
      <c r="F199" s="664">
        <v>4200</v>
      </c>
      <c r="G199" s="31"/>
      <c r="H199" s="2">
        <f>ROUND(D199*F199,2)</f>
        <v>417.77</v>
      </c>
      <c r="I199" s="11">
        <f>G199+H199</f>
        <v>417.77</v>
      </c>
    </row>
    <row r="200" spans="1:9" s="5" customFormat="1" ht="15.6" customHeight="1" x14ac:dyDescent="0.25">
      <c r="A200" s="391"/>
      <c r="B200" s="533" t="s">
        <v>998</v>
      </c>
      <c r="C200" s="41" t="s">
        <v>15</v>
      </c>
      <c r="D200" s="282">
        <f>4*0.11+2*3.43+8*0.11+2*6.54</f>
        <v>21.26</v>
      </c>
      <c r="E200" s="353"/>
      <c r="F200" s="364">
        <v>34</v>
      </c>
      <c r="G200" s="2"/>
      <c r="H200" s="2">
        <f>F200*D200</f>
        <v>722.84</v>
      </c>
      <c r="I200" s="11">
        <f>H200</f>
        <v>722.84</v>
      </c>
    </row>
    <row r="201" spans="1:9" s="5" customFormat="1" ht="15.6" customHeight="1" x14ac:dyDescent="0.25">
      <c r="A201" s="107" t="s">
        <v>983</v>
      </c>
      <c r="B201" s="538" t="s">
        <v>805</v>
      </c>
      <c r="C201" s="41" t="s">
        <v>12</v>
      </c>
      <c r="D201" s="282">
        <v>5</v>
      </c>
      <c r="E201" s="353">
        <v>3000</v>
      </c>
      <c r="F201" s="363"/>
      <c r="G201" s="2">
        <f>D201*E201</f>
        <v>15000</v>
      </c>
      <c r="H201" s="2"/>
      <c r="I201" s="11">
        <f>G201</f>
        <v>15000</v>
      </c>
    </row>
    <row r="202" spans="1:9" s="5" customFormat="1" ht="15.6" customHeight="1" x14ac:dyDescent="0.25">
      <c r="A202" s="391"/>
      <c r="B202" s="533" t="s">
        <v>904</v>
      </c>
      <c r="C202" s="41" t="s">
        <v>9</v>
      </c>
      <c r="D202" s="282">
        <f>2*38.8/1000</f>
        <v>7.7599999999999988E-2</v>
      </c>
      <c r="E202" s="353"/>
      <c r="F202" s="363">
        <v>32000</v>
      </c>
      <c r="G202" s="2"/>
      <c r="H202" s="2">
        <f>F202*D202</f>
        <v>2483.1999999999998</v>
      </c>
      <c r="I202" s="11">
        <f>H202</f>
        <v>2483.1999999999998</v>
      </c>
    </row>
    <row r="203" spans="1:9" s="5" customFormat="1" ht="15.6" customHeight="1" x14ac:dyDescent="0.25">
      <c r="A203" s="391"/>
      <c r="B203" s="533" t="s">
        <v>1380</v>
      </c>
      <c r="C203" s="41" t="s">
        <v>9</v>
      </c>
      <c r="D203" s="282">
        <f>2*40.1/1000</f>
        <v>8.0200000000000007E-2</v>
      </c>
      <c r="E203" s="353"/>
      <c r="F203" s="363">
        <v>32000</v>
      </c>
      <c r="G203" s="2"/>
      <c r="H203" s="2">
        <f>F203*D203</f>
        <v>2566.4</v>
      </c>
      <c r="I203" s="11">
        <f>H203</f>
        <v>2566.4</v>
      </c>
    </row>
    <row r="204" spans="1:9" s="5" customFormat="1" ht="15.6" customHeight="1" x14ac:dyDescent="0.25">
      <c r="A204" s="391"/>
      <c r="B204" s="533" t="s">
        <v>806</v>
      </c>
      <c r="C204" s="41" t="s">
        <v>9</v>
      </c>
      <c r="D204" s="282">
        <f>1*21.1/1000</f>
        <v>2.1100000000000001E-2</v>
      </c>
      <c r="E204" s="353"/>
      <c r="F204" s="363">
        <v>32000</v>
      </c>
      <c r="G204" s="2"/>
      <c r="H204" s="2">
        <f>F204*D204</f>
        <v>675.2</v>
      </c>
      <c r="I204" s="11">
        <f>H204</f>
        <v>675.2</v>
      </c>
    </row>
    <row r="205" spans="1:9" s="5" customFormat="1" ht="15.6" customHeight="1" x14ac:dyDescent="0.25">
      <c r="A205" s="107" t="s">
        <v>1405</v>
      </c>
      <c r="B205" s="538" t="s">
        <v>1398</v>
      </c>
      <c r="C205" s="41" t="s">
        <v>12</v>
      </c>
      <c r="D205" s="282">
        <v>1</v>
      </c>
      <c r="E205" s="353">
        <v>1500</v>
      </c>
      <c r="F205" s="363"/>
      <c r="G205" s="2">
        <f>E205*D205</f>
        <v>1500</v>
      </c>
      <c r="H205" s="2"/>
      <c r="I205" s="11">
        <f>G205</f>
        <v>1500</v>
      </c>
    </row>
    <row r="206" spans="1:9" s="5" customFormat="1" ht="15.6" customHeight="1" x14ac:dyDescent="0.25">
      <c r="A206" s="391"/>
      <c r="B206" s="533" t="s">
        <v>91</v>
      </c>
      <c r="C206" s="41" t="s">
        <v>9</v>
      </c>
      <c r="D206" s="277">
        <f>1*54/1000</f>
        <v>5.3999999999999999E-2</v>
      </c>
      <c r="E206" s="282"/>
      <c r="F206" s="364">
        <v>40000</v>
      </c>
      <c r="G206" s="10"/>
      <c r="H206" s="2">
        <f>ROUND(D206*F206,2)</f>
        <v>2160</v>
      </c>
      <c r="I206" s="11">
        <f>G206+H206</f>
        <v>2160</v>
      </c>
    </row>
    <row r="207" spans="1:9" s="5" customFormat="1" ht="15.6" customHeight="1" x14ac:dyDescent="0.3">
      <c r="A207" s="107" t="s">
        <v>1406</v>
      </c>
      <c r="B207" s="538" t="s">
        <v>807</v>
      </c>
      <c r="C207" s="41" t="s">
        <v>14</v>
      </c>
      <c r="D207" s="256">
        <f>(D195+D202+D203+D204+D206+D197)*27</f>
        <v>26.563140000000004</v>
      </c>
      <c r="E207" s="256">
        <v>150</v>
      </c>
      <c r="F207" s="484"/>
      <c r="G207" s="2">
        <f>D207*E207</f>
        <v>3984.4710000000005</v>
      </c>
      <c r="H207" s="484"/>
      <c r="I207" s="11">
        <f>G207</f>
        <v>3984.4710000000005</v>
      </c>
    </row>
    <row r="208" spans="1:9" s="5" customFormat="1" ht="15.6" customHeight="1" x14ac:dyDescent="0.3">
      <c r="A208" s="391"/>
      <c r="B208" s="533" t="s">
        <v>1166</v>
      </c>
      <c r="C208" s="41" t="s">
        <v>15</v>
      </c>
      <c r="D208" s="282">
        <f>D207*0.2</f>
        <v>5.312628000000001</v>
      </c>
      <c r="E208" s="484"/>
      <c r="F208" s="362">
        <v>85</v>
      </c>
      <c r="G208" s="484"/>
      <c r="H208" s="2">
        <f>F208*D208</f>
        <v>451.5733800000001</v>
      </c>
      <c r="I208" s="11">
        <f>H208</f>
        <v>451.5733800000001</v>
      </c>
    </row>
    <row r="209" spans="1:9" s="5" customFormat="1" ht="15.6" customHeight="1" x14ac:dyDescent="0.3">
      <c r="A209" s="391"/>
      <c r="B209" s="533" t="s">
        <v>1162</v>
      </c>
      <c r="C209" s="41" t="s">
        <v>15</v>
      </c>
      <c r="D209" s="282">
        <f>D207*0.3</f>
        <v>7.9689420000000011</v>
      </c>
      <c r="E209" s="484"/>
      <c r="F209" s="362">
        <v>115</v>
      </c>
      <c r="G209" s="484"/>
      <c r="H209" s="2">
        <f>F209*D209</f>
        <v>916.42833000000007</v>
      </c>
      <c r="I209" s="11">
        <f>H209</f>
        <v>916.42833000000007</v>
      </c>
    </row>
    <row r="210" spans="1:9" s="5" customFormat="1" ht="15.6" customHeight="1" x14ac:dyDescent="0.25">
      <c r="A210" s="391"/>
      <c r="B210" s="232" t="s">
        <v>811</v>
      </c>
      <c r="C210" s="225"/>
      <c r="D210" s="239"/>
      <c r="E210" s="230"/>
      <c r="F210" s="240"/>
      <c r="G210" s="230">
        <f>SUM(G192:G209)</f>
        <v>40119.470999999998</v>
      </c>
      <c r="H210" s="230">
        <f>SUM(H192:H209)</f>
        <v>65716.691709999999</v>
      </c>
      <c r="I210" s="230">
        <f>ROUND(SUM(I192:I209),2)</f>
        <v>105836.16</v>
      </c>
    </row>
    <row r="211" spans="1:9" s="5" customFormat="1" ht="15.6" customHeight="1" x14ac:dyDescent="0.25">
      <c r="A211" s="391"/>
      <c r="B211" s="58" t="s">
        <v>624</v>
      </c>
      <c r="C211" s="9"/>
      <c r="D211" s="31"/>
      <c r="E211" s="10"/>
      <c r="F211" s="57"/>
      <c r="G211" s="10"/>
      <c r="H211" s="10"/>
      <c r="I211" s="31">
        <f>ROUND(I210/1.18*0.18,2)</f>
        <v>16144.5</v>
      </c>
    </row>
    <row r="212" spans="1:9" s="5" customFormat="1" ht="21" hidden="1" customHeight="1" x14ac:dyDescent="0.25">
      <c r="A212" s="108"/>
      <c r="B212" s="547" t="s">
        <v>812</v>
      </c>
      <c r="C212" s="105"/>
      <c r="D212" s="105"/>
      <c r="E212" s="105"/>
      <c r="F212" s="138"/>
      <c r="G212" s="105"/>
      <c r="H212" s="105"/>
      <c r="I212" s="106"/>
    </row>
    <row r="213" spans="1:9" s="5" customFormat="1" ht="15.6" hidden="1" customHeight="1" x14ac:dyDescent="0.25">
      <c r="A213" s="391"/>
      <c r="B213" s="383" t="s">
        <v>813</v>
      </c>
      <c r="C213" s="41" t="s">
        <v>12</v>
      </c>
      <c r="D213" s="282">
        <v>0</v>
      </c>
      <c r="E213" s="390">
        <v>500</v>
      </c>
      <c r="F213" s="363">
        <v>24000</v>
      </c>
      <c r="G213" s="2">
        <f>D213*E213</f>
        <v>0</v>
      </c>
      <c r="H213" s="2">
        <f>D213*F213</f>
        <v>0</v>
      </c>
      <c r="I213" s="11">
        <f>H213+G213</f>
        <v>0</v>
      </c>
    </row>
    <row r="214" spans="1:9" s="5" customFormat="1" ht="15.6" hidden="1" customHeight="1" x14ac:dyDescent="0.25">
      <c r="A214" s="391"/>
      <c r="B214" s="383" t="s">
        <v>814</v>
      </c>
      <c r="C214" s="41" t="s">
        <v>8</v>
      </c>
      <c r="D214" s="282">
        <v>0</v>
      </c>
      <c r="E214" s="390">
        <v>2500</v>
      </c>
      <c r="F214" s="363"/>
      <c r="G214" s="2">
        <f>D214*E214</f>
        <v>0</v>
      </c>
      <c r="H214" s="2"/>
      <c r="I214" s="11">
        <f>G214</f>
        <v>0</v>
      </c>
    </row>
    <row r="215" spans="1:9" s="5" customFormat="1" ht="15.6" hidden="1" customHeight="1" x14ac:dyDescent="0.3">
      <c r="A215" s="391"/>
      <c r="B215" s="394" t="s">
        <v>815</v>
      </c>
      <c r="C215" s="41" t="s">
        <v>8</v>
      </c>
      <c r="D215" s="282">
        <f>D214*1.05</f>
        <v>0</v>
      </c>
      <c r="E215" s="390"/>
      <c r="F215" s="363">
        <f>F99</f>
        <v>0</v>
      </c>
      <c r="G215" s="2"/>
      <c r="H215" s="2">
        <f>F215*D215</f>
        <v>0</v>
      </c>
      <c r="I215" s="11">
        <f>G215+H215</f>
        <v>0</v>
      </c>
    </row>
    <row r="216" spans="1:9" s="5" customFormat="1" ht="15.6" hidden="1" customHeight="1" x14ac:dyDescent="0.3">
      <c r="A216" s="391"/>
      <c r="B216" s="395" t="s">
        <v>816</v>
      </c>
      <c r="C216" s="41" t="s">
        <v>9</v>
      </c>
      <c r="D216" s="282">
        <v>0</v>
      </c>
      <c r="E216" s="390"/>
      <c r="F216" s="363">
        <v>31000</v>
      </c>
      <c r="G216" s="2"/>
      <c r="H216" s="2">
        <f>F216*D216</f>
        <v>0</v>
      </c>
      <c r="I216" s="11">
        <f>G216+H216</f>
        <v>0</v>
      </c>
    </row>
    <row r="217" spans="1:9" s="5" customFormat="1" ht="15.6" hidden="1" customHeight="1" x14ac:dyDescent="0.3">
      <c r="A217" s="391"/>
      <c r="B217" s="395" t="s">
        <v>817</v>
      </c>
      <c r="C217" s="41" t="s">
        <v>9</v>
      </c>
      <c r="D217" s="282">
        <v>0</v>
      </c>
      <c r="E217" s="390"/>
      <c r="F217" s="363">
        <v>31000</v>
      </c>
      <c r="G217" s="2"/>
      <c r="H217" s="2">
        <f>F217*D217</f>
        <v>0</v>
      </c>
      <c r="I217" s="11">
        <f>G217+H217</f>
        <v>0</v>
      </c>
    </row>
    <row r="218" spans="1:9" s="5" customFormat="1" ht="15.6" hidden="1" customHeight="1" x14ac:dyDescent="0.3">
      <c r="A218" s="391"/>
      <c r="B218" s="396" t="s">
        <v>818</v>
      </c>
      <c r="C218" s="41" t="s">
        <v>9</v>
      </c>
      <c r="D218" s="282">
        <v>0</v>
      </c>
      <c r="E218" s="390"/>
      <c r="F218" s="363">
        <v>31000</v>
      </c>
      <c r="G218" s="2"/>
      <c r="H218" s="2">
        <f>F218*D218</f>
        <v>0</v>
      </c>
      <c r="I218" s="11">
        <f>G218+H218</f>
        <v>0</v>
      </c>
    </row>
    <row r="219" spans="1:9" s="5" customFormat="1" ht="15.6" hidden="1" customHeight="1" x14ac:dyDescent="0.25">
      <c r="A219" s="391"/>
      <c r="B219" s="383" t="s">
        <v>819</v>
      </c>
      <c r="C219" s="41" t="s">
        <v>853</v>
      </c>
      <c r="D219" s="282">
        <v>0</v>
      </c>
      <c r="E219" s="390">
        <v>25000</v>
      </c>
      <c r="F219" s="363"/>
      <c r="G219" s="2">
        <f>D219*E219</f>
        <v>0</v>
      </c>
      <c r="H219" s="2">
        <f>D219*F219</f>
        <v>0</v>
      </c>
      <c r="I219" s="11">
        <f>H219+G219</f>
        <v>0</v>
      </c>
    </row>
    <row r="220" spans="1:9" s="5" customFormat="1" ht="15.6" hidden="1" customHeight="1" x14ac:dyDescent="0.3">
      <c r="A220" s="391"/>
      <c r="B220" s="393" t="s">
        <v>820</v>
      </c>
      <c r="C220" s="41" t="s">
        <v>853</v>
      </c>
      <c r="D220" s="282">
        <v>0</v>
      </c>
      <c r="E220" s="390"/>
      <c r="F220" s="363">
        <v>33000</v>
      </c>
      <c r="G220" s="2"/>
      <c r="H220" s="2">
        <f>D220*F220</f>
        <v>0</v>
      </c>
      <c r="I220" s="11">
        <f>H220</f>
        <v>0</v>
      </c>
    </row>
    <row r="221" spans="1:9" s="5" customFormat="1" ht="15.6" hidden="1" customHeight="1" x14ac:dyDescent="0.3">
      <c r="A221" s="391"/>
      <c r="B221" s="393" t="s">
        <v>821</v>
      </c>
      <c r="C221" s="41" t="s">
        <v>853</v>
      </c>
      <c r="D221" s="282">
        <v>0</v>
      </c>
      <c r="E221" s="390"/>
      <c r="F221" s="363">
        <v>33000</v>
      </c>
      <c r="G221" s="2"/>
      <c r="H221" s="2">
        <f>D221*F221</f>
        <v>0</v>
      </c>
      <c r="I221" s="11">
        <f>H221</f>
        <v>0</v>
      </c>
    </row>
    <row r="222" spans="1:9" s="5" customFormat="1" ht="15.6" hidden="1" customHeight="1" x14ac:dyDescent="0.3">
      <c r="A222" s="391"/>
      <c r="B222" s="393" t="s">
        <v>822</v>
      </c>
      <c r="C222" s="41" t="s">
        <v>14</v>
      </c>
      <c r="D222" s="282">
        <v>0</v>
      </c>
      <c r="E222" s="390"/>
      <c r="F222" s="363">
        <v>250</v>
      </c>
      <c r="G222" s="2"/>
      <c r="H222" s="2">
        <f>D222*F222</f>
        <v>0</v>
      </c>
      <c r="I222" s="11">
        <f>H222</f>
        <v>0</v>
      </c>
    </row>
    <row r="223" spans="1:9" s="5" customFormat="1" ht="15.6" hidden="1" customHeight="1" x14ac:dyDescent="0.3">
      <c r="A223" s="391"/>
      <c r="B223" s="397" t="s">
        <v>823</v>
      </c>
      <c r="C223" s="41"/>
      <c r="D223" s="282"/>
      <c r="E223" s="390"/>
      <c r="F223" s="363"/>
      <c r="G223" s="2"/>
      <c r="H223" s="2"/>
      <c r="I223" s="11"/>
    </row>
    <row r="224" spans="1:9" s="5" customFormat="1" ht="15.6" hidden="1" customHeight="1" x14ac:dyDescent="0.25">
      <c r="A224" s="391"/>
      <c r="B224" s="383" t="s">
        <v>824</v>
      </c>
      <c r="C224" s="41" t="s">
        <v>853</v>
      </c>
      <c r="D224" s="282">
        <v>0</v>
      </c>
      <c r="E224" s="390">
        <v>25000</v>
      </c>
      <c r="F224" s="363"/>
      <c r="G224" s="2">
        <f>D224*E224</f>
        <v>0</v>
      </c>
      <c r="H224" s="2">
        <f t="shared" ref="H224:H233" si="14">D224*F224</f>
        <v>0</v>
      </c>
      <c r="I224" s="11">
        <f>H224+G224</f>
        <v>0</v>
      </c>
    </row>
    <row r="225" spans="1:9" s="5" customFormat="1" ht="15.6" hidden="1" customHeight="1" x14ac:dyDescent="0.3">
      <c r="A225" s="391"/>
      <c r="B225" s="393" t="s">
        <v>825</v>
      </c>
      <c r="C225" s="41" t="s">
        <v>853</v>
      </c>
      <c r="D225" s="282">
        <v>0</v>
      </c>
      <c r="E225" s="390"/>
      <c r="F225" s="363">
        <v>33000</v>
      </c>
      <c r="G225" s="2"/>
      <c r="H225" s="2">
        <f t="shared" si="14"/>
        <v>0</v>
      </c>
      <c r="I225" s="11">
        <f>H225</f>
        <v>0</v>
      </c>
    </row>
    <row r="226" spans="1:9" s="5" customFormat="1" ht="15.6" hidden="1" customHeight="1" x14ac:dyDescent="0.3">
      <c r="A226" s="391"/>
      <c r="B226" s="393" t="s">
        <v>826</v>
      </c>
      <c r="C226" s="41" t="s">
        <v>853</v>
      </c>
      <c r="D226" s="282">
        <v>0</v>
      </c>
      <c r="E226" s="390"/>
      <c r="F226" s="363">
        <v>33000</v>
      </c>
      <c r="G226" s="2"/>
      <c r="H226" s="2">
        <f t="shared" si="14"/>
        <v>0</v>
      </c>
      <c r="I226" s="11">
        <f t="shared" ref="I226:I233" si="15">H226</f>
        <v>0</v>
      </c>
    </row>
    <row r="227" spans="1:9" s="5" customFormat="1" ht="15.6" hidden="1" customHeight="1" x14ac:dyDescent="0.3">
      <c r="A227" s="391"/>
      <c r="B227" s="393" t="s">
        <v>827</v>
      </c>
      <c r="C227" s="41" t="s">
        <v>853</v>
      </c>
      <c r="D227" s="282">
        <v>0</v>
      </c>
      <c r="E227" s="390"/>
      <c r="F227" s="363">
        <v>33000</v>
      </c>
      <c r="G227" s="2"/>
      <c r="H227" s="2">
        <f t="shared" si="14"/>
        <v>0</v>
      </c>
      <c r="I227" s="11">
        <f>H227</f>
        <v>0</v>
      </c>
    </row>
    <row r="228" spans="1:9" s="5" customFormat="1" ht="15.6" hidden="1" customHeight="1" x14ac:dyDescent="0.3">
      <c r="A228" s="391"/>
      <c r="B228" s="393" t="s">
        <v>828</v>
      </c>
      <c r="C228" s="41" t="s">
        <v>853</v>
      </c>
      <c r="D228" s="282">
        <v>0</v>
      </c>
      <c r="E228" s="390"/>
      <c r="F228" s="363">
        <v>33000</v>
      </c>
      <c r="G228" s="2"/>
      <c r="H228" s="2">
        <f t="shared" si="14"/>
        <v>0</v>
      </c>
      <c r="I228" s="11">
        <f t="shared" si="15"/>
        <v>0</v>
      </c>
    </row>
    <row r="229" spans="1:9" s="5" customFormat="1" ht="15.6" hidden="1" customHeight="1" x14ac:dyDescent="0.3">
      <c r="A229" s="391"/>
      <c r="B229" s="393" t="s">
        <v>822</v>
      </c>
      <c r="C229" s="41" t="s">
        <v>14</v>
      </c>
      <c r="D229" s="282">
        <v>0</v>
      </c>
      <c r="E229" s="390"/>
      <c r="F229" s="363">
        <v>250</v>
      </c>
      <c r="G229" s="2"/>
      <c r="H229" s="2">
        <f t="shared" si="14"/>
        <v>0</v>
      </c>
      <c r="I229" s="11">
        <f t="shared" si="15"/>
        <v>0</v>
      </c>
    </row>
    <row r="230" spans="1:9" s="5" customFormat="1" ht="15.6" hidden="1" customHeight="1" x14ac:dyDescent="0.3">
      <c r="A230" s="391"/>
      <c r="B230" s="393" t="s">
        <v>829</v>
      </c>
      <c r="C230" s="41" t="s">
        <v>14</v>
      </c>
      <c r="D230" s="282">
        <v>0</v>
      </c>
      <c r="E230" s="390"/>
      <c r="F230" s="363">
        <v>250</v>
      </c>
      <c r="G230" s="2"/>
      <c r="H230" s="2">
        <f t="shared" si="14"/>
        <v>0</v>
      </c>
      <c r="I230" s="11">
        <f t="shared" si="15"/>
        <v>0</v>
      </c>
    </row>
    <row r="231" spans="1:9" s="5" customFormat="1" ht="15.6" hidden="1" customHeight="1" x14ac:dyDescent="0.3">
      <c r="A231" s="391"/>
      <c r="B231" s="393" t="s">
        <v>830</v>
      </c>
      <c r="C231" s="41" t="s">
        <v>14</v>
      </c>
      <c r="D231" s="282">
        <v>0</v>
      </c>
      <c r="E231" s="390"/>
      <c r="F231" s="363">
        <v>250</v>
      </c>
      <c r="G231" s="2"/>
      <c r="H231" s="2">
        <f t="shared" si="14"/>
        <v>0</v>
      </c>
      <c r="I231" s="11">
        <f t="shared" si="15"/>
        <v>0</v>
      </c>
    </row>
    <row r="232" spans="1:9" s="5" customFormat="1" ht="15.6" hidden="1" customHeight="1" x14ac:dyDescent="0.3">
      <c r="A232" s="391"/>
      <c r="B232" s="393" t="s">
        <v>831</v>
      </c>
      <c r="C232" s="41" t="s">
        <v>12</v>
      </c>
      <c r="D232" s="282">
        <v>0</v>
      </c>
      <c r="E232" s="390"/>
      <c r="F232" s="363">
        <v>250</v>
      </c>
      <c r="G232" s="2"/>
      <c r="H232" s="2">
        <f t="shared" si="14"/>
        <v>0</v>
      </c>
      <c r="I232" s="11">
        <f t="shared" si="15"/>
        <v>0</v>
      </c>
    </row>
    <row r="233" spans="1:9" s="5" customFormat="1" ht="15.6" hidden="1" customHeight="1" x14ac:dyDescent="0.3">
      <c r="A233" s="391"/>
      <c r="B233" s="393" t="s">
        <v>832</v>
      </c>
      <c r="C233" s="41" t="s">
        <v>14</v>
      </c>
      <c r="D233" s="282">
        <v>0</v>
      </c>
      <c r="E233" s="390"/>
      <c r="F233" s="363">
        <v>200</v>
      </c>
      <c r="G233" s="2"/>
      <c r="H233" s="2">
        <f t="shared" si="14"/>
        <v>0</v>
      </c>
      <c r="I233" s="11">
        <f t="shared" si="15"/>
        <v>0</v>
      </c>
    </row>
    <row r="234" spans="1:9" s="5" customFormat="1" ht="15.6" hidden="1" customHeight="1" x14ac:dyDescent="0.25">
      <c r="A234" s="391"/>
      <c r="B234" s="383" t="s">
        <v>807</v>
      </c>
      <c r="C234" s="41" t="s">
        <v>14</v>
      </c>
      <c r="D234" s="282">
        <f>(D219+D224)*27</f>
        <v>0</v>
      </c>
      <c r="E234" s="390">
        <v>150</v>
      </c>
      <c r="F234" s="363"/>
      <c r="G234" s="2">
        <f>D234*E234</f>
        <v>0</v>
      </c>
      <c r="H234" s="2"/>
      <c r="I234" s="11">
        <f>G234</f>
        <v>0</v>
      </c>
    </row>
    <row r="235" spans="1:9" s="5" customFormat="1" ht="15.6" hidden="1" customHeight="1" x14ac:dyDescent="0.3">
      <c r="A235" s="391"/>
      <c r="B235" s="393" t="s">
        <v>808</v>
      </c>
      <c r="C235" s="41" t="s">
        <v>15</v>
      </c>
      <c r="D235" s="282">
        <f>D234*0.2</f>
        <v>0</v>
      </c>
      <c r="E235" s="390"/>
      <c r="F235" s="363">
        <v>85</v>
      </c>
      <c r="G235" s="2"/>
      <c r="H235" s="2">
        <f>F235*D235</f>
        <v>0</v>
      </c>
      <c r="I235" s="11">
        <f>H235</f>
        <v>0</v>
      </c>
    </row>
    <row r="236" spans="1:9" s="5" customFormat="1" ht="15.6" hidden="1" customHeight="1" x14ac:dyDescent="0.3">
      <c r="A236" s="391"/>
      <c r="B236" s="393" t="s">
        <v>809</v>
      </c>
      <c r="C236" s="41" t="s">
        <v>15</v>
      </c>
      <c r="D236" s="282">
        <f>D234*0.3</f>
        <v>0</v>
      </c>
      <c r="E236" s="390"/>
      <c r="F236" s="363">
        <v>115</v>
      </c>
      <c r="G236" s="2"/>
      <c r="H236" s="2">
        <f>F236*D236</f>
        <v>0</v>
      </c>
      <c r="I236" s="11">
        <f>H236</f>
        <v>0</v>
      </c>
    </row>
    <row r="237" spans="1:9" s="5" customFormat="1" ht="15.6" hidden="1" customHeight="1" x14ac:dyDescent="0.3">
      <c r="A237" s="391"/>
      <c r="B237" s="398" t="s">
        <v>833</v>
      </c>
      <c r="C237" s="41"/>
      <c r="D237" s="282"/>
      <c r="E237" s="390"/>
      <c r="F237" s="363"/>
      <c r="G237" s="2"/>
      <c r="H237" s="2"/>
      <c r="I237" s="11"/>
    </row>
    <row r="238" spans="1:9" s="5" customFormat="1" ht="15.6" hidden="1" customHeight="1" x14ac:dyDescent="0.25">
      <c r="A238" s="391"/>
      <c r="B238" s="383" t="s">
        <v>824</v>
      </c>
      <c r="C238" s="41" t="s">
        <v>853</v>
      </c>
      <c r="D238" s="282">
        <v>0</v>
      </c>
      <c r="E238" s="390">
        <v>25000</v>
      </c>
      <c r="F238" s="363"/>
      <c r="G238" s="2">
        <f>D238*E238</f>
        <v>0</v>
      </c>
      <c r="H238" s="2">
        <f t="shared" ref="H238:H251" si="16">D238*F238</f>
        <v>0</v>
      </c>
      <c r="I238" s="11">
        <f t="shared" ref="I238:I252" si="17">H238+G238</f>
        <v>0</v>
      </c>
    </row>
    <row r="239" spans="1:9" s="5" customFormat="1" ht="15.6" hidden="1" customHeight="1" x14ac:dyDescent="0.3">
      <c r="A239" s="391"/>
      <c r="B239" s="399" t="s">
        <v>834</v>
      </c>
      <c r="C239" s="41" t="s">
        <v>853</v>
      </c>
      <c r="D239" s="282">
        <v>0</v>
      </c>
      <c r="E239" s="390"/>
      <c r="F239" s="363">
        <v>33000</v>
      </c>
      <c r="G239" s="2"/>
      <c r="H239" s="2">
        <f t="shared" si="16"/>
        <v>0</v>
      </c>
      <c r="I239" s="11">
        <f t="shared" si="17"/>
        <v>0</v>
      </c>
    </row>
    <row r="240" spans="1:9" s="5" customFormat="1" ht="15.6" hidden="1" customHeight="1" x14ac:dyDescent="0.3">
      <c r="A240" s="391"/>
      <c r="B240" s="400" t="s">
        <v>835</v>
      </c>
      <c r="C240" s="41" t="s">
        <v>853</v>
      </c>
      <c r="D240" s="282">
        <v>0</v>
      </c>
      <c r="E240" s="390"/>
      <c r="F240" s="363">
        <v>33000</v>
      </c>
      <c r="G240" s="2"/>
      <c r="H240" s="2">
        <f t="shared" si="16"/>
        <v>0</v>
      </c>
      <c r="I240" s="11">
        <f t="shared" si="17"/>
        <v>0</v>
      </c>
    </row>
    <row r="241" spans="1:9" s="5" customFormat="1" ht="15.6" hidden="1" customHeight="1" x14ac:dyDescent="0.3">
      <c r="A241" s="391"/>
      <c r="B241" s="400" t="s">
        <v>836</v>
      </c>
      <c r="C241" s="41" t="s">
        <v>853</v>
      </c>
      <c r="D241" s="282">
        <v>0</v>
      </c>
      <c r="E241" s="390"/>
      <c r="F241" s="363">
        <v>33000</v>
      </c>
      <c r="G241" s="2"/>
      <c r="H241" s="2">
        <f t="shared" si="16"/>
        <v>0</v>
      </c>
      <c r="I241" s="11">
        <f t="shared" si="17"/>
        <v>0</v>
      </c>
    </row>
    <row r="242" spans="1:9" s="5" customFormat="1" ht="15.6" hidden="1" customHeight="1" x14ac:dyDescent="0.3">
      <c r="A242" s="391"/>
      <c r="B242" s="400" t="s">
        <v>837</v>
      </c>
      <c r="C242" s="41" t="s">
        <v>853</v>
      </c>
      <c r="D242" s="282">
        <v>0</v>
      </c>
      <c r="E242" s="390"/>
      <c r="F242" s="363">
        <v>33000</v>
      </c>
      <c r="G242" s="2"/>
      <c r="H242" s="2">
        <f t="shared" si="16"/>
        <v>0</v>
      </c>
      <c r="I242" s="11">
        <f t="shared" si="17"/>
        <v>0</v>
      </c>
    </row>
    <row r="243" spans="1:9" s="5" customFormat="1" ht="15.6" hidden="1" customHeight="1" x14ac:dyDescent="0.3">
      <c r="A243" s="391"/>
      <c r="B243" s="400" t="s">
        <v>838</v>
      </c>
      <c r="C243" s="41" t="s">
        <v>853</v>
      </c>
      <c r="D243" s="282">
        <v>0</v>
      </c>
      <c r="E243" s="390"/>
      <c r="F243" s="363">
        <v>33000</v>
      </c>
      <c r="G243" s="2"/>
      <c r="H243" s="2">
        <f t="shared" si="16"/>
        <v>0</v>
      </c>
      <c r="I243" s="11">
        <f t="shared" si="17"/>
        <v>0</v>
      </c>
    </row>
    <row r="244" spans="1:9" s="5" customFormat="1" ht="15.6" hidden="1" customHeight="1" x14ac:dyDescent="0.3">
      <c r="A244" s="391"/>
      <c r="B244" s="400" t="s">
        <v>839</v>
      </c>
      <c r="C244" s="41" t="s">
        <v>853</v>
      </c>
      <c r="D244" s="282">
        <v>0</v>
      </c>
      <c r="E244" s="390"/>
      <c r="F244" s="363">
        <v>33000</v>
      </c>
      <c r="G244" s="2"/>
      <c r="H244" s="2">
        <f t="shared" si="16"/>
        <v>0</v>
      </c>
      <c r="I244" s="11">
        <f t="shared" si="17"/>
        <v>0</v>
      </c>
    </row>
    <row r="245" spans="1:9" s="5" customFormat="1" ht="15.6" hidden="1" customHeight="1" x14ac:dyDescent="0.3">
      <c r="A245" s="391"/>
      <c r="B245" s="400" t="s">
        <v>840</v>
      </c>
      <c r="C245" s="41" t="s">
        <v>853</v>
      </c>
      <c r="D245" s="282">
        <v>0</v>
      </c>
      <c r="E245" s="390"/>
      <c r="F245" s="363">
        <v>33000</v>
      </c>
      <c r="G245" s="2"/>
      <c r="H245" s="2">
        <f t="shared" si="16"/>
        <v>0</v>
      </c>
      <c r="I245" s="11">
        <f t="shared" si="17"/>
        <v>0</v>
      </c>
    </row>
    <row r="246" spans="1:9" s="5" customFormat="1" ht="15.6" hidden="1" customHeight="1" x14ac:dyDescent="0.3">
      <c r="A246" s="391"/>
      <c r="B246" s="400" t="s">
        <v>841</v>
      </c>
      <c r="C246" s="41" t="s">
        <v>853</v>
      </c>
      <c r="D246" s="282">
        <v>0</v>
      </c>
      <c r="E246" s="390"/>
      <c r="F246" s="363">
        <v>33000</v>
      </c>
      <c r="G246" s="2"/>
      <c r="H246" s="2">
        <f t="shared" si="16"/>
        <v>0</v>
      </c>
      <c r="I246" s="11">
        <f t="shared" si="17"/>
        <v>0</v>
      </c>
    </row>
    <row r="247" spans="1:9" s="5" customFormat="1" ht="15.6" hidden="1" customHeight="1" x14ac:dyDescent="0.3">
      <c r="A247" s="391"/>
      <c r="B247" s="400" t="s">
        <v>842</v>
      </c>
      <c r="C247" s="41" t="s">
        <v>853</v>
      </c>
      <c r="D247" s="282">
        <v>0</v>
      </c>
      <c r="E247" s="390"/>
      <c r="F247" s="363">
        <v>33000</v>
      </c>
      <c r="G247" s="2"/>
      <c r="H247" s="2">
        <f t="shared" si="16"/>
        <v>0</v>
      </c>
      <c r="I247" s="11">
        <f t="shared" si="17"/>
        <v>0</v>
      </c>
    </row>
    <row r="248" spans="1:9" s="5" customFormat="1" ht="15.6" hidden="1" customHeight="1" x14ac:dyDescent="0.3">
      <c r="A248" s="391"/>
      <c r="B248" s="400" t="s">
        <v>843</v>
      </c>
      <c r="C248" s="41" t="s">
        <v>853</v>
      </c>
      <c r="D248" s="282">
        <v>0</v>
      </c>
      <c r="E248" s="390"/>
      <c r="F248" s="363">
        <v>31000</v>
      </c>
      <c r="G248" s="2"/>
      <c r="H248" s="2">
        <f t="shared" si="16"/>
        <v>0</v>
      </c>
      <c r="I248" s="11">
        <f t="shared" si="17"/>
        <v>0</v>
      </c>
    </row>
    <row r="249" spans="1:9" s="5" customFormat="1" ht="15.6" hidden="1" customHeight="1" x14ac:dyDescent="0.3">
      <c r="A249" s="391"/>
      <c r="B249" s="400" t="s">
        <v>844</v>
      </c>
      <c r="C249" s="41" t="s">
        <v>853</v>
      </c>
      <c r="D249" s="282">
        <v>0</v>
      </c>
      <c r="E249" s="390"/>
      <c r="F249" s="363">
        <v>33000</v>
      </c>
      <c r="G249" s="2"/>
      <c r="H249" s="2">
        <f t="shared" si="16"/>
        <v>0</v>
      </c>
      <c r="I249" s="11">
        <f t="shared" si="17"/>
        <v>0</v>
      </c>
    </row>
    <row r="250" spans="1:9" s="5" customFormat="1" ht="15.6" hidden="1" customHeight="1" x14ac:dyDescent="0.3">
      <c r="A250" s="391"/>
      <c r="B250" s="393" t="s">
        <v>845</v>
      </c>
      <c r="C250" s="41" t="s">
        <v>14</v>
      </c>
      <c r="D250" s="282">
        <v>0</v>
      </c>
      <c r="E250" s="390"/>
      <c r="F250" s="363">
        <v>250</v>
      </c>
      <c r="G250" s="2"/>
      <c r="H250" s="2">
        <f t="shared" si="16"/>
        <v>0</v>
      </c>
      <c r="I250" s="11">
        <f t="shared" si="17"/>
        <v>0</v>
      </c>
    </row>
    <row r="251" spans="1:9" s="5" customFormat="1" ht="15.6" hidden="1" customHeight="1" x14ac:dyDescent="0.3">
      <c r="A251" s="391"/>
      <c r="B251" s="393" t="s">
        <v>846</v>
      </c>
      <c r="C251" s="41" t="s">
        <v>14</v>
      </c>
      <c r="D251" s="282">
        <v>0</v>
      </c>
      <c r="E251" s="390"/>
      <c r="F251" s="363">
        <v>250</v>
      </c>
      <c r="G251" s="2"/>
      <c r="H251" s="2">
        <f t="shared" si="16"/>
        <v>0</v>
      </c>
      <c r="I251" s="11">
        <f t="shared" si="17"/>
        <v>0</v>
      </c>
    </row>
    <row r="252" spans="1:9" s="5" customFormat="1" ht="15.6" hidden="1" customHeight="1" x14ac:dyDescent="0.3">
      <c r="A252" s="391"/>
      <c r="B252" s="393" t="s">
        <v>847</v>
      </c>
      <c r="C252" s="41"/>
      <c r="D252" s="282"/>
      <c r="E252" s="390"/>
      <c r="F252" s="363"/>
      <c r="G252" s="2"/>
      <c r="H252" s="2">
        <v>0</v>
      </c>
      <c r="I252" s="11">
        <f t="shared" si="17"/>
        <v>0</v>
      </c>
    </row>
    <row r="253" spans="1:9" s="5" customFormat="1" ht="15.6" hidden="1" customHeight="1" x14ac:dyDescent="0.25">
      <c r="A253" s="391"/>
      <c r="B253" s="383" t="s">
        <v>848</v>
      </c>
      <c r="C253" s="41" t="s">
        <v>8</v>
      </c>
      <c r="D253" s="282">
        <v>0</v>
      </c>
      <c r="E253" s="390">
        <v>2500</v>
      </c>
      <c r="F253" s="363"/>
      <c r="G253" s="2">
        <f>D253*E253</f>
        <v>0</v>
      </c>
      <c r="H253" s="2"/>
      <c r="I253" s="11">
        <f>G253</f>
        <v>0</v>
      </c>
    </row>
    <row r="254" spans="1:9" s="5" customFormat="1" ht="15.6" hidden="1" customHeight="1" x14ac:dyDescent="0.3">
      <c r="A254" s="391"/>
      <c r="B254" s="393" t="s">
        <v>849</v>
      </c>
      <c r="C254" s="41" t="s">
        <v>8</v>
      </c>
      <c r="D254" s="282">
        <v>0</v>
      </c>
      <c r="E254" s="390"/>
      <c r="F254" s="363">
        <v>4975</v>
      </c>
      <c r="G254" s="2"/>
      <c r="H254" s="2">
        <f>F254*D254</f>
        <v>0</v>
      </c>
      <c r="I254" s="11">
        <f>H254</f>
        <v>0</v>
      </c>
    </row>
    <row r="255" spans="1:9" s="5" customFormat="1" ht="15.6" hidden="1" customHeight="1" x14ac:dyDescent="0.3">
      <c r="A255" s="391"/>
      <c r="B255" s="393" t="s">
        <v>850</v>
      </c>
      <c r="C255" s="41" t="s">
        <v>8</v>
      </c>
      <c r="D255" s="282">
        <v>0</v>
      </c>
      <c r="E255" s="390"/>
      <c r="F255" s="363">
        <f>F177</f>
        <v>11987</v>
      </c>
      <c r="G255" s="2"/>
      <c r="H255" s="2">
        <f>F255*D255</f>
        <v>0</v>
      </c>
      <c r="I255" s="11">
        <f>H255</f>
        <v>0</v>
      </c>
    </row>
    <row r="256" spans="1:9" s="5" customFormat="1" ht="15.6" hidden="1" customHeight="1" x14ac:dyDescent="0.3">
      <c r="A256" s="391"/>
      <c r="B256" s="393" t="s">
        <v>851</v>
      </c>
      <c r="C256" s="41" t="s">
        <v>853</v>
      </c>
      <c r="D256" s="282">
        <v>0</v>
      </c>
      <c r="E256" s="390"/>
      <c r="F256" s="363">
        <v>42000</v>
      </c>
      <c r="G256" s="2"/>
      <c r="H256" s="2">
        <f>F256*D256</f>
        <v>0</v>
      </c>
      <c r="I256" s="11">
        <f>H256</f>
        <v>0</v>
      </c>
    </row>
    <row r="257" spans="1:9" s="5" customFormat="1" ht="15.6" hidden="1" customHeight="1" x14ac:dyDescent="0.3">
      <c r="A257" s="391"/>
      <c r="B257" s="393" t="s">
        <v>852</v>
      </c>
      <c r="C257" s="41" t="s">
        <v>853</v>
      </c>
      <c r="D257" s="282">
        <v>0</v>
      </c>
      <c r="E257" s="390"/>
      <c r="F257" s="363">
        <v>35000</v>
      </c>
      <c r="G257" s="2"/>
      <c r="H257" s="2">
        <f>F257*D257</f>
        <v>0</v>
      </c>
      <c r="I257" s="11">
        <f>H257</f>
        <v>0</v>
      </c>
    </row>
    <row r="258" spans="1:9" s="5" customFormat="1" ht="15.6" hidden="1" customHeight="1" x14ac:dyDescent="0.25">
      <c r="A258" s="391"/>
      <c r="B258" s="383" t="s">
        <v>807</v>
      </c>
      <c r="C258" s="41" t="s">
        <v>14</v>
      </c>
      <c r="D258" s="282">
        <f>D238*27</f>
        <v>0</v>
      </c>
      <c r="E258" s="390">
        <v>150</v>
      </c>
      <c r="F258" s="363"/>
      <c r="G258" s="2">
        <f>D258*E258</f>
        <v>0</v>
      </c>
      <c r="H258" s="2"/>
      <c r="I258" s="11">
        <f>G258</f>
        <v>0</v>
      </c>
    </row>
    <row r="259" spans="1:9" s="5" customFormat="1" ht="15.6" hidden="1" customHeight="1" x14ac:dyDescent="0.3">
      <c r="A259" s="391"/>
      <c r="B259" s="393" t="s">
        <v>808</v>
      </c>
      <c r="C259" s="41" t="s">
        <v>15</v>
      </c>
      <c r="D259" s="282">
        <f>D258*0.2</f>
        <v>0</v>
      </c>
      <c r="E259" s="390"/>
      <c r="F259" s="363">
        <v>85</v>
      </c>
      <c r="G259" s="2"/>
      <c r="H259" s="2">
        <f>F259*D259</f>
        <v>0</v>
      </c>
      <c r="I259" s="11">
        <f>H259</f>
        <v>0</v>
      </c>
    </row>
    <row r="260" spans="1:9" s="5" customFormat="1" ht="15.6" hidden="1" customHeight="1" x14ac:dyDescent="0.3">
      <c r="A260" s="391"/>
      <c r="B260" s="393" t="s">
        <v>809</v>
      </c>
      <c r="C260" s="41" t="s">
        <v>15</v>
      </c>
      <c r="D260" s="282">
        <f>D258*0.3</f>
        <v>0</v>
      </c>
      <c r="E260" s="390"/>
      <c r="F260" s="363">
        <v>115</v>
      </c>
      <c r="G260" s="2"/>
      <c r="H260" s="2">
        <f>F260*D260</f>
        <v>0</v>
      </c>
      <c r="I260" s="11">
        <f>H260</f>
        <v>0</v>
      </c>
    </row>
    <row r="261" spans="1:9" s="5" customFormat="1" ht="15.6" hidden="1" customHeight="1" x14ac:dyDescent="0.25">
      <c r="A261" s="391"/>
      <c r="B261" s="232" t="s">
        <v>854</v>
      </c>
      <c r="C261" s="225"/>
      <c r="D261" s="239"/>
      <c r="E261" s="230"/>
      <c r="F261" s="240"/>
      <c r="G261" s="230">
        <f>SUM(G213:G260)</f>
        <v>0</v>
      </c>
      <c r="H261" s="230">
        <f>SUM(H213:H260)</f>
        <v>0</v>
      </c>
      <c r="I261" s="230">
        <f>ROUND(SUM(I213:I260),2)</f>
        <v>0</v>
      </c>
    </row>
    <row r="262" spans="1:9" s="5" customFormat="1" ht="15.6" hidden="1" customHeight="1" x14ac:dyDescent="0.25">
      <c r="A262" s="391"/>
      <c r="B262" s="58" t="s">
        <v>624</v>
      </c>
      <c r="C262" s="9"/>
      <c r="D262" s="31"/>
      <c r="E262" s="10"/>
      <c r="F262" s="57"/>
      <c r="G262" s="10"/>
      <c r="H262" s="10"/>
      <c r="I262" s="31">
        <f>ROUND(I261/1.18*0.18,2)</f>
        <v>0</v>
      </c>
    </row>
    <row r="263" spans="1:9" s="5" customFormat="1" ht="23.25" customHeight="1" x14ac:dyDescent="0.25">
      <c r="A263" s="547"/>
      <c r="B263" s="562" t="s">
        <v>812</v>
      </c>
      <c r="C263" s="547"/>
      <c r="D263" s="547"/>
      <c r="E263" s="547"/>
      <c r="F263" s="547"/>
      <c r="G263" s="547"/>
      <c r="H263" s="547"/>
      <c r="I263" s="547"/>
    </row>
    <row r="264" spans="1:9" s="5" customFormat="1" ht="15.6" customHeight="1" x14ac:dyDescent="0.25">
      <c r="A264" s="107" t="s">
        <v>313</v>
      </c>
      <c r="B264" s="538" t="s">
        <v>1163</v>
      </c>
      <c r="C264" s="46" t="s">
        <v>9</v>
      </c>
      <c r="D264" s="256">
        <f>D265</f>
        <v>4.2661199999999999</v>
      </c>
      <c r="E264" s="256">
        <v>30000</v>
      </c>
      <c r="F264" s="56"/>
      <c r="G264" s="2">
        <f>ROUND(E264*D264,2)</f>
        <v>127983.6</v>
      </c>
      <c r="H264" s="11"/>
      <c r="I264" s="11">
        <f>G264+H264</f>
        <v>127983.6</v>
      </c>
    </row>
    <row r="265" spans="1:9" s="5" customFormat="1" ht="15.6" customHeight="1" x14ac:dyDescent="0.25">
      <c r="A265" s="90"/>
      <c r="B265" s="652" t="s">
        <v>1443</v>
      </c>
      <c r="C265" s="41" t="s">
        <v>9</v>
      </c>
      <c r="D265" s="282">
        <f>балконы!G6/1000</f>
        <v>4.2661199999999999</v>
      </c>
      <c r="E265" s="166"/>
      <c r="F265" s="362">
        <v>33000</v>
      </c>
      <c r="G265" s="2"/>
      <c r="H265" s="2">
        <f>F265*D265</f>
        <v>140781.96</v>
      </c>
      <c r="I265" s="11">
        <f>H265</f>
        <v>140781.96</v>
      </c>
    </row>
    <row r="266" spans="1:9" s="5" customFormat="1" ht="15.6" customHeight="1" x14ac:dyDescent="0.25">
      <c r="A266" s="90"/>
      <c r="B266" s="533" t="s">
        <v>1161</v>
      </c>
      <c r="C266" s="41" t="s">
        <v>14</v>
      </c>
      <c r="D266" s="282">
        <f>балконы!G7</f>
        <v>158.57</v>
      </c>
      <c r="E266" s="166"/>
      <c r="F266" s="362">
        <v>280</v>
      </c>
      <c r="G266" s="2"/>
      <c r="H266" s="2">
        <f>F266*D266</f>
        <v>44399.6</v>
      </c>
      <c r="I266" s="11">
        <f>H266</f>
        <v>44399.6</v>
      </c>
    </row>
    <row r="267" spans="1:9" s="5" customFormat="1" ht="15.6" customHeight="1" x14ac:dyDescent="0.25">
      <c r="A267" s="107" t="s">
        <v>314</v>
      </c>
      <c r="B267" s="538" t="s">
        <v>1176</v>
      </c>
      <c r="C267" s="46" t="s">
        <v>9</v>
      </c>
      <c r="D267" s="256">
        <f>D268</f>
        <v>0.6785699999999999</v>
      </c>
      <c r="E267" s="256">
        <v>40000</v>
      </c>
      <c r="F267" s="56"/>
      <c r="G267" s="2">
        <f>ROUND(E267*D267,2)</f>
        <v>27142.799999999999</v>
      </c>
      <c r="H267" s="11"/>
      <c r="I267" s="11">
        <f>G267+H267</f>
        <v>27142.799999999999</v>
      </c>
    </row>
    <row r="268" spans="1:9" s="5" customFormat="1" ht="15.6" customHeight="1" x14ac:dyDescent="0.25">
      <c r="A268" s="90"/>
      <c r="B268" s="652" t="s">
        <v>1443</v>
      </c>
      <c r="C268" s="41" t="s">
        <v>9</v>
      </c>
      <c r="D268" s="282">
        <f>балконы!G2/1000</f>
        <v>0.6785699999999999</v>
      </c>
      <c r="E268" s="166"/>
      <c r="F268" s="362">
        <v>33000</v>
      </c>
      <c r="G268" s="2"/>
      <c r="H268" s="2">
        <f>F268*D268</f>
        <v>22392.809999999998</v>
      </c>
      <c r="I268" s="11">
        <f>H268</f>
        <v>22392.809999999998</v>
      </c>
    </row>
    <row r="269" spans="1:9" s="5" customFormat="1" ht="15.6" customHeight="1" x14ac:dyDescent="0.25">
      <c r="A269" s="107" t="s">
        <v>347</v>
      </c>
      <c r="B269" s="538" t="s">
        <v>1444</v>
      </c>
      <c r="C269" s="46" t="s">
        <v>12</v>
      </c>
      <c r="D269" s="256">
        <v>9</v>
      </c>
      <c r="E269" s="256">
        <v>4000</v>
      </c>
      <c r="F269" s="56"/>
      <c r="G269" s="2">
        <f>ROUND(E269*D269,2)</f>
        <v>36000</v>
      </c>
      <c r="H269" s="11"/>
      <c r="I269" s="11">
        <f>G269+H269</f>
        <v>36000</v>
      </c>
    </row>
    <row r="270" spans="1:9" s="5" customFormat="1" ht="15.6" customHeight="1" x14ac:dyDescent="0.25">
      <c r="A270" s="90"/>
      <c r="B270" s="533" t="s">
        <v>1451</v>
      </c>
      <c r="C270" s="41" t="s">
        <v>14</v>
      </c>
      <c r="D270" s="282">
        <f>балконы!G3</f>
        <v>79.22999999999999</v>
      </c>
      <c r="E270" s="166"/>
      <c r="F270" s="362">
        <v>280</v>
      </c>
      <c r="G270" s="2"/>
      <c r="H270" s="2">
        <f>F270*D270</f>
        <v>22184.399999999998</v>
      </c>
      <c r="I270" s="11">
        <f>H270</f>
        <v>22184.399999999998</v>
      </c>
    </row>
    <row r="271" spans="1:9" s="5" customFormat="1" ht="15.6" customHeight="1" x14ac:dyDescent="0.25">
      <c r="A271" s="90"/>
      <c r="B271" s="533" t="s">
        <v>1117</v>
      </c>
      <c r="C271" s="41" t="s">
        <v>12</v>
      </c>
      <c r="D271" s="282">
        <f>балконы!G5</f>
        <v>9</v>
      </c>
      <c r="E271" s="10"/>
      <c r="F271" s="362">
        <v>1200</v>
      </c>
      <c r="G271" s="2"/>
      <c r="H271" s="2">
        <f>F271*D271</f>
        <v>10800</v>
      </c>
      <c r="I271" s="11">
        <f>H271</f>
        <v>10800</v>
      </c>
    </row>
    <row r="272" spans="1:9" s="5" customFormat="1" ht="15.6" customHeight="1" x14ac:dyDescent="0.25">
      <c r="A272" s="90"/>
      <c r="B272" s="533" t="s">
        <v>1118</v>
      </c>
      <c r="C272" s="41" t="s">
        <v>14</v>
      </c>
      <c r="D272" s="282">
        <f>балконы!G4</f>
        <v>10.860000000000001</v>
      </c>
      <c r="E272" s="10"/>
      <c r="F272" s="362">
        <v>250</v>
      </c>
      <c r="G272" s="2"/>
      <c r="H272" s="2">
        <f>F272*D272</f>
        <v>2715.0000000000005</v>
      </c>
      <c r="I272" s="11">
        <f>H272</f>
        <v>2715.0000000000005</v>
      </c>
    </row>
    <row r="273" spans="1:11" s="5" customFormat="1" ht="15.6" customHeight="1" x14ac:dyDescent="0.3">
      <c r="A273" s="107" t="s">
        <v>1452</v>
      </c>
      <c r="B273" s="538" t="s">
        <v>807</v>
      </c>
      <c r="C273" s="41" t="s">
        <v>14</v>
      </c>
      <c r="D273" s="282">
        <f>D264*27+D267*27</f>
        <v>133.50663</v>
      </c>
      <c r="E273" s="256">
        <v>150</v>
      </c>
      <c r="F273" s="484"/>
      <c r="G273" s="2">
        <f>D273*E273</f>
        <v>20025.994500000001</v>
      </c>
      <c r="H273" s="484"/>
      <c r="I273" s="11">
        <f>G273</f>
        <v>20025.994500000001</v>
      </c>
    </row>
    <row r="274" spans="1:11" s="5" customFormat="1" ht="15.6" customHeight="1" x14ac:dyDescent="0.3">
      <c r="A274" s="90"/>
      <c r="B274" s="533" t="s">
        <v>1166</v>
      </c>
      <c r="C274" s="41" t="s">
        <v>15</v>
      </c>
      <c r="D274" s="282">
        <f>D273*0.2</f>
        <v>26.701326000000002</v>
      </c>
      <c r="E274" s="484"/>
      <c r="F274" s="362">
        <v>85</v>
      </c>
      <c r="G274" s="484"/>
      <c r="H274" s="2">
        <f>F274*D274</f>
        <v>2269.6127100000003</v>
      </c>
      <c r="I274" s="11">
        <f>H274</f>
        <v>2269.6127100000003</v>
      </c>
    </row>
    <row r="275" spans="1:11" s="5" customFormat="1" ht="15.6" customHeight="1" x14ac:dyDescent="0.3">
      <c r="A275" s="90"/>
      <c r="B275" s="533" t="s">
        <v>1162</v>
      </c>
      <c r="C275" s="41" t="s">
        <v>15</v>
      </c>
      <c r="D275" s="282">
        <f>D273*0.3</f>
        <v>40.051988999999999</v>
      </c>
      <c r="E275" s="484"/>
      <c r="F275" s="362">
        <v>115</v>
      </c>
      <c r="G275" s="484"/>
      <c r="H275" s="2">
        <f>F275*D275</f>
        <v>4605.9787349999997</v>
      </c>
      <c r="I275" s="11">
        <f>H275</f>
        <v>4605.9787349999997</v>
      </c>
    </row>
    <row r="276" spans="1:11" s="5" customFormat="1" ht="15.6" customHeight="1" x14ac:dyDescent="0.25">
      <c r="A276" s="90"/>
      <c r="B276" s="232" t="s">
        <v>854</v>
      </c>
      <c r="C276" s="225"/>
      <c r="D276" s="239"/>
      <c r="E276" s="230"/>
      <c r="F276" s="240"/>
      <c r="G276" s="230">
        <f>SUM(G264:G275)</f>
        <v>211152.39449999999</v>
      </c>
      <c r="H276" s="230">
        <f>SUM(H264:H275)</f>
        <v>250149.36144499999</v>
      </c>
      <c r="I276" s="230">
        <f>ROUND(SUM(I264:I275),2)</f>
        <v>461301.76000000001</v>
      </c>
    </row>
    <row r="277" spans="1:11" s="5" customFormat="1" ht="15.6" customHeight="1" x14ac:dyDescent="0.25">
      <c r="A277" s="90"/>
      <c r="B277" s="58" t="s">
        <v>624</v>
      </c>
      <c r="C277" s="9"/>
      <c r="D277" s="31"/>
      <c r="E277" s="10"/>
      <c r="F277" s="57"/>
      <c r="G277" s="10"/>
      <c r="H277" s="10"/>
      <c r="I277" s="31">
        <f>ROUND(I276/1.18*0.18,2)</f>
        <v>70368.070000000007</v>
      </c>
    </row>
    <row r="278" spans="1:11" ht="21" customHeight="1" x14ac:dyDescent="0.25">
      <c r="A278" s="108"/>
      <c r="B278" s="562" t="s">
        <v>1160</v>
      </c>
      <c r="C278" s="105"/>
      <c r="D278" s="105"/>
      <c r="E278" s="105"/>
      <c r="F278" s="138"/>
      <c r="G278" s="105"/>
      <c r="H278" s="105"/>
      <c r="I278" s="106"/>
    </row>
    <row r="279" spans="1:11" outlineLevel="1" x14ac:dyDescent="0.25">
      <c r="A279" s="107" t="s">
        <v>315</v>
      </c>
      <c r="B279" s="531" t="s">
        <v>473</v>
      </c>
      <c r="C279" s="2" t="s">
        <v>14</v>
      </c>
      <c r="D279" s="264">
        <f>кровля!D8</f>
        <v>470.42119999999994</v>
      </c>
      <c r="E279" s="264">
        <v>550</v>
      </c>
      <c r="F279" s="140"/>
      <c r="G279" s="2">
        <f>ROUND(E279*D279,2)</f>
        <v>258731.66</v>
      </c>
      <c r="H279" s="51"/>
      <c r="I279" s="140">
        <f>H279+G279</f>
        <v>258731.66</v>
      </c>
      <c r="J279" s="25">
        <v>1096.1795999999999</v>
      </c>
      <c r="K279" s="25" t="s">
        <v>1272</v>
      </c>
    </row>
    <row r="280" spans="1:11" ht="15" customHeight="1" outlineLevel="1" x14ac:dyDescent="0.25">
      <c r="A280" s="84"/>
      <c r="B280" s="558" t="s">
        <v>1086</v>
      </c>
      <c r="C280" s="23" t="s">
        <v>14</v>
      </c>
      <c r="D280" s="614">
        <f>ROUND(D279*1.1,2)</f>
        <v>517.46</v>
      </c>
      <c r="E280" s="51"/>
      <c r="F280" s="365">
        <f>ROUND(10.1*1.1,2)</f>
        <v>11.11</v>
      </c>
      <c r="G280" s="51"/>
      <c r="H280" s="2">
        <f t="shared" ref="H280:H286" si="18">ROUND(D280*F280,2)</f>
        <v>5748.98</v>
      </c>
      <c r="I280" s="140">
        <f t="shared" ref="I280:I294" si="19">H280+G280</f>
        <v>5748.98</v>
      </c>
    </row>
    <row r="281" spans="1:11" outlineLevel="1" x14ac:dyDescent="0.25">
      <c r="A281" s="84"/>
      <c r="B281" s="612" t="s">
        <v>32</v>
      </c>
      <c r="C281" s="23" t="s">
        <v>8</v>
      </c>
      <c r="D281" s="614">
        <f>ROUND(D279*0.7*0.12,2)</f>
        <v>39.520000000000003</v>
      </c>
      <c r="E281" s="51"/>
      <c r="F281" s="365">
        <v>1300</v>
      </c>
      <c r="G281" s="51"/>
      <c r="H281" s="2">
        <f t="shared" si="18"/>
        <v>51376</v>
      </c>
      <c r="I281" s="140">
        <f t="shared" si="19"/>
        <v>51376</v>
      </c>
    </row>
    <row r="282" spans="1:11" ht="31.2" outlineLevel="1" x14ac:dyDescent="0.25">
      <c r="A282" s="84"/>
      <c r="B282" s="612" t="s">
        <v>1087</v>
      </c>
      <c r="C282" s="21" t="s">
        <v>8</v>
      </c>
      <c r="D282" s="614">
        <f>ROUND(D279*0.15,2)</f>
        <v>70.56</v>
      </c>
      <c r="E282" s="51"/>
      <c r="F282" s="365">
        <v>4400</v>
      </c>
      <c r="G282" s="51"/>
      <c r="H282" s="2">
        <f t="shared" si="18"/>
        <v>310464</v>
      </c>
      <c r="I282" s="140">
        <f t="shared" si="19"/>
        <v>310464</v>
      </c>
    </row>
    <row r="283" spans="1:11" ht="27.6" outlineLevel="1" x14ac:dyDescent="0.25">
      <c r="A283" s="84"/>
      <c r="B283" s="613" t="s">
        <v>1068</v>
      </c>
      <c r="C283" s="21" t="s">
        <v>14</v>
      </c>
      <c r="D283" s="614">
        <f>ROUND(D279*2*1.03,2)</f>
        <v>969.07</v>
      </c>
      <c r="E283" s="51"/>
      <c r="F283" s="365">
        <v>270</v>
      </c>
      <c r="G283" s="51"/>
      <c r="H283" s="2">
        <f t="shared" si="18"/>
        <v>261648.9</v>
      </c>
      <c r="I283" s="140">
        <f t="shared" si="19"/>
        <v>261648.9</v>
      </c>
    </row>
    <row r="284" spans="1:11" outlineLevel="1" x14ac:dyDescent="0.25">
      <c r="A284" s="84"/>
      <c r="B284" s="612" t="s">
        <v>1088</v>
      </c>
      <c r="C284" s="21" t="s">
        <v>15</v>
      </c>
      <c r="D284" s="614">
        <f>ROUND(D279*1.4,2)</f>
        <v>658.59</v>
      </c>
      <c r="E284" s="51"/>
      <c r="F284" s="361">
        <v>45.4</v>
      </c>
      <c r="G284" s="51"/>
      <c r="H284" s="2">
        <f t="shared" si="18"/>
        <v>29899.99</v>
      </c>
      <c r="I284" s="140">
        <f t="shared" si="19"/>
        <v>29899.99</v>
      </c>
    </row>
    <row r="285" spans="1:11" outlineLevel="1" x14ac:dyDescent="0.25">
      <c r="A285" s="84"/>
      <c r="B285" s="612" t="s">
        <v>400</v>
      </c>
      <c r="C285" s="21" t="s">
        <v>14</v>
      </c>
      <c r="D285" s="614">
        <f>ROUND(D279*1.015,2)</f>
        <v>477.48</v>
      </c>
      <c r="E285" s="51"/>
      <c r="F285" s="365">
        <v>109.41</v>
      </c>
      <c r="G285" s="51"/>
      <c r="H285" s="2">
        <f t="shared" si="18"/>
        <v>52241.09</v>
      </c>
      <c r="I285" s="140">
        <f t="shared" si="19"/>
        <v>52241.09</v>
      </c>
    </row>
    <row r="286" spans="1:11" outlineLevel="1" x14ac:dyDescent="0.25">
      <c r="A286" s="84"/>
      <c r="B286" s="612" t="s">
        <v>401</v>
      </c>
      <c r="C286" s="2" t="s">
        <v>14</v>
      </c>
      <c r="D286" s="614">
        <f>ROUND(D279*1.01,2)</f>
        <v>475.13</v>
      </c>
      <c r="E286" s="51"/>
      <c r="F286" s="365">
        <v>154.75</v>
      </c>
      <c r="G286" s="51"/>
      <c r="H286" s="2">
        <f t="shared" si="18"/>
        <v>73526.37</v>
      </c>
      <c r="I286" s="140">
        <f t="shared" si="19"/>
        <v>73526.37</v>
      </c>
    </row>
    <row r="287" spans="1:11" ht="31.2" outlineLevel="1" x14ac:dyDescent="0.25">
      <c r="A287" s="107" t="s">
        <v>513</v>
      </c>
      <c r="B287" s="531" t="s">
        <v>188</v>
      </c>
      <c r="C287" s="31" t="s">
        <v>14</v>
      </c>
      <c r="D287" s="264">
        <f>кровля!F8</f>
        <v>96.196799999999996</v>
      </c>
      <c r="E287" s="264">
        <v>300</v>
      </c>
      <c r="F287" s="140"/>
      <c r="G287" s="2">
        <f>ROUND(E287*D287,2)</f>
        <v>28859.040000000001</v>
      </c>
      <c r="H287" s="51"/>
      <c r="I287" s="140">
        <f>H287+G287</f>
        <v>28859.040000000001</v>
      </c>
    </row>
    <row r="288" spans="1:11" outlineLevel="1" x14ac:dyDescent="0.25">
      <c r="A288" s="84"/>
      <c r="B288" s="558" t="s">
        <v>400</v>
      </c>
      <c r="C288" s="21" t="s">
        <v>14</v>
      </c>
      <c r="D288" s="614">
        <f>ROUND(D287*1.015,2)</f>
        <v>97.64</v>
      </c>
      <c r="E288" s="51"/>
      <c r="F288" s="365">
        <v>109.41</v>
      </c>
      <c r="G288" s="51"/>
      <c r="H288" s="2">
        <f>ROUND(D288*F288,2)</f>
        <v>10682.79</v>
      </c>
      <c r="I288" s="140">
        <f>H288+G288</f>
        <v>10682.79</v>
      </c>
    </row>
    <row r="289" spans="1:9" outlineLevel="1" x14ac:dyDescent="0.25">
      <c r="A289" s="84"/>
      <c r="B289" s="558" t="s">
        <v>401</v>
      </c>
      <c r="C289" s="2" t="s">
        <v>14</v>
      </c>
      <c r="D289" s="614">
        <f>ROUND(D287*1.01,2)</f>
        <v>97.16</v>
      </c>
      <c r="E289" s="51"/>
      <c r="F289" s="365">
        <v>154.75</v>
      </c>
      <c r="G289" s="51"/>
      <c r="H289" s="2">
        <f>ROUND(D289*F289,2)</f>
        <v>15035.51</v>
      </c>
      <c r="I289" s="140">
        <f>H289+G289</f>
        <v>15035.51</v>
      </c>
    </row>
    <row r="290" spans="1:9" outlineLevel="1" x14ac:dyDescent="0.25">
      <c r="A290" s="84"/>
      <c r="B290" s="558" t="s">
        <v>1384</v>
      </c>
      <c r="C290" s="2" t="s">
        <v>12</v>
      </c>
      <c r="D290" s="615">
        <f>32/3</f>
        <v>10.666666666666666</v>
      </c>
      <c r="E290" s="51"/>
      <c r="F290" s="365">
        <v>650</v>
      </c>
      <c r="G290" s="51"/>
      <c r="H290" s="2">
        <f>ROUND(D290*F290,2)</f>
        <v>6933.33</v>
      </c>
      <c r="I290" s="140">
        <f>H290+G290</f>
        <v>6933.33</v>
      </c>
    </row>
    <row r="291" spans="1:9" outlineLevel="1" x14ac:dyDescent="0.25">
      <c r="A291" s="84"/>
      <c r="B291" s="558" t="s">
        <v>1385</v>
      </c>
      <c r="C291" s="2" t="s">
        <v>12</v>
      </c>
      <c r="D291" s="614">
        <f>54/3</f>
        <v>18</v>
      </c>
      <c r="E291" s="51"/>
      <c r="F291" s="328">
        <v>650</v>
      </c>
      <c r="G291" s="51"/>
      <c r="H291" s="2">
        <f>ROUND(D291*F291,2)</f>
        <v>11700</v>
      </c>
      <c r="I291" s="140">
        <f>H291+G291</f>
        <v>11700</v>
      </c>
    </row>
    <row r="292" spans="1:9" outlineLevel="1" x14ac:dyDescent="0.25">
      <c r="A292" s="107" t="s">
        <v>514</v>
      </c>
      <c r="B292" s="531" t="s">
        <v>1232</v>
      </c>
      <c r="C292" s="2" t="s">
        <v>14</v>
      </c>
      <c r="D292" s="264">
        <f>кровля!E8*0.6</f>
        <v>58.895999999999994</v>
      </c>
      <c r="E292" s="264">
        <v>150</v>
      </c>
      <c r="F292" s="140"/>
      <c r="G292" s="2">
        <f>ROUND(E292*D292,2)</f>
        <v>8834.4</v>
      </c>
      <c r="H292" s="51"/>
      <c r="I292" s="140">
        <f t="shared" si="19"/>
        <v>8834.4</v>
      </c>
    </row>
    <row r="293" spans="1:9" outlineLevel="1" x14ac:dyDescent="0.25">
      <c r="A293" s="84"/>
      <c r="B293" s="558" t="s">
        <v>1386</v>
      </c>
      <c r="C293" s="21" t="s">
        <v>15</v>
      </c>
      <c r="D293" s="614">
        <f>250*6.48/3</f>
        <v>540</v>
      </c>
      <c r="E293" s="51"/>
      <c r="F293" s="328">
        <v>32</v>
      </c>
      <c r="G293" s="51"/>
      <c r="H293" s="2">
        <f>ROUND(D293*F293,2)</f>
        <v>17280</v>
      </c>
      <c r="I293" s="140">
        <f t="shared" si="19"/>
        <v>17280</v>
      </c>
    </row>
    <row r="294" spans="1:9" outlineLevel="1" x14ac:dyDescent="0.25">
      <c r="A294" s="84"/>
      <c r="B294" s="558" t="s">
        <v>1383</v>
      </c>
      <c r="C294" s="2" t="s">
        <v>15</v>
      </c>
      <c r="D294" s="614">
        <f>620*0.82/3</f>
        <v>169.46666666666667</v>
      </c>
      <c r="E294" s="51"/>
      <c r="F294" s="328">
        <v>32</v>
      </c>
      <c r="G294" s="51"/>
      <c r="H294" s="2">
        <f>ROUND(D294*F294,2)</f>
        <v>5422.93</v>
      </c>
      <c r="I294" s="140">
        <f t="shared" si="19"/>
        <v>5422.93</v>
      </c>
    </row>
    <row r="295" spans="1:9" outlineLevel="1" x14ac:dyDescent="0.25">
      <c r="A295" s="84"/>
      <c r="B295" s="558" t="s">
        <v>1387</v>
      </c>
      <c r="C295" s="2" t="s">
        <v>9</v>
      </c>
      <c r="D295" s="614">
        <f>1405*0.92/1000/3</f>
        <v>0.43086666666666673</v>
      </c>
      <c r="E295" s="51"/>
      <c r="F295" s="365">
        <v>42000</v>
      </c>
      <c r="G295" s="51"/>
      <c r="H295" s="2">
        <f>ROUND(D295*F295,2)</f>
        <v>18096.400000000001</v>
      </c>
      <c r="I295" s="140">
        <f>H295+G295</f>
        <v>18096.400000000001</v>
      </c>
    </row>
    <row r="296" spans="1:9" outlineLevel="1" x14ac:dyDescent="0.25">
      <c r="A296" s="107" t="s">
        <v>1196</v>
      </c>
      <c r="B296" s="531" t="s">
        <v>397</v>
      </c>
      <c r="C296" s="31" t="s">
        <v>33</v>
      </c>
      <c r="D296" s="264">
        <f>36.4*2+12.76*2</f>
        <v>98.32</v>
      </c>
      <c r="E296" s="264">
        <v>800</v>
      </c>
      <c r="F296" s="140"/>
      <c r="G296" s="2">
        <f>ROUND(E296*D296,2)</f>
        <v>78656</v>
      </c>
      <c r="H296" s="51"/>
      <c r="I296" s="140">
        <f>H296+G296</f>
        <v>78656</v>
      </c>
    </row>
    <row r="297" spans="1:9" outlineLevel="1" x14ac:dyDescent="0.25">
      <c r="A297" s="84"/>
      <c r="B297" s="533" t="s">
        <v>1226</v>
      </c>
      <c r="C297" s="21" t="s">
        <v>9</v>
      </c>
      <c r="D297" s="614">
        <f>(273*1.39+545*1.39)/1000/3</f>
        <v>0.37900666666666666</v>
      </c>
      <c r="E297" s="51"/>
      <c r="F297" s="365">
        <v>32000</v>
      </c>
      <c r="G297" s="51"/>
      <c r="H297" s="2">
        <f>ROUND(D297*F297,2)</f>
        <v>12128.21</v>
      </c>
      <c r="I297" s="140">
        <f>H297+G297</f>
        <v>12128.21</v>
      </c>
    </row>
    <row r="298" spans="1:9" outlineLevel="1" x14ac:dyDescent="0.25">
      <c r="A298" s="107" t="s">
        <v>1197</v>
      </c>
      <c r="B298" s="538" t="s">
        <v>1388</v>
      </c>
      <c r="C298" s="41" t="s">
        <v>12</v>
      </c>
      <c r="D298" s="282">
        <v>1</v>
      </c>
      <c r="E298" s="390">
        <v>1500</v>
      </c>
      <c r="F298" s="363"/>
      <c r="G298" s="2">
        <f>E298*D298</f>
        <v>1500</v>
      </c>
      <c r="H298" s="2"/>
      <c r="I298" s="11">
        <f>G298</f>
        <v>1500</v>
      </c>
    </row>
    <row r="299" spans="1:9" outlineLevel="1" x14ac:dyDescent="0.25">
      <c r="A299" s="84"/>
      <c r="B299" s="533" t="s">
        <v>91</v>
      </c>
      <c r="C299" s="41" t="s">
        <v>15</v>
      </c>
      <c r="D299" s="277">
        <v>141.13999999999999</v>
      </c>
      <c r="E299" s="2"/>
      <c r="F299" s="364">
        <v>40</v>
      </c>
      <c r="G299" s="10"/>
      <c r="H299" s="2">
        <f>ROUND(D299*F299,2)</f>
        <v>5645.6</v>
      </c>
      <c r="I299" s="11">
        <f>G299+H299</f>
        <v>5645.6</v>
      </c>
    </row>
    <row r="300" spans="1:9" outlineLevel="1" x14ac:dyDescent="0.25">
      <c r="A300" s="107" t="s">
        <v>1198</v>
      </c>
      <c r="B300" s="531" t="s">
        <v>1227</v>
      </c>
      <c r="C300" s="21" t="s">
        <v>12</v>
      </c>
      <c r="D300" s="614">
        <v>1</v>
      </c>
      <c r="E300" s="390">
        <v>1500</v>
      </c>
      <c r="F300" s="363"/>
      <c r="G300" s="2">
        <f>D300*E300</f>
        <v>1500</v>
      </c>
      <c r="H300" s="2"/>
      <c r="I300" s="11">
        <f>G300</f>
        <v>1500</v>
      </c>
    </row>
    <row r="301" spans="1:9" outlineLevel="1" x14ac:dyDescent="0.25">
      <c r="A301" s="84"/>
      <c r="B301" s="533" t="s">
        <v>1228</v>
      </c>
      <c r="C301" s="21" t="s">
        <v>12</v>
      </c>
      <c r="D301" s="614">
        <v>3</v>
      </c>
      <c r="E301" s="51"/>
      <c r="F301" s="363">
        <v>10000</v>
      </c>
      <c r="G301" s="2"/>
      <c r="H301" s="2">
        <f>D301*F301</f>
        <v>30000</v>
      </c>
      <c r="I301" s="11">
        <f>H301</f>
        <v>30000</v>
      </c>
    </row>
    <row r="302" spans="1:9" outlineLevel="1" x14ac:dyDescent="0.25">
      <c r="A302" s="84"/>
      <c r="B302" s="533" t="s">
        <v>875</v>
      </c>
      <c r="C302" s="21" t="s">
        <v>15</v>
      </c>
      <c r="D302" s="614">
        <f>2*5.8</f>
        <v>11.6</v>
      </c>
      <c r="E302" s="51"/>
      <c r="F302" s="365"/>
      <c r="G302" s="51"/>
      <c r="H302" s="2"/>
      <c r="I302" s="140"/>
    </row>
    <row r="303" spans="1:9" ht="46.8" hidden="1" outlineLevel="1" x14ac:dyDescent="0.25">
      <c r="A303" s="107" t="s">
        <v>1197</v>
      </c>
      <c r="B303" s="531" t="s">
        <v>1233</v>
      </c>
      <c r="C303" s="31" t="s">
        <v>14</v>
      </c>
      <c r="D303" s="412">
        <v>0</v>
      </c>
      <c r="E303" s="264">
        <v>150</v>
      </c>
      <c r="F303" s="365"/>
      <c r="G303" s="2">
        <f>ROUND(E303*D303,2)</f>
        <v>0</v>
      </c>
      <c r="H303" s="51"/>
      <c r="I303" s="140">
        <f>H303+G303</f>
        <v>0</v>
      </c>
    </row>
    <row r="304" spans="1:9" hidden="1" outlineLevel="1" x14ac:dyDescent="0.25">
      <c r="A304" s="84"/>
      <c r="B304" s="558" t="s">
        <v>1234</v>
      </c>
      <c r="C304" s="21" t="s">
        <v>14</v>
      </c>
      <c r="D304" s="414">
        <f>D303</f>
        <v>0</v>
      </c>
      <c r="E304" s="51"/>
      <c r="F304" s="365">
        <v>461</v>
      </c>
      <c r="G304" s="51"/>
      <c r="H304" s="2">
        <f>ROUND(D304*F304,2)</f>
        <v>0</v>
      </c>
      <c r="I304" s="140">
        <f>H304+G304</f>
        <v>0</v>
      </c>
    </row>
    <row r="305" spans="1:9" ht="31.2" outlineLevel="1" x14ac:dyDescent="0.25">
      <c r="A305" s="107" t="s">
        <v>1199</v>
      </c>
      <c r="B305" s="531" t="s">
        <v>1236</v>
      </c>
      <c r="C305" s="203" t="s">
        <v>8</v>
      </c>
      <c r="D305" s="659">
        <v>0.9</v>
      </c>
      <c r="E305" s="353">
        <v>800</v>
      </c>
      <c r="F305" s="139"/>
      <c r="G305" s="2">
        <f>ROUND(E305*D305,2)</f>
        <v>720</v>
      </c>
      <c r="H305" s="26"/>
      <c r="I305" s="11">
        <f>G305+H305</f>
        <v>720</v>
      </c>
    </row>
    <row r="306" spans="1:9" outlineLevel="1" x14ac:dyDescent="0.25">
      <c r="A306" s="84"/>
      <c r="B306" s="558" t="s">
        <v>1237</v>
      </c>
      <c r="C306" s="41" t="s">
        <v>15</v>
      </c>
      <c r="D306" s="656">
        <v>1187.2</v>
      </c>
      <c r="E306" s="2"/>
      <c r="F306" s="364">
        <v>46</v>
      </c>
      <c r="G306" s="10"/>
      <c r="H306" s="2">
        <f>ROUND(D306*F306,2)</f>
        <v>54611.199999999997</v>
      </c>
      <c r="I306" s="11">
        <f>G306+H306</f>
        <v>54611.199999999997</v>
      </c>
    </row>
    <row r="307" spans="1:9" outlineLevel="1" x14ac:dyDescent="0.25">
      <c r="A307" s="84"/>
      <c r="B307" s="533" t="s">
        <v>1175</v>
      </c>
      <c r="C307" s="41" t="s">
        <v>15</v>
      </c>
      <c r="D307" s="656">
        <v>55.54</v>
      </c>
      <c r="E307" s="2"/>
      <c r="F307" s="361">
        <v>42</v>
      </c>
      <c r="G307" s="31"/>
      <c r="H307" s="2">
        <f>ROUND(D307*F307,2)</f>
        <v>2332.6799999999998</v>
      </c>
      <c r="I307" s="11">
        <f>G307+H307</f>
        <v>2332.6799999999998</v>
      </c>
    </row>
    <row r="308" spans="1:9" outlineLevel="1" x14ac:dyDescent="0.25">
      <c r="A308" s="84"/>
      <c r="B308" s="533" t="s">
        <v>1238</v>
      </c>
      <c r="C308" s="21" t="s">
        <v>15</v>
      </c>
      <c r="D308" s="635">
        <v>5.56</v>
      </c>
      <c r="E308" s="51"/>
      <c r="F308" s="361">
        <v>42</v>
      </c>
      <c r="G308" s="51"/>
      <c r="H308" s="2">
        <f>ROUND(D308*F308,2)</f>
        <v>233.52</v>
      </c>
      <c r="I308" s="11">
        <f>G308+H308</f>
        <v>233.52</v>
      </c>
    </row>
    <row r="309" spans="1:9" outlineLevel="1" x14ac:dyDescent="0.25">
      <c r="A309" s="84"/>
      <c r="B309" s="533" t="s">
        <v>997</v>
      </c>
      <c r="C309" s="41" t="s">
        <v>8</v>
      </c>
      <c r="D309" s="656">
        <f>D305*1.015</f>
        <v>0.91349999999999998</v>
      </c>
      <c r="E309" s="2"/>
      <c r="F309" s="164">
        <v>5000</v>
      </c>
      <c r="G309" s="31"/>
      <c r="H309" s="2">
        <f>ROUND(D309*F309,2)</f>
        <v>4567.5</v>
      </c>
      <c r="I309" s="11">
        <f>G309+H309</f>
        <v>4567.5</v>
      </c>
    </row>
    <row r="310" spans="1:9" s="6" customFormat="1" outlineLevel="1" x14ac:dyDescent="0.25">
      <c r="A310" s="84"/>
      <c r="B310" s="655" t="s">
        <v>1174</v>
      </c>
      <c r="C310" s="31"/>
      <c r="D310" s="350"/>
      <c r="E310" s="54"/>
      <c r="F310" s="141"/>
      <c r="G310" s="54"/>
      <c r="H310" s="54"/>
      <c r="I310" s="141"/>
    </row>
    <row r="311" spans="1:9" s="6" customFormat="1" outlineLevel="1" x14ac:dyDescent="0.3">
      <c r="A311" s="107" t="s">
        <v>1200</v>
      </c>
      <c r="B311" s="538" t="s">
        <v>1399</v>
      </c>
      <c r="C311" s="41" t="s">
        <v>12</v>
      </c>
      <c r="D311" s="256">
        <v>4</v>
      </c>
      <c r="E311" s="353">
        <v>600</v>
      </c>
      <c r="F311" s="392"/>
      <c r="G311" s="2">
        <f>D311*E311</f>
        <v>2400</v>
      </c>
      <c r="H311" s="2"/>
      <c r="I311" s="11">
        <f>G311+H311</f>
        <v>2400</v>
      </c>
    </row>
    <row r="312" spans="1:9" s="6" customFormat="1" outlineLevel="1" x14ac:dyDescent="0.25">
      <c r="A312" s="84"/>
      <c r="B312" s="533" t="s">
        <v>1400</v>
      </c>
      <c r="C312" s="41" t="s">
        <v>15</v>
      </c>
      <c r="D312" s="282">
        <f>2*39.34+2*19.84</f>
        <v>118.36000000000001</v>
      </c>
      <c r="E312" s="390"/>
      <c r="F312" s="363">
        <v>120</v>
      </c>
      <c r="G312" s="2"/>
      <c r="H312" s="2">
        <f>D312*F312</f>
        <v>14203.2</v>
      </c>
      <c r="I312" s="11">
        <f>H312</f>
        <v>14203.2</v>
      </c>
    </row>
    <row r="313" spans="1:9" outlineLevel="1" x14ac:dyDescent="0.25">
      <c r="A313" s="107" t="s">
        <v>1201</v>
      </c>
      <c r="B313" s="538" t="s">
        <v>1170</v>
      </c>
      <c r="C313" s="41" t="s">
        <v>8</v>
      </c>
      <c r="D313" s="542">
        <f>балконы!D156*3</f>
        <v>14.399999999999999</v>
      </c>
      <c r="E313" s="353">
        <v>2800</v>
      </c>
      <c r="F313" s="363"/>
      <c r="G313" s="2">
        <f>E313*D313</f>
        <v>40319.999999999993</v>
      </c>
      <c r="H313" s="2"/>
      <c r="I313" s="11">
        <f>G313</f>
        <v>40319.999999999993</v>
      </c>
    </row>
    <row r="314" spans="1:9" outlineLevel="1" x14ac:dyDescent="0.25">
      <c r="A314" s="84"/>
      <c r="B314" s="533" t="s">
        <v>1144</v>
      </c>
      <c r="C314" s="41" t="s">
        <v>8</v>
      </c>
      <c r="D314" s="656">
        <f>D313*1.015</f>
        <v>14.615999999999998</v>
      </c>
      <c r="E314" s="390"/>
      <c r="F314" s="361">
        <v>3450</v>
      </c>
      <c r="G314" s="31"/>
      <c r="H314" s="2">
        <f>ROUND(D314*F314,2)</f>
        <v>50425.2</v>
      </c>
      <c r="I314" s="11">
        <f>G314+H314</f>
        <v>50425.2</v>
      </c>
    </row>
    <row r="315" spans="1:9" outlineLevel="1" x14ac:dyDescent="0.25">
      <c r="A315" s="84"/>
      <c r="B315" s="533" t="s">
        <v>850</v>
      </c>
      <c r="C315" s="41" t="s">
        <v>8</v>
      </c>
      <c r="D315" s="542">
        <f>балконы!D157*3</f>
        <v>5.04</v>
      </c>
      <c r="E315" s="390"/>
      <c r="F315" s="361">
        <v>2800</v>
      </c>
      <c r="G315" s="2"/>
      <c r="H315" s="2">
        <f>F315*D315</f>
        <v>14112</v>
      </c>
      <c r="I315" s="11">
        <f>H315</f>
        <v>14112</v>
      </c>
    </row>
    <row r="316" spans="1:9" outlineLevel="1" x14ac:dyDescent="0.25">
      <c r="A316" s="84"/>
      <c r="B316" s="533" t="s">
        <v>1171</v>
      </c>
      <c r="C316" s="41" t="s">
        <v>15</v>
      </c>
      <c r="D316" s="542">
        <f>балконы!D154*3</f>
        <v>142.56</v>
      </c>
      <c r="E316" s="51"/>
      <c r="F316" s="365">
        <v>31</v>
      </c>
      <c r="G316" s="51"/>
      <c r="H316" s="2">
        <f>ROUND(D316*F316,2)</f>
        <v>4419.3599999999997</v>
      </c>
      <c r="I316" s="140">
        <f>H316+G316</f>
        <v>4419.3599999999997</v>
      </c>
    </row>
    <row r="317" spans="1:9" outlineLevel="1" x14ac:dyDescent="0.25">
      <c r="A317" s="84"/>
      <c r="B317" s="533" t="s">
        <v>1172</v>
      </c>
      <c r="C317" s="41" t="s">
        <v>15</v>
      </c>
      <c r="D317" s="542">
        <f>балконы!D155*3</f>
        <v>37.08</v>
      </c>
      <c r="E317" s="51"/>
      <c r="F317" s="365">
        <v>42</v>
      </c>
      <c r="G317" s="51"/>
      <c r="H317" s="2">
        <f>ROUND(D317*F317,2)</f>
        <v>1557.36</v>
      </c>
      <c r="I317" s="140">
        <f>H317+G317</f>
        <v>1557.36</v>
      </c>
    </row>
    <row r="318" spans="1:9" outlineLevel="1" x14ac:dyDescent="0.25">
      <c r="A318" s="107" t="s">
        <v>1239</v>
      </c>
      <c r="B318" s="538" t="s">
        <v>1454</v>
      </c>
      <c r="C318" s="46" t="s">
        <v>12</v>
      </c>
      <c r="D318" s="275">
        <v>1</v>
      </c>
      <c r="E318" s="373">
        <v>700</v>
      </c>
      <c r="F318" s="43"/>
      <c r="G318" s="2">
        <f>ROUND(E318*D318,2)</f>
        <v>700</v>
      </c>
      <c r="H318" s="11"/>
      <c r="I318" s="11">
        <f>G318+H318</f>
        <v>700</v>
      </c>
    </row>
    <row r="319" spans="1:9" outlineLevel="1" x14ac:dyDescent="0.25">
      <c r="A319" s="84"/>
      <c r="B319" s="533" t="s">
        <v>1461</v>
      </c>
      <c r="C319" s="41" t="s">
        <v>15</v>
      </c>
      <c r="D319" s="401">
        <f>балконы!D151</f>
        <v>41.43</v>
      </c>
      <c r="E319" s="667"/>
      <c r="F319" s="365">
        <v>42</v>
      </c>
      <c r="G319" s="51"/>
      <c r="H319" s="2">
        <f>ROUND(D319*F319,2)</f>
        <v>1740.06</v>
      </c>
      <c r="I319" s="140">
        <f>H319+G319</f>
        <v>1740.06</v>
      </c>
    </row>
    <row r="320" spans="1:9" outlineLevel="1" x14ac:dyDescent="0.25">
      <c r="A320" s="107" t="s">
        <v>1240</v>
      </c>
      <c r="B320" s="538" t="s">
        <v>1455</v>
      </c>
      <c r="C320" s="46" t="s">
        <v>12</v>
      </c>
      <c r="D320" s="275">
        <v>2</v>
      </c>
      <c r="E320" s="373">
        <v>700</v>
      </c>
      <c r="F320" s="43"/>
      <c r="G320" s="2">
        <f>ROUND(E320*D320,2)</f>
        <v>1400</v>
      </c>
      <c r="H320" s="11"/>
      <c r="I320" s="11">
        <f>G320+H320</f>
        <v>1400</v>
      </c>
    </row>
    <row r="321" spans="1:9" outlineLevel="1" x14ac:dyDescent="0.25">
      <c r="A321" s="84"/>
      <c r="B321" s="533" t="s">
        <v>1461</v>
      </c>
      <c r="C321" s="46"/>
      <c r="D321" s="277">
        <f>балконы!D151*2</f>
        <v>82.86</v>
      </c>
      <c r="E321" s="373"/>
      <c r="F321" s="365">
        <v>42</v>
      </c>
      <c r="G321" s="51"/>
      <c r="H321" s="2">
        <f>ROUND(D321*F321,2)</f>
        <v>3480.12</v>
      </c>
      <c r="I321" s="140">
        <f>H321+G321</f>
        <v>3480.12</v>
      </c>
    </row>
    <row r="322" spans="1:9" outlineLevel="1" x14ac:dyDescent="0.25">
      <c r="A322" s="107" t="s">
        <v>1241</v>
      </c>
      <c r="B322" s="538" t="s">
        <v>1177</v>
      </c>
      <c r="C322" s="46" t="s">
        <v>9</v>
      </c>
      <c r="D322" s="256">
        <f>SUM(D323:D331)*0.04/1000</f>
        <v>4.9267200000000004E-2</v>
      </c>
      <c r="E322" s="256">
        <v>40000</v>
      </c>
      <c r="F322" s="56"/>
      <c r="G322" s="2">
        <f>ROUND(E322*D322,2)</f>
        <v>1970.69</v>
      </c>
      <c r="H322" s="11"/>
      <c r="I322" s="11">
        <f>G322+H322</f>
        <v>1970.69</v>
      </c>
    </row>
    <row r="323" spans="1:9" outlineLevel="1" x14ac:dyDescent="0.25">
      <c r="A323" s="84"/>
      <c r="B323" s="657" t="s">
        <v>1178</v>
      </c>
      <c r="C323" s="41" t="s">
        <v>15</v>
      </c>
      <c r="D323" s="282">
        <f>балконы!D166*3</f>
        <v>583.79999999999995</v>
      </c>
      <c r="E323" s="51"/>
      <c r="F323" s="365">
        <v>33</v>
      </c>
      <c r="G323" s="51"/>
      <c r="H323" s="2">
        <f t="shared" ref="H323:H331" si="20">ROUND(D323*F323,2)</f>
        <v>19265.400000000001</v>
      </c>
      <c r="I323" s="140">
        <f t="shared" ref="I323:I331" si="21">H323+G323</f>
        <v>19265.400000000001</v>
      </c>
    </row>
    <row r="324" spans="1:9" outlineLevel="1" x14ac:dyDescent="0.25">
      <c r="A324" s="84"/>
      <c r="B324" s="657" t="s">
        <v>1195</v>
      </c>
      <c r="C324" s="41" t="s">
        <v>15</v>
      </c>
      <c r="D324" s="282">
        <f>балконы!D167*3</f>
        <v>187.2</v>
      </c>
      <c r="E324" s="51"/>
      <c r="F324" s="365">
        <v>39</v>
      </c>
      <c r="G324" s="51"/>
      <c r="H324" s="2">
        <f t="shared" si="20"/>
        <v>7300.8</v>
      </c>
      <c r="I324" s="140">
        <f t="shared" si="21"/>
        <v>7300.8</v>
      </c>
    </row>
    <row r="325" spans="1:9" outlineLevel="1" x14ac:dyDescent="0.25">
      <c r="A325" s="84"/>
      <c r="B325" s="533" t="s">
        <v>1179</v>
      </c>
      <c r="C325" s="41" t="s">
        <v>15</v>
      </c>
      <c r="D325" s="282">
        <f>балконы!D168*3</f>
        <v>106.10999999999999</v>
      </c>
      <c r="E325" s="51"/>
      <c r="F325" s="365">
        <v>33</v>
      </c>
      <c r="G325" s="51"/>
      <c r="H325" s="2">
        <f t="shared" si="20"/>
        <v>3501.63</v>
      </c>
      <c r="I325" s="140">
        <f t="shared" si="21"/>
        <v>3501.63</v>
      </c>
    </row>
    <row r="326" spans="1:9" outlineLevel="1" x14ac:dyDescent="0.25">
      <c r="A326" s="84"/>
      <c r="B326" s="533" t="s">
        <v>1180</v>
      </c>
      <c r="C326" s="41" t="s">
        <v>29</v>
      </c>
      <c r="D326" s="282">
        <f>балконы!D169*3</f>
        <v>110.94</v>
      </c>
      <c r="E326" s="51"/>
      <c r="F326" s="365">
        <v>33</v>
      </c>
      <c r="G326" s="51"/>
      <c r="H326" s="2">
        <f t="shared" si="20"/>
        <v>3661.02</v>
      </c>
      <c r="I326" s="140">
        <f t="shared" si="21"/>
        <v>3661.02</v>
      </c>
    </row>
    <row r="327" spans="1:9" outlineLevel="1" x14ac:dyDescent="0.25">
      <c r="A327" s="84"/>
      <c r="B327" s="533" t="s">
        <v>1181</v>
      </c>
      <c r="C327" s="41" t="s">
        <v>29</v>
      </c>
      <c r="D327" s="282">
        <f>балконы!D170*3</f>
        <v>215.94</v>
      </c>
      <c r="E327" s="51"/>
      <c r="F327" s="365">
        <v>33</v>
      </c>
      <c r="G327" s="51"/>
      <c r="H327" s="2">
        <f t="shared" si="20"/>
        <v>7126.02</v>
      </c>
      <c r="I327" s="140">
        <f t="shared" si="21"/>
        <v>7126.02</v>
      </c>
    </row>
    <row r="328" spans="1:9" outlineLevel="1" x14ac:dyDescent="0.25">
      <c r="A328" s="84"/>
      <c r="B328" s="533" t="s">
        <v>1182</v>
      </c>
      <c r="C328" s="41" t="s">
        <v>15</v>
      </c>
      <c r="D328" s="282">
        <f>балконы!D171*3</f>
        <v>6.24</v>
      </c>
      <c r="E328" s="51"/>
      <c r="F328" s="365">
        <v>33</v>
      </c>
      <c r="G328" s="51"/>
      <c r="H328" s="2">
        <f t="shared" si="20"/>
        <v>205.92</v>
      </c>
      <c r="I328" s="140">
        <f t="shared" si="21"/>
        <v>205.92</v>
      </c>
    </row>
    <row r="329" spans="1:9" outlineLevel="1" x14ac:dyDescent="0.25">
      <c r="A329" s="84"/>
      <c r="B329" s="657" t="s">
        <v>1183</v>
      </c>
      <c r="C329" s="41" t="s">
        <v>15</v>
      </c>
      <c r="D329" s="282">
        <f>балконы!D172*3</f>
        <v>2.9699999999999998</v>
      </c>
      <c r="E329" s="51"/>
      <c r="F329" s="365">
        <v>31</v>
      </c>
      <c r="G329" s="51"/>
      <c r="H329" s="2">
        <f t="shared" si="20"/>
        <v>92.07</v>
      </c>
      <c r="I329" s="140">
        <f t="shared" si="21"/>
        <v>92.07</v>
      </c>
    </row>
    <row r="330" spans="1:9" outlineLevel="1" x14ac:dyDescent="0.25">
      <c r="A330" s="84"/>
      <c r="B330" s="533" t="s">
        <v>1184</v>
      </c>
      <c r="C330" s="41" t="s">
        <v>15</v>
      </c>
      <c r="D330" s="282">
        <f>балконы!D173*3</f>
        <v>5.28</v>
      </c>
      <c r="E330" s="51"/>
      <c r="F330" s="365">
        <v>33</v>
      </c>
      <c r="G330" s="51"/>
      <c r="H330" s="2">
        <f t="shared" si="20"/>
        <v>174.24</v>
      </c>
      <c r="I330" s="140">
        <f t="shared" si="21"/>
        <v>174.24</v>
      </c>
    </row>
    <row r="331" spans="1:9" outlineLevel="1" x14ac:dyDescent="0.25">
      <c r="A331" s="84"/>
      <c r="B331" s="533" t="s">
        <v>1185</v>
      </c>
      <c r="C331" s="41" t="s">
        <v>15</v>
      </c>
      <c r="D331" s="282">
        <f>балконы!D174*3</f>
        <v>13.200000000000001</v>
      </c>
      <c r="E331" s="51"/>
      <c r="F331" s="365">
        <v>33</v>
      </c>
      <c r="G331" s="51"/>
      <c r="H331" s="2">
        <f t="shared" si="20"/>
        <v>435.6</v>
      </c>
      <c r="I331" s="140">
        <f t="shared" si="21"/>
        <v>435.6</v>
      </c>
    </row>
    <row r="332" spans="1:9" outlineLevel="1" x14ac:dyDescent="0.25">
      <c r="A332" s="84"/>
      <c r="B332" s="533" t="s">
        <v>1135</v>
      </c>
      <c r="C332" s="41" t="s">
        <v>14</v>
      </c>
      <c r="D332" s="282">
        <f>балконы!D175*3</f>
        <v>25.02</v>
      </c>
      <c r="E332" s="51"/>
      <c r="F332" s="362">
        <v>280</v>
      </c>
      <c r="G332" s="2"/>
      <c r="H332" s="2">
        <f>F332*D332</f>
        <v>7005.5999999999995</v>
      </c>
      <c r="I332" s="11">
        <f>H332</f>
        <v>7005.5999999999995</v>
      </c>
    </row>
    <row r="333" spans="1:9" outlineLevel="1" x14ac:dyDescent="0.25">
      <c r="A333" s="84"/>
      <c r="B333" s="533" t="s">
        <v>1186</v>
      </c>
      <c r="C333" s="41" t="s">
        <v>14</v>
      </c>
      <c r="D333" s="282">
        <f>балконы!D176*3</f>
        <v>167.79</v>
      </c>
      <c r="E333" s="51"/>
      <c r="F333" s="362">
        <v>280</v>
      </c>
      <c r="G333" s="2"/>
      <c r="H333" s="2">
        <f>F333*D333</f>
        <v>46981.2</v>
      </c>
      <c r="I333" s="11">
        <f>H333</f>
        <v>46981.2</v>
      </c>
    </row>
    <row r="334" spans="1:9" outlineLevel="1" x14ac:dyDescent="0.25">
      <c r="A334" s="84"/>
      <c r="B334" s="535" t="s">
        <v>1462</v>
      </c>
      <c r="C334" s="41" t="s">
        <v>12</v>
      </c>
      <c r="D334" s="282">
        <v>3</v>
      </c>
      <c r="E334" s="51"/>
      <c r="F334" s="328">
        <v>10000</v>
      </c>
      <c r="G334" s="51"/>
      <c r="H334" s="2">
        <f>ROUND(D334*F334,2)</f>
        <v>30000</v>
      </c>
      <c r="I334" s="140">
        <f>H334+G334</f>
        <v>30000</v>
      </c>
    </row>
    <row r="335" spans="1:9" outlineLevel="1" x14ac:dyDescent="0.3">
      <c r="A335" s="107" t="s">
        <v>1271</v>
      </c>
      <c r="B335" s="538" t="s">
        <v>807</v>
      </c>
      <c r="C335" s="41" t="s">
        <v>14</v>
      </c>
      <c r="D335" s="256">
        <f>D322*27</f>
        <v>1.3302144</v>
      </c>
      <c r="E335" s="256">
        <v>150</v>
      </c>
      <c r="F335" s="484"/>
      <c r="G335" s="2">
        <f>D335*E335</f>
        <v>199.53216</v>
      </c>
      <c r="H335" s="484"/>
      <c r="I335" s="11">
        <f>G335</f>
        <v>199.53216</v>
      </c>
    </row>
    <row r="336" spans="1:9" outlineLevel="1" x14ac:dyDescent="0.3">
      <c r="A336" s="84"/>
      <c r="B336" s="533" t="s">
        <v>1166</v>
      </c>
      <c r="C336" s="41" t="s">
        <v>15</v>
      </c>
      <c r="D336" s="282">
        <f>D335*0.2</f>
        <v>0.26604288000000004</v>
      </c>
      <c r="E336" s="484"/>
      <c r="F336" s="362">
        <v>85</v>
      </c>
      <c r="G336" s="484"/>
      <c r="H336" s="2">
        <f>F336*D336</f>
        <v>22.613644800000003</v>
      </c>
      <c r="I336" s="11">
        <f>H336</f>
        <v>22.613644800000003</v>
      </c>
    </row>
    <row r="337" spans="1:252" outlineLevel="1" x14ac:dyDescent="0.3">
      <c r="A337" s="84"/>
      <c r="B337" s="533" t="s">
        <v>1162</v>
      </c>
      <c r="C337" s="41" t="s">
        <v>15</v>
      </c>
      <c r="D337" s="282">
        <f>D335*0.3</f>
        <v>0.39906431999999997</v>
      </c>
      <c r="E337" s="484"/>
      <c r="F337" s="362">
        <v>115</v>
      </c>
      <c r="G337" s="484"/>
      <c r="H337" s="2">
        <f>F337*D337</f>
        <v>45.8923968</v>
      </c>
      <c r="I337" s="11">
        <f>H337</f>
        <v>45.8923968</v>
      </c>
    </row>
    <row r="338" spans="1:252" x14ac:dyDescent="0.25">
      <c r="A338" s="223"/>
      <c r="B338" s="232" t="s">
        <v>55</v>
      </c>
      <c r="C338" s="225"/>
      <c r="D338" s="239"/>
      <c r="E338" s="230"/>
      <c r="F338" s="240"/>
      <c r="G338" s="230">
        <f>SUM(G279:G337)</f>
        <v>425791.32216000004</v>
      </c>
      <c r="H338" s="230">
        <f>SUM(H279:H337)</f>
        <v>1195330.3060416002</v>
      </c>
      <c r="I338" s="230">
        <f>ROUND(SUM(I279:I337),2)</f>
        <v>1621121.63</v>
      </c>
      <c r="K338" s="133"/>
    </row>
    <row r="339" spans="1:252" ht="15" customHeight="1" x14ac:dyDescent="0.25">
      <c r="A339" s="90"/>
      <c r="B339" s="471" t="s">
        <v>624</v>
      </c>
      <c r="C339" s="9"/>
      <c r="D339" s="31"/>
      <c r="E339" s="10"/>
      <c r="F339" s="57"/>
      <c r="G339" s="10"/>
      <c r="H339" s="10"/>
      <c r="I339" s="31">
        <f>ROUND(I338/1.18*0.18,2)</f>
        <v>247289.74</v>
      </c>
    </row>
    <row r="340" spans="1:252" ht="18.75" customHeight="1" x14ac:dyDescent="0.25">
      <c r="A340" s="104"/>
      <c r="B340" s="562" t="s">
        <v>1202</v>
      </c>
      <c r="C340" s="105"/>
      <c r="D340" s="105"/>
      <c r="E340" s="105"/>
      <c r="F340" s="138"/>
      <c r="G340" s="105"/>
      <c r="H340" s="105"/>
      <c r="I340" s="106"/>
    </row>
    <row r="341" spans="1:252" s="38" customFormat="1" ht="31.2" outlineLevel="1" x14ac:dyDescent="0.25">
      <c r="A341" s="271" t="s">
        <v>239</v>
      </c>
      <c r="B341" s="602" t="s">
        <v>1013</v>
      </c>
      <c r="C341" s="202" t="s">
        <v>14</v>
      </c>
      <c r="D341" s="598">
        <f>окна!T34</f>
        <v>175.95359999999999</v>
      </c>
      <c r="E341" s="353">
        <v>5100</v>
      </c>
      <c r="F341" s="207"/>
      <c r="G341" s="2">
        <f>ROUND(E341*D341,2)</f>
        <v>897363.36</v>
      </c>
      <c r="H341" s="2">
        <f>ROUND(D341*F341,2)</f>
        <v>0</v>
      </c>
      <c r="I341" s="3">
        <f>H341+G341</f>
        <v>897363.36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  <c r="EP341" s="15"/>
      <c r="EQ341" s="15"/>
      <c r="ER341" s="15"/>
      <c r="ES341" s="15"/>
      <c r="ET341" s="15"/>
      <c r="EU341" s="15"/>
      <c r="EV341" s="15"/>
      <c r="EW341" s="15"/>
      <c r="EX341" s="15"/>
      <c r="EY341" s="15"/>
      <c r="EZ341" s="15"/>
      <c r="FA341" s="15"/>
      <c r="FB341" s="15"/>
      <c r="FC341" s="15"/>
      <c r="FD341" s="15"/>
      <c r="FE341" s="15"/>
      <c r="FF341" s="15"/>
      <c r="FG341" s="15"/>
      <c r="FH341" s="15"/>
      <c r="FI341" s="15"/>
      <c r="FJ341" s="15"/>
      <c r="FK341" s="15"/>
      <c r="FL341" s="15"/>
      <c r="FM341" s="15"/>
      <c r="FN341" s="15"/>
      <c r="FO341" s="15"/>
      <c r="FP341" s="15"/>
      <c r="FQ341" s="15"/>
      <c r="FR341" s="15"/>
      <c r="FS341" s="15"/>
      <c r="FT341" s="15"/>
      <c r="FU341" s="15"/>
      <c r="FV341" s="15"/>
      <c r="FW341" s="15"/>
      <c r="FX341" s="15"/>
      <c r="FY341" s="15"/>
      <c r="FZ341" s="15"/>
      <c r="GA341" s="15"/>
      <c r="GB341" s="15"/>
      <c r="GC341" s="15"/>
      <c r="GD341" s="15"/>
      <c r="GE341" s="15"/>
      <c r="GF341" s="15"/>
      <c r="GG341" s="15"/>
      <c r="GH341" s="15"/>
      <c r="GI341" s="15"/>
      <c r="GJ341" s="15"/>
      <c r="GK341" s="15"/>
      <c r="GL341" s="15"/>
      <c r="GM341" s="15"/>
      <c r="GN341" s="15"/>
      <c r="GO341" s="15"/>
      <c r="GP341" s="15"/>
      <c r="GQ341" s="15"/>
      <c r="GR341" s="15"/>
      <c r="GS341" s="15"/>
      <c r="GT341" s="15"/>
      <c r="GU341" s="15"/>
      <c r="GV341" s="15"/>
      <c r="GW341" s="15"/>
      <c r="GX341" s="15"/>
      <c r="GY341" s="15"/>
      <c r="GZ341" s="15"/>
      <c r="HA341" s="15"/>
      <c r="HB341" s="15"/>
      <c r="HC341" s="15"/>
      <c r="HD341" s="15"/>
      <c r="HE341" s="15"/>
      <c r="HF341" s="15"/>
      <c r="HG341" s="15"/>
      <c r="HH341" s="15"/>
      <c r="HI341" s="15"/>
      <c r="HJ341" s="15"/>
      <c r="HK341" s="15"/>
      <c r="HL341" s="15"/>
      <c r="HM341" s="15"/>
      <c r="HN341" s="15"/>
      <c r="HO341" s="15"/>
      <c r="HP341" s="15"/>
      <c r="HQ341" s="15"/>
      <c r="HR341" s="15"/>
      <c r="HS341" s="15"/>
      <c r="HT341" s="15"/>
      <c r="HU341" s="15"/>
      <c r="HV341" s="15"/>
      <c r="HW341" s="15"/>
      <c r="HX341" s="15"/>
      <c r="HY341" s="15"/>
      <c r="HZ341" s="15"/>
      <c r="IA341" s="15"/>
      <c r="IB341" s="15"/>
      <c r="IC341" s="15"/>
      <c r="ID341" s="15"/>
      <c r="IE341" s="15"/>
      <c r="IF341" s="15"/>
      <c r="IG341" s="15"/>
      <c r="IH341" s="15"/>
      <c r="II341" s="15"/>
      <c r="IJ341" s="15"/>
      <c r="IK341" s="15"/>
      <c r="IL341" s="15"/>
      <c r="IM341" s="15"/>
      <c r="IN341" s="15"/>
      <c r="IO341" s="15"/>
      <c r="IP341" s="15"/>
      <c r="IQ341" s="15"/>
      <c r="IR341" s="15"/>
    </row>
    <row r="342" spans="1:252" s="38" customFormat="1" outlineLevel="1" x14ac:dyDescent="0.25">
      <c r="A342" s="271"/>
      <c r="B342" s="603" t="s">
        <v>1322</v>
      </c>
      <c r="C342" s="202" t="s">
        <v>14</v>
      </c>
      <c r="D342" s="554">
        <f>7.644*2</f>
        <v>15.288</v>
      </c>
      <c r="E342" s="353">
        <v>6200</v>
      </c>
      <c r="F342" s="207"/>
      <c r="G342" s="2">
        <f>ROUND(E342*D342,2)</f>
        <v>94785.600000000006</v>
      </c>
      <c r="H342" s="2">
        <f>ROUND(D342*F342,2)</f>
        <v>0</v>
      </c>
      <c r="I342" s="3">
        <f>H342+G342</f>
        <v>94785.600000000006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  <c r="EP342" s="15"/>
      <c r="EQ342" s="15"/>
      <c r="ER342" s="15"/>
      <c r="ES342" s="15"/>
      <c r="ET342" s="15"/>
      <c r="EU342" s="15"/>
      <c r="EV342" s="15"/>
      <c r="EW342" s="15"/>
      <c r="EX342" s="15"/>
      <c r="EY342" s="15"/>
      <c r="EZ342" s="15"/>
      <c r="FA342" s="15"/>
      <c r="FB342" s="15"/>
      <c r="FC342" s="15"/>
      <c r="FD342" s="15"/>
      <c r="FE342" s="15"/>
      <c r="FF342" s="15"/>
      <c r="FG342" s="15"/>
      <c r="FH342" s="15"/>
      <c r="FI342" s="15"/>
      <c r="FJ342" s="15"/>
      <c r="FK342" s="15"/>
      <c r="FL342" s="15"/>
      <c r="FM342" s="15"/>
      <c r="FN342" s="15"/>
      <c r="FO342" s="15"/>
      <c r="FP342" s="15"/>
      <c r="FQ342" s="15"/>
      <c r="FR342" s="15"/>
      <c r="FS342" s="15"/>
      <c r="FT342" s="15"/>
      <c r="FU342" s="15"/>
      <c r="FV342" s="15"/>
      <c r="FW342" s="15"/>
      <c r="FX342" s="15"/>
      <c r="FY342" s="15"/>
      <c r="FZ342" s="15"/>
      <c r="GA342" s="15"/>
      <c r="GB342" s="15"/>
      <c r="GC342" s="15"/>
      <c r="GD342" s="15"/>
      <c r="GE342" s="15"/>
      <c r="GF342" s="15"/>
      <c r="GG342" s="15"/>
      <c r="GH342" s="15"/>
      <c r="GI342" s="15"/>
      <c r="GJ342" s="15"/>
      <c r="GK342" s="15"/>
      <c r="GL342" s="15"/>
      <c r="GM342" s="15"/>
      <c r="GN342" s="15"/>
      <c r="GO342" s="15"/>
      <c r="GP342" s="15"/>
      <c r="GQ342" s="15"/>
      <c r="GR342" s="15"/>
      <c r="GS342" s="15"/>
      <c r="GT342" s="15"/>
      <c r="GU342" s="15"/>
      <c r="GV342" s="15"/>
      <c r="GW342" s="15"/>
      <c r="GX342" s="15"/>
      <c r="GY342" s="15"/>
      <c r="GZ342" s="15"/>
      <c r="HA342" s="15"/>
      <c r="HB342" s="15"/>
      <c r="HC342" s="15"/>
      <c r="HD342" s="15"/>
      <c r="HE342" s="15"/>
      <c r="HF342" s="15"/>
      <c r="HG342" s="15"/>
      <c r="HH342" s="15"/>
      <c r="HI342" s="15"/>
      <c r="HJ342" s="15"/>
      <c r="HK342" s="15"/>
      <c r="HL342" s="15"/>
      <c r="HM342" s="15"/>
      <c r="HN342" s="15"/>
      <c r="HO342" s="15"/>
      <c r="HP342" s="15"/>
      <c r="HQ342" s="15"/>
      <c r="HR342" s="15"/>
      <c r="HS342" s="15"/>
      <c r="HT342" s="15"/>
      <c r="HU342" s="15"/>
      <c r="HV342" s="15"/>
      <c r="HW342" s="15"/>
      <c r="HX342" s="15"/>
      <c r="HY342" s="15"/>
      <c r="HZ342" s="15"/>
      <c r="IA342" s="15"/>
      <c r="IB342" s="15"/>
      <c r="IC342" s="15"/>
      <c r="ID342" s="15"/>
      <c r="IE342" s="15"/>
      <c r="IF342" s="15"/>
      <c r="IG342" s="15"/>
      <c r="IH342" s="15"/>
      <c r="II342" s="15"/>
      <c r="IJ342" s="15"/>
      <c r="IK342" s="15"/>
      <c r="IL342" s="15"/>
      <c r="IM342" s="15"/>
      <c r="IN342" s="15"/>
      <c r="IO342" s="15"/>
      <c r="IP342" s="15"/>
      <c r="IQ342" s="15"/>
      <c r="IR342" s="15"/>
    </row>
    <row r="343" spans="1:252" s="38" customFormat="1" outlineLevel="1" x14ac:dyDescent="0.25">
      <c r="A343" s="271" t="s">
        <v>1203</v>
      </c>
      <c r="B343" s="603" t="s">
        <v>1014</v>
      </c>
      <c r="C343" s="202" t="s">
        <v>1323</v>
      </c>
      <c r="D343" s="267">
        <f>окна!X35</f>
        <v>92.42</v>
      </c>
      <c r="E343" s="353">
        <v>250</v>
      </c>
      <c r="F343" s="207"/>
      <c r="G343" s="2">
        <f>ROUND(E343*D343,2)</f>
        <v>23105</v>
      </c>
      <c r="H343" s="2">
        <f>ROUND(D343*F343,2)</f>
        <v>0</v>
      </c>
      <c r="I343" s="3">
        <f>H343+G343</f>
        <v>23105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  <c r="EP343" s="15"/>
      <c r="EQ343" s="15"/>
      <c r="ER343" s="15"/>
      <c r="ES343" s="15"/>
      <c r="ET343" s="15"/>
      <c r="EU343" s="15"/>
      <c r="EV343" s="15"/>
      <c r="EW343" s="15"/>
      <c r="EX343" s="15"/>
      <c r="EY343" s="15"/>
      <c r="EZ343" s="15"/>
      <c r="FA343" s="15"/>
      <c r="FB343" s="15"/>
      <c r="FC343" s="15"/>
      <c r="FD343" s="15"/>
      <c r="FE343" s="15"/>
      <c r="FF343" s="15"/>
      <c r="FG343" s="15"/>
      <c r="FH343" s="15"/>
      <c r="FI343" s="15"/>
      <c r="FJ343" s="15"/>
      <c r="FK343" s="15"/>
      <c r="FL343" s="15"/>
      <c r="FM343" s="15"/>
      <c r="FN343" s="15"/>
      <c r="FO343" s="15"/>
      <c r="FP343" s="15"/>
      <c r="FQ343" s="15"/>
      <c r="FR343" s="15"/>
      <c r="FS343" s="15"/>
      <c r="FT343" s="15"/>
      <c r="FU343" s="15"/>
      <c r="FV343" s="15"/>
      <c r="FW343" s="15"/>
      <c r="FX343" s="15"/>
      <c r="FY343" s="15"/>
      <c r="FZ343" s="15"/>
      <c r="GA343" s="15"/>
      <c r="GB343" s="15"/>
      <c r="GC343" s="15"/>
      <c r="GD343" s="15"/>
      <c r="GE343" s="15"/>
      <c r="GF343" s="15"/>
      <c r="GG343" s="15"/>
      <c r="GH343" s="15"/>
      <c r="GI343" s="15"/>
      <c r="GJ343" s="15"/>
      <c r="GK343" s="15"/>
      <c r="GL343" s="15"/>
      <c r="GM343" s="15"/>
      <c r="GN343" s="15"/>
      <c r="GO343" s="15"/>
      <c r="GP343" s="15"/>
      <c r="GQ343" s="15"/>
      <c r="GR343" s="15"/>
      <c r="GS343" s="15"/>
      <c r="GT343" s="15"/>
      <c r="GU343" s="15"/>
      <c r="GV343" s="15"/>
      <c r="GW343" s="15"/>
      <c r="GX343" s="15"/>
      <c r="GY343" s="15"/>
      <c r="GZ343" s="15"/>
      <c r="HA343" s="15"/>
      <c r="HB343" s="15"/>
      <c r="HC343" s="15"/>
      <c r="HD343" s="15"/>
      <c r="HE343" s="15"/>
      <c r="HF343" s="15"/>
      <c r="HG343" s="15"/>
      <c r="HH343" s="15"/>
      <c r="HI343" s="15"/>
      <c r="HJ343" s="15"/>
      <c r="HK343" s="15"/>
      <c r="HL343" s="15"/>
      <c r="HM343" s="15"/>
      <c r="HN343" s="15"/>
      <c r="HO343" s="15"/>
      <c r="HP343" s="15"/>
      <c r="HQ343" s="15"/>
      <c r="HR343" s="15"/>
      <c r="HS343" s="15"/>
      <c r="HT343" s="15"/>
      <c r="HU343" s="15"/>
      <c r="HV343" s="15"/>
      <c r="HW343" s="15"/>
      <c r="HX343" s="15"/>
      <c r="HY343" s="15"/>
      <c r="HZ343" s="15"/>
      <c r="IA343" s="15"/>
      <c r="IB343" s="15"/>
      <c r="IC343" s="15"/>
      <c r="ID343" s="15"/>
      <c r="IE343" s="15"/>
      <c r="IF343" s="15"/>
      <c r="IG343" s="15"/>
      <c r="IH343" s="15"/>
      <c r="II343" s="15"/>
      <c r="IJ343" s="15"/>
      <c r="IK343" s="15"/>
      <c r="IL343" s="15"/>
      <c r="IM343" s="15"/>
      <c r="IN343" s="15"/>
      <c r="IO343" s="15"/>
      <c r="IP343" s="15"/>
      <c r="IQ343" s="15"/>
      <c r="IR343" s="15"/>
    </row>
    <row r="344" spans="1:252" x14ac:dyDescent="0.25">
      <c r="A344" s="223"/>
      <c r="B344" s="224" t="s">
        <v>59</v>
      </c>
      <c r="C344" s="225"/>
      <c r="D344" s="226"/>
      <c r="E344" s="227"/>
      <c r="F344" s="228"/>
      <c r="G344" s="227">
        <f>SUM(G341:G343)</f>
        <v>1015253.96</v>
      </c>
      <c r="H344" s="227">
        <f>SUM(H341:H343)</f>
        <v>0</v>
      </c>
      <c r="I344" s="227">
        <f>SUM(I341:I343)</f>
        <v>1015253.96</v>
      </c>
    </row>
    <row r="345" spans="1:252" ht="16.2" customHeight="1" x14ac:dyDescent="0.25">
      <c r="A345" s="90"/>
      <c r="B345" s="471" t="s">
        <v>624</v>
      </c>
      <c r="C345" s="9"/>
      <c r="D345" s="31"/>
      <c r="E345" s="10"/>
      <c r="F345" s="57"/>
      <c r="G345" s="10"/>
      <c r="H345" s="10"/>
      <c r="I345" s="31">
        <f>ROUND(I344/1.18*0.18,2)</f>
        <v>154869.25</v>
      </c>
    </row>
    <row r="346" spans="1:252" ht="18.75" customHeight="1" x14ac:dyDescent="0.25">
      <c r="A346" s="109"/>
      <c r="B346" s="547" t="s">
        <v>1204</v>
      </c>
      <c r="C346" s="105"/>
      <c r="D346" s="105"/>
      <c r="E346" s="105"/>
      <c r="F346" s="138"/>
      <c r="G346" s="105"/>
      <c r="H346" s="105"/>
      <c r="I346" s="106"/>
    </row>
    <row r="347" spans="1:252" outlineLevel="1" x14ac:dyDescent="0.25">
      <c r="A347" s="271" t="s">
        <v>316</v>
      </c>
      <c r="B347" s="636" t="s">
        <v>37</v>
      </c>
      <c r="C347" s="2" t="s">
        <v>12</v>
      </c>
      <c r="D347" s="268">
        <f>SUM(D348:D352)</f>
        <v>35</v>
      </c>
      <c r="E347" s="256">
        <v>1200</v>
      </c>
      <c r="F347" s="60"/>
      <c r="G347" s="2">
        <f>ROUND(E347*D347,2)</f>
        <v>42000</v>
      </c>
      <c r="H347" s="18"/>
      <c r="I347" s="18">
        <f>G347+H347</f>
        <v>42000</v>
      </c>
    </row>
    <row r="348" spans="1:252" ht="31.2" outlineLevel="1" x14ac:dyDescent="0.25">
      <c r="A348" s="84"/>
      <c r="B348" s="612" t="s">
        <v>225</v>
      </c>
      <c r="C348" s="21" t="s">
        <v>12</v>
      </c>
      <c r="D348" s="639">
        <v>26</v>
      </c>
      <c r="E348" s="2"/>
      <c r="F348" s="361">
        <v>1400</v>
      </c>
      <c r="G348" s="18"/>
      <c r="H348" s="2">
        <f>ROUND(D348*F348,2)</f>
        <v>36400</v>
      </c>
      <c r="I348" s="18">
        <f t="shared" ref="I348:I355" si="22">G348+H348</f>
        <v>36400</v>
      </c>
    </row>
    <row r="349" spans="1:252" outlineLevel="1" x14ac:dyDescent="0.25">
      <c r="A349" s="84"/>
      <c r="B349" s="612" t="s">
        <v>1468</v>
      </c>
      <c r="C349" s="21" t="s">
        <v>12</v>
      </c>
      <c r="D349" s="639">
        <v>6</v>
      </c>
      <c r="E349" s="2"/>
      <c r="F349" s="361">
        <v>1400</v>
      </c>
      <c r="G349" s="18"/>
      <c r="H349" s="2">
        <f>ROUND(D349*F349,2)</f>
        <v>8400</v>
      </c>
      <c r="I349" s="18">
        <f>G349+H349</f>
        <v>8400</v>
      </c>
    </row>
    <row r="350" spans="1:252" ht="31.2" outlineLevel="1" x14ac:dyDescent="0.25">
      <c r="A350" s="84"/>
      <c r="B350" s="612" t="s">
        <v>1217</v>
      </c>
      <c r="C350" s="21" t="s">
        <v>12</v>
      </c>
      <c r="D350" s="639">
        <v>1</v>
      </c>
      <c r="E350" s="2"/>
      <c r="F350" s="361">
        <v>24500</v>
      </c>
      <c r="G350" s="18"/>
      <c r="H350" s="2">
        <f>ROUND(D350*F350,2)</f>
        <v>24500</v>
      </c>
      <c r="I350" s="18">
        <f>G350+H350</f>
        <v>24500</v>
      </c>
    </row>
    <row r="351" spans="1:252" ht="31.2" outlineLevel="1" x14ac:dyDescent="0.25">
      <c r="A351" s="84"/>
      <c r="B351" s="612" t="s">
        <v>1430</v>
      </c>
      <c r="C351" s="21" t="s">
        <v>12</v>
      </c>
      <c r="D351" s="639">
        <v>1</v>
      </c>
      <c r="E351" s="2"/>
      <c r="F351" s="361">
        <v>24500</v>
      </c>
      <c r="G351" s="18"/>
      <c r="H351" s="2">
        <f>ROUND(D351*F351,2)</f>
        <v>24500</v>
      </c>
      <c r="I351" s="18">
        <f t="shared" si="22"/>
        <v>24500</v>
      </c>
    </row>
    <row r="352" spans="1:252" outlineLevel="1" x14ac:dyDescent="0.25">
      <c r="A352" s="84"/>
      <c r="B352" s="612" t="s">
        <v>1463</v>
      </c>
      <c r="C352" s="21" t="s">
        <v>12</v>
      </c>
      <c r="D352" s="639">
        <v>1</v>
      </c>
      <c r="E352" s="2"/>
      <c r="F352" s="164">
        <v>10000</v>
      </c>
      <c r="G352" s="18"/>
      <c r="H352" s="2">
        <f>ROUND(D352*F352,2)</f>
        <v>10000</v>
      </c>
      <c r="I352" s="18">
        <f>G352+H352</f>
        <v>10000</v>
      </c>
    </row>
    <row r="353" spans="1:12" outlineLevel="1" x14ac:dyDescent="0.25">
      <c r="A353" s="271" t="s">
        <v>469</v>
      </c>
      <c r="B353" s="543" t="s">
        <v>38</v>
      </c>
      <c r="C353" s="2" t="s">
        <v>12</v>
      </c>
      <c r="D353" s="268">
        <f>SUM(D354:D355)</f>
        <v>2</v>
      </c>
      <c r="E353" s="256">
        <v>1600</v>
      </c>
      <c r="F353" s="164"/>
      <c r="G353" s="2">
        <f>ROUND(E353*D353,2)</f>
        <v>3200</v>
      </c>
      <c r="H353" s="18"/>
      <c r="I353" s="18">
        <f t="shared" si="22"/>
        <v>3200</v>
      </c>
    </row>
    <row r="354" spans="1:12" ht="31.2" outlineLevel="1" x14ac:dyDescent="0.25">
      <c r="A354" s="84"/>
      <c r="B354" s="612" t="s">
        <v>1216</v>
      </c>
      <c r="C354" s="21" t="s">
        <v>12</v>
      </c>
      <c r="D354" s="639">
        <v>1</v>
      </c>
      <c r="E354" s="2"/>
      <c r="F354" s="361">
        <f>10915*1.18</f>
        <v>12879.699999999999</v>
      </c>
      <c r="G354" s="18"/>
      <c r="H354" s="2">
        <f>ROUND(D354*F354,2)</f>
        <v>12879.7</v>
      </c>
      <c r="I354" s="18">
        <f t="shared" si="22"/>
        <v>12879.7</v>
      </c>
    </row>
    <row r="355" spans="1:12" outlineLevel="1" x14ac:dyDescent="0.25">
      <c r="A355" s="84"/>
      <c r="B355" s="612" t="s">
        <v>1464</v>
      </c>
      <c r="C355" s="21" t="s">
        <v>12</v>
      </c>
      <c r="D355" s="639">
        <v>1</v>
      </c>
      <c r="E355" s="2"/>
      <c r="F355" s="361">
        <f>10915*1.18</f>
        <v>12879.699999999999</v>
      </c>
      <c r="G355" s="18"/>
      <c r="H355" s="2">
        <f>ROUND(D355*F355,2)</f>
        <v>12879.7</v>
      </c>
      <c r="I355" s="18">
        <f t="shared" si="22"/>
        <v>12879.7</v>
      </c>
    </row>
    <row r="356" spans="1:12" outlineLevel="1" x14ac:dyDescent="0.25">
      <c r="A356" s="271" t="s">
        <v>522</v>
      </c>
      <c r="B356" s="543" t="s">
        <v>664</v>
      </c>
      <c r="C356" s="2" t="s">
        <v>12</v>
      </c>
      <c r="D356" s="268">
        <f>SUM(D357:D359)</f>
        <v>3</v>
      </c>
      <c r="E356" s="256">
        <v>1300</v>
      </c>
      <c r="F356" s="485">
        <v>10800</v>
      </c>
      <c r="G356" s="2">
        <f>ROUND(E356*D356,2)</f>
        <v>3900</v>
      </c>
      <c r="H356" s="2">
        <f>ROUND(D356*F356,2)</f>
        <v>32400</v>
      </c>
      <c r="I356" s="18">
        <f>G356+H356</f>
        <v>36300</v>
      </c>
    </row>
    <row r="357" spans="1:12" outlineLevel="1" x14ac:dyDescent="0.25">
      <c r="A357" s="84"/>
      <c r="B357" s="558" t="s">
        <v>1465</v>
      </c>
      <c r="C357" s="2" t="s">
        <v>12</v>
      </c>
      <c r="D357" s="660">
        <v>1</v>
      </c>
      <c r="E357" s="158"/>
      <c r="F357" s="60"/>
      <c r="G357" s="18"/>
      <c r="H357" s="18"/>
      <c r="I357" s="18"/>
    </row>
    <row r="358" spans="1:12" outlineLevel="1" x14ac:dyDescent="0.25">
      <c r="A358" s="84"/>
      <c r="B358" s="558" t="s">
        <v>1466</v>
      </c>
      <c r="C358" s="2" t="s">
        <v>12</v>
      </c>
      <c r="D358" s="660">
        <v>1</v>
      </c>
      <c r="E358" s="158"/>
      <c r="F358" s="60"/>
      <c r="G358" s="18"/>
      <c r="H358" s="18"/>
      <c r="I358" s="18"/>
    </row>
    <row r="359" spans="1:12" outlineLevel="1" x14ac:dyDescent="0.25">
      <c r="A359" s="84"/>
      <c r="B359" s="558" t="s">
        <v>1467</v>
      </c>
      <c r="C359" s="2" t="s">
        <v>12</v>
      </c>
      <c r="D359" s="660">
        <v>1</v>
      </c>
      <c r="E359" s="158"/>
      <c r="F359" s="60"/>
      <c r="G359" s="18"/>
      <c r="H359" s="18"/>
      <c r="I359" s="18"/>
    </row>
    <row r="360" spans="1:12" outlineLevel="1" x14ac:dyDescent="0.25">
      <c r="A360" s="271" t="s">
        <v>523</v>
      </c>
      <c r="B360" s="543" t="s">
        <v>665</v>
      </c>
      <c r="C360" s="2" t="s">
        <v>12</v>
      </c>
      <c r="D360" s="661">
        <f>D361+D362</f>
        <v>14</v>
      </c>
      <c r="E360" s="256">
        <v>1300</v>
      </c>
      <c r="F360" s="60"/>
      <c r="G360" s="2">
        <f>ROUND(E360*D360,2)</f>
        <v>18200</v>
      </c>
      <c r="H360" s="18"/>
      <c r="I360" s="18">
        <f>G360+H360</f>
        <v>18200</v>
      </c>
    </row>
    <row r="361" spans="1:12" outlineLevel="1" x14ac:dyDescent="0.25">
      <c r="A361" s="84"/>
      <c r="B361" s="558" t="s">
        <v>1219</v>
      </c>
      <c r="C361" s="2" t="s">
        <v>12</v>
      </c>
      <c r="D361" s="660">
        <v>7</v>
      </c>
      <c r="E361" s="2"/>
      <c r="F361" s="164">
        <v>700</v>
      </c>
      <c r="G361" s="18"/>
      <c r="H361" s="2">
        <f>ROUND(D361*F361,2)</f>
        <v>4900</v>
      </c>
      <c r="I361" s="18">
        <f>G361+H361</f>
        <v>4900</v>
      </c>
    </row>
    <row r="362" spans="1:12" ht="31.2" outlineLevel="1" x14ac:dyDescent="0.25">
      <c r="A362" s="84"/>
      <c r="B362" s="558" t="s">
        <v>1220</v>
      </c>
      <c r="C362" s="2" t="s">
        <v>12</v>
      </c>
      <c r="D362" s="660">
        <v>7</v>
      </c>
      <c r="E362" s="2"/>
      <c r="F362" s="164">
        <v>2000</v>
      </c>
      <c r="G362" s="18"/>
      <c r="H362" s="2">
        <f>ROUND(D362*F362,2)</f>
        <v>14000</v>
      </c>
      <c r="I362" s="18">
        <f>G362+H362</f>
        <v>14000</v>
      </c>
    </row>
    <row r="363" spans="1:12" x14ac:dyDescent="0.25">
      <c r="A363" s="223"/>
      <c r="B363" s="232" t="s">
        <v>58</v>
      </c>
      <c r="C363" s="225"/>
      <c r="D363" s="226"/>
      <c r="E363" s="227"/>
      <c r="F363" s="228"/>
      <c r="G363" s="227">
        <f>SUM(G347:G362)</f>
        <v>67300</v>
      </c>
      <c r="H363" s="227">
        <f>SUM(H347:H362)</f>
        <v>180859.4</v>
      </c>
      <c r="I363" s="227">
        <f>SUM(I347:I362)</f>
        <v>248159.40000000002</v>
      </c>
    </row>
    <row r="364" spans="1:12" ht="16.95" customHeight="1" x14ac:dyDescent="0.25">
      <c r="A364" s="90"/>
      <c r="B364" s="471" t="s">
        <v>624</v>
      </c>
      <c r="C364" s="9"/>
      <c r="D364" s="31"/>
      <c r="E364" s="10"/>
      <c r="F364" s="57"/>
      <c r="G364" s="10"/>
      <c r="H364" s="10"/>
      <c r="I364" s="31">
        <f>ROUND(I363/1.18*0.18,2)</f>
        <v>37854.82</v>
      </c>
    </row>
    <row r="365" spans="1:12" ht="18.75" customHeight="1" x14ac:dyDescent="0.25">
      <c r="A365" s="108"/>
      <c r="B365" s="562" t="s">
        <v>1205</v>
      </c>
      <c r="C365" s="105"/>
      <c r="D365" s="105"/>
      <c r="E365" s="105"/>
      <c r="F365" s="138"/>
      <c r="G365" s="105"/>
      <c r="H365" s="105"/>
      <c r="I365" s="106"/>
    </row>
    <row r="366" spans="1:12" s="6" customFormat="1" ht="22.5" customHeight="1" outlineLevel="1" x14ac:dyDescent="0.25">
      <c r="A366" s="107" t="s">
        <v>317</v>
      </c>
      <c r="B366" s="599" t="s">
        <v>1005</v>
      </c>
      <c r="C366" s="31" t="s">
        <v>14</v>
      </c>
      <c r="D366" s="268">
        <f>фасад!P11-окна!T34-окна!V39</f>
        <v>766.2944</v>
      </c>
      <c r="E366" s="256">
        <v>900</v>
      </c>
      <c r="F366" s="60"/>
      <c r="G366" s="2">
        <f>ROUND(E366*D366,2)</f>
        <v>689664.96</v>
      </c>
      <c r="H366" s="18"/>
      <c r="I366" s="18">
        <f t="shared" ref="I366:I373" si="23">G366+H366</f>
        <v>689664.96</v>
      </c>
      <c r="J366" s="499"/>
      <c r="K366" s="25"/>
      <c r="L366" s="25"/>
    </row>
    <row r="367" spans="1:12" ht="31.2" outlineLevel="1" x14ac:dyDescent="0.25">
      <c r="A367" s="84"/>
      <c r="B367" s="533" t="s">
        <v>1223</v>
      </c>
      <c r="C367" s="55" t="s">
        <v>15</v>
      </c>
      <c r="D367" s="277">
        <f>ROUND(D366*0.1,2)</f>
        <v>76.63</v>
      </c>
      <c r="E367" s="18"/>
      <c r="F367" s="366">
        <f>ROUND(1868.06/10,2)</f>
        <v>186.81</v>
      </c>
      <c r="G367" s="18"/>
      <c r="H367" s="2">
        <f>ROUND(D367*F367,2)</f>
        <v>14315.25</v>
      </c>
      <c r="I367" s="18">
        <f t="shared" si="23"/>
        <v>14315.25</v>
      </c>
    </row>
    <row r="368" spans="1:12" ht="18" customHeight="1" outlineLevel="1" x14ac:dyDescent="0.25">
      <c r="A368" s="84"/>
      <c r="B368" s="533" t="s">
        <v>1012</v>
      </c>
      <c r="C368" s="2" t="s">
        <v>8</v>
      </c>
      <c r="D368" s="282">
        <f>фасад!F6*0.12</f>
        <v>199.7064</v>
      </c>
      <c r="E368" s="31"/>
      <c r="F368" s="666">
        <v>2351</v>
      </c>
      <c r="G368" s="2"/>
      <c r="H368" s="2">
        <f>ROUND(D368*F368,2)</f>
        <v>469509.75</v>
      </c>
      <c r="I368" s="18">
        <f t="shared" si="23"/>
        <v>469509.75</v>
      </c>
    </row>
    <row r="369" spans="1:12" ht="36" hidden="1" customHeight="1" outlineLevel="1" x14ac:dyDescent="0.25">
      <c r="A369" s="84"/>
      <c r="B369" s="361" t="s">
        <v>1034</v>
      </c>
      <c r="C369" s="2" t="s">
        <v>8</v>
      </c>
      <c r="D369" s="282">
        <v>0</v>
      </c>
      <c r="E369" s="158"/>
      <c r="F369" s="664">
        <v>3196</v>
      </c>
      <c r="G369" s="2"/>
      <c r="H369" s="2">
        <f>ROUND(D369*F369,2)</f>
        <v>0</v>
      </c>
      <c r="I369" s="11">
        <f t="shared" si="23"/>
        <v>0</v>
      </c>
    </row>
    <row r="370" spans="1:12" outlineLevel="1" x14ac:dyDescent="0.25">
      <c r="A370" s="84"/>
      <c r="B370" s="600" t="s">
        <v>230</v>
      </c>
      <c r="C370" s="55" t="s">
        <v>12</v>
      </c>
      <c r="D370" s="277">
        <f>ROUND(D366*12,2)</f>
        <v>9195.5300000000007</v>
      </c>
      <c r="E370" s="18"/>
      <c r="F370" s="142">
        <v>12</v>
      </c>
      <c r="G370" s="18"/>
      <c r="H370" s="2">
        <f>ROUND(D370*F370,2)</f>
        <v>110346.36</v>
      </c>
      <c r="I370" s="18">
        <f t="shared" si="23"/>
        <v>110346.36</v>
      </c>
    </row>
    <row r="371" spans="1:12" outlineLevel="1" x14ac:dyDescent="0.25">
      <c r="A371" s="107" t="s">
        <v>318</v>
      </c>
      <c r="B371" s="531" t="s">
        <v>1391</v>
      </c>
      <c r="C371" s="31" t="s">
        <v>14</v>
      </c>
      <c r="D371" s="268">
        <f>кровля!E8*0.98</f>
        <v>96.196799999999996</v>
      </c>
      <c r="E371" s="256">
        <v>900</v>
      </c>
      <c r="F371" s="60"/>
      <c r="G371" s="2">
        <f>ROUND(E371*D371,2)</f>
        <v>86577.12</v>
      </c>
      <c r="H371" s="18"/>
      <c r="I371" s="18">
        <f t="shared" si="23"/>
        <v>86577.12</v>
      </c>
    </row>
    <row r="372" spans="1:12" ht="31.2" outlineLevel="1" x14ac:dyDescent="0.25">
      <c r="A372" s="84"/>
      <c r="B372" s="361" t="s">
        <v>1390</v>
      </c>
      <c r="C372" s="55" t="s">
        <v>8</v>
      </c>
      <c r="D372" s="277">
        <f>ROUND(D371*0.12,2)</f>
        <v>11.54</v>
      </c>
      <c r="E372" s="18"/>
      <c r="F372" s="366">
        <v>3721</v>
      </c>
      <c r="G372" s="18"/>
      <c r="H372" s="2">
        <f>ROUND(D372*F372,2)</f>
        <v>42940.34</v>
      </c>
      <c r="I372" s="18">
        <f t="shared" si="23"/>
        <v>42940.34</v>
      </c>
    </row>
    <row r="373" spans="1:12" outlineLevel="1" x14ac:dyDescent="0.25">
      <c r="A373" s="84"/>
      <c r="B373" s="600" t="s">
        <v>230</v>
      </c>
      <c r="C373" s="55" t="s">
        <v>12</v>
      </c>
      <c r="D373" s="277">
        <f>ROUND(D371*12,2)</f>
        <v>1154.3599999999999</v>
      </c>
      <c r="E373" s="18"/>
      <c r="F373" s="142">
        <v>12</v>
      </c>
      <c r="G373" s="18"/>
      <c r="H373" s="2">
        <f>ROUND(D373*F373,2)</f>
        <v>13852.32</v>
      </c>
      <c r="I373" s="18">
        <f t="shared" si="23"/>
        <v>13852.32</v>
      </c>
    </row>
    <row r="374" spans="1:12" ht="19.5" customHeight="1" x14ac:dyDescent="0.25">
      <c r="A374" s="223"/>
      <c r="B374" s="232" t="s">
        <v>57</v>
      </c>
      <c r="C374" s="225"/>
      <c r="D374" s="226"/>
      <c r="E374" s="227"/>
      <c r="F374" s="228"/>
      <c r="G374" s="227">
        <f>SUM(G366:G373)</f>
        <v>776242.08</v>
      </c>
      <c r="H374" s="227">
        <f>SUM(H366:H373)</f>
        <v>650964.0199999999</v>
      </c>
      <c r="I374" s="227">
        <f>SUM(I366:I373)</f>
        <v>1427206.1</v>
      </c>
      <c r="L374" s="133"/>
    </row>
    <row r="375" spans="1:12" ht="17.399999999999999" customHeight="1" x14ac:dyDescent="0.25">
      <c r="A375" s="90"/>
      <c r="B375" s="471" t="s">
        <v>624</v>
      </c>
      <c r="C375" s="472"/>
      <c r="D375" s="473"/>
      <c r="E375" s="474"/>
      <c r="F375" s="475"/>
      <c r="G375" s="10"/>
      <c r="H375" s="10"/>
      <c r="I375" s="31">
        <f>ROUND(I374/1.18*0.18,2)</f>
        <v>217709.41</v>
      </c>
    </row>
    <row r="376" spans="1:12" ht="20.25" customHeight="1" x14ac:dyDescent="0.25">
      <c r="A376" s="109"/>
      <c r="B376" s="771" t="s">
        <v>1206</v>
      </c>
      <c r="C376" s="771"/>
      <c r="D376" s="771"/>
      <c r="E376" s="771"/>
      <c r="F376" s="771"/>
      <c r="G376" s="105"/>
      <c r="H376" s="105"/>
      <c r="I376" s="106"/>
    </row>
    <row r="377" spans="1:12" ht="19.5" customHeight="1" outlineLevel="1" x14ac:dyDescent="0.25">
      <c r="A377" s="84"/>
      <c r="B377" s="191" t="s">
        <v>1074</v>
      </c>
      <c r="C377" s="481"/>
      <c r="D377" s="482"/>
      <c r="E377" s="486"/>
      <c r="F377" s="487"/>
      <c r="G377" s="77"/>
      <c r="H377" s="77"/>
      <c r="I377" s="77"/>
      <c r="K377" s="31"/>
    </row>
    <row r="378" spans="1:12" ht="16.95" customHeight="1" outlineLevel="1" x14ac:dyDescent="0.25">
      <c r="A378" s="107" t="s">
        <v>319</v>
      </c>
      <c r="B378" s="531" t="s">
        <v>1058</v>
      </c>
      <c r="C378" s="31" t="s">
        <v>14</v>
      </c>
      <c r="D378" s="542">
        <f>(97+207.4)/3</f>
        <v>101.46666666666665</v>
      </c>
      <c r="E378" s="256">
        <v>120</v>
      </c>
      <c r="F378" s="60"/>
      <c r="G378" s="2">
        <f>ROUND(E378*D378,2)</f>
        <v>12176</v>
      </c>
      <c r="H378" s="18"/>
      <c r="I378" s="18">
        <f t="shared" ref="I378:I388" si="24">H378+G378</f>
        <v>12176</v>
      </c>
      <c r="K378" s="2"/>
    </row>
    <row r="379" spans="1:12" outlineLevel="1" x14ac:dyDescent="0.25">
      <c r="A379" s="84"/>
      <c r="B379" s="612" t="s">
        <v>1055</v>
      </c>
      <c r="C379" s="21" t="s">
        <v>14</v>
      </c>
      <c r="D379" s="542">
        <f>ROUND(D378*1.1,2)</f>
        <v>111.61</v>
      </c>
      <c r="E379" s="18"/>
      <c r="F379" s="164">
        <f>ROUND(88.7*1.1,2)</f>
        <v>97.57</v>
      </c>
      <c r="G379" s="18"/>
      <c r="H379" s="2">
        <f>ROUND(D379*F379,2)</f>
        <v>10889.79</v>
      </c>
      <c r="I379" s="18">
        <f t="shared" si="24"/>
        <v>10889.79</v>
      </c>
    </row>
    <row r="380" spans="1:12" outlineLevel="1" x14ac:dyDescent="0.25">
      <c r="A380" s="107" t="s">
        <v>320</v>
      </c>
      <c r="B380" s="531" t="s">
        <v>1059</v>
      </c>
      <c r="C380" s="31" t="s">
        <v>14</v>
      </c>
      <c r="D380" s="541">
        <f>(1019.1+97)/3+(89.2+19.8)/4</f>
        <v>399.2833333333333</v>
      </c>
      <c r="E380" s="256">
        <v>100</v>
      </c>
      <c r="F380" s="60"/>
      <c r="G380" s="2">
        <f>ROUND(E380*D380,2)</f>
        <v>39928.33</v>
      </c>
      <c r="H380" s="18"/>
      <c r="I380" s="18">
        <f t="shared" si="24"/>
        <v>39928.33</v>
      </c>
    </row>
    <row r="381" spans="1:12" outlineLevel="1" x14ac:dyDescent="0.25">
      <c r="A381" s="84"/>
      <c r="B381" s="558" t="s">
        <v>1418</v>
      </c>
      <c r="C381" s="21" t="s">
        <v>8</v>
      </c>
      <c r="D381" s="542">
        <f>ROUND(D380*0.1,2)</f>
        <v>39.93</v>
      </c>
      <c r="E381" s="18"/>
      <c r="F381" s="328">
        <v>4460</v>
      </c>
      <c r="G381" s="18"/>
      <c r="H381" s="2">
        <f>ROUND(D381*F381,2)</f>
        <v>178087.8</v>
      </c>
      <c r="I381" s="18">
        <f t="shared" si="24"/>
        <v>178087.8</v>
      </c>
    </row>
    <row r="382" spans="1:12" outlineLevel="1" x14ac:dyDescent="0.25">
      <c r="A382" s="84"/>
      <c r="B382" s="558" t="s">
        <v>1419</v>
      </c>
      <c r="C382" s="21" t="s">
        <v>14</v>
      </c>
      <c r="D382" s="542">
        <f>1019.1/3+89.2/4+19.8/4</f>
        <v>366.95</v>
      </c>
      <c r="E382" s="18"/>
      <c r="F382" s="328"/>
      <c r="G382" s="18"/>
      <c r="H382" s="2"/>
      <c r="I382" s="18"/>
    </row>
    <row r="383" spans="1:12" ht="31.2" outlineLevel="1" x14ac:dyDescent="0.25">
      <c r="A383" s="107" t="s">
        <v>321</v>
      </c>
      <c r="B383" s="543" t="s">
        <v>1057</v>
      </c>
      <c r="C383" s="31" t="s">
        <v>14</v>
      </c>
      <c r="D383" s="541">
        <f>1019.1/3+97/3+89.2/4+19.8/4+2040.8/3+207.4/3+178.4/4</f>
        <v>1193.2833333333333</v>
      </c>
      <c r="E383" s="256">
        <v>280</v>
      </c>
      <c r="F383" s="60"/>
      <c r="G383" s="2">
        <f>ROUND(E383*D383,2)</f>
        <v>334119.33</v>
      </c>
      <c r="H383" s="18"/>
      <c r="I383" s="18">
        <f t="shared" si="24"/>
        <v>334119.33</v>
      </c>
    </row>
    <row r="384" spans="1:12" outlineLevel="1" x14ac:dyDescent="0.25">
      <c r="A384" s="84"/>
      <c r="B384" s="558" t="s">
        <v>47</v>
      </c>
      <c r="C384" s="21" t="s">
        <v>8</v>
      </c>
      <c r="D384" s="542">
        <f>ROUND(D383*0.04,2)</f>
        <v>47.73</v>
      </c>
      <c r="E384" s="282"/>
      <c r="F384" s="11"/>
      <c r="G384" s="18"/>
      <c r="H384" s="2">
        <f>ROUND(D384*F384,2)</f>
        <v>0</v>
      </c>
      <c r="I384" s="18">
        <f t="shared" si="24"/>
        <v>0</v>
      </c>
    </row>
    <row r="385" spans="1:11" outlineLevel="1" x14ac:dyDescent="0.25">
      <c r="A385" s="84"/>
      <c r="B385" s="612" t="s">
        <v>1056</v>
      </c>
      <c r="C385" s="21" t="s">
        <v>14</v>
      </c>
      <c r="D385" s="542">
        <f>D383</f>
        <v>1193.2833333333333</v>
      </c>
      <c r="E385" s="282"/>
      <c r="F385" s="361">
        <v>31.34</v>
      </c>
      <c r="G385" s="18"/>
      <c r="H385" s="2">
        <f>ROUND(D385*F385,2)</f>
        <v>37397.5</v>
      </c>
      <c r="I385" s="18">
        <f t="shared" si="24"/>
        <v>37397.5</v>
      </c>
    </row>
    <row r="386" spans="1:11" ht="31.2" outlineLevel="1" x14ac:dyDescent="0.25">
      <c r="A386" s="107" t="s">
        <v>322</v>
      </c>
      <c r="B386" s="543" t="s">
        <v>1420</v>
      </c>
      <c r="C386" s="31" t="s">
        <v>14</v>
      </c>
      <c r="D386" s="541">
        <f>(9.8+35.7+79.6)/4</f>
        <v>31.274999999999999</v>
      </c>
      <c r="E386" s="256">
        <v>280</v>
      </c>
      <c r="F386" s="60"/>
      <c r="G386" s="2">
        <f>ROUND(E386*D386,2)</f>
        <v>8757</v>
      </c>
      <c r="H386" s="18"/>
      <c r="I386" s="18">
        <f t="shared" si="24"/>
        <v>8757</v>
      </c>
    </row>
    <row r="387" spans="1:11" outlineLevel="1" x14ac:dyDescent="0.25">
      <c r="A387" s="84"/>
      <c r="B387" s="558" t="s">
        <v>47</v>
      </c>
      <c r="C387" s="21" t="s">
        <v>8</v>
      </c>
      <c r="D387" s="542">
        <f>ROUND(D386*0.07,2)</f>
        <v>2.19</v>
      </c>
      <c r="E387" s="282"/>
      <c r="F387" s="11"/>
      <c r="G387" s="18"/>
      <c r="H387" s="2">
        <f>ROUND(D387*F387,2)</f>
        <v>0</v>
      </c>
      <c r="I387" s="18">
        <f t="shared" si="24"/>
        <v>0</v>
      </c>
    </row>
    <row r="388" spans="1:11" outlineLevel="1" x14ac:dyDescent="0.25">
      <c r="A388" s="84"/>
      <c r="B388" s="612" t="s">
        <v>1056</v>
      </c>
      <c r="C388" s="21" t="s">
        <v>14</v>
      </c>
      <c r="D388" s="542">
        <f>D386</f>
        <v>31.274999999999999</v>
      </c>
      <c r="E388" s="282"/>
      <c r="F388" s="361">
        <v>31.34</v>
      </c>
      <c r="G388" s="18"/>
      <c r="H388" s="2">
        <f>ROUND(D388*F388,2)</f>
        <v>980.16</v>
      </c>
      <c r="I388" s="18">
        <f t="shared" si="24"/>
        <v>980.16</v>
      </c>
    </row>
    <row r="389" spans="1:11" ht="31.2" outlineLevel="1" x14ac:dyDescent="0.25">
      <c r="A389" s="107" t="s">
        <v>532</v>
      </c>
      <c r="B389" s="543" t="s">
        <v>407</v>
      </c>
      <c r="C389" s="31" t="s">
        <v>14</v>
      </c>
      <c r="D389" s="256">
        <f>2.2+33.1+31.2+31.2+0.5+1.9+5.3+2.9+5.3+3.1+5.3</f>
        <v>122</v>
      </c>
      <c r="E389" s="256">
        <v>350</v>
      </c>
      <c r="F389" s="60"/>
      <c r="G389" s="2">
        <f>ROUND(E389*D389,2)</f>
        <v>42700</v>
      </c>
      <c r="H389" s="18"/>
      <c r="I389" s="18">
        <f>H389+G389</f>
        <v>42700</v>
      </c>
    </row>
    <row r="390" spans="1:11" outlineLevel="1" x14ac:dyDescent="0.25">
      <c r="A390" s="84"/>
      <c r="B390" s="558" t="s">
        <v>1061</v>
      </c>
      <c r="C390" s="21" t="s">
        <v>14</v>
      </c>
      <c r="D390" s="282">
        <f>+ROUND(D389*1.1,2)</f>
        <v>134.19999999999999</v>
      </c>
      <c r="E390" s="18"/>
      <c r="F390" s="361">
        <v>230</v>
      </c>
      <c r="G390" s="18"/>
      <c r="H390" s="2">
        <f>ROUND(D390*F390,2)</f>
        <v>30866</v>
      </c>
      <c r="I390" s="18">
        <f>H390+G390</f>
        <v>30866</v>
      </c>
    </row>
    <row r="391" spans="1:11" outlineLevel="1" x14ac:dyDescent="0.25">
      <c r="A391" s="84"/>
      <c r="B391" s="558" t="s">
        <v>49</v>
      </c>
      <c r="C391" s="21" t="s">
        <v>15</v>
      </c>
      <c r="D391" s="282">
        <f>+ROUND(D390*6,2)</f>
        <v>805.2</v>
      </c>
      <c r="E391" s="18"/>
      <c r="F391" s="361">
        <f>+ROUND(7.5*1.1,2)</f>
        <v>8.25</v>
      </c>
      <c r="G391" s="18"/>
      <c r="H391" s="2">
        <f>ROUND(D391*F391,2)</f>
        <v>6642.9</v>
      </c>
      <c r="I391" s="18">
        <f>H391+G391</f>
        <v>6642.9</v>
      </c>
    </row>
    <row r="392" spans="1:11" outlineLevel="1" x14ac:dyDescent="0.25">
      <c r="A392" s="84"/>
      <c r="B392" s="558" t="s">
        <v>1060</v>
      </c>
      <c r="C392" s="21" t="s">
        <v>15</v>
      </c>
      <c r="D392" s="282">
        <f>+ROUND(D390*0.19,2)</f>
        <v>25.5</v>
      </c>
      <c r="E392" s="18"/>
      <c r="F392" s="361">
        <v>9</v>
      </c>
      <c r="G392" s="18"/>
      <c r="H392" s="2">
        <f>ROUND(D392*F392,2)</f>
        <v>229.5</v>
      </c>
      <c r="I392" s="18">
        <f>H392+G392</f>
        <v>229.5</v>
      </c>
    </row>
    <row r="393" spans="1:11" ht="22.5" customHeight="1" outlineLevel="1" x14ac:dyDescent="0.25">
      <c r="A393" s="84"/>
      <c r="B393" s="10" t="s">
        <v>1073</v>
      </c>
      <c r="C393" s="21"/>
      <c r="D393" s="401"/>
      <c r="E393" s="18"/>
      <c r="F393" s="361"/>
      <c r="G393" s="18"/>
      <c r="H393" s="2"/>
      <c r="I393" s="18"/>
      <c r="K393" s="25">
        <f>D394+D397+D399</f>
        <v>3676.6333333333337</v>
      </c>
    </row>
    <row r="394" spans="1:11" ht="18" customHeight="1" outlineLevel="1" x14ac:dyDescent="0.25">
      <c r="A394" s="107" t="s">
        <v>324</v>
      </c>
      <c r="B394" s="543" t="s">
        <v>1427</v>
      </c>
      <c r="C394" s="31" t="s">
        <v>14</v>
      </c>
      <c r="D394" s="262">
        <f>D153+D158</f>
        <v>759</v>
      </c>
      <c r="E394" s="256">
        <v>180</v>
      </c>
      <c r="F394" s="60"/>
      <c r="G394" s="2">
        <f>ROUND(E394*D394,2)</f>
        <v>136620</v>
      </c>
      <c r="H394" s="18"/>
      <c r="I394" s="18">
        <f t="shared" ref="I394:I401" si="25">H394+G394</f>
        <v>136620</v>
      </c>
    </row>
    <row r="395" spans="1:11" outlineLevel="1" x14ac:dyDescent="0.25">
      <c r="A395" s="206"/>
      <c r="B395" s="558" t="s">
        <v>1077</v>
      </c>
      <c r="C395" s="21" t="s">
        <v>15</v>
      </c>
      <c r="D395" s="282">
        <f>D394*0.2</f>
        <v>151.80000000000001</v>
      </c>
      <c r="E395" s="18"/>
      <c r="F395" s="361">
        <v>20</v>
      </c>
      <c r="G395" s="18"/>
      <c r="H395" s="2">
        <f>ROUND(D395*F395,2)</f>
        <v>3036</v>
      </c>
      <c r="I395" s="18">
        <f t="shared" si="25"/>
        <v>3036</v>
      </c>
    </row>
    <row r="396" spans="1:11" outlineLevel="1" x14ac:dyDescent="0.25">
      <c r="A396" s="206"/>
      <c r="B396" s="558" t="s">
        <v>715</v>
      </c>
      <c r="C396" s="21" t="s">
        <v>15</v>
      </c>
      <c r="D396" s="637">
        <f>D394*9*2</f>
        <v>13662</v>
      </c>
      <c r="E396" s="18"/>
      <c r="F396" s="361">
        <v>10</v>
      </c>
      <c r="G396" s="18"/>
      <c r="H396" s="2">
        <f>ROUND(D396*F396,2)</f>
        <v>136620</v>
      </c>
      <c r="I396" s="18">
        <f t="shared" si="25"/>
        <v>136620</v>
      </c>
    </row>
    <row r="397" spans="1:11" ht="31.2" outlineLevel="1" x14ac:dyDescent="0.25">
      <c r="A397" s="107" t="s">
        <v>532</v>
      </c>
      <c r="B397" s="543" t="s">
        <v>1428</v>
      </c>
      <c r="C397" s="31" t="s">
        <v>14</v>
      </c>
      <c r="D397" s="256">
        <f>5523.3/3</f>
        <v>1841.1000000000001</v>
      </c>
      <c r="E397" s="256">
        <v>170</v>
      </c>
      <c r="F397" s="60"/>
      <c r="G397" s="2">
        <f>ROUND(E397*D397,2)</f>
        <v>312987</v>
      </c>
      <c r="H397" s="18"/>
      <c r="I397" s="18">
        <f t="shared" si="25"/>
        <v>312987</v>
      </c>
    </row>
    <row r="398" spans="1:11" outlineLevel="1" x14ac:dyDescent="0.25">
      <c r="A398" s="86"/>
      <c r="B398" s="558" t="s">
        <v>1072</v>
      </c>
      <c r="C398" s="21" t="s">
        <v>15</v>
      </c>
      <c r="D398" s="637">
        <f>+ROUND(30*D397,2)</f>
        <v>55233</v>
      </c>
      <c r="E398" s="282"/>
      <c r="F398" s="361">
        <v>7</v>
      </c>
      <c r="G398" s="18"/>
      <c r="H398" s="2">
        <f>ROUND(D398*F398,2)</f>
        <v>386631</v>
      </c>
      <c r="I398" s="18">
        <f t="shared" si="25"/>
        <v>386631</v>
      </c>
    </row>
    <row r="399" spans="1:11" outlineLevel="1" x14ac:dyDescent="0.25">
      <c r="A399" s="107" t="s">
        <v>533</v>
      </c>
      <c r="B399" s="543" t="s">
        <v>1075</v>
      </c>
      <c r="C399" s="31" t="s">
        <v>14</v>
      </c>
      <c r="D399" s="262">
        <f>3229.6/3</f>
        <v>1076.5333333333333</v>
      </c>
      <c r="E399" s="256">
        <v>180</v>
      </c>
      <c r="F399" s="60"/>
      <c r="G399" s="2">
        <f>ROUND(E399*D399,2)</f>
        <v>193776</v>
      </c>
      <c r="H399" s="18"/>
      <c r="I399" s="18">
        <f t="shared" si="25"/>
        <v>193776</v>
      </c>
      <c r="J399" s="442"/>
    </row>
    <row r="400" spans="1:11" outlineLevel="1" x14ac:dyDescent="0.25">
      <c r="A400" s="86"/>
      <c r="B400" s="558" t="s">
        <v>1077</v>
      </c>
      <c r="C400" s="21" t="s">
        <v>15</v>
      </c>
      <c r="D400" s="282">
        <f>D399*0.2</f>
        <v>215.30666666666667</v>
      </c>
      <c r="E400" s="18"/>
      <c r="F400" s="361">
        <v>20</v>
      </c>
      <c r="G400" s="18"/>
      <c r="H400" s="2">
        <f>ROUND(D400*F400,2)</f>
        <v>4306.13</v>
      </c>
      <c r="I400" s="18">
        <f t="shared" si="25"/>
        <v>4306.13</v>
      </c>
    </row>
    <row r="401" spans="1:9" outlineLevel="1" x14ac:dyDescent="0.25">
      <c r="A401" s="86"/>
      <c r="B401" s="558" t="s">
        <v>715</v>
      </c>
      <c r="C401" s="21" t="s">
        <v>15</v>
      </c>
      <c r="D401" s="637">
        <f>D399*9*2</f>
        <v>19377.599999999999</v>
      </c>
      <c r="E401" s="18"/>
      <c r="F401" s="361">
        <v>10</v>
      </c>
      <c r="G401" s="18"/>
      <c r="H401" s="2">
        <f>ROUND(D401*F401,2)</f>
        <v>193776</v>
      </c>
      <c r="I401" s="18">
        <f t="shared" si="25"/>
        <v>193776</v>
      </c>
    </row>
    <row r="402" spans="1:9" ht="27.6" outlineLevel="1" x14ac:dyDescent="0.25">
      <c r="A402" s="223"/>
      <c r="B402" s="231" t="s">
        <v>56</v>
      </c>
      <c r="C402" s="225"/>
      <c r="D402" s="226"/>
      <c r="E402" s="227"/>
      <c r="F402" s="228"/>
      <c r="G402" s="227">
        <f>SUM(G377:G401)</f>
        <v>1081063.6600000001</v>
      </c>
      <c r="H402" s="227">
        <f>SUM(H377:H401)</f>
        <v>989462.78</v>
      </c>
      <c r="I402" s="227">
        <f>SUM(I377:I401)</f>
        <v>2070526.44</v>
      </c>
    </row>
    <row r="403" spans="1:9" outlineLevel="1" x14ac:dyDescent="0.25">
      <c r="A403" s="90"/>
      <c r="B403" s="471" t="s">
        <v>624</v>
      </c>
      <c r="C403" s="472"/>
      <c r="D403" s="473"/>
      <c r="E403" s="474"/>
      <c r="F403" s="475"/>
      <c r="G403" s="474"/>
      <c r="H403" s="474"/>
      <c r="I403" s="31">
        <f>ROUND(I402/1.18*0.18,2)</f>
        <v>315843.02</v>
      </c>
    </row>
    <row r="404" spans="1:9" ht="46.8" outlineLevel="1" x14ac:dyDescent="0.25">
      <c r="A404" s="551"/>
      <c r="B404" s="604" t="s">
        <v>1426</v>
      </c>
      <c r="C404" s="547"/>
      <c r="D404" s="547"/>
      <c r="E404" s="547"/>
      <c r="F404" s="547"/>
      <c r="G404" s="547"/>
      <c r="H404" s="547"/>
      <c r="I404" s="552"/>
    </row>
    <row r="405" spans="1:9" ht="17.25" customHeight="1" outlineLevel="1" x14ac:dyDescent="0.25">
      <c r="A405" s="107" t="s">
        <v>325</v>
      </c>
      <c r="B405" s="543" t="s">
        <v>1409</v>
      </c>
      <c r="C405" s="31" t="s">
        <v>14</v>
      </c>
      <c r="D405" s="545">
        <f>1302.9/3</f>
        <v>434.3</v>
      </c>
      <c r="E405" s="541">
        <v>250</v>
      </c>
      <c r="F405" s="60"/>
      <c r="G405" s="2">
        <f>ROUND(E405*D405,2)</f>
        <v>108575</v>
      </c>
      <c r="H405" s="18"/>
      <c r="I405" s="18">
        <f>H405+G405</f>
        <v>108575</v>
      </c>
    </row>
    <row r="406" spans="1:9" outlineLevel="1" x14ac:dyDescent="0.25">
      <c r="A406" s="84"/>
      <c r="B406" s="612" t="s">
        <v>1410</v>
      </c>
      <c r="C406" s="21" t="s">
        <v>8</v>
      </c>
      <c r="D406" s="542">
        <f>ROUND(D405*0.1,2)</f>
        <v>43.43</v>
      </c>
      <c r="E406" s="18"/>
      <c r="F406" s="164">
        <v>850</v>
      </c>
      <c r="G406" s="18"/>
      <c r="H406" s="18">
        <f>F406*D406</f>
        <v>36915.5</v>
      </c>
      <c r="I406" s="18">
        <f>H406+G406</f>
        <v>36915.5</v>
      </c>
    </row>
    <row r="407" spans="1:9" ht="31.2" outlineLevel="1" x14ac:dyDescent="0.25">
      <c r="A407" s="107" t="s">
        <v>326</v>
      </c>
      <c r="B407" s="531" t="s">
        <v>1069</v>
      </c>
      <c r="C407" s="31" t="s">
        <v>14</v>
      </c>
      <c r="D407" s="256">
        <v>1.7</v>
      </c>
      <c r="E407" s="18"/>
      <c r="F407" s="60"/>
      <c r="G407" s="18">
        <f>E407*D407</f>
        <v>0</v>
      </c>
      <c r="H407" s="18"/>
      <c r="I407" s="18">
        <f t="shared" ref="I407:I412" si="26">H407+G407</f>
        <v>0</v>
      </c>
    </row>
    <row r="408" spans="1:9" ht="27.6" outlineLevel="1" x14ac:dyDescent="0.25">
      <c r="A408" s="84"/>
      <c r="B408" s="613" t="s">
        <v>1068</v>
      </c>
      <c r="C408" s="21" t="s">
        <v>14</v>
      </c>
      <c r="D408" s="614">
        <f>ROUND(D407*2*1.03,2)</f>
        <v>3.5</v>
      </c>
      <c r="E408" s="51"/>
      <c r="F408" s="328">
        <f>ROUND(261.9*1.1,2)</f>
        <v>288.08999999999997</v>
      </c>
      <c r="G408" s="51"/>
      <c r="H408" s="2">
        <f>ROUND(D408*F408,2)</f>
        <v>1008.32</v>
      </c>
      <c r="I408" s="51">
        <f t="shared" si="26"/>
        <v>1008.32</v>
      </c>
    </row>
    <row r="409" spans="1:9" outlineLevel="1" x14ac:dyDescent="0.25">
      <c r="A409" s="84"/>
      <c r="B409" s="612" t="s">
        <v>400</v>
      </c>
      <c r="C409" s="21" t="s">
        <v>14</v>
      </c>
      <c r="D409" s="614">
        <f>ROUND(D407*1.015,2)</f>
        <v>1.73</v>
      </c>
      <c r="E409" s="51"/>
      <c r="F409" s="365">
        <v>109.41</v>
      </c>
      <c r="G409" s="51"/>
      <c r="H409" s="2">
        <f>ROUND(D409*F409,2)</f>
        <v>189.28</v>
      </c>
      <c r="I409" s="51">
        <f t="shared" si="26"/>
        <v>189.28</v>
      </c>
    </row>
    <row r="410" spans="1:9" outlineLevel="1" x14ac:dyDescent="0.25">
      <c r="A410" s="84"/>
      <c r="B410" s="612" t="s">
        <v>401</v>
      </c>
      <c r="C410" s="2" t="s">
        <v>14</v>
      </c>
      <c r="D410" s="614">
        <f>ROUND(D407*1.01,2)</f>
        <v>1.72</v>
      </c>
      <c r="E410" s="51"/>
      <c r="F410" s="365">
        <v>154.75</v>
      </c>
      <c r="G410" s="51"/>
      <c r="H410" s="2">
        <f>ROUND(D410*F410,2)</f>
        <v>266.17</v>
      </c>
      <c r="I410" s="51">
        <f t="shared" si="26"/>
        <v>266.17</v>
      </c>
    </row>
    <row r="411" spans="1:9" ht="31.2" outlineLevel="1" x14ac:dyDescent="0.25">
      <c r="A411" s="84"/>
      <c r="B411" s="558" t="s">
        <v>1070</v>
      </c>
      <c r="C411" s="21" t="s">
        <v>8</v>
      </c>
      <c r="D411" s="282">
        <f>ROUND(D407*0.15,2)</f>
        <v>0.26</v>
      </c>
      <c r="E411" s="18"/>
      <c r="F411" s="365">
        <v>4400</v>
      </c>
      <c r="G411" s="18"/>
      <c r="H411" s="2">
        <f>ROUND(D411*F411,2)</f>
        <v>1144</v>
      </c>
      <c r="I411" s="18">
        <f t="shared" si="26"/>
        <v>1144</v>
      </c>
    </row>
    <row r="412" spans="1:9" outlineLevel="1" x14ac:dyDescent="0.25">
      <c r="A412" s="84"/>
      <c r="B412" s="558" t="s">
        <v>1067</v>
      </c>
      <c r="C412" s="21" t="s">
        <v>14</v>
      </c>
      <c r="D412" s="282">
        <f>+ROUND(D407*1.1,2)</f>
        <v>1.87</v>
      </c>
      <c r="E412" s="18"/>
      <c r="F412" s="365">
        <f>10.1*1.1</f>
        <v>11.110000000000001</v>
      </c>
      <c r="G412" s="18"/>
      <c r="H412" s="2">
        <f>ROUND(D412*F412,2)</f>
        <v>20.78</v>
      </c>
      <c r="I412" s="18">
        <f t="shared" si="26"/>
        <v>20.78</v>
      </c>
    </row>
    <row r="413" spans="1:9" ht="31.2" outlineLevel="1" x14ac:dyDescent="0.25">
      <c r="A413" s="107" t="s">
        <v>537</v>
      </c>
      <c r="B413" s="543" t="s">
        <v>1421</v>
      </c>
      <c r="C413" s="31" t="s">
        <v>14</v>
      </c>
      <c r="D413" s="256">
        <v>10.1</v>
      </c>
      <c r="E413" s="256">
        <v>170</v>
      </c>
      <c r="F413" s="60"/>
      <c r="G413" s="2">
        <f>ROUND(E413*D413,2)</f>
        <v>1717</v>
      </c>
      <c r="H413" s="18"/>
      <c r="I413" s="18">
        <f t="shared" ref="I413:I422" si="27">H413+G413</f>
        <v>1717</v>
      </c>
    </row>
    <row r="414" spans="1:9" outlineLevel="1" x14ac:dyDescent="0.25">
      <c r="A414" s="84"/>
      <c r="B414" s="558" t="s">
        <v>1072</v>
      </c>
      <c r="C414" s="21" t="s">
        <v>15</v>
      </c>
      <c r="D414" s="637">
        <f>+ROUND(30*D413,2)</f>
        <v>303</v>
      </c>
      <c r="E414" s="282"/>
      <c r="F414" s="361">
        <v>7</v>
      </c>
      <c r="G414" s="18"/>
      <c r="H414" s="2">
        <f>ROUND(D414*F414,2)</f>
        <v>2121</v>
      </c>
      <c r="I414" s="18">
        <f t="shared" si="27"/>
        <v>2121</v>
      </c>
    </row>
    <row r="415" spans="1:9" outlineLevel="1" x14ac:dyDescent="0.25">
      <c r="A415" s="84"/>
      <c r="B415" s="558" t="s">
        <v>41</v>
      </c>
      <c r="C415" s="21" t="s">
        <v>15</v>
      </c>
      <c r="D415" s="282">
        <f>D413*0.2</f>
        <v>2.02</v>
      </c>
      <c r="E415" s="18"/>
      <c r="F415" s="361">
        <v>20</v>
      </c>
      <c r="G415" s="18"/>
      <c r="H415" s="2">
        <f>ROUND(D415*F415,2)</f>
        <v>40.4</v>
      </c>
      <c r="I415" s="18">
        <f t="shared" si="27"/>
        <v>40.4</v>
      </c>
    </row>
    <row r="416" spans="1:9" outlineLevel="1" x14ac:dyDescent="0.25">
      <c r="A416" s="84"/>
      <c r="B416" s="558" t="s">
        <v>715</v>
      </c>
      <c r="C416" s="21" t="s">
        <v>15</v>
      </c>
      <c r="D416" s="637">
        <f>D413*9*2</f>
        <v>181.79999999999998</v>
      </c>
      <c r="E416" s="18"/>
      <c r="F416" s="361">
        <v>10</v>
      </c>
      <c r="G416" s="18"/>
      <c r="H416" s="2">
        <f>ROUND(D416*F416,2)</f>
        <v>1818</v>
      </c>
      <c r="I416" s="18">
        <f t="shared" si="27"/>
        <v>1818</v>
      </c>
    </row>
    <row r="417" spans="1:12" outlineLevel="1" x14ac:dyDescent="0.25">
      <c r="A417" s="84"/>
      <c r="B417" s="612" t="s">
        <v>1071</v>
      </c>
      <c r="C417" s="21" t="s">
        <v>30</v>
      </c>
      <c r="D417" s="540">
        <f>D413*0.4</f>
        <v>4.04</v>
      </c>
      <c r="E417" s="18"/>
      <c r="F417" s="361">
        <v>120</v>
      </c>
      <c r="G417" s="18"/>
      <c r="H417" s="2">
        <f>ROUND(D417*F417,2)</f>
        <v>484.8</v>
      </c>
      <c r="I417" s="18">
        <f t="shared" si="27"/>
        <v>484.8</v>
      </c>
    </row>
    <row r="418" spans="1:12" ht="31.2" outlineLevel="1" x14ac:dyDescent="0.25">
      <c r="A418" s="107" t="s">
        <v>538</v>
      </c>
      <c r="B418" s="543" t="s">
        <v>1076</v>
      </c>
      <c r="C418" s="31" t="s">
        <v>14</v>
      </c>
      <c r="D418" s="262">
        <v>2.2000000000000002</v>
      </c>
      <c r="E418" s="256">
        <v>180</v>
      </c>
      <c r="F418" s="60"/>
      <c r="G418" s="2">
        <f>ROUND(E418*D418,2)</f>
        <v>396</v>
      </c>
      <c r="H418" s="18"/>
      <c r="I418" s="18">
        <f t="shared" si="27"/>
        <v>396</v>
      </c>
    </row>
    <row r="419" spans="1:12" outlineLevel="1" x14ac:dyDescent="0.25">
      <c r="A419" s="84"/>
      <c r="B419" s="558" t="s">
        <v>1072</v>
      </c>
      <c r="C419" s="21" t="s">
        <v>15</v>
      </c>
      <c r="D419" s="637">
        <f>+ROUND(30*D418,2)</f>
        <v>66</v>
      </c>
      <c r="E419" s="282"/>
      <c r="F419" s="361">
        <v>7</v>
      </c>
      <c r="G419" s="18"/>
      <c r="H419" s="2">
        <f>ROUND(D419*F419,2)</f>
        <v>462</v>
      </c>
      <c r="I419" s="18">
        <f t="shared" si="27"/>
        <v>462</v>
      </c>
    </row>
    <row r="420" spans="1:12" outlineLevel="1" x14ac:dyDescent="0.25">
      <c r="A420" s="84"/>
      <c r="B420" s="558" t="s">
        <v>1077</v>
      </c>
      <c r="C420" s="21" t="s">
        <v>15</v>
      </c>
      <c r="D420" s="282">
        <f>D418*0.2</f>
        <v>0.44000000000000006</v>
      </c>
      <c r="E420" s="18"/>
      <c r="F420" s="361">
        <v>20</v>
      </c>
      <c r="G420" s="18"/>
      <c r="H420" s="2">
        <f>ROUND(D420*F420,2)</f>
        <v>8.8000000000000007</v>
      </c>
      <c r="I420" s="18">
        <f t="shared" si="27"/>
        <v>8.8000000000000007</v>
      </c>
    </row>
    <row r="421" spans="1:12" outlineLevel="1" x14ac:dyDescent="0.25">
      <c r="A421" s="84"/>
      <c r="B421" s="558" t="s">
        <v>715</v>
      </c>
      <c r="C421" s="21" t="s">
        <v>15</v>
      </c>
      <c r="D421" s="637">
        <f>D418*9*2</f>
        <v>39.6</v>
      </c>
      <c r="E421" s="18"/>
      <c r="F421" s="361">
        <v>10</v>
      </c>
      <c r="G421" s="18"/>
      <c r="H421" s="2">
        <f>ROUND(D421*F421,2)</f>
        <v>396</v>
      </c>
      <c r="I421" s="18">
        <f t="shared" si="27"/>
        <v>396</v>
      </c>
    </row>
    <row r="422" spans="1:12" outlineLevel="1" x14ac:dyDescent="0.25">
      <c r="A422" s="84"/>
      <c r="B422" s="612" t="s">
        <v>1071</v>
      </c>
      <c r="C422" s="21" t="s">
        <v>30</v>
      </c>
      <c r="D422" s="540">
        <f>D418*0.4</f>
        <v>0.88000000000000012</v>
      </c>
      <c r="E422" s="18"/>
      <c r="F422" s="361">
        <v>120</v>
      </c>
      <c r="G422" s="18"/>
      <c r="H422" s="2">
        <f>ROUND(D422*F422,2)</f>
        <v>105.6</v>
      </c>
      <c r="I422" s="18">
        <f t="shared" si="27"/>
        <v>105.6</v>
      </c>
    </row>
    <row r="423" spans="1:12" ht="41.4" x14ac:dyDescent="0.25">
      <c r="A423" s="223"/>
      <c r="B423" s="231" t="s">
        <v>1470</v>
      </c>
      <c r="C423" s="225"/>
      <c r="D423" s="226"/>
      <c r="E423" s="227"/>
      <c r="F423" s="228"/>
      <c r="G423" s="227">
        <f>SUM(G405:G422)</f>
        <v>110688</v>
      </c>
      <c r="H423" s="227">
        <f>SUM(H405:H422)</f>
        <v>44980.65</v>
      </c>
      <c r="I423" s="227">
        <f>SUM(I405:I422)</f>
        <v>155668.65</v>
      </c>
      <c r="L423" s="133"/>
    </row>
    <row r="424" spans="1:12" ht="18.600000000000001" customHeight="1" x14ac:dyDescent="0.25">
      <c r="A424" s="90"/>
      <c r="B424" s="471" t="s">
        <v>624</v>
      </c>
      <c r="C424" s="472"/>
      <c r="D424" s="473"/>
      <c r="E424" s="474"/>
      <c r="F424" s="475"/>
      <c r="G424" s="474"/>
      <c r="H424" s="474"/>
      <c r="I424" s="473">
        <f>ROUND(I423/1.18*0.18,2)</f>
        <v>23746.07</v>
      </c>
    </row>
    <row r="425" spans="1:12" ht="39" customHeight="1" x14ac:dyDescent="0.25">
      <c r="A425" s="109"/>
      <c r="B425" s="562" t="s">
        <v>1207</v>
      </c>
      <c r="C425" s="477"/>
      <c r="D425" s="477"/>
      <c r="E425" s="478"/>
      <c r="F425" s="479"/>
      <c r="G425" s="480"/>
      <c r="H425" s="480"/>
      <c r="I425" s="483"/>
    </row>
    <row r="426" spans="1:12" ht="18" customHeight="1" outlineLevel="1" x14ac:dyDescent="0.25">
      <c r="A426" s="107" t="s">
        <v>154</v>
      </c>
      <c r="B426" s="636" t="s">
        <v>1422</v>
      </c>
      <c r="C426" s="72" t="s">
        <v>14</v>
      </c>
      <c r="D426" s="355">
        <f>7.8+23.6+113.1+41.6+104.2+81.2+104.2</f>
        <v>475.7</v>
      </c>
      <c r="E426" s="355">
        <v>170</v>
      </c>
      <c r="F426" s="146"/>
      <c r="G426" s="476">
        <f>ROUND(E426*D426,2)</f>
        <v>80869</v>
      </c>
      <c r="H426" s="73"/>
      <c r="I426" s="73">
        <f t="shared" ref="I426:I434" si="28">H426+G426</f>
        <v>80869</v>
      </c>
    </row>
    <row r="427" spans="1:12" outlineLevel="1" x14ac:dyDescent="0.25">
      <c r="A427" s="84"/>
      <c r="B427" s="558" t="s">
        <v>1072</v>
      </c>
      <c r="C427" s="21" t="s">
        <v>15</v>
      </c>
      <c r="D427" s="637">
        <f>+ROUND(30*D426,2)</f>
        <v>14271</v>
      </c>
      <c r="E427" s="282"/>
      <c r="F427" s="361">
        <v>7</v>
      </c>
      <c r="G427" s="18"/>
      <c r="H427" s="2">
        <f>ROUND(D427*F427,2)</f>
        <v>99897</v>
      </c>
      <c r="I427" s="18">
        <f t="shared" si="28"/>
        <v>99897</v>
      </c>
    </row>
    <row r="428" spans="1:12" outlineLevel="1" x14ac:dyDescent="0.25">
      <c r="A428" s="84"/>
      <c r="B428" s="558" t="s">
        <v>1077</v>
      </c>
      <c r="C428" s="21" t="s">
        <v>15</v>
      </c>
      <c r="D428" s="282">
        <f>D427*0.2</f>
        <v>2854.2000000000003</v>
      </c>
      <c r="E428" s="18"/>
      <c r="F428" s="361">
        <v>20</v>
      </c>
      <c r="G428" s="18"/>
      <c r="H428" s="2">
        <f>ROUND(D428*F428,2)</f>
        <v>57084</v>
      </c>
      <c r="I428" s="18">
        <f>H428+G428</f>
        <v>57084</v>
      </c>
    </row>
    <row r="429" spans="1:12" outlineLevel="1" x14ac:dyDescent="0.25">
      <c r="A429" s="84"/>
      <c r="B429" s="558" t="s">
        <v>715</v>
      </c>
      <c r="C429" s="21" t="s">
        <v>15</v>
      </c>
      <c r="D429" s="637">
        <f>D426*9*2</f>
        <v>8562.6</v>
      </c>
      <c r="E429" s="18"/>
      <c r="F429" s="361">
        <v>10</v>
      </c>
      <c r="G429" s="18"/>
      <c r="H429" s="2">
        <f>ROUND(D429*F429,2)</f>
        <v>85626</v>
      </c>
      <c r="I429" s="18">
        <f>H429+G429</f>
        <v>85626</v>
      </c>
    </row>
    <row r="430" spans="1:12" outlineLevel="1" x14ac:dyDescent="0.25">
      <c r="A430" s="84"/>
      <c r="B430" s="612" t="s">
        <v>1423</v>
      </c>
      <c r="C430" s="21" t="s">
        <v>30</v>
      </c>
      <c r="D430" s="540">
        <f>D426*0.4</f>
        <v>190.28</v>
      </c>
      <c r="E430" s="18"/>
      <c r="F430" s="361">
        <v>120</v>
      </c>
      <c r="G430" s="18"/>
      <c r="H430" s="2">
        <f>ROUND(D430*F430,2)</f>
        <v>22833.599999999999</v>
      </c>
      <c r="I430" s="18">
        <f>H430+G430</f>
        <v>22833.599999999999</v>
      </c>
    </row>
    <row r="431" spans="1:12" ht="38.25" customHeight="1" outlineLevel="1" x14ac:dyDescent="0.25">
      <c r="A431" s="107" t="s">
        <v>157</v>
      </c>
      <c r="B431" s="543" t="s">
        <v>1424</v>
      </c>
      <c r="C431" s="31" t="s">
        <v>14</v>
      </c>
      <c r="D431" s="262">
        <f>5.9</f>
        <v>5.9</v>
      </c>
      <c r="E431" s="256">
        <v>180</v>
      </c>
      <c r="F431" s="60"/>
      <c r="G431" s="2">
        <f>ROUND(E431*D431,2)</f>
        <v>1062</v>
      </c>
      <c r="H431" s="18"/>
      <c r="I431" s="18">
        <f>H431+G431</f>
        <v>1062</v>
      </c>
      <c r="J431" s="25">
        <v>360.48</v>
      </c>
    </row>
    <row r="432" spans="1:12" outlineLevel="1" x14ac:dyDescent="0.25">
      <c r="A432" s="84"/>
      <c r="B432" s="558" t="s">
        <v>1077</v>
      </c>
      <c r="C432" s="21" t="s">
        <v>15</v>
      </c>
      <c r="D432" s="282">
        <f>D431*0.2</f>
        <v>1.1800000000000002</v>
      </c>
      <c r="E432" s="18"/>
      <c r="F432" s="361">
        <v>20</v>
      </c>
      <c r="G432" s="18"/>
      <c r="H432" s="2">
        <f>ROUND(D432*F432,2)</f>
        <v>23.6</v>
      </c>
      <c r="I432" s="18">
        <f t="shared" si="28"/>
        <v>23.6</v>
      </c>
    </row>
    <row r="433" spans="1:12" outlineLevel="1" x14ac:dyDescent="0.25">
      <c r="A433" s="84"/>
      <c r="B433" s="558" t="s">
        <v>715</v>
      </c>
      <c r="C433" s="21" t="s">
        <v>15</v>
      </c>
      <c r="D433" s="637">
        <f>D431*9*2</f>
        <v>106.2</v>
      </c>
      <c r="E433" s="18"/>
      <c r="F433" s="361">
        <v>10</v>
      </c>
      <c r="G433" s="18"/>
      <c r="H433" s="2">
        <f>ROUND(D433*F433,2)</f>
        <v>1062</v>
      </c>
      <c r="I433" s="18">
        <f t="shared" si="28"/>
        <v>1062</v>
      </c>
    </row>
    <row r="434" spans="1:12" outlineLevel="1" x14ac:dyDescent="0.25">
      <c r="A434" s="84"/>
      <c r="B434" s="612" t="s">
        <v>1423</v>
      </c>
      <c r="C434" s="21" t="s">
        <v>30</v>
      </c>
      <c r="D434" s="540">
        <f>D431*0.4</f>
        <v>2.3600000000000003</v>
      </c>
      <c r="E434" s="18"/>
      <c r="F434" s="361">
        <v>120</v>
      </c>
      <c r="G434" s="18"/>
      <c r="H434" s="2">
        <f>ROUND(D434*F434,2)</f>
        <v>283.2</v>
      </c>
      <c r="I434" s="18">
        <f t="shared" si="28"/>
        <v>283.2</v>
      </c>
    </row>
    <row r="435" spans="1:12" ht="31.5" customHeight="1" outlineLevel="1" x14ac:dyDescent="0.25">
      <c r="A435" s="107" t="s">
        <v>158</v>
      </c>
      <c r="B435" s="543" t="s">
        <v>1076</v>
      </c>
      <c r="C435" s="31" t="s">
        <v>14</v>
      </c>
      <c r="D435" s="262">
        <f>2.1+10.2+32.1+19.2+30.2+19.2+30.2</f>
        <v>143.19999999999999</v>
      </c>
      <c r="E435" s="256">
        <v>180</v>
      </c>
      <c r="F435" s="60"/>
      <c r="G435" s="2">
        <f>ROUND(E435*D435,2)</f>
        <v>25776</v>
      </c>
      <c r="H435" s="18"/>
      <c r="I435" s="18">
        <f t="shared" ref="I435:I440" si="29">H435+G435</f>
        <v>25776</v>
      </c>
    </row>
    <row r="436" spans="1:12" ht="17.25" customHeight="1" outlineLevel="1" x14ac:dyDescent="0.25">
      <c r="A436" s="86"/>
      <c r="B436" s="558" t="s">
        <v>1077</v>
      </c>
      <c r="C436" s="21" t="s">
        <v>15</v>
      </c>
      <c r="D436" s="282">
        <f>D435*0.2</f>
        <v>28.64</v>
      </c>
      <c r="E436" s="18"/>
      <c r="F436" s="361">
        <v>20</v>
      </c>
      <c r="G436" s="18"/>
      <c r="H436" s="2">
        <f>ROUND(D436*F436,2)</f>
        <v>572.79999999999995</v>
      </c>
      <c r="I436" s="18">
        <f t="shared" si="29"/>
        <v>572.79999999999995</v>
      </c>
    </row>
    <row r="437" spans="1:12" outlineLevel="1" x14ac:dyDescent="0.25">
      <c r="A437" s="86"/>
      <c r="B437" s="558" t="s">
        <v>715</v>
      </c>
      <c r="C437" s="21" t="s">
        <v>15</v>
      </c>
      <c r="D437" s="637">
        <f>D435*9*2</f>
        <v>2577.6</v>
      </c>
      <c r="E437" s="18"/>
      <c r="F437" s="361">
        <v>10</v>
      </c>
      <c r="G437" s="18"/>
      <c r="H437" s="2">
        <f>ROUND(D437*F437,2)</f>
        <v>25776</v>
      </c>
      <c r="I437" s="18">
        <f t="shared" si="29"/>
        <v>25776</v>
      </c>
    </row>
    <row r="438" spans="1:12" outlineLevel="1" x14ac:dyDescent="0.25">
      <c r="A438" s="86"/>
      <c r="B438" s="612" t="s">
        <v>1071</v>
      </c>
      <c r="C438" s="21" t="s">
        <v>30</v>
      </c>
      <c r="D438" s="540">
        <f>D435*0.4</f>
        <v>57.28</v>
      </c>
      <c r="E438" s="18"/>
      <c r="F438" s="361">
        <v>120</v>
      </c>
      <c r="G438" s="18"/>
      <c r="H438" s="2">
        <f>ROUND(D438*F438,2)</f>
        <v>6873.6</v>
      </c>
      <c r="I438" s="18">
        <f t="shared" si="29"/>
        <v>6873.6</v>
      </c>
    </row>
    <row r="439" spans="1:12" outlineLevel="1" x14ac:dyDescent="0.25">
      <c r="A439" s="107" t="s">
        <v>1208</v>
      </c>
      <c r="B439" s="543" t="s">
        <v>74</v>
      </c>
      <c r="C439" s="176" t="s">
        <v>12</v>
      </c>
      <c r="D439" s="256">
        <f>D440</f>
        <v>30</v>
      </c>
      <c r="E439" s="256">
        <v>200</v>
      </c>
      <c r="F439" s="11"/>
      <c r="G439" s="2">
        <f>ROUND(E439*D439,2)</f>
        <v>6000</v>
      </c>
      <c r="H439" s="2"/>
      <c r="I439" s="2">
        <f t="shared" si="29"/>
        <v>6000</v>
      </c>
    </row>
    <row r="440" spans="1:12" outlineLevel="1" x14ac:dyDescent="0.25">
      <c r="A440" s="86"/>
      <c r="B440" s="612" t="s">
        <v>75</v>
      </c>
      <c r="C440" s="21" t="s">
        <v>12</v>
      </c>
      <c r="D440" s="282">
        <v>30</v>
      </c>
      <c r="E440" s="2"/>
      <c r="F440" s="361">
        <v>175</v>
      </c>
      <c r="G440" s="2"/>
      <c r="H440" s="2">
        <f>ROUND(D440*F440,2)</f>
        <v>5250</v>
      </c>
      <c r="I440" s="2">
        <f t="shared" si="29"/>
        <v>5250</v>
      </c>
    </row>
    <row r="441" spans="1:12" ht="27.6" x14ac:dyDescent="0.25">
      <c r="A441" s="223"/>
      <c r="B441" s="231" t="s">
        <v>71</v>
      </c>
      <c r="C441" s="225"/>
      <c r="D441" s="226"/>
      <c r="E441" s="227"/>
      <c r="F441" s="228"/>
      <c r="G441" s="227">
        <f>SUM(G426:G440)</f>
        <v>113707</v>
      </c>
      <c r="H441" s="227">
        <f>SUM(H426:H440)</f>
        <v>305281.79999999993</v>
      </c>
      <c r="I441" s="227">
        <f>SUM(I426:I440)</f>
        <v>418988.79999999993</v>
      </c>
      <c r="L441" s="185"/>
    </row>
    <row r="442" spans="1:12" ht="16.95" customHeight="1" x14ac:dyDescent="0.25">
      <c r="A442" s="90"/>
      <c r="B442" s="471" t="s">
        <v>624</v>
      </c>
      <c r="C442" s="9"/>
      <c r="D442" s="31"/>
      <c r="E442" s="10"/>
      <c r="F442" s="57"/>
      <c r="G442" s="10"/>
      <c r="H442" s="10"/>
      <c r="I442" s="31">
        <f>ROUND(I441/1.18*0.18,2)</f>
        <v>63913.55</v>
      </c>
    </row>
    <row r="443" spans="1:12" ht="36" customHeight="1" x14ac:dyDescent="0.25">
      <c r="A443" s="108"/>
      <c r="B443" s="562" t="s">
        <v>1242</v>
      </c>
      <c r="C443" s="105"/>
      <c r="D443" s="105"/>
      <c r="E443" s="105"/>
      <c r="F443" s="138"/>
      <c r="G443" s="105"/>
      <c r="H443" s="105"/>
      <c r="I443" s="106"/>
    </row>
    <row r="444" spans="1:12" s="15" customFormat="1" ht="33" customHeight="1" outlineLevel="1" x14ac:dyDescent="0.25">
      <c r="A444" s="107" t="s">
        <v>76</v>
      </c>
      <c r="B444" s="557" t="s">
        <v>69</v>
      </c>
      <c r="C444" s="31" t="s">
        <v>8</v>
      </c>
      <c r="D444" s="541">
        <f>93.04*0.07*1</f>
        <v>6.5128000000000013</v>
      </c>
      <c r="E444" s="256">
        <v>1000</v>
      </c>
      <c r="F444" s="11"/>
      <c r="G444" s="2">
        <f>ROUND(E444*D444,2)</f>
        <v>6512.8</v>
      </c>
      <c r="H444" s="2"/>
      <c r="I444" s="2">
        <f>H444+G444</f>
        <v>6512.8</v>
      </c>
    </row>
    <row r="445" spans="1:12" s="15" customFormat="1" outlineLevel="1" x14ac:dyDescent="0.25">
      <c r="A445" s="86"/>
      <c r="B445" s="361" t="s">
        <v>240</v>
      </c>
      <c r="C445" s="21" t="s">
        <v>8</v>
      </c>
      <c r="D445" s="282">
        <f>D444*1.1</f>
        <v>7.164080000000002</v>
      </c>
      <c r="E445" s="282"/>
      <c r="F445" s="361">
        <v>250</v>
      </c>
      <c r="G445" s="2"/>
      <c r="H445" s="2">
        <f>ROUND(D445*F445,2)</f>
        <v>1791.02</v>
      </c>
      <c r="I445" s="2">
        <f>H445+G445</f>
        <v>1791.02</v>
      </c>
    </row>
    <row r="446" spans="1:12" s="15" customFormat="1" outlineLevel="1" x14ac:dyDescent="0.25">
      <c r="A446" s="86"/>
      <c r="B446" s="558" t="s">
        <v>1329</v>
      </c>
      <c r="C446" s="21" t="s">
        <v>8</v>
      </c>
      <c r="D446" s="282">
        <f>1.02*D444</f>
        <v>6.6430560000000014</v>
      </c>
      <c r="E446" s="282"/>
      <c r="F446" s="164">
        <v>4800</v>
      </c>
      <c r="G446" s="2"/>
      <c r="H446" s="2">
        <f>ROUND(D446*F446,2)</f>
        <v>31886.67</v>
      </c>
      <c r="I446" s="2">
        <f>H446+G446</f>
        <v>31886.67</v>
      </c>
    </row>
    <row r="447" spans="1:12" s="15" customFormat="1" hidden="1" outlineLevel="1" x14ac:dyDescent="0.25">
      <c r="A447" s="107" t="s">
        <v>78</v>
      </c>
      <c r="B447" s="344" t="s">
        <v>470</v>
      </c>
      <c r="C447" s="31" t="s">
        <v>8</v>
      </c>
      <c r="D447" s="306">
        <v>0</v>
      </c>
      <c r="E447" s="256">
        <v>1000</v>
      </c>
      <c r="F447" s="11"/>
      <c r="G447" s="2">
        <f>ROUND(E447*D447,2)</f>
        <v>0</v>
      </c>
      <c r="H447" s="2"/>
      <c r="I447" s="2">
        <f>H447+G447</f>
        <v>0</v>
      </c>
    </row>
    <row r="448" spans="1:12" s="15" customFormat="1" hidden="1" outlineLevel="1" x14ac:dyDescent="0.25">
      <c r="A448" s="86"/>
      <c r="B448" s="308" t="s">
        <v>471</v>
      </c>
      <c r="C448" s="2" t="s">
        <v>8</v>
      </c>
      <c r="D448" s="340">
        <f>D447*1.02</f>
        <v>0</v>
      </c>
      <c r="E448" s="2"/>
      <c r="F448" s="361">
        <v>3200</v>
      </c>
      <c r="G448" s="2"/>
      <c r="H448" s="2">
        <f>ROUND(D448*F448,2)</f>
        <v>0</v>
      </c>
      <c r="I448" s="2">
        <f>G448+H448</f>
        <v>0</v>
      </c>
    </row>
    <row r="449" spans="1:9" s="15" customFormat="1" hidden="1" outlineLevel="1" x14ac:dyDescent="0.25">
      <c r="A449" s="86"/>
      <c r="B449" s="308" t="s">
        <v>667</v>
      </c>
      <c r="C449" s="2" t="s">
        <v>9</v>
      </c>
      <c r="D449" s="340">
        <v>0</v>
      </c>
      <c r="E449" s="2"/>
      <c r="F449" s="361">
        <v>42000</v>
      </c>
      <c r="G449" s="2"/>
      <c r="H449" s="2">
        <f>ROUND(D449*F449,2)</f>
        <v>0</v>
      </c>
      <c r="I449" s="2">
        <f>G449+H449</f>
        <v>0</v>
      </c>
    </row>
    <row r="450" spans="1:9" s="15" customFormat="1" hidden="1" outlineLevel="1" x14ac:dyDescent="0.25">
      <c r="A450" s="86"/>
      <c r="B450" s="343" t="s">
        <v>70</v>
      </c>
      <c r="C450" s="21" t="s">
        <v>8</v>
      </c>
      <c r="D450" s="340">
        <v>0</v>
      </c>
      <c r="E450" s="2"/>
      <c r="F450" s="361">
        <v>2950</v>
      </c>
      <c r="G450" s="2"/>
      <c r="H450" s="2">
        <f>ROUND(D450*F450,2)</f>
        <v>0</v>
      </c>
      <c r="I450" s="2">
        <f>H450+G450</f>
        <v>0</v>
      </c>
    </row>
    <row r="451" spans="1:9" s="15" customFormat="1" hidden="1" outlineLevel="1" x14ac:dyDescent="0.25">
      <c r="A451" s="86"/>
      <c r="B451" s="343" t="s">
        <v>240</v>
      </c>
      <c r="C451" s="21" t="s">
        <v>8</v>
      </c>
      <c r="D451" s="340">
        <f>D450</f>
        <v>0</v>
      </c>
      <c r="E451" s="2"/>
      <c r="F451" s="361">
        <v>250</v>
      </c>
      <c r="G451" s="2"/>
      <c r="H451" s="2">
        <f>ROUND(D451*F451,2)</f>
        <v>0</v>
      </c>
      <c r="I451" s="2">
        <f>H451+G451</f>
        <v>0</v>
      </c>
    </row>
    <row r="452" spans="1:9" collapsed="1" x14ac:dyDescent="0.25">
      <c r="A452" s="223"/>
      <c r="B452" s="231" t="s">
        <v>60</v>
      </c>
      <c r="C452" s="225"/>
      <c r="D452" s="226"/>
      <c r="E452" s="227"/>
      <c r="F452" s="228"/>
      <c r="G452" s="227">
        <f>SUM(G444:G451)</f>
        <v>6512.8</v>
      </c>
      <c r="H452" s="227">
        <f>SUM(H444:H451)</f>
        <v>33677.689999999995</v>
      </c>
      <c r="I452" s="227">
        <f>ROUND(SUM(I444:I451),2)</f>
        <v>40190.49</v>
      </c>
    </row>
    <row r="453" spans="1:9" ht="16.2" customHeight="1" x14ac:dyDescent="0.25">
      <c r="A453" s="90"/>
      <c r="B453" s="471" t="s">
        <v>624</v>
      </c>
      <c r="C453" s="472"/>
      <c r="D453" s="473"/>
      <c r="E453" s="10"/>
      <c r="F453" s="57"/>
      <c r="G453" s="10"/>
      <c r="H453" s="10"/>
      <c r="I453" s="31">
        <f>ROUND(I452/1.18*0.18,2)</f>
        <v>6130.75</v>
      </c>
    </row>
    <row r="454" spans="1:9" s="5" customFormat="1" ht="27" customHeight="1" x14ac:dyDescent="0.25">
      <c r="A454" s="109"/>
      <c r="B454" s="771" t="s">
        <v>1209</v>
      </c>
      <c r="C454" s="771"/>
      <c r="D454" s="771"/>
      <c r="E454" s="488"/>
      <c r="F454" s="138"/>
      <c r="G454" s="102"/>
      <c r="H454" s="111"/>
      <c r="I454" s="102"/>
    </row>
    <row r="455" spans="1:9" hidden="1" outlineLevel="1" x14ac:dyDescent="0.25">
      <c r="A455" s="84" t="s">
        <v>319</v>
      </c>
      <c r="B455" s="71" t="s">
        <v>155</v>
      </c>
      <c r="C455" s="72" t="s">
        <v>12</v>
      </c>
      <c r="D455" s="356">
        <v>0</v>
      </c>
      <c r="E455" s="354">
        <v>19000</v>
      </c>
      <c r="F455" s="137"/>
      <c r="G455" s="2">
        <f>ROUND(E455*D455,2)</f>
        <v>0</v>
      </c>
      <c r="H455" s="26"/>
      <c r="I455" s="26">
        <f>G455+H455</f>
        <v>0</v>
      </c>
    </row>
    <row r="456" spans="1:9" hidden="1" outlineLevel="1" x14ac:dyDescent="0.25">
      <c r="A456" s="84"/>
      <c r="B456" s="329" t="s">
        <v>282</v>
      </c>
      <c r="C456" s="21" t="s">
        <v>12</v>
      </c>
      <c r="D456" s="340">
        <v>0</v>
      </c>
      <c r="E456" s="18"/>
      <c r="F456" s="361">
        <v>63000</v>
      </c>
      <c r="G456" s="26"/>
      <c r="H456" s="2">
        <f>ROUND(D456*F456,2)</f>
        <v>0</v>
      </c>
      <c r="I456" s="26">
        <f t="shared" ref="I456:I527" si="30">G456+H456</f>
        <v>0</v>
      </c>
    </row>
    <row r="457" spans="1:9" hidden="1" outlineLevel="1" x14ac:dyDescent="0.25">
      <c r="A457" s="84"/>
      <c r="B457" s="28" t="s">
        <v>176</v>
      </c>
      <c r="C457" s="21" t="s">
        <v>12</v>
      </c>
      <c r="D457" s="2">
        <v>0</v>
      </c>
      <c r="E457" s="18"/>
      <c r="F457" s="361">
        <v>6000</v>
      </c>
      <c r="G457" s="26"/>
      <c r="H457" s="2">
        <f>ROUND(D457*F457,2)</f>
        <v>0</v>
      </c>
      <c r="I457" s="26">
        <f t="shared" si="30"/>
        <v>0</v>
      </c>
    </row>
    <row r="458" spans="1:9" hidden="1" outlineLevel="1" x14ac:dyDescent="0.25">
      <c r="A458" s="84"/>
      <c r="B458" s="329" t="s">
        <v>283</v>
      </c>
      <c r="C458" s="21" t="s">
        <v>12</v>
      </c>
      <c r="D458" s="340">
        <v>0</v>
      </c>
      <c r="E458" s="18"/>
      <c r="F458" s="164">
        <v>380</v>
      </c>
      <c r="G458" s="26"/>
      <c r="H458" s="2">
        <f>ROUND(D458*F458,2)</f>
        <v>0</v>
      </c>
      <c r="I458" s="26">
        <f t="shared" si="30"/>
        <v>0</v>
      </c>
    </row>
    <row r="459" spans="1:9" hidden="1" outlineLevel="1" x14ac:dyDescent="0.25">
      <c r="A459" s="84" t="s">
        <v>320</v>
      </c>
      <c r="B459" s="29" t="s">
        <v>284</v>
      </c>
      <c r="C459" s="31" t="s">
        <v>12</v>
      </c>
      <c r="D459" s="31">
        <v>0</v>
      </c>
      <c r="E459" s="354">
        <v>250</v>
      </c>
      <c r="F459" s="137"/>
      <c r="G459" s="2">
        <f>ROUND(E459*D459,2)</f>
        <v>0</v>
      </c>
      <c r="H459" s="26"/>
      <c r="I459" s="26">
        <f>G459+H459</f>
        <v>0</v>
      </c>
    </row>
    <row r="460" spans="1:9" hidden="1" outlineLevel="1" x14ac:dyDescent="0.25">
      <c r="A460" s="84"/>
      <c r="B460" s="329" t="s">
        <v>285</v>
      </c>
      <c r="C460" s="21" t="s">
        <v>12</v>
      </c>
      <c r="D460" s="340">
        <v>0</v>
      </c>
      <c r="E460" s="18"/>
      <c r="F460" s="164">
        <v>4900</v>
      </c>
      <c r="G460" s="26"/>
      <c r="H460" s="2">
        <f t="shared" ref="H460:H480" si="31">ROUND(D460*F460,2)</f>
        <v>0</v>
      </c>
      <c r="I460" s="26">
        <f>G460+H460</f>
        <v>0</v>
      </c>
    </row>
    <row r="461" spans="1:9" hidden="1" outlineLevel="1" x14ac:dyDescent="0.25">
      <c r="A461" s="84"/>
      <c r="B461" s="329" t="s">
        <v>449</v>
      </c>
      <c r="C461" s="21" t="s">
        <v>12</v>
      </c>
      <c r="D461" s="340">
        <v>0</v>
      </c>
      <c r="E461" s="18"/>
      <c r="F461" s="164">
        <v>4900</v>
      </c>
      <c r="G461" s="26"/>
      <c r="H461" s="2">
        <f t="shared" si="31"/>
        <v>0</v>
      </c>
      <c r="I461" s="26">
        <f>G461+H461</f>
        <v>0</v>
      </c>
    </row>
    <row r="462" spans="1:9" hidden="1" outlineLevel="1" x14ac:dyDescent="0.25">
      <c r="A462" s="84"/>
      <c r="B462" s="329" t="s">
        <v>448</v>
      </c>
      <c r="C462" s="21" t="s">
        <v>12</v>
      </c>
      <c r="D462" s="340">
        <v>0</v>
      </c>
      <c r="E462" s="18"/>
      <c r="F462" s="361">
        <v>1400</v>
      </c>
      <c r="G462" s="26"/>
      <c r="H462" s="2">
        <f t="shared" si="31"/>
        <v>0</v>
      </c>
      <c r="I462" s="26">
        <f>G462+H462</f>
        <v>0</v>
      </c>
    </row>
    <row r="463" spans="1:9" hidden="1" outlineLevel="1" x14ac:dyDescent="0.25">
      <c r="A463" s="84" t="s">
        <v>321</v>
      </c>
      <c r="B463" s="29" t="s">
        <v>156</v>
      </c>
      <c r="C463" s="31" t="s">
        <v>12</v>
      </c>
      <c r="D463" s="31">
        <v>0</v>
      </c>
      <c r="E463" s="354">
        <v>1000</v>
      </c>
      <c r="F463" s="137"/>
      <c r="G463" s="2">
        <f>ROUND(E463*D463,2)</f>
        <v>0</v>
      </c>
      <c r="H463" s="26">
        <f>F463*D463</f>
        <v>0</v>
      </c>
      <c r="I463" s="26">
        <f t="shared" si="30"/>
        <v>0</v>
      </c>
    </row>
    <row r="464" spans="1:9" hidden="1" outlineLevel="1" x14ac:dyDescent="0.25">
      <c r="A464" s="84"/>
      <c r="B464" s="329" t="s">
        <v>674</v>
      </c>
      <c r="C464" s="21" t="s">
        <v>12</v>
      </c>
      <c r="D464" s="340">
        <v>0</v>
      </c>
      <c r="E464" s="18"/>
      <c r="F464" s="309">
        <v>5500</v>
      </c>
      <c r="G464" s="26"/>
      <c r="H464" s="2">
        <f>ROUND(D464*F464,2)</f>
        <v>0</v>
      </c>
      <c r="I464" s="26">
        <f>G464+H464</f>
        <v>0</v>
      </c>
    </row>
    <row r="465" spans="1:10" hidden="1" outlineLevel="1" x14ac:dyDescent="0.25">
      <c r="A465" s="84"/>
      <c r="B465" s="329" t="s">
        <v>675</v>
      </c>
      <c r="C465" s="21" t="s">
        <v>12</v>
      </c>
      <c r="D465" s="340">
        <v>0</v>
      </c>
      <c r="E465" s="18"/>
      <c r="F465" s="309">
        <v>6000</v>
      </c>
      <c r="G465" s="26"/>
      <c r="H465" s="2">
        <f>ROUND(D465*F465,2)</f>
        <v>0</v>
      </c>
      <c r="I465" s="26">
        <f>G465+H465</f>
        <v>0</v>
      </c>
    </row>
    <row r="466" spans="1:10" hidden="1" outlineLevel="1" x14ac:dyDescent="0.25">
      <c r="A466" s="84"/>
      <c r="B466" s="329" t="s">
        <v>453</v>
      </c>
      <c r="C466" s="21" t="s">
        <v>12</v>
      </c>
      <c r="D466" s="340">
        <v>0</v>
      </c>
      <c r="E466" s="18"/>
      <c r="F466" s="60">
        <v>2350</v>
      </c>
      <c r="G466" s="26"/>
      <c r="H466" s="2">
        <f t="shared" si="31"/>
        <v>0</v>
      </c>
      <c r="I466" s="26">
        <f t="shared" si="30"/>
        <v>0</v>
      </c>
    </row>
    <row r="467" spans="1:10" ht="32.4" hidden="1" customHeight="1" outlineLevel="1" x14ac:dyDescent="0.25">
      <c r="A467" s="84"/>
      <c r="B467" s="329" t="s">
        <v>286</v>
      </c>
      <c r="C467" s="21" t="s">
        <v>12</v>
      </c>
      <c r="D467" s="340">
        <v>0</v>
      </c>
      <c r="E467" s="18"/>
      <c r="F467" s="60">
        <v>955</v>
      </c>
      <c r="G467" s="26"/>
      <c r="H467" s="2">
        <f t="shared" si="31"/>
        <v>0</v>
      </c>
      <c r="I467" s="26">
        <f t="shared" si="30"/>
        <v>0</v>
      </c>
    </row>
    <row r="468" spans="1:10" ht="30" hidden="1" customHeight="1" outlineLevel="1" x14ac:dyDescent="0.25">
      <c r="A468" s="84"/>
      <c r="B468" s="329" t="s">
        <v>446</v>
      </c>
      <c r="C468" s="21" t="s">
        <v>12</v>
      </c>
      <c r="D468" s="340">
        <v>0</v>
      </c>
      <c r="E468" s="18"/>
      <c r="F468" s="60">
        <v>130</v>
      </c>
      <c r="G468" s="18"/>
      <c r="H468" s="2">
        <f t="shared" si="31"/>
        <v>0</v>
      </c>
      <c r="I468" s="26">
        <f>G468+H468</f>
        <v>0</v>
      </c>
    </row>
    <row r="469" spans="1:10" ht="20.399999999999999" hidden="1" customHeight="1" outlineLevel="1" x14ac:dyDescent="0.25">
      <c r="A469" s="84"/>
      <c r="B469" s="329" t="s">
        <v>447</v>
      </c>
      <c r="C469" s="21" t="s">
        <v>12</v>
      </c>
      <c r="D469" s="340">
        <v>0</v>
      </c>
      <c r="E469" s="18"/>
      <c r="F469" s="60">
        <v>610</v>
      </c>
      <c r="G469" s="18"/>
      <c r="H469" s="2">
        <f t="shared" si="31"/>
        <v>0</v>
      </c>
      <c r="I469" s="18">
        <f>G469+H469</f>
        <v>0</v>
      </c>
    </row>
    <row r="470" spans="1:10" ht="24.6" hidden="1" customHeight="1" outlineLevel="1" x14ac:dyDescent="0.25">
      <c r="A470" s="84"/>
      <c r="B470" s="329" t="s">
        <v>450</v>
      </c>
      <c r="C470" s="21" t="s">
        <v>12</v>
      </c>
      <c r="D470" s="340">
        <v>0</v>
      </c>
      <c r="E470" s="18"/>
      <c r="F470" s="60">
        <v>303</v>
      </c>
      <c r="G470" s="18"/>
      <c r="H470" s="2">
        <f t="shared" si="31"/>
        <v>0</v>
      </c>
      <c r="I470" s="18">
        <f>G470+H470</f>
        <v>0</v>
      </c>
    </row>
    <row r="471" spans="1:10" ht="27.75" hidden="1" customHeight="1" outlineLevel="1" x14ac:dyDescent="0.25">
      <c r="A471" s="84"/>
      <c r="B471" s="329" t="s">
        <v>454</v>
      </c>
      <c r="C471" s="21" t="s">
        <v>12</v>
      </c>
      <c r="D471" s="340">
        <v>0</v>
      </c>
      <c r="E471" s="18"/>
      <c r="F471" s="60">
        <v>1061</v>
      </c>
      <c r="G471" s="18"/>
      <c r="H471" s="2">
        <f t="shared" si="31"/>
        <v>0</v>
      </c>
      <c r="I471" s="18">
        <f>G471+H471</f>
        <v>0</v>
      </c>
    </row>
    <row r="472" spans="1:10" ht="24.6" hidden="1" customHeight="1" outlineLevel="1" x14ac:dyDescent="0.25">
      <c r="A472" s="84"/>
      <c r="B472" s="329" t="s">
        <v>455</v>
      </c>
      <c r="C472" s="21" t="s">
        <v>12</v>
      </c>
      <c r="D472" s="340">
        <v>0</v>
      </c>
      <c r="E472" s="18"/>
      <c r="F472" s="60">
        <v>386</v>
      </c>
      <c r="G472" s="18"/>
      <c r="H472" s="2">
        <f t="shared" si="31"/>
        <v>0</v>
      </c>
      <c r="I472" s="18">
        <f>G472+H472</f>
        <v>0</v>
      </c>
      <c r="J472" s="5"/>
    </row>
    <row r="473" spans="1:10" hidden="1" outlineLevel="1" x14ac:dyDescent="0.25">
      <c r="A473" s="84" t="s">
        <v>322</v>
      </c>
      <c r="B473" s="29" t="s">
        <v>162</v>
      </c>
      <c r="C473" s="31" t="s">
        <v>12</v>
      </c>
      <c r="D473" s="31">
        <v>0</v>
      </c>
      <c r="E473" s="256">
        <v>500</v>
      </c>
      <c r="F473" s="60"/>
      <c r="G473" s="2">
        <f>ROUND(E473*D473,2)</f>
        <v>0</v>
      </c>
      <c r="H473" s="18">
        <f>F473*D473</f>
        <v>0</v>
      </c>
      <c r="I473" s="18">
        <f t="shared" si="30"/>
        <v>0</v>
      </c>
    </row>
    <row r="474" spans="1:10" hidden="1" outlineLevel="1" x14ac:dyDescent="0.25">
      <c r="A474" s="84"/>
      <c r="B474" s="329" t="s">
        <v>163</v>
      </c>
      <c r="C474" s="21" t="s">
        <v>12</v>
      </c>
      <c r="D474" s="340">
        <v>0</v>
      </c>
      <c r="E474" s="18"/>
      <c r="F474" s="60">
        <f>950*1.1</f>
        <v>1045</v>
      </c>
      <c r="G474" s="18"/>
      <c r="H474" s="2">
        <f t="shared" si="31"/>
        <v>0</v>
      </c>
      <c r="I474" s="18">
        <f t="shared" si="30"/>
        <v>0</v>
      </c>
    </row>
    <row r="475" spans="1:10" hidden="1" outlineLevel="1" x14ac:dyDescent="0.25">
      <c r="A475" s="84" t="s">
        <v>323</v>
      </c>
      <c r="B475" s="29" t="s">
        <v>164</v>
      </c>
      <c r="C475" s="31" t="s">
        <v>12</v>
      </c>
      <c r="D475" s="31">
        <v>0</v>
      </c>
      <c r="E475" s="256">
        <v>250</v>
      </c>
      <c r="F475" s="60"/>
      <c r="G475" s="2">
        <f>ROUND(E475*D475,2)</f>
        <v>0</v>
      </c>
      <c r="H475" s="18">
        <f>F475*D475</f>
        <v>0</v>
      </c>
      <c r="I475" s="18">
        <f t="shared" si="30"/>
        <v>0</v>
      </c>
    </row>
    <row r="476" spans="1:10" hidden="1" outlineLevel="1" x14ac:dyDescent="0.25">
      <c r="A476" s="84"/>
      <c r="B476" s="329" t="s">
        <v>165</v>
      </c>
      <c r="C476" s="21" t="s">
        <v>12</v>
      </c>
      <c r="D476" s="340">
        <v>0</v>
      </c>
      <c r="E476" s="18"/>
      <c r="F476" s="60">
        <v>674.3</v>
      </c>
      <c r="G476" s="18"/>
      <c r="H476" s="2">
        <f t="shared" si="31"/>
        <v>0</v>
      </c>
      <c r="I476" s="18">
        <f t="shared" si="30"/>
        <v>0</v>
      </c>
    </row>
    <row r="477" spans="1:10" hidden="1" outlineLevel="1" x14ac:dyDescent="0.25">
      <c r="A477" s="84"/>
      <c r="B477" s="329" t="s">
        <v>309</v>
      </c>
      <c r="C477" s="21" t="s">
        <v>12</v>
      </c>
      <c r="D477" s="340">
        <v>0</v>
      </c>
      <c r="E477" s="18"/>
      <c r="F477" s="60">
        <v>850</v>
      </c>
      <c r="G477" s="18"/>
      <c r="H477" s="2">
        <f t="shared" si="31"/>
        <v>0</v>
      </c>
      <c r="I477" s="18">
        <f>G477+H477</f>
        <v>0</v>
      </c>
    </row>
    <row r="478" spans="1:10" hidden="1" outlineLevel="1" x14ac:dyDescent="0.25">
      <c r="A478" s="84"/>
      <c r="B478" s="329" t="s">
        <v>345</v>
      </c>
      <c r="C478" s="21" t="s">
        <v>12</v>
      </c>
      <c r="D478" s="340">
        <v>0</v>
      </c>
      <c r="E478" s="18"/>
      <c r="F478" s="60">
        <v>851</v>
      </c>
      <c r="G478" s="18"/>
      <c r="H478" s="2">
        <f>ROUND(D478*F478,2)</f>
        <v>0</v>
      </c>
      <c r="I478" s="18">
        <f>G478+H478</f>
        <v>0</v>
      </c>
    </row>
    <row r="479" spans="1:10" ht="17.25" hidden="1" customHeight="1" outlineLevel="1" x14ac:dyDescent="0.25">
      <c r="A479" s="84"/>
      <c r="B479" s="329" t="s">
        <v>301</v>
      </c>
      <c r="C479" s="21" t="s">
        <v>12</v>
      </c>
      <c r="D479" s="340">
        <v>0</v>
      </c>
      <c r="E479" s="18"/>
      <c r="F479" s="60">
        <v>449</v>
      </c>
      <c r="G479" s="18"/>
      <c r="H479" s="2">
        <f t="shared" si="31"/>
        <v>0</v>
      </c>
      <c r="I479" s="18">
        <f t="shared" si="30"/>
        <v>0</v>
      </c>
    </row>
    <row r="480" spans="1:10" ht="17.25" hidden="1" customHeight="1" outlineLevel="1" x14ac:dyDescent="0.25">
      <c r="A480" s="84"/>
      <c r="B480" s="329" t="s">
        <v>344</v>
      </c>
      <c r="C480" s="21" t="s">
        <v>12</v>
      </c>
      <c r="D480" s="340">
        <v>0</v>
      </c>
      <c r="E480" s="18"/>
      <c r="F480" s="60">
        <v>914</v>
      </c>
      <c r="G480" s="18"/>
      <c r="H480" s="18">
        <f t="shared" si="31"/>
        <v>0</v>
      </c>
      <c r="I480" s="18">
        <f t="shared" si="30"/>
        <v>0</v>
      </c>
    </row>
    <row r="481" spans="1:9" ht="17.25" hidden="1" customHeight="1" outlineLevel="1" x14ac:dyDescent="0.25">
      <c r="A481" s="84"/>
      <c r="B481" s="329" t="s">
        <v>670</v>
      </c>
      <c r="C481" s="21" t="s">
        <v>12</v>
      </c>
      <c r="D481" s="340">
        <v>0</v>
      </c>
      <c r="E481" s="18"/>
      <c r="F481" s="164">
        <v>914</v>
      </c>
      <c r="G481" s="18"/>
      <c r="H481" s="18">
        <f>ROUND(D481*F481,2)</f>
        <v>0</v>
      </c>
      <c r="I481" s="18">
        <f>G481+H481</f>
        <v>0</v>
      </c>
    </row>
    <row r="482" spans="1:9" ht="17.25" hidden="1" customHeight="1" outlineLevel="1" x14ac:dyDescent="0.25">
      <c r="A482" s="84"/>
      <c r="B482" s="329" t="s">
        <v>679</v>
      </c>
      <c r="C482" s="21" t="s">
        <v>12</v>
      </c>
      <c r="D482" s="340">
        <v>0</v>
      </c>
      <c r="E482" s="18"/>
      <c r="F482" s="164">
        <v>100</v>
      </c>
      <c r="G482" s="18"/>
      <c r="H482" s="18">
        <f>ROUND(D482*F482,2)</f>
        <v>0</v>
      </c>
      <c r="I482" s="18">
        <f>G482+H482</f>
        <v>0</v>
      </c>
    </row>
    <row r="483" spans="1:9" ht="17.25" hidden="1" customHeight="1" outlineLevel="1" x14ac:dyDescent="0.25">
      <c r="A483" s="84"/>
      <c r="B483" s="329" t="s">
        <v>680</v>
      </c>
      <c r="C483" s="21" t="s">
        <v>12</v>
      </c>
      <c r="D483" s="340">
        <v>0</v>
      </c>
      <c r="E483" s="18"/>
      <c r="F483" s="164">
        <v>200</v>
      </c>
      <c r="G483" s="18"/>
      <c r="H483" s="18">
        <f>ROUND(D483*F483,2)</f>
        <v>0</v>
      </c>
      <c r="I483" s="18">
        <f>G483+H483</f>
        <v>0</v>
      </c>
    </row>
    <row r="484" spans="1:9" ht="17.25" hidden="1" customHeight="1" outlineLevel="1" x14ac:dyDescent="0.25">
      <c r="A484" s="84"/>
      <c r="B484" s="28"/>
      <c r="C484" s="21"/>
      <c r="D484" s="340"/>
      <c r="E484" s="18"/>
      <c r="F484" s="164"/>
      <c r="G484" s="18"/>
      <c r="H484" s="18"/>
      <c r="I484" s="18"/>
    </row>
    <row r="485" spans="1:9" hidden="1" outlineLevel="1" x14ac:dyDescent="0.25">
      <c r="A485" s="84" t="s">
        <v>324</v>
      </c>
      <c r="B485" s="79" t="s">
        <v>166</v>
      </c>
      <c r="C485" s="31" t="s">
        <v>12</v>
      </c>
      <c r="D485" s="31">
        <v>0</v>
      </c>
      <c r="E485" s="256">
        <v>35</v>
      </c>
      <c r="F485" s="60"/>
      <c r="G485" s="2">
        <f>ROUND(E485*D485,2)</f>
        <v>0</v>
      </c>
      <c r="H485" s="18">
        <f>F485*D485</f>
        <v>0</v>
      </c>
      <c r="I485" s="18">
        <f t="shared" si="30"/>
        <v>0</v>
      </c>
    </row>
    <row r="486" spans="1:9" ht="31.2" hidden="1" outlineLevel="1" x14ac:dyDescent="0.25">
      <c r="A486" s="84"/>
      <c r="B486" s="329" t="s">
        <v>167</v>
      </c>
      <c r="C486" s="21" t="s">
        <v>12</v>
      </c>
      <c r="D486" s="340">
        <v>0</v>
      </c>
      <c r="E486" s="18"/>
      <c r="F486" s="60">
        <v>50</v>
      </c>
      <c r="G486" s="18"/>
      <c r="H486" s="2">
        <f t="shared" ref="H486:H498" si="32">ROUND(D486*F486,2)</f>
        <v>0</v>
      </c>
      <c r="I486" s="18">
        <f t="shared" si="30"/>
        <v>0</v>
      </c>
    </row>
    <row r="487" spans="1:9" ht="46.8" hidden="1" outlineLevel="1" x14ac:dyDescent="0.25">
      <c r="A487" s="84"/>
      <c r="B487" s="329" t="s">
        <v>292</v>
      </c>
      <c r="C487" s="21" t="s">
        <v>12</v>
      </c>
      <c r="D487" s="340">
        <v>0</v>
      </c>
      <c r="E487" s="18"/>
      <c r="F487" s="60">
        <v>30.46</v>
      </c>
      <c r="G487" s="18"/>
      <c r="H487" s="2">
        <f t="shared" si="32"/>
        <v>0</v>
      </c>
      <c r="I487" s="18">
        <f t="shared" si="30"/>
        <v>0</v>
      </c>
    </row>
    <row r="488" spans="1:9" ht="31.2" hidden="1" outlineLevel="1" x14ac:dyDescent="0.25">
      <c r="A488" s="84"/>
      <c r="B488" s="329" t="s">
        <v>293</v>
      </c>
      <c r="C488" s="21" t="s">
        <v>12</v>
      </c>
      <c r="D488" s="340">
        <v>0</v>
      </c>
      <c r="E488" s="18"/>
      <c r="F488" s="60">
        <v>30.46</v>
      </c>
      <c r="G488" s="18"/>
      <c r="H488" s="2">
        <f t="shared" si="32"/>
        <v>0</v>
      </c>
      <c r="I488" s="18">
        <f>G488+H488</f>
        <v>0</v>
      </c>
    </row>
    <row r="489" spans="1:9" ht="31.2" hidden="1" outlineLevel="1" x14ac:dyDescent="0.25">
      <c r="A489" s="84"/>
      <c r="B489" s="329" t="s">
        <v>294</v>
      </c>
      <c r="C489" s="21" t="s">
        <v>12</v>
      </c>
      <c r="D489" s="340">
        <v>0</v>
      </c>
      <c r="E489" s="18"/>
      <c r="F489" s="60">
        <v>41.85</v>
      </c>
      <c r="G489" s="18"/>
      <c r="H489" s="2">
        <f t="shared" si="32"/>
        <v>0</v>
      </c>
      <c r="I489" s="18">
        <f t="shared" si="30"/>
        <v>0</v>
      </c>
    </row>
    <row r="490" spans="1:9" ht="31.2" hidden="1" outlineLevel="1" x14ac:dyDescent="0.25">
      <c r="A490" s="84"/>
      <c r="B490" s="329" t="s">
        <v>289</v>
      </c>
      <c r="C490" s="21" t="s">
        <v>12</v>
      </c>
      <c r="D490" s="340">
        <v>0</v>
      </c>
      <c r="E490" s="18"/>
      <c r="F490" s="60">
        <f>59*1.1</f>
        <v>64.900000000000006</v>
      </c>
      <c r="G490" s="18"/>
      <c r="H490" s="2">
        <f t="shared" si="32"/>
        <v>0</v>
      </c>
      <c r="I490" s="18">
        <f t="shared" si="30"/>
        <v>0</v>
      </c>
    </row>
    <row r="491" spans="1:9" ht="31.2" hidden="1" outlineLevel="1" x14ac:dyDescent="0.25">
      <c r="A491" s="84"/>
      <c r="B491" s="329" t="s">
        <v>288</v>
      </c>
      <c r="C491" s="21" t="s">
        <v>12</v>
      </c>
      <c r="D491" s="340">
        <v>0</v>
      </c>
      <c r="E491" s="18"/>
      <c r="F491" s="60">
        <v>37.25</v>
      </c>
      <c r="G491" s="18"/>
      <c r="H491" s="2">
        <f t="shared" si="32"/>
        <v>0</v>
      </c>
      <c r="I491" s="18">
        <f t="shared" si="30"/>
        <v>0</v>
      </c>
    </row>
    <row r="492" spans="1:9" ht="31.2" hidden="1" outlineLevel="1" x14ac:dyDescent="0.25">
      <c r="A492" s="84"/>
      <c r="B492" s="329" t="s">
        <v>290</v>
      </c>
      <c r="C492" s="21" t="s">
        <v>12</v>
      </c>
      <c r="D492" s="340">
        <v>0</v>
      </c>
      <c r="E492" s="18"/>
      <c r="F492" s="60">
        <v>277</v>
      </c>
      <c r="G492" s="18"/>
      <c r="H492" s="2">
        <f t="shared" si="32"/>
        <v>0</v>
      </c>
      <c r="I492" s="18">
        <f t="shared" si="30"/>
        <v>0</v>
      </c>
    </row>
    <row r="493" spans="1:9" ht="31.2" hidden="1" outlineLevel="1" x14ac:dyDescent="0.25">
      <c r="A493" s="84"/>
      <c r="B493" s="329" t="s">
        <v>291</v>
      </c>
      <c r="C493" s="21" t="s">
        <v>12</v>
      </c>
      <c r="D493" s="340">
        <v>0</v>
      </c>
      <c r="E493" s="18"/>
      <c r="F493" s="60">
        <v>65.900000000000006</v>
      </c>
      <c r="G493" s="18"/>
      <c r="H493" s="2">
        <f t="shared" si="32"/>
        <v>0</v>
      </c>
      <c r="I493" s="18">
        <f t="shared" si="30"/>
        <v>0</v>
      </c>
    </row>
    <row r="494" spans="1:9" hidden="1" outlineLevel="1" x14ac:dyDescent="0.25">
      <c r="A494" s="84"/>
      <c r="B494" s="329" t="s">
        <v>168</v>
      </c>
      <c r="C494" s="21" t="s">
        <v>12</v>
      </c>
      <c r="D494" s="340">
        <v>0</v>
      </c>
      <c r="E494" s="18"/>
      <c r="F494" s="60">
        <v>127</v>
      </c>
      <c r="G494" s="18"/>
      <c r="H494" s="2">
        <f t="shared" si="32"/>
        <v>0</v>
      </c>
      <c r="I494" s="18">
        <f t="shared" si="30"/>
        <v>0</v>
      </c>
    </row>
    <row r="495" spans="1:9" hidden="1" outlineLevel="1" x14ac:dyDescent="0.25">
      <c r="A495" s="84"/>
      <c r="B495" s="329" t="s">
        <v>287</v>
      </c>
      <c r="C495" s="21" t="s">
        <v>12</v>
      </c>
      <c r="D495" s="340">
        <v>0</v>
      </c>
      <c r="E495" s="18"/>
      <c r="F495" s="60">
        <v>20</v>
      </c>
      <c r="G495" s="18"/>
      <c r="H495" s="2">
        <f t="shared" si="32"/>
        <v>0</v>
      </c>
      <c r="I495" s="18">
        <f t="shared" si="30"/>
        <v>0</v>
      </c>
    </row>
    <row r="496" spans="1:9" hidden="1" outlineLevel="1" x14ac:dyDescent="0.25">
      <c r="A496" s="84"/>
      <c r="B496" s="329" t="s">
        <v>677</v>
      </c>
      <c r="C496" s="21" t="s">
        <v>12</v>
      </c>
      <c r="D496" s="340">
        <v>0</v>
      </c>
      <c r="E496" s="18"/>
      <c r="F496" s="60">
        <v>30</v>
      </c>
      <c r="G496" s="18"/>
      <c r="H496" s="2">
        <f t="shared" si="32"/>
        <v>0</v>
      </c>
      <c r="I496" s="18">
        <f>G496+H496</f>
        <v>0</v>
      </c>
    </row>
    <row r="497" spans="1:9" ht="31.2" hidden="1" outlineLevel="1" x14ac:dyDescent="0.25">
      <c r="A497" s="84"/>
      <c r="B497" s="329" t="s">
        <v>442</v>
      </c>
      <c r="C497" s="21" t="s">
        <v>12</v>
      </c>
      <c r="D497" s="340">
        <v>0</v>
      </c>
      <c r="E497" s="18"/>
      <c r="F497" s="60">
        <v>78</v>
      </c>
      <c r="G497" s="18"/>
      <c r="H497" s="2">
        <f t="shared" si="32"/>
        <v>0</v>
      </c>
      <c r="I497" s="18">
        <f>G497+H497</f>
        <v>0</v>
      </c>
    </row>
    <row r="498" spans="1:9" ht="18.75" hidden="1" customHeight="1" outlineLevel="1" x14ac:dyDescent="0.25">
      <c r="A498" s="84"/>
      <c r="B498" s="329" t="s">
        <v>673</v>
      </c>
      <c r="C498" s="21" t="s">
        <v>12</v>
      </c>
      <c r="D498" s="340">
        <v>0</v>
      </c>
      <c r="E498" s="18"/>
      <c r="F498" s="60">
        <v>90</v>
      </c>
      <c r="G498" s="18"/>
      <c r="H498" s="2">
        <f t="shared" si="32"/>
        <v>0</v>
      </c>
      <c r="I498" s="18">
        <f>G498+H498</f>
        <v>0</v>
      </c>
    </row>
    <row r="499" spans="1:9" ht="31.2" hidden="1" outlineLevel="1" x14ac:dyDescent="0.25">
      <c r="A499" s="84"/>
      <c r="B499" s="329" t="s">
        <v>668</v>
      </c>
      <c r="C499" s="21" t="s">
        <v>12</v>
      </c>
      <c r="D499" s="340">
        <v>0</v>
      </c>
      <c r="E499" s="18"/>
      <c r="F499" s="60">
        <v>90</v>
      </c>
      <c r="G499" s="18"/>
      <c r="H499" s="2">
        <f>ROUND(D499*F499,2)</f>
        <v>0</v>
      </c>
      <c r="I499" s="18">
        <f>G499+H499</f>
        <v>0</v>
      </c>
    </row>
    <row r="500" spans="1:9" hidden="1" outlineLevel="1" x14ac:dyDescent="0.25">
      <c r="A500" s="84"/>
      <c r="B500" s="329" t="s">
        <v>678</v>
      </c>
      <c r="C500" s="21" t="s">
        <v>12</v>
      </c>
      <c r="D500" s="340">
        <v>0</v>
      </c>
      <c r="E500" s="18"/>
      <c r="F500" s="164">
        <v>100</v>
      </c>
      <c r="G500" s="18"/>
      <c r="H500" s="2">
        <f>ROUND(D500*F500,2)</f>
        <v>0</v>
      </c>
      <c r="I500" s="18">
        <f>G500+H500</f>
        <v>0</v>
      </c>
    </row>
    <row r="501" spans="1:9" hidden="1" outlineLevel="1" x14ac:dyDescent="0.25">
      <c r="A501" s="84" t="s">
        <v>532</v>
      </c>
      <c r="B501" s="29" t="s">
        <v>489</v>
      </c>
      <c r="C501" s="31" t="s">
        <v>29</v>
      </c>
      <c r="D501" s="31">
        <v>0</v>
      </c>
      <c r="E501" s="256">
        <v>35</v>
      </c>
      <c r="F501" s="60"/>
      <c r="G501" s="2">
        <f>ROUND(E501*D501,2)</f>
        <v>0</v>
      </c>
      <c r="H501" s="18">
        <f>F501*D501</f>
        <v>0</v>
      </c>
      <c r="I501" s="18">
        <f t="shared" si="30"/>
        <v>0</v>
      </c>
    </row>
    <row r="502" spans="1:9" hidden="1" outlineLevel="1" x14ac:dyDescent="0.25">
      <c r="A502" s="84"/>
      <c r="B502" s="329" t="s">
        <v>296</v>
      </c>
      <c r="C502" s="21" t="s">
        <v>29</v>
      </c>
      <c r="D502" s="340">
        <v>0</v>
      </c>
      <c r="E502" s="18"/>
      <c r="F502" s="60">
        <v>31</v>
      </c>
      <c r="G502" s="18"/>
      <c r="H502" s="2">
        <f t="shared" ref="H502:H520" si="33">ROUND(D502*F502,2)</f>
        <v>0</v>
      </c>
      <c r="I502" s="18">
        <f t="shared" si="30"/>
        <v>0</v>
      </c>
    </row>
    <row r="503" spans="1:9" hidden="1" outlineLevel="1" x14ac:dyDescent="0.25">
      <c r="A503" s="84"/>
      <c r="B503" s="329" t="s">
        <v>311</v>
      </c>
      <c r="C503" s="21" t="s">
        <v>29</v>
      </c>
      <c r="D503" s="340">
        <v>0</v>
      </c>
      <c r="E503" s="18"/>
      <c r="F503" s="60">
        <f>459.7*1.1</f>
        <v>505.67</v>
      </c>
      <c r="G503" s="18"/>
      <c r="H503" s="2">
        <f t="shared" si="33"/>
        <v>0</v>
      </c>
      <c r="I503" s="18">
        <f t="shared" si="30"/>
        <v>0</v>
      </c>
    </row>
    <row r="504" spans="1:9" hidden="1" outlineLevel="1" x14ac:dyDescent="0.25">
      <c r="A504" s="84"/>
      <c r="B504" s="329" t="s">
        <v>297</v>
      </c>
      <c r="C504" s="21" t="s">
        <v>29</v>
      </c>
      <c r="D504" s="340">
        <v>0</v>
      </c>
      <c r="E504" s="18"/>
      <c r="F504" s="60">
        <f>10.16*1.1</f>
        <v>11.176000000000002</v>
      </c>
      <c r="G504" s="18"/>
      <c r="H504" s="2">
        <f t="shared" si="33"/>
        <v>0</v>
      </c>
      <c r="I504" s="18">
        <f t="shared" si="30"/>
        <v>0</v>
      </c>
    </row>
    <row r="505" spans="1:9" hidden="1" outlineLevel="1" x14ac:dyDescent="0.25">
      <c r="A505" s="84"/>
      <c r="B505" s="329" t="s">
        <v>299</v>
      </c>
      <c r="C505" s="21" t="s">
        <v>29</v>
      </c>
      <c r="D505" s="340">
        <v>0</v>
      </c>
      <c r="E505" s="18"/>
      <c r="F505" s="60">
        <f>11.4*1.1</f>
        <v>12.540000000000001</v>
      </c>
      <c r="G505" s="18"/>
      <c r="H505" s="2">
        <f t="shared" si="33"/>
        <v>0</v>
      </c>
      <c r="I505" s="18">
        <f>G505+H505</f>
        <v>0</v>
      </c>
    </row>
    <row r="506" spans="1:9" hidden="1" outlineLevel="1" x14ac:dyDescent="0.25">
      <c r="A506" s="84"/>
      <c r="B506" s="329" t="s">
        <v>298</v>
      </c>
      <c r="C506" s="21" t="s">
        <v>29</v>
      </c>
      <c r="D506" s="340">
        <v>0</v>
      </c>
      <c r="E506" s="18"/>
      <c r="F506" s="60">
        <f>19.4*1.1</f>
        <v>21.34</v>
      </c>
      <c r="G506" s="18"/>
      <c r="H506" s="2">
        <f t="shared" si="33"/>
        <v>0</v>
      </c>
      <c r="I506" s="18">
        <f>G506+H506</f>
        <v>0</v>
      </c>
    </row>
    <row r="507" spans="1:9" hidden="1" outlineLevel="1" x14ac:dyDescent="0.25">
      <c r="A507" s="84"/>
      <c r="B507" s="329" t="s">
        <v>171</v>
      </c>
      <c r="C507" s="21" t="s">
        <v>29</v>
      </c>
      <c r="D507" s="340">
        <v>0</v>
      </c>
      <c r="E507" s="18"/>
      <c r="F507" s="60">
        <f>50.41*1.1</f>
        <v>55.451000000000001</v>
      </c>
      <c r="G507" s="18"/>
      <c r="H507" s="2">
        <f t="shared" si="33"/>
        <v>0</v>
      </c>
      <c r="I507" s="18">
        <f t="shared" si="30"/>
        <v>0</v>
      </c>
    </row>
    <row r="508" spans="1:9" hidden="1" outlineLevel="1" x14ac:dyDescent="0.25">
      <c r="A508" s="84"/>
      <c r="B508" s="329" t="s">
        <v>458</v>
      </c>
      <c r="C508" s="21" t="s">
        <v>29</v>
      </c>
      <c r="D508" s="340">
        <v>0</v>
      </c>
      <c r="E508" s="18"/>
      <c r="F508" s="60">
        <v>205</v>
      </c>
      <c r="G508" s="18"/>
      <c r="H508" s="2">
        <f t="shared" si="33"/>
        <v>0</v>
      </c>
      <c r="I508" s="18">
        <f>G508+H508</f>
        <v>0</v>
      </c>
    </row>
    <row r="509" spans="1:9" hidden="1" outlineLevel="1" x14ac:dyDescent="0.25">
      <c r="A509" s="84"/>
      <c r="B509" s="329" t="s">
        <v>169</v>
      </c>
      <c r="C509" s="21" t="s">
        <v>29</v>
      </c>
      <c r="D509" s="340">
        <v>0</v>
      </c>
      <c r="E509" s="18"/>
      <c r="F509" s="60">
        <f>22.48*1.1</f>
        <v>24.728000000000002</v>
      </c>
      <c r="G509" s="18"/>
      <c r="H509" s="2">
        <f t="shared" si="33"/>
        <v>0</v>
      </c>
      <c r="I509" s="18">
        <f t="shared" si="30"/>
        <v>0</v>
      </c>
    </row>
    <row r="510" spans="1:9" hidden="1" outlineLevel="1" x14ac:dyDescent="0.25">
      <c r="A510" s="84"/>
      <c r="B510" s="329" t="s">
        <v>457</v>
      </c>
      <c r="C510" s="21" t="s">
        <v>29</v>
      </c>
      <c r="D510" s="340">
        <v>0</v>
      </c>
      <c r="E510" s="18"/>
      <c r="F510" s="60">
        <f>15.53*1.1</f>
        <v>17.083000000000002</v>
      </c>
      <c r="G510" s="18"/>
      <c r="H510" s="2">
        <f t="shared" si="33"/>
        <v>0</v>
      </c>
      <c r="I510" s="18">
        <f t="shared" si="30"/>
        <v>0</v>
      </c>
    </row>
    <row r="511" spans="1:9" ht="17.25" hidden="1" customHeight="1" outlineLevel="1" x14ac:dyDescent="0.25">
      <c r="A511" s="84"/>
      <c r="B511" s="329" t="s">
        <v>170</v>
      </c>
      <c r="C511" s="21" t="s">
        <v>12</v>
      </c>
      <c r="D511" s="340">
        <v>0</v>
      </c>
      <c r="E511" s="18"/>
      <c r="F511" s="60">
        <v>8</v>
      </c>
      <c r="G511" s="18"/>
      <c r="H511" s="2">
        <f t="shared" si="33"/>
        <v>0</v>
      </c>
      <c r="I511" s="18">
        <f>G511+H511</f>
        <v>0</v>
      </c>
    </row>
    <row r="512" spans="1:9" hidden="1" outlineLevel="1" x14ac:dyDescent="0.25">
      <c r="A512" s="84"/>
      <c r="B512" s="329" t="s">
        <v>302</v>
      </c>
      <c r="C512" s="21" t="s">
        <v>29</v>
      </c>
      <c r="D512" s="340">
        <v>0</v>
      </c>
      <c r="E512" s="18"/>
      <c r="F512" s="60">
        <v>194</v>
      </c>
      <c r="G512" s="18"/>
      <c r="H512" s="2">
        <f t="shared" si="33"/>
        <v>0</v>
      </c>
      <c r="I512" s="18">
        <f t="shared" si="30"/>
        <v>0</v>
      </c>
    </row>
    <row r="513" spans="1:9" hidden="1" outlineLevel="1" x14ac:dyDescent="0.25">
      <c r="A513" s="84"/>
      <c r="B513" s="329" t="s">
        <v>443</v>
      </c>
      <c r="C513" s="21" t="s">
        <v>29</v>
      </c>
      <c r="D513" s="340">
        <v>0</v>
      </c>
      <c r="E513" s="18"/>
      <c r="F513" s="60">
        <v>45</v>
      </c>
      <c r="G513" s="18"/>
      <c r="H513" s="2">
        <f t="shared" si="33"/>
        <v>0</v>
      </c>
      <c r="I513" s="18">
        <f t="shared" si="30"/>
        <v>0</v>
      </c>
    </row>
    <row r="514" spans="1:9" hidden="1" outlineLevel="1" x14ac:dyDescent="0.25">
      <c r="A514" s="84"/>
      <c r="B514" s="329" t="s">
        <v>300</v>
      </c>
      <c r="C514" s="21" t="s">
        <v>29</v>
      </c>
      <c r="D514" s="340">
        <v>0</v>
      </c>
      <c r="E514" s="18"/>
      <c r="F514" s="60">
        <v>78</v>
      </c>
      <c r="G514" s="18"/>
      <c r="H514" s="2">
        <f t="shared" si="33"/>
        <v>0</v>
      </c>
      <c r="I514" s="18">
        <f t="shared" si="30"/>
        <v>0</v>
      </c>
    </row>
    <row r="515" spans="1:9" hidden="1" outlineLevel="1" x14ac:dyDescent="0.25">
      <c r="A515" s="84"/>
      <c r="B515" s="329" t="s">
        <v>91</v>
      </c>
      <c r="C515" s="21" t="s">
        <v>15</v>
      </c>
      <c r="D515" s="340">
        <v>0</v>
      </c>
      <c r="E515" s="18"/>
      <c r="F515" s="164">
        <v>42</v>
      </c>
      <c r="G515" s="18"/>
      <c r="H515" s="2">
        <f>ROUND(D515*F515,2)</f>
        <v>0</v>
      </c>
      <c r="I515" s="18">
        <f t="shared" si="30"/>
        <v>0</v>
      </c>
    </row>
    <row r="516" spans="1:9" hidden="1" outlineLevel="1" x14ac:dyDescent="0.25">
      <c r="A516" s="84"/>
      <c r="B516" s="329" t="s">
        <v>676</v>
      </c>
      <c r="C516" s="21" t="s">
        <v>29</v>
      </c>
      <c r="D516" s="340">
        <v>0</v>
      </c>
      <c r="E516" s="18"/>
      <c r="F516" s="164">
        <v>9.8699999999999992</v>
      </c>
      <c r="G516" s="18"/>
      <c r="H516" s="2">
        <f>ROUND(D516*F516,2)</f>
        <v>0</v>
      </c>
      <c r="I516" s="18">
        <f t="shared" si="30"/>
        <v>0</v>
      </c>
    </row>
    <row r="517" spans="1:9" hidden="1" outlineLevel="1" x14ac:dyDescent="0.25">
      <c r="A517" s="84"/>
      <c r="B517" s="329" t="s">
        <v>669</v>
      </c>
      <c r="C517" s="21" t="s">
        <v>29</v>
      </c>
      <c r="D517" s="340">
        <v>0</v>
      </c>
      <c r="E517" s="18"/>
      <c r="F517" s="164">
        <v>9.8699999999999992</v>
      </c>
      <c r="G517" s="18"/>
      <c r="H517" s="2">
        <f>ROUND(D517*F517,2)</f>
        <v>0</v>
      </c>
      <c r="I517" s="18">
        <f t="shared" si="30"/>
        <v>0</v>
      </c>
    </row>
    <row r="518" spans="1:9" hidden="1" outlineLevel="1" x14ac:dyDescent="0.25">
      <c r="A518" s="84"/>
      <c r="B518" s="329" t="s">
        <v>672</v>
      </c>
      <c r="C518" s="21" t="s">
        <v>29</v>
      </c>
      <c r="D518" s="340">
        <v>0</v>
      </c>
      <c r="E518" s="18"/>
      <c r="F518" s="164">
        <v>9.8699999999999992</v>
      </c>
      <c r="G518" s="18"/>
      <c r="H518" s="2">
        <f>ROUND(D518*F518,2)</f>
        <v>0</v>
      </c>
      <c r="I518" s="18">
        <f t="shared" si="30"/>
        <v>0</v>
      </c>
    </row>
    <row r="519" spans="1:9" hidden="1" outlineLevel="1" x14ac:dyDescent="0.25">
      <c r="A519" s="84"/>
      <c r="B519" s="329" t="s">
        <v>444</v>
      </c>
      <c r="C519" s="21" t="s">
        <v>29</v>
      </c>
      <c r="D519" s="340">
        <v>0</v>
      </c>
      <c r="E519" s="18"/>
      <c r="F519" s="60">
        <v>56</v>
      </c>
      <c r="G519" s="18"/>
      <c r="H519" s="2">
        <f t="shared" si="33"/>
        <v>0</v>
      </c>
      <c r="I519" s="18">
        <f t="shared" si="30"/>
        <v>0</v>
      </c>
    </row>
    <row r="520" spans="1:9" hidden="1" outlineLevel="1" x14ac:dyDescent="0.25">
      <c r="A520" s="84"/>
      <c r="B520" s="329" t="s">
        <v>445</v>
      </c>
      <c r="C520" s="21" t="s">
        <v>29</v>
      </c>
      <c r="D520" s="340">
        <v>0</v>
      </c>
      <c r="E520" s="18"/>
      <c r="F520" s="60">
        <v>70</v>
      </c>
      <c r="G520" s="18"/>
      <c r="H520" s="2">
        <f t="shared" si="33"/>
        <v>0</v>
      </c>
      <c r="I520" s="18">
        <f t="shared" si="30"/>
        <v>0</v>
      </c>
    </row>
    <row r="521" spans="1:9" hidden="1" outlineLevel="1" x14ac:dyDescent="0.25">
      <c r="A521" s="84"/>
      <c r="B521" s="329" t="s">
        <v>671</v>
      </c>
      <c r="C521" s="21" t="s">
        <v>29</v>
      </c>
      <c r="D521" s="340">
        <v>0</v>
      </c>
      <c r="E521" s="18"/>
      <c r="F521" s="164">
        <v>170</v>
      </c>
      <c r="G521" s="18"/>
      <c r="H521" s="2">
        <f>ROUND(D521*F521,2)</f>
        <v>0</v>
      </c>
      <c r="I521" s="18">
        <f t="shared" si="30"/>
        <v>0</v>
      </c>
    </row>
    <row r="522" spans="1:9" hidden="1" outlineLevel="1" x14ac:dyDescent="0.25">
      <c r="A522" s="84" t="s">
        <v>533</v>
      </c>
      <c r="B522" s="29" t="s">
        <v>303</v>
      </c>
      <c r="C522" s="31" t="s">
        <v>12</v>
      </c>
      <c r="D522" s="158"/>
      <c r="E522" s="18"/>
      <c r="F522" s="60"/>
      <c r="G522" s="18">
        <f>E522*D522</f>
        <v>0</v>
      </c>
      <c r="H522" s="18"/>
      <c r="I522" s="18">
        <f t="shared" si="30"/>
        <v>0</v>
      </c>
    </row>
    <row r="523" spans="1:9" hidden="1" outlineLevel="1" x14ac:dyDescent="0.25">
      <c r="A523" s="84"/>
      <c r="B523" s="329" t="s">
        <v>304</v>
      </c>
      <c r="C523" s="21" t="s">
        <v>12</v>
      </c>
      <c r="D523" s="340">
        <v>0</v>
      </c>
      <c r="E523" s="18"/>
      <c r="F523" s="60">
        <v>462</v>
      </c>
      <c r="G523" s="18"/>
      <c r="H523" s="2">
        <f>ROUND(D523*F523,2)</f>
        <v>0</v>
      </c>
      <c r="I523" s="18">
        <f t="shared" si="30"/>
        <v>0</v>
      </c>
    </row>
    <row r="524" spans="1:9" hidden="1" outlineLevel="1" x14ac:dyDescent="0.25">
      <c r="A524" s="84"/>
      <c r="B524" s="329" t="s">
        <v>306</v>
      </c>
      <c r="C524" s="21" t="s">
        <v>12</v>
      </c>
      <c r="D524" s="340">
        <v>0</v>
      </c>
      <c r="E524" s="18"/>
      <c r="F524" s="60">
        <v>216</v>
      </c>
      <c r="G524" s="18"/>
      <c r="H524" s="2">
        <f>ROUND(D524*F524,2)</f>
        <v>0</v>
      </c>
      <c r="I524" s="18">
        <f t="shared" si="30"/>
        <v>0</v>
      </c>
    </row>
    <row r="525" spans="1:9" hidden="1" outlineLevel="1" x14ac:dyDescent="0.25">
      <c r="A525" s="84"/>
      <c r="B525" s="329" t="s">
        <v>305</v>
      </c>
      <c r="C525" s="21" t="s">
        <v>12</v>
      </c>
      <c r="D525" s="340">
        <v>0</v>
      </c>
      <c r="E525" s="18"/>
      <c r="F525" s="60">
        <v>216</v>
      </c>
      <c r="G525" s="18"/>
      <c r="H525" s="2">
        <f>ROUND(D525*F525,2)</f>
        <v>0</v>
      </c>
      <c r="I525" s="18">
        <f t="shared" si="30"/>
        <v>0</v>
      </c>
    </row>
    <row r="526" spans="1:9" hidden="1" outlineLevel="1" x14ac:dyDescent="0.25">
      <c r="A526" s="84"/>
      <c r="B526" s="329" t="s">
        <v>307</v>
      </c>
      <c r="C526" s="21" t="s">
        <v>12</v>
      </c>
      <c r="D526" s="340">
        <v>0</v>
      </c>
      <c r="E526" s="18"/>
      <c r="F526" s="60">
        <v>300</v>
      </c>
      <c r="G526" s="18"/>
      <c r="H526" s="2">
        <f>ROUND(D526*F526,2)</f>
        <v>0</v>
      </c>
      <c r="I526" s="18">
        <f t="shared" si="30"/>
        <v>0</v>
      </c>
    </row>
    <row r="527" spans="1:9" hidden="1" outlineLevel="1" x14ac:dyDescent="0.25">
      <c r="A527" s="84" t="s">
        <v>534</v>
      </c>
      <c r="B527" s="29" t="s">
        <v>310</v>
      </c>
      <c r="C527" s="31" t="s">
        <v>173</v>
      </c>
      <c r="D527" s="31">
        <v>0</v>
      </c>
      <c r="E527" s="18"/>
      <c r="F527" s="60">
        <f>30000</f>
        <v>30000</v>
      </c>
      <c r="G527" s="18"/>
      <c r="H527" s="2">
        <f>ROUND(D527*F527,2)</f>
        <v>0</v>
      </c>
      <c r="I527" s="18">
        <f t="shared" si="30"/>
        <v>0</v>
      </c>
    </row>
    <row r="528" spans="1:9" hidden="1" outlineLevel="1" x14ac:dyDescent="0.25">
      <c r="A528" s="84" t="s">
        <v>611</v>
      </c>
      <c r="B528" s="192" t="s">
        <v>590</v>
      </c>
      <c r="C528" s="31"/>
      <c r="D528" s="18"/>
      <c r="E528" s="256">
        <v>0</v>
      </c>
      <c r="F528" s="60"/>
      <c r="G528" s="18">
        <f>E528</f>
        <v>0</v>
      </c>
      <c r="H528" s="18">
        <v>0</v>
      </c>
      <c r="I528" s="18">
        <f>G528+H528</f>
        <v>0</v>
      </c>
    </row>
    <row r="529" spans="1:9" hidden="1" outlineLevel="1" x14ac:dyDescent="0.25">
      <c r="A529" s="84"/>
      <c r="B529" s="329" t="s">
        <v>591</v>
      </c>
      <c r="C529" s="21" t="s">
        <v>12</v>
      </c>
      <c r="D529" s="340">
        <v>0</v>
      </c>
      <c r="E529" s="18"/>
      <c r="F529" s="60">
        <f>1144.07*1.1</f>
        <v>1258.4770000000001</v>
      </c>
      <c r="G529" s="18"/>
      <c r="H529" s="18">
        <f>F529*D529</f>
        <v>0</v>
      </c>
      <c r="I529" s="18">
        <f>G529+H529</f>
        <v>0</v>
      </c>
    </row>
    <row r="530" spans="1:9" hidden="1" outlineLevel="1" x14ac:dyDescent="0.25">
      <c r="A530" s="84"/>
      <c r="B530" s="329" t="s">
        <v>592</v>
      </c>
      <c r="C530" s="21" t="s">
        <v>12</v>
      </c>
      <c r="D530" s="340">
        <v>0</v>
      </c>
      <c r="E530" s="18"/>
      <c r="F530" s="60">
        <f>1144.07*1.1</f>
        <v>1258.4770000000001</v>
      </c>
      <c r="G530" s="18"/>
      <c r="H530" s="18">
        <f>F530*D530</f>
        <v>0</v>
      </c>
      <c r="I530" s="18">
        <f>G530+H530</f>
        <v>0</v>
      </c>
    </row>
    <row r="531" spans="1:9" hidden="1" outlineLevel="1" x14ac:dyDescent="0.25">
      <c r="A531" s="84"/>
      <c r="B531" s="329" t="s">
        <v>593</v>
      </c>
      <c r="C531" s="21" t="s">
        <v>12</v>
      </c>
      <c r="D531" s="340">
        <v>0</v>
      </c>
      <c r="E531" s="18"/>
      <c r="F531" s="60">
        <f>1144.07*1.1</f>
        <v>1258.4770000000001</v>
      </c>
      <c r="G531" s="18"/>
      <c r="H531" s="18">
        <f>F531*D531</f>
        <v>0</v>
      </c>
      <c r="I531" s="18">
        <f>G531+H531</f>
        <v>0</v>
      </c>
    </row>
    <row r="532" spans="1:9" hidden="1" outlineLevel="1" x14ac:dyDescent="0.25">
      <c r="A532" s="84"/>
      <c r="B532" s="329" t="s">
        <v>594</v>
      </c>
      <c r="C532" s="21" t="s">
        <v>12</v>
      </c>
      <c r="D532" s="340">
        <v>0</v>
      </c>
      <c r="E532" s="18"/>
      <c r="F532" s="60">
        <f>1101.7*1.18</f>
        <v>1300.0060000000001</v>
      </c>
      <c r="G532" s="18"/>
      <c r="H532" s="18">
        <f>F532*D532</f>
        <v>0</v>
      </c>
      <c r="I532" s="18">
        <f>G532+H532</f>
        <v>0</v>
      </c>
    </row>
    <row r="533" spans="1:9" hidden="1" outlineLevel="1" x14ac:dyDescent="0.25">
      <c r="A533" s="84"/>
      <c r="B533" s="308" t="s">
        <v>595</v>
      </c>
      <c r="C533" s="21" t="s">
        <v>12</v>
      </c>
      <c r="D533" s="340">
        <v>0</v>
      </c>
      <c r="E533" s="18"/>
      <c r="F533" s="60">
        <f>120</f>
        <v>120</v>
      </c>
      <c r="G533" s="18"/>
      <c r="H533" s="18">
        <f t="shared" ref="H533:H550" si="34">F533*D533</f>
        <v>0</v>
      </c>
      <c r="I533" s="18">
        <f t="shared" ref="I533:I550" si="35">G533+H533</f>
        <v>0</v>
      </c>
    </row>
    <row r="534" spans="1:9" hidden="1" outlineLevel="1" x14ac:dyDescent="0.25">
      <c r="A534" s="84"/>
      <c r="B534" s="308" t="s">
        <v>596</v>
      </c>
      <c r="C534" s="21" t="s">
        <v>12</v>
      </c>
      <c r="D534" s="340">
        <v>0</v>
      </c>
      <c r="E534" s="18"/>
      <c r="F534" s="60">
        <f>127.12*1.18</f>
        <v>150.0016</v>
      </c>
      <c r="G534" s="18"/>
      <c r="H534" s="18">
        <f t="shared" si="34"/>
        <v>0</v>
      </c>
      <c r="I534" s="18">
        <f t="shared" si="35"/>
        <v>0</v>
      </c>
    </row>
    <row r="535" spans="1:9" hidden="1" outlineLevel="1" x14ac:dyDescent="0.25">
      <c r="A535" s="84"/>
      <c r="B535" s="308" t="s">
        <v>597</v>
      </c>
      <c r="C535" s="21" t="s">
        <v>12</v>
      </c>
      <c r="D535" s="340">
        <v>0</v>
      </c>
      <c r="E535" s="18"/>
      <c r="F535" s="60">
        <f>127.12*1.18</f>
        <v>150.0016</v>
      </c>
      <c r="G535" s="18"/>
      <c r="H535" s="18">
        <f t="shared" si="34"/>
        <v>0</v>
      </c>
      <c r="I535" s="18">
        <f t="shared" si="35"/>
        <v>0</v>
      </c>
    </row>
    <row r="536" spans="1:9" hidden="1" outlineLevel="1" x14ac:dyDescent="0.25">
      <c r="A536" s="84"/>
      <c r="B536" s="308" t="s">
        <v>598</v>
      </c>
      <c r="C536" s="21" t="s">
        <v>12</v>
      </c>
      <c r="D536" s="340">
        <v>0</v>
      </c>
      <c r="E536" s="18"/>
      <c r="F536" s="60">
        <v>50</v>
      </c>
      <c r="G536" s="18"/>
      <c r="H536" s="18">
        <f t="shared" si="34"/>
        <v>0</v>
      </c>
      <c r="I536" s="18">
        <f t="shared" si="35"/>
        <v>0</v>
      </c>
    </row>
    <row r="537" spans="1:9" hidden="1" outlineLevel="1" x14ac:dyDescent="0.25">
      <c r="A537" s="84"/>
      <c r="B537" s="308" t="s">
        <v>599</v>
      </c>
      <c r="C537" s="21" t="s">
        <v>12</v>
      </c>
      <c r="D537" s="340">
        <v>0</v>
      </c>
      <c r="E537" s="18"/>
      <c r="F537" s="60">
        <v>200</v>
      </c>
      <c r="G537" s="18"/>
      <c r="H537" s="18">
        <f t="shared" si="34"/>
        <v>0</v>
      </c>
      <c r="I537" s="18">
        <f t="shared" si="35"/>
        <v>0</v>
      </c>
    </row>
    <row r="538" spans="1:9" hidden="1" outlineLevel="1" x14ac:dyDescent="0.25">
      <c r="A538" s="84"/>
      <c r="B538" s="308" t="s">
        <v>600</v>
      </c>
      <c r="C538" s="21" t="s">
        <v>12</v>
      </c>
      <c r="D538" s="340">
        <v>0</v>
      </c>
      <c r="E538" s="18"/>
      <c r="F538" s="60">
        <v>10</v>
      </c>
      <c r="G538" s="18"/>
      <c r="H538" s="18">
        <f t="shared" si="34"/>
        <v>0</v>
      </c>
      <c r="I538" s="18">
        <f t="shared" si="35"/>
        <v>0</v>
      </c>
    </row>
    <row r="539" spans="1:9" hidden="1" outlineLevel="1" x14ac:dyDescent="0.25">
      <c r="A539" s="84"/>
      <c r="B539" s="308" t="s">
        <v>601</v>
      </c>
      <c r="C539" s="21" t="s">
        <v>12</v>
      </c>
      <c r="D539" s="340">
        <v>0</v>
      </c>
      <c r="E539" s="18"/>
      <c r="F539" s="60">
        <v>18</v>
      </c>
      <c r="G539" s="18"/>
      <c r="H539" s="18">
        <f t="shared" si="34"/>
        <v>0</v>
      </c>
      <c r="I539" s="18">
        <f t="shared" si="35"/>
        <v>0</v>
      </c>
    </row>
    <row r="540" spans="1:9" hidden="1" outlineLevel="1" x14ac:dyDescent="0.25">
      <c r="A540" s="84"/>
      <c r="B540" s="308" t="s">
        <v>602</v>
      </c>
      <c r="C540" s="21" t="s">
        <v>12</v>
      </c>
      <c r="D540" s="340">
        <v>0</v>
      </c>
      <c r="E540" s="18"/>
      <c r="F540" s="60">
        <v>67</v>
      </c>
      <c r="G540" s="18"/>
      <c r="H540" s="18">
        <f t="shared" si="34"/>
        <v>0</v>
      </c>
      <c r="I540" s="18">
        <f t="shared" si="35"/>
        <v>0</v>
      </c>
    </row>
    <row r="541" spans="1:9" hidden="1" outlineLevel="1" x14ac:dyDescent="0.25">
      <c r="A541" s="84"/>
      <c r="B541" s="33" t="s">
        <v>603</v>
      </c>
      <c r="C541" s="21" t="s">
        <v>12</v>
      </c>
      <c r="D541" s="18"/>
      <c r="E541" s="18"/>
      <c r="F541" s="60">
        <v>65</v>
      </c>
      <c r="G541" s="18"/>
      <c r="H541" s="18">
        <f t="shared" si="34"/>
        <v>0</v>
      </c>
      <c r="I541" s="18">
        <f t="shared" si="35"/>
        <v>0</v>
      </c>
    </row>
    <row r="542" spans="1:9" hidden="1" outlineLevel="1" x14ac:dyDescent="0.25">
      <c r="A542" s="84"/>
      <c r="B542" s="308" t="s">
        <v>604</v>
      </c>
      <c r="C542" s="21" t="s">
        <v>12</v>
      </c>
      <c r="D542" s="340">
        <v>0</v>
      </c>
      <c r="E542" s="18"/>
      <c r="F542" s="60">
        <v>150</v>
      </c>
      <c r="G542" s="18"/>
      <c r="H542" s="18">
        <f t="shared" si="34"/>
        <v>0</v>
      </c>
      <c r="I542" s="18">
        <f t="shared" si="35"/>
        <v>0</v>
      </c>
    </row>
    <row r="543" spans="1:9" hidden="1" outlineLevel="1" x14ac:dyDescent="0.25">
      <c r="A543" s="84"/>
      <c r="B543" s="308" t="s">
        <v>605</v>
      </c>
      <c r="C543" s="21" t="s">
        <v>12</v>
      </c>
      <c r="D543" s="340">
        <v>0</v>
      </c>
      <c r="E543" s="18"/>
      <c r="F543" s="60">
        <v>45</v>
      </c>
      <c r="G543" s="18"/>
      <c r="H543" s="18">
        <f t="shared" si="34"/>
        <v>0</v>
      </c>
      <c r="I543" s="18">
        <f t="shared" si="35"/>
        <v>0</v>
      </c>
    </row>
    <row r="544" spans="1:9" hidden="1" outlineLevel="1" x14ac:dyDescent="0.25">
      <c r="A544" s="84"/>
      <c r="B544" s="308" t="s">
        <v>606</v>
      </c>
      <c r="C544" s="21" t="s">
        <v>12</v>
      </c>
      <c r="D544" s="340">
        <v>0</v>
      </c>
      <c r="E544" s="18"/>
      <c r="F544" s="60">
        <v>65</v>
      </c>
      <c r="G544" s="18"/>
      <c r="H544" s="18">
        <f t="shared" si="34"/>
        <v>0</v>
      </c>
      <c r="I544" s="18">
        <f t="shared" si="35"/>
        <v>0</v>
      </c>
    </row>
    <row r="545" spans="1:9" hidden="1" outlineLevel="1" x14ac:dyDescent="0.25">
      <c r="A545" s="84"/>
      <c r="B545" s="308" t="s">
        <v>716</v>
      </c>
      <c r="C545" s="21" t="s">
        <v>12</v>
      </c>
      <c r="D545" s="340">
        <v>0</v>
      </c>
      <c r="E545" s="18"/>
      <c r="F545" s="164">
        <v>100</v>
      </c>
      <c r="G545" s="18"/>
      <c r="H545" s="18">
        <f>F545*D545</f>
        <v>0</v>
      </c>
      <c r="I545" s="18">
        <f>G545+H545</f>
        <v>0</v>
      </c>
    </row>
    <row r="546" spans="1:9" hidden="1" outlineLevel="1" x14ac:dyDescent="0.25">
      <c r="A546" s="84"/>
      <c r="B546" s="308" t="s">
        <v>717</v>
      </c>
      <c r="C546" s="21" t="s">
        <v>12</v>
      </c>
      <c r="D546" s="340">
        <v>0</v>
      </c>
      <c r="E546" s="18"/>
      <c r="F546" s="164">
        <v>100</v>
      </c>
      <c r="G546" s="18"/>
      <c r="H546" s="18">
        <f>F546*D546</f>
        <v>0</v>
      </c>
      <c r="I546" s="18">
        <f>G546+H546</f>
        <v>0</v>
      </c>
    </row>
    <row r="547" spans="1:9" hidden="1" outlineLevel="1" x14ac:dyDescent="0.25">
      <c r="A547" s="84"/>
      <c r="B547" s="308" t="s">
        <v>607</v>
      </c>
      <c r="C547" s="21" t="s">
        <v>29</v>
      </c>
      <c r="D547" s="340">
        <v>0</v>
      </c>
      <c r="E547" s="18"/>
      <c r="F547" s="60">
        <v>50</v>
      </c>
      <c r="G547" s="18"/>
      <c r="H547" s="18">
        <f t="shared" si="34"/>
        <v>0</v>
      </c>
      <c r="I547" s="18">
        <f t="shared" si="35"/>
        <v>0</v>
      </c>
    </row>
    <row r="548" spans="1:9" hidden="1" outlineLevel="1" x14ac:dyDescent="0.25">
      <c r="A548" s="84"/>
      <c r="B548" s="308" t="s">
        <v>608</v>
      </c>
      <c r="C548" s="21" t="s">
        <v>29</v>
      </c>
      <c r="D548" s="340">
        <v>0</v>
      </c>
      <c r="E548" s="18"/>
      <c r="F548" s="60">
        <v>59</v>
      </c>
      <c r="G548" s="18"/>
      <c r="H548" s="18">
        <f t="shared" si="34"/>
        <v>0</v>
      </c>
      <c r="I548" s="18">
        <f t="shared" si="35"/>
        <v>0</v>
      </c>
    </row>
    <row r="549" spans="1:9" hidden="1" outlineLevel="1" x14ac:dyDescent="0.25">
      <c r="A549" s="84"/>
      <c r="B549" s="308" t="s">
        <v>90</v>
      </c>
      <c r="C549" s="2" t="s">
        <v>29</v>
      </c>
      <c r="D549" s="340">
        <v>0</v>
      </c>
      <c r="E549" s="18"/>
      <c r="F549" s="60">
        <v>20</v>
      </c>
      <c r="G549" s="18"/>
      <c r="H549" s="18">
        <f t="shared" si="34"/>
        <v>0</v>
      </c>
      <c r="I549" s="18">
        <f t="shared" si="35"/>
        <v>0</v>
      </c>
    </row>
    <row r="550" spans="1:9" hidden="1" outlineLevel="1" x14ac:dyDescent="0.25">
      <c r="A550" s="84"/>
      <c r="B550" s="308" t="s">
        <v>91</v>
      </c>
      <c r="C550" s="31" t="s">
        <v>15</v>
      </c>
      <c r="D550" s="340">
        <v>0</v>
      </c>
      <c r="E550" s="18"/>
      <c r="F550" s="60">
        <v>42</v>
      </c>
      <c r="G550" s="18"/>
      <c r="H550" s="18">
        <f t="shared" si="34"/>
        <v>0</v>
      </c>
      <c r="I550" s="18">
        <f t="shared" si="35"/>
        <v>0</v>
      </c>
    </row>
    <row r="551" spans="1:9" s="6" customFormat="1" hidden="1" outlineLevel="1" x14ac:dyDescent="0.25">
      <c r="A551" s="84" t="s">
        <v>612</v>
      </c>
      <c r="B551" s="192" t="s">
        <v>609</v>
      </c>
      <c r="C551" s="31"/>
      <c r="D551" s="18"/>
      <c r="E551" s="130"/>
      <c r="F551" s="60"/>
      <c r="G551" s="18"/>
      <c r="H551" s="18"/>
      <c r="I551" s="18"/>
    </row>
    <row r="552" spans="1:9" s="6" customFormat="1" hidden="1" outlineLevel="1" x14ac:dyDescent="0.25">
      <c r="A552" s="84"/>
      <c r="B552" s="308" t="s">
        <v>610</v>
      </c>
      <c r="C552" s="31" t="s">
        <v>12</v>
      </c>
      <c r="D552" s="306">
        <v>0</v>
      </c>
      <c r="E552" s="256">
        <v>0</v>
      </c>
      <c r="F552" s="57">
        <v>350</v>
      </c>
      <c r="G552" s="18">
        <f>E552</f>
        <v>0</v>
      </c>
      <c r="H552" s="18">
        <f>F552*D552</f>
        <v>0</v>
      </c>
      <c r="I552" s="18">
        <f>G552+H552</f>
        <v>0</v>
      </c>
    </row>
    <row r="553" spans="1:9" s="5" customFormat="1" ht="38.4" customHeight="1" collapsed="1" x14ac:dyDescent="0.25">
      <c r="A553" s="223"/>
      <c r="B553" s="233" t="s">
        <v>61</v>
      </c>
      <c r="C553" s="234"/>
      <c r="D553" s="235"/>
      <c r="E553" s="236"/>
      <c r="F553" s="237"/>
      <c r="G553" s="236">
        <f>SUM(G455:G552)</f>
        <v>0</v>
      </c>
      <c r="H553" s="236">
        <f>SUM(H455:H552)</f>
        <v>0</v>
      </c>
      <c r="I553" s="236">
        <f>SUM(I455:I552)</f>
        <v>0</v>
      </c>
    </row>
    <row r="554" spans="1:9" s="5" customFormat="1" ht="18.600000000000001" customHeight="1" x14ac:dyDescent="0.25">
      <c r="A554" s="92"/>
      <c r="B554" s="471" t="s">
        <v>624</v>
      </c>
      <c r="C554" s="9"/>
      <c r="D554" s="31"/>
      <c r="E554" s="10"/>
      <c r="F554" s="57"/>
      <c r="G554" s="10"/>
      <c r="H554" s="10"/>
      <c r="I554" s="31">
        <f>ROUND(I553/1.18*0.18,2)</f>
        <v>0</v>
      </c>
    </row>
    <row r="555" spans="1:9" s="5" customFormat="1" ht="18.75" customHeight="1" x14ac:dyDescent="0.25">
      <c r="A555" s="489"/>
      <c r="B555" s="491" t="s">
        <v>1210</v>
      </c>
      <c r="C555" s="490"/>
      <c r="D555" s="128"/>
      <c r="E555" s="119"/>
      <c r="F555" s="145"/>
      <c r="G555" s="128"/>
      <c r="H555" s="128"/>
      <c r="I555" s="111"/>
    </row>
    <row r="556" spans="1:9" ht="31.2" hidden="1" outlineLevel="1" x14ac:dyDescent="0.25">
      <c r="A556" s="93" t="s">
        <v>325</v>
      </c>
      <c r="B556" s="357" t="s">
        <v>77</v>
      </c>
      <c r="C556" s="72" t="s">
        <v>12</v>
      </c>
      <c r="D556" s="356">
        <v>0</v>
      </c>
      <c r="E556" s="355">
        <v>1500</v>
      </c>
      <c r="F556" s="146"/>
      <c r="G556" s="2">
        <f>ROUND(E556*D556,2)</f>
        <v>0</v>
      </c>
      <c r="H556" s="73"/>
      <c r="I556" s="73">
        <f>G556+H556</f>
        <v>0</v>
      </c>
    </row>
    <row r="557" spans="1:9" hidden="1" outlineLevel="1" x14ac:dyDescent="0.25">
      <c r="A557" s="84"/>
      <c r="B557" s="329" t="s">
        <v>181</v>
      </c>
      <c r="C557" s="21" t="s">
        <v>173</v>
      </c>
      <c r="D557" s="340">
        <v>0</v>
      </c>
      <c r="E557" s="282"/>
      <c r="F557" s="361">
        <v>31000</v>
      </c>
      <c r="G557" s="18"/>
      <c r="H557" s="2">
        <f>ROUND(D557*F557,2)</f>
        <v>0</v>
      </c>
      <c r="I557" s="18">
        <f>G557+H557</f>
        <v>0</v>
      </c>
    </row>
    <row r="558" spans="1:9" hidden="1" outlineLevel="1" x14ac:dyDescent="0.25">
      <c r="A558" s="84" t="s">
        <v>326</v>
      </c>
      <c r="B558" s="9" t="s">
        <v>79</v>
      </c>
      <c r="C558" s="31" t="s">
        <v>80</v>
      </c>
      <c r="D558" s="306">
        <v>0</v>
      </c>
      <c r="E558" s="256">
        <v>75</v>
      </c>
      <c r="F558" s="60"/>
      <c r="G558" s="2">
        <f>ROUND(E558*D558,2)</f>
        <v>0</v>
      </c>
      <c r="H558" s="18"/>
      <c r="I558" s="18">
        <f t="shared" ref="I558:I602" si="36">G558+H558</f>
        <v>0</v>
      </c>
    </row>
    <row r="559" spans="1:9" hidden="1" outlineLevel="1" x14ac:dyDescent="0.25">
      <c r="A559" s="84"/>
      <c r="B559" s="343" t="s">
        <v>81</v>
      </c>
      <c r="C559" s="21" t="s">
        <v>80</v>
      </c>
      <c r="D559" s="340">
        <v>0</v>
      </c>
      <c r="E559" s="18"/>
      <c r="F559" s="361">
        <v>240</v>
      </c>
      <c r="G559" s="18"/>
      <c r="H559" s="2">
        <f>ROUND(D559*F559,2)</f>
        <v>0</v>
      </c>
      <c r="I559" s="18">
        <f t="shared" si="36"/>
        <v>0</v>
      </c>
    </row>
    <row r="560" spans="1:9" hidden="1" outlineLevel="1" x14ac:dyDescent="0.25">
      <c r="A560" s="84" t="s">
        <v>327</v>
      </c>
      <c r="B560" s="9" t="s">
        <v>83</v>
      </c>
      <c r="C560" s="31" t="s">
        <v>12</v>
      </c>
      <c r="D560" s="306">
        <v>0</v>
      </c>
      <c r="E560" s="256">
        <v>600</v>
      </c>
      <c r="F560" s="60"/>
      <c r="G560" s="2">
        <f>ROUND(E560*D560,2)</f>
        <v>0</v>
      </c>
      <c r="H560" s="18"/>
      <c r="I560" s="18">
        <f t="shared" si="36"/>
        <v>0</v>
      </c>
    </row>
    <row r="561" spans="1:9" ht="31.2" hidden="1" outlineLevel="1" x14ac:dyDescent="0.25">
      <c r="A561" s="84"/>
      <c r="B561" s="329" t="s">
        <v>266</v>
      </c>
      <c r="C561" s="21" t="s">
        <v>12</v>
      </c>
      <c r="D561" s="340">
        <v>0</v>
      </c>
      <c r="E561" s="18"/>
      <c r="F561" s="361">
        <v>950</v>
      </c>
      <c r="G561" s="18"/>
      <c r="H561" s="2">
        <f>ROUND(D561*F561,2)</f>
        <v>0</v>
      </c>
      <c r="I561" s="18">
        <f t="shared" si="36"/>
        <v>0</v>
      </c>
    </row>
    <row r="562" spans="1:9" ht="31.2" hidden="1" outlineLevel="1" x14ac:dyDescent="0.25">
      <c r="A562" s="84" t="s">
        <v>536</v>
      </c>
      <c r="B562" s="9" t="s">
        <v>85</v>
      </c>
      <c r="C562" s="31" t="s">
        <v>29</v>
      </c>
      <c r="D562" s="31">
        <v>0</v>
      </c>
      <c r="E562" s="256">
        <v>60</v>
      </c>
      <c r="F562" s="60"/>
      <c r="G562" s="2">
        <f>ROUND(E562*D562,2)</f>
        <v>0</v>
      </c>
      <c r="H562" s="18"/>
      <c r="I562" s="18">
        <f t="shared" si="36"/>
        <v>0</v>
      </c>
    </row>
    <row r="563" spans="1:9" ht="31.2" hidden="1" outlineLevel="1" x14ac:dyDescent="0.25">
      <c r="A563" s="84"/>
      <c r="B563" s="329" t="s">
        <v>412</v>
      </c>
      <c r="C563" s="21" t="s">
        <v>29</v>
      </c>
      <c r="D563" s="340">
        <v>0</v>
      </c>
      <c r="E563" s="18"/>
      <c r="F563" s="60">
        <v>40</v>
      </c>
      <c r="G563" s="18"/>
      <c r="H563" s="2">
        <f t="shared" ref="H563:H569" si="37">ROUND(D563*F563,2)</f>
        <v>0</v>
      </c>
      <c r="I563" s="18">
        <f t="shared" si="36"/>
        <v>0</v>
      </c>
    </row>
    <row r="564" spans="1:9" hidden="1" outlineLevel="1" x14ac:dyDescent="0.25">
      <c r="A564" s="84"/>
      <c r="B564" s="343" t="s">
        <v>86</v>
      </c>
      <c r="C564" s="21" t="s">
        <v>12</v>
      </c>
      <c r="D564" s="340">
        <v>0</v>
      </c>
      <c r="E564" s="18"/>
      <c r="F564" s="60">
        <v>98.64</v>
      </c>
      <c r="G564" s="18"/>
      <c r="H564" s="2">
        <f t="shared" si="37"/>
        <v>0</v>
      </c>
      <c r="I564" s="18">
        <f t="shared" si="36"/>
        <v>0</v>
      </c>
    </row>
    <row r="565" spans="1:9" ht="31.2" hidden="1" outlineLevel="1" x14ac:dyDescent="0.25">
      <c r="A565" s="84"/>
      <c r="B565" s="343" t="s">
        <v>263</v>
      </c>
      <c r="C565" s="21" t="s">
        <v>12</v>
      </c>
      <c r="D565" s="340">
        <v>0</v>
      </c>
      <c r="E565" s="18"/>
      <c r="F565" s="60">
        <v>145.03</v>
      </c>
      <c r="G565" s="18"/>
      <c r="H565" s="2">
        <f t="shared" si="37"/>
        <v>0</v>
      </c>
      <c r="I565" s="18">
        <f t="shared" si="36"/>
        <v>0</v>
      </c>
    </row>
    <row r="566" spans="1:9" ht="31.2" hidden="1" outlineLevel="1" x14ac:dyDescent="0.25">
      <c r="A566" s="84"/>
      <c r="B566" s="329" t="s">
        <v>264</v>
      </c>
      <c r="C566" s="21" t="s">
        <v>12</v>
      </c>
      <c r="D566" s="340">
        <v>0</v>
      </c>
      <c r="E566" s="18"/>
      <c r="F566" s="60">
        <v>450</v>
      </c>
      <c r="G566" s="18"/>
      <c r="H566" s="2">
        <f t="shared" si="37"/>
        <v>0</v>
      </c>
      <c r="I566" s="18">
        <f>G566+H566</f>
        <v>0</v>
      </c>
    </row>
    <row r="567" spans="1:9" ht="31.2" hidden="1" outlineLevel="1" x14ac:dyDescent="0.25">
      <c r="A567" s="84"/>
      <c r="B567" s="329" t="s">
        <v>265</v>
      </c>
      <c r="C567" s="21" t="s">
        <v>12</v>
      </c>
      <c r="D567" s="340">
        <v>0</v>
      </c>
      <c r="E567" s="18"/>
      <c r="F567" s="60">
        <v>450</v>
      </c>
      <c r="G567" s="18"/>
      <c r="H567" s="2">
        <f t="shared" si="37"/>
        <v>0</v>
      </c>
      <c r="I567" s="18">
        <f>G567+H567</f>
        <v>0</v>
      </c>
    </row>
    <row r="568" spans="1:9" hidden="1" outlineLevel="1" x14ac:dyDescent="0.25">
      <c r="A568" s="84"/>
      <c r="B568" s="343" t="s">
        <v>87</v>
      </c>
      <c r="C568" s="21" t="s">
        <v>12</v>
      </c>
      <c r="D568" s="340">
        <v>0</v>
      </c>
      <c r="E568" s="18"/>
      <c r="F568" s="60">
        <v>470</v>
      </c>
      <c r="G568" s="18"/>
      <c r="H568" s="2">
        <f t="shared" si="37"/>
        <v>0</v>
      </c>
      <c r="I568" s="18">
        <f t="shared" si="36"/>
        <v>0</v>
      </c>
    </row>
    <row r="569" spans="1:9" hidden="1" outlineLevel="1" x14ac:dyDescent="0.25">
      <c r="A569" s="84"/>
      <c r="B569" s="343" t="s">
        <v>88</v>
      </c>
      <c r="C569" s="21" t="s">
        <v>12</v>
      </c>
      <c r="D569" s="340">
        <v>0</v>
      </c>
      <c r="E569" s="18"/>
      <c r="F569" s="60">
        <v>1.5</v>
      </c>
      <c r="G569" s="18"/>
      <c r="H569" s="2">
        <f t="shared" si="37"/>
        <v>0</v>
      </c>
      <c r="I569" s="18">
        <f t="shared" si="36"/>
        <v>0</v>
      </c>
    </row>
    <row r="570" spans="1:9" ht="31.2" hidden="1" outlineLevel="1" x14ac:dyDescent="0.25">
      <c r="A570" s="84"/>
      <c r="B570" s="343" t="s">
        <v>681</v>
      </c>
      <c r="C570" s="21" t="s">
        <v>29</v>
      </c>
      <c r="D570" s="340">
        <v>0</v>
      </c>
      <c r="E570" s="18"/>
      <c r="F570" s="164">
        <v>100</v>
      </c>
      <c r="G570" s="18"/>
      <c r="H570" s="2">
        <f>ROUND(D570*F570,2)</f>
        <v>0</v>
      </c>
      <c r="I570" s="18">
        <f>G570+H570</f>
        <v>0</v>
      </c>
    </row>
    <row r="571" spans="1:9" ht="18" hidden="1" customHeight="1" outlineLevel="1" x14ac:dyDescent="0.25">
      <c r="A571" s="84"/>
      <c r="B571" s="343" t="s">
        <v>682</v>
      </c>
      <c r="C571" s="21" t="s">
        <v>12</v>
      </c>
      <c r="D571" s="340">
        <v>0</v>
      </c>
      <c r="E571" s="18"/>
      <c r="F571" s="164">
        <v>100</v>
      </c>
      <c r="G571" s="18"/>
      <c r="H571" s="2">
        <f>ROUND(D571*F571,2)</f>
        <v>0</v>
      </c>
      <c r="I571" s="18">
        <f>G571+H571</f>
        <v>0</v>
      </c>
    </row>
    <row r="572" spans="1:9" ht="31.2" hidden="1" outlineLevel="1" x14ac:dyDescent="0.25">
      <c r="A572" s="84" t="s">
        <v>538</v>
      </c>
      <c r="B572" s="307" t="s">
        <v>267</v>
      </c>
      <c r="C572" s="31" t="s">
        <v>12</v>
      </c>
      <c r="D572" s="306">
        <f>D573</f>
        <v>0</v>
      </c>
      <c r="E572" s="256">
        <v>300</v>
      </c>
      <c r="F572" s="11"/>
      <c r="G572" s="2">
        <f>ROUND(E572*D572,2)</f>
        <v>0</v>
      </c>
      <c r="H572" s="18"/>
      <c r="I572" s="18">
        <f t="shared" si="36"/>
        <v>0</v>
      </c>
    </row>
    <row r="573" spans="1:9" hidden="1" outlineLevel="1" x14ac:dyDescent="0.25">
      <c r="A573" s="84"/>
      <c r="B573" s="308" t="s">
        <v>416</v>
      </c>
      <c r="C573" s="2" t="s">
        <v>12</v>
      </c>
      <c r="D573" s="340">
        <v>0</v>
      </c>
      <c r="E573" s="2"/>
      <c r="F573" s="11">
        <f>2500*1.1</f>
        <v>2750</v>
      </c>
      <c r="G573" s="18"/>
      <c r="H573" s="2">
        <f>ROUND(D573*F573,2)</f>
        <v>0</v>
      </c>
      <c r="I573" s="18">
        <f t="shared" si="36"/>
        <v>0</v>
      </c>
    </row>
    <row r="574" spans="1:9" collapsed="1" x14ac:dyDescent="0.25">
      <c r="A574" s="223"/>
      <c r="B574" s="238" t="s">
        <v>539</v>
      </c>
      <c r="C574" s="234"/>
      <c r="D574" s="235"/>
      <c r="E574" s="236"/>
      <c r="F574" s="237"/>
      <c r="G574" s="236">
        <f>SUM(G555:G573)</f>
        <v>0</v>
      </c>
      <c r="H574" s="236">
        <f>SUM(H555:H573)</f>
        <v>0</v>
      </c>
      <c r="I574" s="236">
        <f>SUM(I556:I573)</f>
        <v>0</v>
      </c>
    </row>
    <row r="575" spans="1:9" s="5" customFormat="1" ht="18.600000000000001" customHeight="1" x14ac:dyDescent="0.25">
      <c r="A575" s="92"/>
      <c r="B575" s="471" t="s">
        <v>624</v>
      </c>
      <c r="C575" s="9"/>
      <c r="D575" s="31"/>
      <c r="E575" s="10"/>
      <c r="F575" s="57"/>
      <c r="G575" s="10"/>
      <c r="H575" s="10"/>
      <c r="I575" s="31">
        <f>ROUND(I574/1.18*0.18,2)</f>
        <v>0</v>
      </c>
    </row>
    <row r="576" spans="1:9" s="6" customFormat="1" x14ac:dyDescent="0.25">
      <c r="A576" s="492"/>
      <c r="B576" s="696" t="s">
        <v>1211</v>
      </c>
      <c r="C576" s="493"/>
      <c r="D576" s="103"/>
      <c r="E576" s="118"/>
      <c r="F576" s="112"/>
      <c r="G576" s="102"/>
      <c r="H576" s="102"/>
      <c r="I576" s="102"/>
    </row>
    <row r="577" spans="1:9" ht="31.2" hidden="1" outlineLevel="1" x14ac:dyDescent="0.25">
      <c r="A577" s="84" t="s">
        <v>154</v>
      </c>
      <c r="B577" s="494" t="s">
        <v>269</v>
      </c>
      <c r="C577" s="192" t="s">
        <v>29</v>
      </c>
      <c r="D577" s="10">
        <f>D578+D579</f>
        <v>0</v>
      </c>
      <c r="E577" s="256">
        <v>150</v>
      </c>
      <c r="F577" s="60"/>
      <c r="G577" s="2">
        <f>ROUND(E577*D577,2)</f>
        <v>0</v>
      </c>
      <c r="H577" s="18"/>
      <c r="I577" s="18">
        <f>G577+H577</f>
        <v>0</v>
      </c>
    </row>
    <row r="578" spans="1:9" ht="31.2" hidden="1" outlineLevel="1" x14ac:dyDescent="0.25">
      <c r="A578" s="84"/>
      <c r="B578" s="308" t="s">
        <v>683</v>
      </c>
      <c r="C578" s="21" t="s">
        <v>29</v>
      </c>
      <c r="D578" s="340">
        <v>0</v>
      </c>
      <c r="E578" s="282"/>
      <c r="F578" s="60">
        <f>(0.2+0.2+0.15+0.15)*500</f>
        <v>350.00000000000006</v>
      </c>
      <c r="G578" s="18"/>
      <c r="H578" s="2">
        <f>ROUND(D578*F578,2)</f>
        <v>0</v>
      </c>
      <c r="I578" s="18">
        <f>G578+H578</f>
        <v>0</v>
      </c>
    </row>
    <row r="579" spans="1:9" ht="31.2" hidden="1" outlineLevel="1" x14ac:dyDescent="0.25">
      <c r="A579" s="84"/>
      <c r="B579" s="308" t="s">
        <v>271</v>
      </c>
      <c r="C579" s="21" t="s">
        <v>29</v>
      </c>
      <c r="D579" s="340">
        <v>0</v>
      </c>
      <c r="E579" s="282"/>
      <c r="F579" s="60">
        <f>0.15*4*500</f>
        <v>300</v>
      </c>
      <c r="G579" s="18"/>
      <c r="H579" s="2">
        <f>ROUND(D579*F579,2)</f>
        <v>0</v>
      </c>
      <c r="I579" s="18">
        <f>G579+H579</f>
        <v>0</v>
      </c>
    </row>
    <row r="580" spans="1:9" ht="31.2" hidden="1" outlineLevel="1" x14ac:dyDescent="0.25">
      <c r="A580" s="84"/>
      <c r="B580" s="308" t="s">
        <v>684</v>
      </c>
      <c r="C580" s="21" t="s">
        <v>29</v>
      </c>
      <c r="D580" s="340">
        <v>0</v>
      </c>
      <c r="E580" s="282"/>
      <c r="F580" s="60">
        <f>0.15*4*500</f>
        <v>300</v>
      </c>
      <c r="G580" s="18"/>
      <c r="H580" s="2">
        <f>ROUND(D580*F580,2)</f>
        <v>0</v>
      </c>
      <c r="I580" s="18">
        <f>G580+H580</f>
        <v>0</v>
      </c>
    </row>
    <row r="581" spans="1:9" hidden="1" outlineLevel="1" x14ac:dyDescent="0.25">
      <c r="A581" s="84" t="s">
        <v>157</v>
      </c>
      <c r="B581" s="9" t="s">
        <v>89</v>
      </c>
      <c r="C581" s="31" t="s">
        <v>12</v>
      </c>
      <c r="D581" s="10">
        <f>D582+D583+D584+D587+D585+D586</f>
        <v>0</v>
      </c>
      <c r="E581" s="256">
        <v>50</v>
      </c>
      <c r="F581" s="60"/>
      <c r="G581" s="2">
        <f>ROUND(E581*D581,2)</f>
        <v>0</v>
      </c>
      <c r="H581" s="18"/>
      <c r="I581" s="18">
        <f t="shared" si="36"/>
        <v>0</v>
      </c>
    </row>
    <row r="582" spans="1:9" hidden="1" outlineLevel="1" x14ac:dyDescent="0.25">
      <c r="A582" s="84"/>
      <c r="B582" s="329" t="s">
        <v>686</v>
      </c>
      <c r="C582" s="21" t="s">
        <v>12</v>
      </c>
      <c r="D582" s="340">
        <v>0</v>
      </c>
      <c r="E582" s="18"/>
      <c r="F582" s="361">
        <v>100</v>
      </c>
      <c r="G582" s="18"/>
      <c r="H582" s="2">
        <f t="shared" ref="H582:H594" si="38">ROUND(D582*F582,2)</f>
        <v>0</v>
      </c>
      <c r="I582" s="18">
        <f t="shared" si="36"/>
        <v>0</v>
      </c>
    </row>
    <row r="583" spans="1:9" hidden="1" outlineLevel="1" x14ac:dyDescent="0.25">
      <c r="A583" s="84"/>
      <c r="B583" s="329" t="s">
        <v>685</v>
      </c>
      <c r="C583" s="21" t="s">
        <v>12</v>
      </c>
      <c r="D583" s="340">
        <v>0</v>
      </c>
      <c r="E583" s="18"/>
      <c r="F583" s="361">
        <v>100</v>
      </c>
      <c r="G583" s="18"/>
      <c r="H583" s="2">
        <f t="shared" si="38"/>
        <v>0</v>
      </c>
      <c r="I583" s="18">
        <f t="shared" si="36"/>
        <v>0</v>
      </c>
    </row>
    <row r="584" spans="1:9" hidden="1" outlineLevel="1" x14ac:dyDescent="0.25">
      <c r="A584" s="84"/>
      <c r="B584" s="329" t="s">
        <v>274</v>
      </c>
      <c r="C584" s="21" t="s">
        <v>12</v>
      </c>
      <c r="D584" s="340">
        <v>0</v>
      </c>
      <c r="E584" s="18"/>
      <c r="F584" s="361">
        <v>150</v>
      </c>
      <c r="G584" s="18"/>
      <c r="H584" s="2">
        <f t="shared" si="38"/>
        <v>0</v>
      </c>
      <c r="I584" s="18">
        <f t="shared" si="36"/>
        <v>0</v>
      </c>
    </row>
    <row r="585" spans="1:9" hidden="1" outlineLevel="1" x14ac:dyDescent="0.25">
      <c r="A585" s="84"/>
      <c r="B585" s="329" t="s">
        <v>687</v>
      </c>
      <c r="C585" s="21" t="s">
        <v>12</v>
      </c>
      <c r="D585" s="340">
        <v>0</v>
      </c>
      <c r="E585" s="18"/>
      <c r="F585" s="361">
        <v>200</v>
      </c>
      <c r="G585" s="18"/>
      <c r="H585" s="2">
        <f t="shared" si="38"/>
        <v>0</v>
      </c>
      <c r="I585" s="18">
        <f t="shared" si="36"/>
        <v>0</v>
      </c>
    </row>
    <row r="586" spans="1:9" ht="31.2" hidden="1" outlineLevel="1" x14ac:dyDescent="0.25">
      <c r="A586" s="84"/>
      <c r="B586" s="329" t="s">
        <v>420</v>
      </c>
      <c r="C586" s="21" t="s">
        <v>12</v>
      </c>
      <c r="D586" s="340">
        <v>0</v>
      </c>
      <c r="E586" s="18"/>
      <c r="F586" s="361">
        <v>100</v>
      </c>
      <c r="G586" s="18"/>
      <c r="H586" s="2">
        <f t="shared" si="38"/>
        <v>0</v>
      </c>
      <c r="I586" s="18">
        <f t="shared" si="36"/>
        <v>0</v>
      </c>
    </row>
    <row r="587" spans="1:9" hidden="1" outlineLevel="1" x14ac:dyDescent="0.25">
      <c r="A587" s="84"/>
      <c r="B587" s="329" t="s">
        <v>275</v>
      </c>
      <c r="C587" s="21" t="s">
        <v>12</v>
      </c>
      <c r="D587" s="340">
        <v>0</v>
      </c>
      <c r="E587" s="18"/>
      <c r="F587" s="361">
        <v>1800</v>
      </c>
      <c r="G587" s="18"/>
      <c r="H587" s="2">
        <f t="shared" si="38"/>
        <v>0</v>
      </c>
      <c r="I587" s="18">
        <f t="shared" si="36"/>
        <v>0</v>
      </c>
    </row>
    <row r="588" spans="1:9" hidden="1" outlineLevel="1" x14ac:dyDescent="0.25">
      <c r="A588" s="84"/>
      <c r="B588" s="329" t="s">
        <v>688</v>
      </c>
      <c r="C588" s="21" t="s">
        <v>12</v>
      </c>
      <c r="D588" s="340">
        <v>0</v>
      </c>
      <c r="E588" s="18"/>
      <c r="F588" s="164">
        <v>2000</v>
      </c>
      <c r="G588" s="18"/>
      <c r="H588" s="2">
        <f>ROUND(D588*F588,2)</f>
        <v>0</v>
      </c>
      <c r="I588" s="18">
        <f>G588+H588</f>
        <v>0</v>
      </c>
    </row>
    <row r="589" spans="1:9" hidden="1" outlineLevel="1" x14ac:dyDescent="0.25">
      <c r="A589" s="84"/>
      <c r="B589" s="329" t="s">
        <v>689</v>
      </c>
      <c r="C589" s="21" t="s">
        <v>12</v>
      </c>
      <c r="D589" s="340">
        <v>0</v>
      </c>
      <c r="E589" s="18"/>
      <c r="F589" s="164">
        <v>2000</v>
      </c>
      <c r="G589" s="18"/>
      <c r="H589" s="2">
        <f>ROUND(D589*F589,2)</f>
        <v>0</v>
      </c>
      <c r="I589" s="18">
        <f>G589+H589</f>
        <v>0</v>
      </c>
    </row>
    <row r="590" spans="1:9" hidden="1" outlineLevel="1" x14ac:dyDescent="0.25">
      <c r="A590" s="84"/>
      <c r="B590" s="9" t="s">
        <v>691</v>
      </c>
      <c r="C590" s="31" t="s">
        <v>12</v>
      </c>
      <c r="D590" s="10">
        <v>0</v>
      </c>
      <c r="E590" s="166">
        <v>300</v>
      </c>
      <c r="F590" s="60"/>
      <c r="G590" s="2">
        <f>ROUND(E590*D590,2)</f>
        <v>0</v>
      </c>
      <c r="H590" s="18"/>
      <c r="I590" s="18">
        <f>G590+H590</f>
        <v>0</v>
      </c>
    </row>
    <row r="591" spans="1:9" hidden="1" outlineLevel="1" x14ac:dyDescent="0.25">
      <c r="A591" s="84"/>
      <c r="B591" s="329" t="s">
        <v>692</v>
      </c>
      <c r="C591" s="21" t="s">
        <v>12</v>
      </c>
      <c r="D591" s="340">
        <v>0</v>
      </c>
      <c r="E591" s="18"/>
      <c r="F591" s="164">
        <v>5000</v>
      </c>
      <c r="G591" s="18"/>
      <c r="H591" s="2">
        <f>ROUND(D591*F591,2)</f>
        <v>0</v>
      </c>
      <c r="I591" s="18">
        <f>G591+H591</f>
        <v>0</v>
      </c>
    </row>
    <row r="592" spans="1:9" hidden="1" outlineLevel="1" x14ac:dyDescent="0.25">
      <c r="A592" s="84"/>
      <c r="B592" s="329" t="s">
        <v>693</v>
      </c>
      <c r="C592" s="21" t="s">
        <v>12</v>
      </c>
      <c r="D592" s="340">
        <v>0</v>
      </c>
      <c r="E592" s="18"/>
      <c r="F592" s="164">
        <v>500</v>
      </c>
      <c r="G592" s="18"/>
      <c r="H592" s="2">
        <f>ROUND(D592*F592,2)</f>
        <v>0</v>
      </c>
      <c r="I592" s="18">
        <f>G592+H592</f>
        <v>0</v>
      </c>
    </row>
    <row r="593" spans="1:9" hidden="1" outlineLevel="1" x14ac:dyDescent="0.25">
      <c r="A593" s="84"/>
      <c r="B593" s="329" t="s">
        <v>695</v>
      </c>
      <c r="C593" s="21" t="s">
        <v>12</v>
      </c>
      <c r="D593" s="340">
        <v>0</v>
      </c>
      <c r="E593" s="18"/>
      <c r="F593" s="164">
        <v>100</v>
      </c>
      <c r="G593" s="18"/>
      <c r="H593" s="2">
        <f t="shared" si="38"/>
        <v>0</v>
      </c>
      <c r="I593" s="18">
        <f t="shared" si="36"/>
        <v>0</v>
      </c>
    </row>
    <row r="594" spans="1:9" ht="31.2" hidden="1" outlineLevel="1" x14ac:dyDescent="0.25">
      <c r="A594" s="84"/>
      <c r="B594" s="329" t="s">
        <v>694</v>
      </c>
      <c r="C594" s="21" t="s">
        <v>12</v>
      </c>
      <c r="D594" s="340">
        <v>0</v>
      </c>
      <c r="E594" s="18"/>
      <c r="F594" s="164">
        <v>100</v>
      </c>
      <c r="G594" s="18"/>
      <c r="H594" s="2">
        <f t="shared" si="38"/>
        <v>0</v>
      </c>
      <c r="I594" s="18">
        <f t="shared" si="36"/>
        <v>0</v>
      </c>
    </row>
    <row r="595" spans="1:9" ht="31.2" hidden="1" outlineLevel="1" x14ac:dyDescent="0.25">
      <c r="A595" s="84"/>
      <c r="B595" s="329" t="s">
        <v>696</v>
      </c>
      <c r="C595" s="21" t="s">
        <v>12</v>
      </c>
      <c r="D595" s="340">
        <v>0</v>
      </c>
      <c r="E595" s="18"/>
      <c r="F595" s="164">
        <v>100</v>
      </c>
      <c r="G595" s="18"/>
      <c r="H595" s="2">
        <f>ROUND(D595*F595,2)</f>
        <v>0</v>
      </c>
      <c r="I595" s="18">
        <f t="shared" si="36"/>
        <v>0</v>
      </c>
    </row>
    <row r="596" spans="1:9" ht="31.2" hidden="1" outlineLevel="1" x14ac:dyDescent="0.25">
      <c r="A596" s="84"/>
      <c r="B596" s="329" t="s">
        <v>697</v>
      </c>
      <c r="C596" s="21" t="s">
        <v>12</v>
      </c>
      <c r="D596" s="340">
        <v>0</v>
      </c>
      <c r="E596" s="18"/>
      <c r="F596" s="164">
        <v>100</v>
      </c>
      <c r="G596" s="18"/>
      <c r="H596" s="2">
        <f>ROUND(D596*F596,2)</f>
        <v>0</v>
      </c>
      <c r="I596" s="18">
        <f t="shared" si="36"/>
        <v>0</v>
      </c>
    </row>
    <row r="597" spans="1:9" ht="31.2" hidden="1" outlineLevel="1" x14ac:dyDescent="0.25">
      <c r="A597" s="84"/>
      <c r="B597" s="329" t="s">
        <v>699</v>
      </c>
      <c r="C597" s="21" t="s">
        <v>12</v>
      </c>
      <c r="D597" s="340">
        <v>0</v>
      </c>
      <c r="E597" s="18"/>
      <c r="F597" s="164">
        <v>200</v>
      </c>
      <c r="G597" s="18"/>
      <c r="H597" s="2">
        <f>ROUND(D597*F597,2)</f>
        <v>0</v>
      </c>
      <c r="I597" s="18">
        <f t="shared" si="36"/>
        <v>0</v>
      </c>
    </row>
    <row r="598" spans="1:9" ht="31.2" hidden="1" outlineLevel="1" x14ac:dyDescent="0.25">
      <c r="A598" s="84"/>
      <c r="B598" s="329" t="s">
        <v>700</v>
      </c>
      <c r="C598" s="21" t="s">
        <v>12</v>
      </c>
      <c r="D598" s="340">
        <v>0</v>
      </c>
      <c r="E598" s="18"/>
      <c r="F598" s="164">
        <v>200</v>
      </c>
      <c r="G598" s="18"/>
      <c r="H598" s="2">
        <f>ROUND(D598*F598,2)</f>
        <v>0</v>
      </c>
      <c r="I598" s="18">
        <f t="shared" si="36"/>
        <v>0</v>
      </c>
    </row>
    <row r="599" spans="1:9" ht="31.2" hidden="1" outlineLevel="1" x14ac:dyDescent="0.25">
      <c r="A599" s="84"/>
      <c r="B599" s="329" t="s">
        <v>698</v>
      </c>
      <c r="C599" s="21" t="s">
        <v>12</v>
      </c>
      <c r="D599" s="340">
        <v>0</v>
      </c>
      <c r="E599" s="18"/>
      <c r="F599" s="164">
        <v>200</v>
      </c>
      <c r="G599" s="18"/>
      <c r="H599" s="2">
        <f>ROUND(D599*F599,2)</f>
        <v>0</v>
      </c>
      <c r="I599" s="18">
        <f t="shared" si="36"/>
        <v>0</v>
      </c>
    </row>
    <row r="600" spans="1:9" hidden="1" outlineLevel="1" x14ac:dyDescent="0.25">
      <c r="A600" s="84" t="s">
        <v>158</v>
      </c>
      <c r="B600" s="9" t="s">
        <v>279</v>
      </c>
      <c r="C600" s="31" t="s">
        <v>14</v>
      </c>
      <c r="D600" s="10">
        <f>D602+D601</f>
        <v>0</v>
      </c>
      <c r="E600" s="256">
        <v>150</v>
      </c>
      <c r="F600" s="60"/>
      <c r="G600" s="2">
        <f>ROUND(E600*D600,2)</f>
        <v>0</v>
      </c>
      <c r="H600" s="18"/>
      <c r="I600" s="18">
        <f t="shared" si="36"/>
        <v>0</v>
      </c>
    </row>
    <row r="601" spans="1:9" hidden="1" outlineLevel="1" x14ac:dyDescent="0.25">
      <c r="A601" s="84"/>
      <c r="B601" s="329" t="s">
        <v>422</v>
      </c>
      <c r="C601" s="21" t="s">
        <v>14</v>
      </c>
      <c r="D601" s="340">
        <v>0</v>
      </c>
      <c r="E601" s="18"/>
      <c r="F601" s="164">
        <v>350</v>
      </c>
      <c r="G601" s="18"/>
      <c r="H601" s="2">
        <f>ROUND(D601*F601,2)</f>
        <v>0</v>
      </c>
      <c r="I601" s="18">
        <f t="shared" si="36"/>
        <v>0</v>
      </c>
    </row>
    <row r="602" spans="1:9" ht="31.2" hidden="1" outlineLevel="1" x14ac:dyDescent="0.25">
      <c r="A602" s="84"/>
      <c r="B602" s="329" t="s">
        <v>690</v>
      </c>
      <c r="C602" s="21" t="s">
        <v>14</v>
      </c>
      <c r="D602" s="340">
        <v>0</v>
      </c>
      <c r="E602" s="18"/>
      <c r="F602" s="164">
        <v>350</v>
      </c>
      <c r="G602" s="18"/>
      <c r="H602" s="2">
        <f>ROUND(D602*F602,2)</f>
        <v>0</v>
      </c>
      <c r="I602" s="18">
        <f t="shared" si="36"/>
        <v>0</v>
      </c>
    </row>
    <row r="603" spans="1:9" s="5" customFormat="1" collapsed="1" x14ac:dyDescent="0.25">
      <c r="A603" s="223"/>
      <c r="B603" s="238" t="s">
        <v>328</v>
      </c>
      <c r="C603" s="234"/>
      <c r="D603" s="235"/>
      <c r="E603" s="236"/>
      <c r="F603" s="237"/>
      <c r="G603" s="236">
        <f>SUM(G576:G602)</f>
        <v>0</v>
      </c>
      <c r="H603" s="236">
        <f>SUM(H576:H602)</f>
        <v>0</v>
      </c>
      <c r="I603" s="236">
        <f>SUM(I576:I602)</f>
        <v>0</v>
      </c>
    </row>
    <row r="604" spans="1:9" s="5" customFormat="1" ht="18.600000000000001" customHeight="1" x14ac:dyDescent="0.25">
      <c r="A604" s="84"/>
      <c r="B604" s="471" t="s">
        <v>624</v>
      </c>
      <c r="C604" s="9"/>
      <c r="D604" s="31"/>
      <c r="E604" s="10"/>
      <c r="F604" s="57"/>
      <c r="G604" s="10"/>
      <c r="H604" s="10"/>
      <c r="I604" s="31">
        <f>ROUND(I603/1.18*0.18,2)</f>
        <v>0</v>
      </c>
    </row>
    <row r="605" spans="1:9" s="5" customFormat="1" ht="18.75" customHeight="1" x14ac:dyDescent="0.25">
      <c r="A605" s="109"/>
      <c r="B605" s="696" t="s">
        <v>1212</v>
      </c>
      <c r="C605" s="105"/>
      <c r="D605" s="105"/>
      <c r="E605" s="105"/>
      <c r="F605" s="138"/>
      <c r="G605" s="105"/>
      <c r="H605" s="105"/>
      <c r="I605" s="106"/>
    </row>
    <row r="606" spans="1:9" s="36" customFormat="1" ht="30" hidden="1" customHeight="1" outlineLevel="1" x14ac:dyDescent="0.25">
      <c r="A606" s="84" t="s">
        <v>76</v>
      </c>
      <c r="B606" s="495" t="s">
        <v>120</v>
      </c>
      <c r="C606" s="2"/>
      <c r="D606" s="2"/>
      <c r="E606" s="117"/>
      <c r="F606" s="11"/>
      <c r="G606" s="18"/>
      <c r="H606" s="18"/>
      <c r="I606" s="18"/>
    </row>
    <row r="607" spans="1:9" ht="31.2" hidden="1" outlineLevel="1" x14ac:dyDescent="0.25">
      <c r="A607" s="84" t="s">
        <v>542</v>
      </c>
      <c r="B607" s="29" t="s">
        <v>95</v>
      </c>
      <c r="C607" s="31" t="s">
        <v>29</v>
      </c>
      <c r="D607" s="10">
        <f>D608+D609+D610+D611+D612</f>
        <v>0</v>
      </c>
      <c r="E607" s="256">
        <v>85</v>
      </c>
      <c r="F607" s="60"/>
      <c r="G607" s="2">
        <f>ROUND(E607*D607,2)</f>
        <v>0</v>
      </c>
      <c r="H607" s="18"/>
      <c r="I607" s="18">
        <f>G607+H607</f>
        <v>0</v>
      </c>
    </row>
    <row r="608" spans="1:9" hidden="1" outlineLevel="1" x14ac:dyDescent="0.25">
      <c r="A608" s="84"/>
      <c r="B608" s="329" t="s">
        <v>96</v>
      </c>
      <c r="C608" s="21" t="s">
        <v>29</v>
      </c>
      <c r="D608" s="340">
        <v>0</v>
      </c>
      <c r="E608" s="18"/>
      <c r="F608" s="60">
        <v>42.23</v>
      </c>
      <c r="G608" s="18"/>
      <c r="H608" s="2">
        <f t="shared" ref="H608:H615" si="39">ROUND(D608*F608,2)</f>
        <v>0</v>
      </c>
      <c r="I608" s="18">
        <f>G608+H608</f>
        <v>0</v>
      </c>
    </row>
    <row r="609" spans="1:9" hidden="1" outlineLevel="1" x14ac:dyDescent="0.25">
      <c r="A609" s="84"/>
      <c r="B609" s="343" t="s">
        <v>98</v>
      </c>
      <c r="C609" s="21" t="s">
        <v>29</v>
      </c>
      <c r="D609" s="340">
        <v>0</v>
      </c>
      <c r="E609" s="18"/>
      <c r="F609" s="60">
        <v>58.9</v>
      </c>
      <c r="G609" s="18"/>
      <c r="H609" s="2">
        <f t="shared" si="39"/>
        <v>0</v>
      </c>
      <c r="I609" s="18">
        <f>G609+H609</f>
        <v>0</v>
      </c>
    </row>
    <row r="610" spans="1:9" hidden="1" outlineLevel="1" x14ac:dyDescent="0.25">
      <c r="A610" s="84"/>
      <c r="B610" s="329" t="s">
        <v>423</v>
      </c>
      <c r="C610" s="21" t="s">
        <v>29</v>
      </c>
      <c r="D610" s="340">
        <v>0</v>
      </c>
      <c r="E610" s="18"/>
      <c r="F610" s="60">
        <v>94.01</v>
      </c>
      <c r="G610" s="18"/>
      <c r="H610" s="2">
        <f t="shared" si="39"/>
        <v>0</v>
      </c>
      <c r="I610" s="18">
        <f>G610+H610</f>
        <v>0</v>
      </c>
    </row>
    <row r="611" spans="1:9" hidden="1" outlineLevel="1" x14ac:dyDescent="0.25">
      <c r="A611" s="84"/>
      <c r="B611" s="329" t="s">
        <v>424</v>
      </c>
      <c r="C611" s="21" t="s">
        <v>29</v>
      </c>
      <c r="D611" s="340">
        <v>0</v>
      </c>
      <c r="E611" s="18"/>
      <c r="F611" s="60">
        <v>135.80000000000001</v>
      </c>
      <c r="G611" s="18"/>
      <c r="H611" s="2">
        <f t="shared" si="39"/>
        <v>0</v>
      </c>
      <c r="I611" s="18">
        <f>G611+H611</f>
        <v>0</v>
      </c>
    </row>
    <row r="612" spans="1:9" hidden="1" outlineLevel="1" x14ac:dyDescent="0.25">
      <c r="A612" s="84"/>
      <c r="B612" s="329" t="s">
        <v>119</v>
      </c>
      <c r="C612" s="21" t="s">
        <v>29</v>
      </c>
      <c r="D612" s="340">
        <v>0</v>
      </c>
      <c r="E612" s="18"/>
      <c r="F612" s="60">
        <v>226</v>
      </c>
      <c r="G612" s="18"/>
      <c r="H612" s="2">
        <f t="shared" si="39"/>
        <v>0</v>
      </c>
      <c r="I612" s="18">
        <f t="shared" ref="I612:I684" si="40">G612+H612</f>
        <v>0</v>
      </c>
    </row>
    <row r="613" spans="1:9" hidden="1" outlineLevel="1" x14ac:dyDescent="0.25">
      <c r="A613" s="84"/>
      <c r="B613" s="329" t="s">
        <v>121</v>
      </c>
      <c r="C613" s="21" t="s">
        <v>12</v>
      </c>
      <c r="D613" s="340">
        <v>0</v>
      </c>
      <c r="E613" s="18"/>
      <c r="F613" s="60">
        <v>77.25</v>
      </c>
      <c r="G613" s="18"/>
      <c r="H613" s="2">
        <f t="shared" si="39"/>
        <v>0</v>
      </c>
      <c r="I613" s="18">
        <f t="shared" si="40"/>
        <v>0</v>
      </c>
    </row>
    <row r="614" spans="1:9" hidden="1" outlineLevel="1" x14ac:dyDescent="0.25">
      <c r="A614" s="84"/>
      <c r="B614" s="329" t="s">
        <v>426</v>
      </c>
      <c r="C614" s="21" t="s">
        <v>12</v>
      </c>
      <c r="D614" s="340">
        <v>0</v>
      </c>
      <c r="E614" s="18"/>
      <c r="F614" s="60">
        <v>77.25</v>
      </c>
      <c r="G614" s="18"/>
      <c r="H614" s="2">
        <f t="shared" si="39"/>
        <v>0</v>
      </c>
      <c r="I614" s="18">
        <f>G614+H614</f>
        <v>0</v>
      </c>
    </row>
    <row r="615" spans="1:9" ht="31.2" hidden="1" outlineLevel="1" x14ac:dyDescent="0.25">
      <c r="A615" s="84"/>
      <c r="B615" s="329" t="s">
        <v>107</v>
      </c>
      <c r="C615" s="21" t="s">
        <v>12</v>
      </c>
      <c r="D615" s="340">
        <v>0</v>
      </c>
      <c r="E615" s="18"/>
      <c r="F615" s="60">
        <v>40</v>
      </c>
      <c r="G615" s="18"/>
      <c r="H615" s="2">
        <f t="shared" si="39"/>
        <v>0</v>
      </c>
      <c r="I615" s="18">
        <f t="shared" si="40"/>
        <v>0</v>
      </c>
    </row>
    <row r="616" spans="1:9" hidden="1" outlineLevel="1" x14ac:dyDescent="0.25">
      <c r="A616" s="84"/>
      <c r="B616" s="329" t="s">
        <v>703</v>
      </c>
      <c r="C616" s="21" t="s">
        <v>14</v>
      </c>
      <c r="D616" s="340">
        <v>0</v>
      </c>
      <c r="E616" s="18"/>
      <c r="F616" s="164">
        <v>100</v>
      </c>
      <c r="G616" s="18"/>
      <c r="H616" s="2">
        <f>ROUND(D616*F616,2)</f>
        <v>0</v>
      </c>
      <c r="I616" s="18">
        <f>G616+H616</f>
        <v>0</v>
      </c>
    </row>
    <row r="617" spans="1:9" hidden="1" outlineLevel="1" x14ac:dyDescent="0.25">
      <c r="A617" s="84" t="s">
        <v>543</v>
      </c>
      <c r="B617" s="358" t="s">
        <v>427</v>
      </c>
      <c r="C617" s="176" t="s">
        <v>12</v>
      </c>
      <c r="D617" s="306">
        <v>0</v>
      </c>
      <c r="E617" s="18"/>
      <c r="F617" s="60"/>
      <c r="G617" s="18"/>
      <c r="H617" s="18"/>
      <c r="I617" s="18"/>
    </row>
    <row r="618" spans="1:9" hidden="1" outlineLevel="1" x14ac:dyDescent="0.25">
      <c r="A618" s="84"/>
      <c r="B618" s="329" t="s">
        <v>702</v>
      </c>
      <c r="C618" s="21" t="s">
        <v>12</v>
      </c>
      <c r="D618" s="340">
        <v>0</v>
      </c>
      <c r="E618" s="18"/>
      <c r="F618" s="60">
        <v>283</v>
      </c>
      <c r="G618" s="18"/>
      <c r="H618" s="2">
        <f>ROUND(D618*F618,2)</f>
        <v>0</v>
      </c>
      <c r="I618" s="18">
        <f t="shared" si="40"/>
        <v>0</v>
      </c>
    </row>
    <row r="619" spans="1:9" hidden="1" outlineLevel="1" x14ac:dyDescent="0.25">
      <c r="A619" s="84"/>
      <c r="B619" s="329" t="s">
        <v>467</v>
      </c>
      <c r="C619" s="21" t="s">
        <v>12</v>
      </c>
      <c r="D619" s="340">
        <v>0</v>
      </c>
      <c r="E619" s="18"/>
      <c r="F619" s="60">
        <v>322.2</v>
      </c>
      <c r="G619" s="18"/>
      <c r="H619" s="2">
        <f>ROUND(D619*F619,2)</f>
        <v>0</v>
      </c>
      <c r="I619" s="18">
        <f t="shared" si="40"/>
        <v>0</v>
      </c>
    </row>
    <row r="620" spans="1:9" hidden="1" outlineLevel="1" x14ac:dyDescent="0.25">
      <c r="A620" s="84" t="s">
        <v>544</v>
      </c>
      <c r="B620" s="307" t="s">
        <v>101</v>
      </c>
      <c r="C620" s="31" t="s">
        <v>29</v>
      </c>
      <c r="D620" s="306">
        <f>D607</f>
        <v>0</v>
      </c>
      <c r="E620" s="256">
        <v>30</v>
      </c>
      <c r="F620" s="60"/>
      <c r="G620" s="2">
        <f>ROUND(E620*D620,2)</f>
        <v>0</v>
      </c>
      <c r="H620" s="18"/>
      <c r="I620" s="18">
        <f t="shared" si="40"/>
        <v>0</v>
      </c>
    </row>
    <row r="621" spans="1:9" hidden="1" outlineLevel="1" x14ac:dyDescent="0.25">
      <c r="A621" s="84"/>
      <c r="B621" s="329" t="s">
        <v>122</v>
      </c>
      <c r="C621" s="21" t="s">
        <v>29</v>
      </c>
      <c r="D621" s="340">
        <v>0</v>
      </c>
      <c r="E621" s="282"/>
      <c r="F621" s="60">
        <v>62</v>
      </c>
      <c r="G621" s="18"/>
      <c r="H621" s="2">
        <f>ROUND(D621*F621,2)</f>
        <v>0</v>
      </c>
      <c r="I621" s="18">
        <f t="shared" si="40"/>
        <v>0</v>
      </c>
    </row>
    <row r="622" spans="1:9" hidden="1" outlineLevel="1" x14ac:dyDescent="0.25">
      <c r="A622" s="84" t="s">
        <v>545</v>
      </c>
      <c r="B622" s="307" t="s">
        <v>123</v>
      </c>
      <c r="C622" s="31" t="s">
        <v>12</v>
      </c>
      <c r="D622" s="306">
        <v>0</v>
      </c>
      <c r="E622" s="256">
        <v>500</v>
      </c>
      <c r="F622" s="60"/>
      <c r="G622" s="2">
        <f>ROUND(E622*D622,2)</f>
        <v>0</v>
      </c>
      <c r="H622" s="18"/>
      <c r="I622" s="18">
        <f t="shared" si="40"/>
        <v>0</v>
      </c>
    </row>
    <row r="623" spans="1:9" hidden="1" outlineLevel="1" x14ac:dyDescent="0.25">
      <c r="A623" s="84"/>
      <c r="B623" s="329" t="s">
        <v>124</v>
      </c>
      <c r="C623" s="21" t="s">
        <v>12</v>
      </c>
      <c r="D623" s="340">
        <v>0</v>
      </c>
      <c r="E623" s="282"/>
      <c r="F623" s="60">
        <v>100</v>
      </c>
      <c r="G623" s="18"/>
      <c r="H623" s="2">
        <f>ROUND(D623*F623,2)</f>
        <v>0</v>
      </c>
      <c r="I623" s="18">
        <f t="shared" si="40"/>
        <v>0</v>
      </c>
    </row>
    <row r="624" spans="1:9" hidden="1" outlineLevel="1" x14ac:dyDescent="0.25">
      <c r="A624" s="84"/>
      <c r="B624" s="343" t="s">
        <v>125</v>
      </c>
      <c r="C624" s="21" t="s">
        <v>12</v>
      </c>
      <c r="D624" s="340">
        <v>0</v>
      </c>
      <c r="E624" s="282"/>
      <c r="F624" s="60">
        <f>30*20</f>
        <v>600</v>
      </c>
      <c r="G624" s="18"/>
      <c r="H624" s="2">
        <f>ROUND(D624*F624,2)</f>
        <v>0</v>
      </c>
      <c r="I624" s="18">
        <f t="shared" si="40"/>
        <v>0</v>
      </c>
    </row>
    <row r="625" spans="1:9" hidden="1" outlineLevel="1" x14ac:dyDescent="0.25">
      <c r="A625" s="84" t="s">
        <v>78</v>
      </c>
      <c r="B625" s="75" t="s">
        <v>126</v>
      </c>
      <c r="C625" s="2"/>
      <c r="D625" s="2"/>
      <c r="E625" s="282"/>
      <c r="F625" s="11"/>
      <c r="G625" s="18"/>
      <c r="H625" s="18"/>
      <c r="I625" s="18">
        <f t="shared" si="40"/>
        <v>0</v>
      </c>
    </row>
    <row r="626" spans="1:9" hidden="1" outlineLevel="1" x14ac:dyDescent="0.25">
      <c r="A626" s="84" t="s">
        <v>546</v>
      </c>
      <c r="B626" s="29" t="s">
        <v>127</v>
      </c>
      <c r="C626" s="31" t="s">
        <v>12</v>
      </c>
      <c r="D626" s="31">
        <v>0</v>
      </c>
      <c r="E626" s="256">
        <v>10000</v>
      </c>
      <c r="F626" s="60"/>
      <c r="G626" s="2">
        <f>ROUND(E626*D626,2)</f>
        <v>0</v>
      </c>
      <c r="H626" s="18"/>
      <c r="I626" s="18">
        <f t="shared" si="40"/>
        <v>0</v>
      </c>
    </row>
    <row r="627" spans="1:9" hidden="1" outlineLevel="1" x14ac:dyDescent="0.25">
      <c r="A627" s="84"/>
      <c r="B627" s="343" t="s">
        <v>128</v>
      </c>
      <c r="C627" s="21" t="s">
        <v>12</v>
      </c>
      <c r="D627" s="340">
        <v>0</v>
      </c>
      <c r="E627" s="18"/>
      <c r="F627" s="60">
        <v>1033.78</v>
      </c>
      <c r="G627" s="18"/>
      <c r="H627" s="2">
        <f t="shared" ref="H627:H637" si="41">ROUND(D627*F627,2)</f>
        <v>0</v>
      </c>
      <c r="I627" s="18">
        <f t="shared" si="40"/>
        <v>0</v>
      </c>
    </row>
    <row r="628" spans="1:9" hidden="1" outlineLevel="1" x14ac:dyDescent="0.25">
      <c r="A628" s="84"/>
      <c r="B628" s="343" t="s">
        <v>129</v>
      </c>
      <c r="C628" s="21" t="s">
        <v>12</v>
      </c>
      <c r="D628" s="340">
        <v>0</v>
      </c>
      <c r="E628" s="18"/>
      <c r="F628" s="60">
        <v>2018.83</v>
      </c>
      <c r="G628" s="18"/>
      <c r="H628" s="2">
        <f t="shared" si="41"/>
        <v>0</v>
      </c>
      <c r="I628" s="18">
        <f t="shared" si="40"/>
        <v>0</v>
      </c>
    </row>
    <row r="629" spans="1:9" hidden="1" outlineLevel="1" x14ac:dyDescent="0.25">
      <c r="A629" s="84"/>
      <c r="B629" s="329" t="s">
        <v>130</v>
      </c>
      <c r="C629" s="21" t="s">
        <v>12</v>
      </c>
      <c r="D629" s="340">
        <v>0</v>
      </c>
      <c r="E629" s="18"/>
      <c r="F629" s="60">
        <v>109.44</v>
      </c>
      <c r="G629" s="18"/>
      <c r="H629" s="2">
        <f t="shared" si="41"/>
        <v>0</v>
      </c>
      <c r="I629" s="18">
        <f t="shared" si="40"/>
        <v>0</v>
      </c>
    </row>
    <row r="630" spans="1:9" hidden="1" outlineLevel="1" x14ac:dyDescent="0.25">
      <c r="A630" s="84"/>
      <c r="B630" s="329" t="s">
        <v>131</v>
      </c>
      <c r="C630" s="21" t="s">
        <v>12</v>
      </c>
      <c r="D630" s="340">
        <v>0</v>
      </c>
      <c r="E630" s="18"/>
      <c r="F630" s="60">
        <v>228.92</v>
      </c>
      <c r="G630" s="18"/>
      <c r="H630" s="2">
        <f t="shared" si="41"/>
        <v>0</v>
      </c>
      <c r="I630" s="18">
        <f t="shared" si="40"/>
        <v>0</v>
      </c>
    </row>
    <row r="631" spans="1:9" hidden="1" outlineLevel="1" x14ac:dyDescent="0.25">
      <c r="A631" s="84"/>
      <c r="B631" s="329" t="s">
        <v>132</v>
      </c>
      <c r="C631" s="21" t="s">
        <v>12</v>
      </c>
      <c r="D631" s="340">
        <v>0</v>
      </c>
      <c r="E631" s="18"/>
      <c r="F631" s="60">
        <v>198</v>
      </c>
      <c r="G631" s="18"/>
      <c r="H631" s="2">
        <f t="shared" si="41"/>
        <v>0</v>
      </c>
      <c r="I631" s="18">
        <f t="shared" si="40"/>
        <v>0</v>
      </c>
    </row>
    <row r="632" spans="1:9" hidden="1" outlineLevel="1" x14ac:dyDescent="0.25">
      <c r="A632" s="84"/>
      <c r="B632" s="329" t="s">
        <v>704</v>
      </c>
      <c r="C632" s="21" t="s">
        <v>12</v>
      </c>
      <c r="D632" s="340">
        <v>0</v>
      </c>
      <c r="E632" s="18"/>
      <c r="F632" s="164">
        <v>100</v>
      </c>
      <c r="G632" s="18"/>
      <c r="H632" s="2">
        <f>ROUND(D632*F632,2)</f>
        <v>0</v>
      </c>
      <c r="I632" s="18">
        <f>G632+H632</f>
        <v>0</v>
      </c>
    </row>
    <row r="633" spans="1:9" ht="19.95" hidden="1" customHeight="1" outlineLevel="1" x14ac:dyDescent="0.25">
      <c r="A633" s="84"/>
      <c r="B633" s="329" t="s">
        <v>706</v>
      </c>
      <c r="C633" s="21" t="s">
        <v>12</v>
      </c>
      <c r="D633" s="340">
        <v>0</v>
      </c>
      <c r="E633" s="18"/>
      <c r="F633" s="60">
        <v>43</v>
      </c>
      <c r="G633" s="18"/>
      <c r="H633" s="2">
        <f t="shared" si="41"/>
        <v>0</v>
      </c>
      <c r="I633" s="18">
        <f t="shared" si="40"/>
        <v>0</v>
      </c>
    </row>
    <row r="634" spans="1:9" ht="31.2" hidden="1" customHeight="1" outlineLevel="1" x14ac:dyDescent="0.25">
      <c r="A634" s="84"/>
      <c r="B634" s="329" t="s">
        <v>707</v>
      </c>
      <c r="C634" s="21" t="s">
        <v>12</v>
      </c>
      <c r="D634" s="340">
        <v>0</v>
      </c>
      <c r="E634" s="18"/>
      <c r="F634" s="60">
        <v>448</v>
      </c>
      <c r="G634" s="18"/>
      <c r="H634" s="2">
        <f t="shared" si="41"/>
        <v>0</v>
      </c>
      <c r="I634" s="18">
        <f t="shared" si="40"/>
        <v>0</v>
      </c>
    </row>
    <row r="635" spans="1:9" hidden="1" outlineLevel="1" x14ac:dyDescent="0.25">
      <c r="A635" s="84"/>
      <c r="B635" s="329" t="s">
        <v>133</v>
      </c>
      <c r="C635" s="21" t="s">
        <v>12</v>
      </c>
      <c r="D635" s="340">
        <v>0</v>
      </c>
      <c r="E635" s="18"/>
      <c r="F635" s="60">
        <v>5922.3</v>
      </c>
      <c r="G635" s="18"/>
      <c r="H635" s="2">
        <f t="shared" si="41"/>
        <v>0</v>
      </c>
      <c r="I635" s="18">
        <f>G635+H635</f>
        <v>0</v>
      </c>
    </row>
    <row r="636" spans="1:9" hidden="1" outlineLevel="1" x14ac:dyDescent="0.25">
      <c r="A636" s="84"/>
      <c r="B636" s="329" t="s">
        <v>705</v>
      </c>
      <c r="C636" s="21" t="s">
        <v>12</v>
      </c>
      <c r="D636" s="340">
        <v>0</v>
      </c>
      <c r="E636" s="18"/>
      <c r="F636" s="60">
        <v>127</v>
      </c>
      <c r="G636" s="18"/>
      <c r="H636" s="2">
        <f t="shared" si="41"/>
        <v>0</v>
      </c>
      <c r="I636" s="18">
        <f t="shared" si="40"/>
        <v>0</v>
      </c>
    </row>
    <row r="637" spans="1:9" hidden="1" outlineLevel="1" x14ac:dyDescent="0.25">
      <c r="A637" s="84"/>
      <c r="B637" s="329" t="s">
        <v>91</v>
      </c>
      <c r="C637" s="21" t="s">
        <v>15</v>
      </c>
      <c r="D637" s="340">
        <v>0</v>
      </c>
      <c r="E637" s="18"/>
      <c r="F637" s="60">
        <f>37500/1000</f>
        <v>37.5</v>
      </c>
      <c r="G637" s="18"/>
      <c r="H637" s="2">
        <f t="shared" si="41"/>
        <v>0</v>
      </c>
      <c r="I637" s="18">
        <f t="shared" si="40"/>
        <v>0</v>
      </c>
    </row>
    <row r="638" spans="1:9" hidden="1" outlineLevel="1" x14ac:dyDescent="0.25">
      <c r="A638" s="84" t="s">
        <v>82</v>
      </c>
      <c r="B638" s="75" t="s">
        <v>134</v>
      </c>
      <c r="C638" s="2"/>
      <c r="D638" s="158"/>
      <c r="E638" s="2"/>
      <c r="F638" s="11"/>
      <c r="G638" s="18"/>
      <c r="H638" s="18"/>
      <c r="I638" s="18">
        <f t="shared" si="40"/>
        <v>0</v>
      </c>
    </row>
    <row r="639" spans="1:9" ht="31.2" hidden="1" outlineLevel="1" x14ac:dyDescent="0.25">
      <c r="A639" s="84" t="s">
        <v>547</v>
      </c>
      <c r="B639" s="307" t="s">
        <v>112</v>
      </c>
      <c r="C639" s="31" t="s">
        <v>29</v>
      </c>
      <c r="D639" s="31">
        <f>D640</f>
        <v>0</v>
      </c>
      <c r="E639" s="256">
        <v>85</v>
      </c>
      <c r="F639" s="60"/>
      <c r="G639" s="2">
        <f>ROUND(E639*D639,2)</f>
        <v>0</v>
      </c>
      <c r="H639" s="18"/>
      <c r="I639" s="18">
        <f t="shared" si="40"/>
        <v>0</v>
      </c>
    </row>
    <row r="640" spans="1:9" hidden="1" outlineLevel="1" x14ac:dyDescent="0.25">
      <c r="A640" s="84"/>
      <c r="B640" s="329" t="s">
        <v>114</v>
      </c>
      <c r="C640" s="21" t="s">
        <v>29</v>
      </c>
      <c r="D640" s="340">
        <v>0</v>
      </c>
      <c r="E640" s="282"/>
      <c r="F640" s="60">
        <f>311.85/3</f>
        <v>103.95</v>
      </c>
      <c r="G640" s="18"/>
      <c r="H640" s="2">
        <f>ROUND(D640*F640,2)</f>
        <v>0</v>
      </c>
      <c r="I640" s="18">
        <f t="shared" si="40"/>
        <v>0</v>
      </c>
    </row>
    <row r="641" spans="1:10" hidden="1" outlineLevel="1" x14ac:dyDescent="0.25">
      <c r="A641" s="84"/>
      <c r="B641" s="329" t="s">
        <v>329</v>
      </c>
      <c r="C641" s="21" t="s">
        <v>12</v>
      </c>
      <c r="D641" s="340">
        <v>0</v>
      </c>
      <c r="E641" s="282"/>
      <c r="F641" s="60">
        <v>200</v>
      </c>
      <c r="G641" s="18"/>
      <c r="H641" s="2">
        <f>ROUND(D641*F641,2)</f>
        <v>0</v>
      </c>
      <c r="I641" s="18">
        <f t="shared" si="40"/>
        <v>0</v>
      </c>
    </row>
    <row r="642" spans="1:10" hidden="1" outlineLevel="1" x14ac:dyDescent="0.25">
      <c r="A642" s="84"/>
      <c r="B642" s="329" t="s">
        <v>135</v>
      </c>
      <c r="C642" s="21" t="s">
        <v>12</v>
      </c>
      <c r="D642" s="340">
        <v>0</v>
      </c>
      <c r="E642" s="282"/>
      <c r="F642" s="60">
        <v>61.27</v>
      </c>
      <c r="G642" s="18"/>
      <c r="H642" s="2">
        <f>ROUND(D642*F642,2)</f>
        <v>0</v>
      </c>
      <c r="I642" s="18">
        <f t="shared" si="40"/>
        <v>0</v>
      </c>
    </row>
    <row r="643" spans="1:10" hidden="1" outlineLevel="1" x14ac:dyDescent="0.25">
      <c r="A643" s="84"/>
      <c r="B643" s="329" t="s">
        <v>433</v>
      </c>
      <c r="C643" s="21" t="s">
        <v>12</v>
      </c>
      <c r="D643" s="340">
        <v>0</v>
      </c>
      <c r="E643" s="282"/>
      <c r="F643" s="60">
        <v>40</v>
      </c>
      <c r="G643" s="18"/>
      <c r="H643" s="2">
        <f>ROUND(D643*F643,2)</f>
        <v>0</v>
      </c>
      <c r="I643" s="18">
        <f>G643+H643</f>
        <v>0</v>
      </c>
    </row>
    <row r="644" spans="1:10" hidden="1" outlineLevel="1" x14ac:dyDescent="0.25">
      <c r="A644" s="84" t="s">
        <v>548</v>
      </c>
      <c r="B644" s="307" t="s">
        <v>136</v>
      </c>
      <c r="C644" s="31" t="s">
        <v>29</v>
      </c>
      <c r="D644" s="306">
        <f>D645</f>
        <v>0</v>
      </c>
      <c r="E644" s="256">
        <v>150</v>
      </c>
      <c r="F644" s="60"/>
      <c r="G644" s="2">
        <f>ROUND(E644*D644,2)</f>
        <v>0</v>
      </c>
      <c r="H644" s="18"/>
      <c r="I644" s="18">
        <f t="shared" si="40"/>
        <v>0</v>
      </c>
    </row>
    <row r="645" spans="1:10" hidden="1" outlineLevel="1" x14ac:dyDescent="0.25">
      <c r="A645" s="84"/>
      <c r="B645" s="329" t="s">
        <v>432</v>
      </c>
      <c r="C645" s="21" t="s">
        <v>29</v>
      </c>
      <c r="D645" s="340">
        <v>0</v>
      </c>
      <c r="E645" s="282"/>
      <c r="F645" s="60">
        <f>107*3</f>
        <v>321</v>
      </c>
      <c r="G645" s="18"/>
      <c r="H645" s="2">
        <f>ROUND(D645*F645,2)</f>
        <v>0</v>
      </c>
      <c r="I645" s="18">
        <f t="shared" si="40"/>
        <v>0</v>
      </c>
    </row>
    <row r="646" spans="1:10" hidden="1" outlineLevel="1" x14ac:dyDescent="0.25">
      <c r="A646" s="84"/>
      <c r="B646" s="329" t="s">
        <v>708</v>
      </c>
      <c r="C646" s="21" t="s">
        <v>12</v>
      </c>
      <c r="D646" s="340">
        <v>0</v>
      </c>
      <c r="E646" s="282"/>
      <c r="F646" s="60">
        <v>205</v>
      </c>
      <c r="G646" s="18"/>
      <c r="H646" s="2">
        <f>ROUND(D646*F646,2)</f>
        <v>0</v>
      </c>
      <c r="I646" s="18">
        <f t="shared" si="40"/>
        <v>0</v>
      </c>
    </row>
    <row r="647" spans="1:10" hidden="1" outlineLevel="1" x14ac:dyDescent="0.25">
      <c r="A647" s="87" t="s">
        <v>549</v>
      </c>
      <c r="B647" s="29" t="s">
        <v>101</v>
      </c>
      <c r="C647" s="31" t="s">
        <v>29</v>
      </c>
      <c r="D647" s="31">
        <f>D639</f>
        <v>0</v>
      </c>
      <c r="E647" s="256">
        <v>150</v>
      </c>
      <c r="F647" s="60"/>
      <c r="G647" s="2">
        <f>ROUND(E647*D647,2)</f>
        <v>0</v>
      </c>
      <c r="H647" s="18"/>
      <c r="I647" s="18">
        <f t="shared" si="40"/>
        <v>0</v>
      </c>
    </row>
    <row r="648" spans="1:10" hidden="1" outlineLevel="1" x14ac:dyDescent="0.25">
      <c r="A648" s="84"/>
      <c r="B648" s="329" t="s">
        <v>174</v>
      </c>
      <c r="C648" s="21" t="s">
        <v>12</v>
      </c>
      <c r="D648" s="340">
        <v>0</v>
      </c>
      <c r="E648" s="282"/>
      <c r="F648" s="60">
        <v>200</v>
      </c>
      <c r="G648" s="18"/>
      <c r="H648" s="2">
        <f>ROUND(D648*F648,2)</f>
        <v>0</v>
      </c>
      <c r="I648" s="18">
        <f t="shared" si="40"/>
        <v>0</v>
      </c>
    </row>
    <row r="649" spans="1:10" hidden="1" outlineLevel="1" x14ac:dyDescent="0.25">
      <c r="A649" s="87" t="s">
        <v>550</v>
      </c>
      <c r="B649" s="307" t="s">
        <v>138</v>
      </c>
      <c r="C649" s="31" t="s">
        <v>12</v>
      </c>
      <c r="D649" s="306">
        <v>0</v>
      </c>
      <c r="E649" s="282"/>
      <c r="F649" s="60"/>
      <c r="G649" s="18"/>
      <c r="H649" s="18"/>
      <c r="I649" s="18">
        <f t="shared" si="40"/>
        <v>0</v>
      </c>
    </row>
    <row r="650" spans="1:10" hidden="1" outlineLevel="1" x14ac:dyDescent="0.25">
      <c r="A650" s="84"/>
      <c r="B650" s="329" t="s">
        <v>709</v>
      </c>
      <c r="C650" s="21" t="s">
        <v>12</v>
      </c>
      <c r="D650" s="340">
        <v>0</v>
      </c>
      <c r="E650" s="282"/>
      <c r="F650" s="60">
        <v>5555</v>
      </c>
      <c r="G650" s="18"/>
      <c r="H650" s="2">
        <f>ROUND(D650*F650,2)</f>
        <v>0</v>
      </c>
      <c r="I650" s="18">
        <f t="shared" si="40"/>
        <v>0</v>
      </c>
    </row>
    <row r="651" spans="1:10" hidden="1" outlineLevel="1" x14ac:dyDescent="0.25">
      <c r="A651" s="84"/>
      <c r="B651" s="329" t="s">
        <v>710</v>
      </c>
      <c r="C651" s="21" t="s">
        <v>12</v>
      </c>
      <c r="D651" s="340">
        <v>0</v>
      </c>
      <c r="E651" s="282"/>
      <c r="F651" s="164">
        <v>300</v>
      </c>
      <c r="G651" s="18"/>
      <c r="H651" s="2">
        <f>ROUND(D651*F651,2)</f>
        <v>0</v>
      </c>
      <c r="I651" s="18">
        <f>G651+H651</f>
        <v>0</v>
      </c>
    </row>
    <row r="652" spans="1:10" ht="31.2" hidden="1" outlineLevel="1" x14ac:dyDescent="0.25">
      <c r="A652" s="87" t="s">
        <v>551</v>
      </c>
      <c r="B652" s="29" t="s">
        <v>434</v>
      </c>
      <c r="C652" s="31" t="s">
        <v>29</v>
      </c>
      <c r="D652" s="31">
        <f>D653</f>
        <v>0</v>
      </c>
      <c r="E652" s="256">
        <v>250</v>
      </c>
      <c r="F652" s="60"/>
      <c r="G652" s="2">
        <f>ROUND(E652*D652,2)</f>
        <v>0</v>
      </c>
      <c r="H652" s="18"/>
      <c r="I652" s="18">
        <f t="shared" si="40"/>
        <v>0</v>
      </c>
    </row>
    <row r="653" spans="1:10" hidden="1" outlineLevel="1" x14ac:dyDescent="0.25">
      <c r="A653" s="84"/>
      <c r="B653" s="329" t="s">
        <v>114</v>
      </c>
      <c r="C653" s="21" t="s">
        <v>29</v>
      </c>
      <c r="D653" s="340">
        <v>0</v>
      </c>
      <c r="E653" s="18"/>
      <c r="F653" s="60">
        <v>103.95</v>
      </c>
      <c r="G653" s="18"/>
      <c r="H653" s="2">
        <f>ROUND(D653*F653,2)</f>
        <v>0</v>
      </c>
      <c r="I653" s="18">
        <f t="shared" si="40"/>
        <v>0</v>
      </c>
    </row>
    <row r="654" spans="1:10" hidden="1" outlineLevel="1" x14ac:dyDescent="0.25">
      <c r="A654" s="84"/>
      <c r="B654" s="329" t="s">
        <v>703</v>
      </c>
      <c r="C654" s="21" t="s">
        <v>14</v>
      </c>
      <c r="D654" s="340">
        <v>0</v>
      </c>
      <c r="E654" s="18"/>
      <c r="F654" s="164">
        <v>100</v>
      </c>
      <c r="G654" s="18"/>
      <c r="H654" s="2">
        <f>ROUND(D654*F654,2)</f>
        <v>0</v>
      </c>
      <c r="I654" s="18">
        <f t="shared" si="40"/>
        <v>0</v>
      </c>
    </row>
    <row r="655" spans="1:10" hidden="1" outlineLevel="1" x14ac:dyDescent="0.25">
      <c r="A655" s="84"/>
      <c r="B655" s="192" t="s">
        <v>140</v>
      </c>
      <c r="C655" s="2"/>
      <c r="D655" s="2"/>
      <c r="E655" s="2"/>
      <c r="F655" s="11"/>
      <c r="G655" s="18"/>
      <c r="H655" s="18"/>
      <c r="I655" s="18">
        <f t="shared" si="40"/>
        <v>0</v>
      </c>
    </row>
    <row r="656" spans="1:10" ht="31.2" hidden="1" outlineLevel="1" x14ac:dyDescent="0.25">
      <c r="A656" s="84"/>
      <c r="B656" s="307" t="s">
        <v>112</v>
      </c>
      <c r="C656" s="2" t="s">
        <v>29</v>
      </c>
      <c r="D656" s="306">
        <f>D657</f>
        <v>0</v>
      </c>
      <c r="E656" s="31">
        <v>250</v>
      </c>
      <c r="F656" s="60"/>
      <c r="G656" s="2">
        <f>ROUND(E656*D656,2)</f>
        <v>0</v>
      </c>
      <c r="H656" s="18"/>
      <c r="I656" s="18">
        <f>G656+H656</f>
        <v>0</v>
      </c>
      <c r="J656" s="780"/>
    </row>
    <row r="657" spans="1:10" hidden="1" outlineLevel="1" x14ac:dyDescent="0.25">
      <c r="A657" s="84"/>
      <c r="B657" s="329" t="s">
        <v>711</v>
      </c>
      <c r="C657" s="21" t="s">
        <v>29</v>
      </c>
      <c r="D657" s="340">
        <v>0</v>
      </c>
      <c r="E657" s="2"/>
      <c r="F657" s="11">
        <v>103.95</v>
      </c>
      <c r="G657" s="158"/>
      <c r="H657" s="2">
        <f t="shared" ref="H657:H667" si="42">ROUND(D657*F657,2)</f>
        <v>0</v>
      </c>
      <c r="I657" s="18">
        <f t="shared" si="40"/>
        <v>0</v>
      </c>
      <c r="J657" s="780"/>
    </row>
    <row r="658" spans="1:10" hidden="1" outlineLevel="1" x14ac:dyDescent="0.25">
      <c r="A658" s="84"/>
      <c r="B658" s="329" t="s">
        <v>91</v>
      </c>
      <c r="C658" s="21" t="s">
        <v>15</v>
      </c>
      <c r="D658" s="340">
        <v>0</v>
      </c>
      <c r="E658" s="2"/>
      <c r="F658" s="11">
        <v>42</v>
      </c>
      <c r="G658" s="158"/>
      <c r="H658" s="2">
        <f t="shared" si="42"/>
        <v>0</v>
      </c>
      <c r="I658" s="18">
        <f t="shared" si="40"/>
        <v>0</v>
      </c>
      <c r="J658" s="780"/>
    </row>
    <row r="659" spans="1:10" hidden="1" outlineLevel="1" x14ac:dyDescent="0.25">
      <c r="A659" s="84"/>
      <c r="B659" s="307" t="s">
        <v>141</v>
      </c>
      <c r="C659" s="2" t="s">
        <v>12</v>
      </c>
      <c r="D659" s="340">
        <v>0</v>
      </c>
      <c r="E659" s="2"/>
      <c r="F659" s="11"/>
      <c r="G659" s="158"/>
      <c r="H659" s="2">
        <f t="shared" si="42"/>
        <v>0</v>
      </c>
      <c r="I659" s="18">
        <f t="shared" si="40"/>
        <v>0</v>
      </c>
      <c r="J659" s="780"/>
    </row>
    <row r="660" spans="1:10" hidden="1" outlineLevel="1" x14ac:dyDescent="0.25">
      <c r="A660" s="84"/>
      <c r="B660" s="329" t="s">
        <v>142</v>
      </c>
      <c r="C660" s="21" t="s">
        <v>12</v>
      </c>
      <c r="D660" s="340">
        <v>0</v>
      </c>
      <c r="E660" s="2"/>
      <c r="F660" s="11">
        <v>586.74</v>
      </c>
      <c r="G660" s="158"/>
      <c r="H660" s="2">
        <f t="shared" si="42"/>
        <v>0</v>
      </c>
      <c r="I660" s="18">
        <f t="shared" si="40"/>
        <v>0</v>
      </c>
      <c r="J660" s="780"/>
    </row>
    <row r="661" spans="1:10" hidden="1" outlineLevel="1" x14ac:dyDescent="0.25">
      <c r="A661" s="84"/>
      <c r="B661" s="329" t="s">
        <v>143</v>
      </c>
      <c r="C661" s="21" t="s">
        <v>12</v>
      </c>
      <c r="D661" s="340">
        <v>0</v>
      </c>
      <c r="E661" s="2"/>
      <c r="F661" s="11">
        <v>429</v>
      </c>
      <c r="G661" s="158"/>
      <c r="H661" s="2">
        <f t="shared" si="42"/>
        <v>0</v>
      </c>
      <c r="I661" s="18">
        <f t="shared" si="40"/>
        <v>0</v>
      </c>
      <c r="J661" s="780"/>
    </row>
    <row r="662" spans="1:10" hidden="1" outlineLevel="1" x14ac:dyDescent="0.25">
      <c r="A662" s="84"/>
      <c r="B662" s="329" t="s">
        <v>712</v>
      </c>
      <c r="C662" s="21" t="s">
        <v>12</v>
      </c>
      <c r="D662" s="340">
        <v>0</v>
      </c>
      <c r="E662" s="18"/>
      <c r="F662" s="164">
        <v>100</v>
      </c>
      <c r="G662" s="18"/>
      <c r="H662" s="2">
        <f t="shared" si="42"/>
        <v>0</v>
      </c>
      <c r="I662" s="18">
        <f t="shared" si="40"/>
        <v>0</v>
      </c>
      <c r="J662" s="780"/>
    </row>
    <row r="663" spans="1:10" hidden="1" outlineLevel="1" x14ac:dyDescent="0.25">
      <c r="A663" s="84"/>
      <c r="B663" s="329" t="s">
        <v>713</v>
      </c>
      <c r="C663" s="21" t="s">
        <v>12</v>
      </c>
      <c r="D663" s="340">
        <v>0</v>
      </c>
      <c r="E663" s="282"/>
      <c r="F663" s="164">
        <v>40</v>
      </c>
      <c r="G663" s="18"/>
      <c r="H663" s="2">
        <f>ROUND(D663*F663,2)</f>
        <v>0</v>
      </c>
      <c r="I663" s="18">
        <f>G663+H663</f>
        <v>0</v>
      </c>
      <c r="J663" s="780"/>
    </row>
    <row r="664" spans="1:10" hidden="1" outlineLevel="1" x14ac:dyDescent="0.25">
      <c r="A664" s="84"/>
      <c r="B664" s="307" t="s">
        <v>101</v>
      </c>
      <c r="C664" s="2" t="s">
        <v>29</v>
      </c>
      <c r="D664" s="340">
        <f>D656</f>
        <v>0</v>
      </c>
      <c r="E664" s="2"/>
      <c r="F664" s="11"/>
      <c r="G664" s="158"/>
      <c r="H664" s="2">
        <f t="shared" si="42"/>
        <v>0</v>
      </c>
      <c r="I664" s="18">
        <f t="shared" si="40"/>
        <v>0</v>
      </c>
      <c r="J664" s="780"/>
    </row>
    <row r="665" spans="1:10" hidden="1" outlineLevel="1" x14ac:dyDescent="0.25">
      <c r="A665" s="84"/>
      <c r="B665" s="329" t="s">
        <v>137</v>
      </c>
      <c r="C665" s="21" t="s">
        <v>12</v>
      </c>
      <c r="D665" s="340">
        <v>0</v>
      </c>
      <c r="E665" s="2"/>
      <c r="F665" s="11">
        <v>200</v>
      </c>
      <c r="G665" s="158"/>
      <c r="H665" s="2">
        <f t="shared" si="42"/>
        <v>0</v>
      </c>
      <c r="I665" s="18">
        <f t="shared" si="40"/>
        <v>0</v>
      </c>
      <c r="J665" s="780"/>
    </row>
    <row r="666" spans="1:10" hidden="1" outlineLevel="1" x14ac:dyDescent="0.25">
      <c r="A666" s="84"/>
      <c r="B666" s="329" t="s">
        <v>703</v>
      </c>
      <c r="C666" s="21" t="s">
        <v>14</v>
      </c>
      <c r="D666" s="340">
        <v>0</v>
      </c>
      <c r="E666" s="18"/>
      <c r="F666" s="164">
        <v>100</v>
      </c>
      <c r="G666" s="18"/>
      <c r="H666" s="2">
        <f t="shared" si="42"/>
        <v>0</v>
      </c>
      <c r="I666" s="18">
        <f>G666+H666</f>
        <v>0</v>
      </c>
      <c r="J666" s="359"/>
    </row>
    <row r="667" spans="1:10" hidden="1" outlineLevel="1" x14ac:dyDescent="0.25">
      <c r="A667" s="84" t="s">
        <v>84</v>
      </c>
      <c r="B667" s="75" t="s">
        <v>144</v>
      </c>
      <c r="C667" s="2"/>
      <c r="D667" s="2"/>
      <c r="E667" s="2"/>
      <c r="F667" s="11"/>
      <c r="G667" s="18"/>
      <c r="H667" s="2">
        <f t="shared" si="42"/>
        <v>0</v>
      </c>
      <c r="I667" s="18">
        <f t="shared" si="40"/>
        <v>0</v>
      </c>
    </row>
    <row r="668" spans="1:10" ht="31.2" hidden="1" outlineLevel="1" x14ac:dyDescent="0.25">
      <c r="A668" s="84" t="s">
        <v>552</v>
      </c>
      <c r="B668" s="177" t="s">
        <v>145</v>
      </c>
      <c r="C668" s="31" t="s">
        <v>29</v>
      </c>
      <c r="D668" s="31">
        <v>0</v>
      </c>
      <c r="E668" s="256">
        <v>30</v>
      </c>
      <c r="F668" s="60"/>
      <c r="G668" s="2"/>
      <c r="H668" s="18"/>
      <c r="I668" s="18"/>
    </row>
    <row r="669" spans="1:10" hidden="1" outlineLevel="1" x14ac:dyDescent="0.25">
      <c r="A669" s="84"/>
      <c r="B669" s="173" t="s">
        <v>146</v>
      </c>
      <c r="C669" s="21" t="s">
        <v>12</v>
      </c>
      <c r="D669" s="184">
        <v>0</v>
      </c>
      <c r="E669" s="18"/>
      <c r="F669" s="60">
        <v>9275</v>
      </c>
      <c r="G669" s="18"/>
      <c r="H669" s="2"/>
      <c r="I669" s="18"/>
    </row>
    <row r="670" spans="1:10" hidden="1" outlineLevel="1" x14ac:dyDescent="0.25">
      <c r="A670" s="84"/>
      <c r="B670" s="173" t="s">
        <v>147</v>
      </c>
      <c r="C670" s="21" t="s">
        <v>29</v>
      </c>
      <c r="D670" s="2">
        <f>D668</f>
        <v>0</v>
      </c>
      <c r="E670" s="18"/>
      <c r="F670" s="60">
        <v>3</v>
      </c>
      <c r="G670" s="18"/>
      <c r="H670" s="2"/>
      <c r="I670" s="18"/>
    </row>
    <row r="671" spans="1:10" ht="31.2" hidden="1" outlineLevel="1" x14ac:dyDescent="0.25">
      <c r="A671" s="84" t="s">
        <v>331</v>
      </c>
      <c r="B671" s="75" t="s">
        <v>148</v>
      </c>
      <c r="C671" s="2"/>
      <c r="D671" s="2"/>
      <c r="E671" s="2"/>
      <c r="F671" s="11"/>
      <c r="G671" s="18"/>
      <c r="H671" s="18"/>
      <c r="I671" s="18">
        <f t="shared" si="40"/>
        <v>0</v>
      </c>
    </row>
    <row r="672" spans="1:10" hidden="1" outlineLevel="1" x14ac:dyDescent="0.25">
      <c r="A672" s="84"/>
      <c r="B672" s="177" t="s">
        <v>149</v>
      </c>
      <c r="C672" s="158" t="s">
        <v>12</v>
      </c>
      <c r="D672" s="158">
        <v>0</v>
      </c>
      <c r="E672" s="158"/>
      <c r="F672" s="164"/>
      <c r="G672" s="158"/>
      <c r="H672" s="158"/>
      <c r="I672" s="158"/>
      <c r="J672" s="780" t="s">
        <v>625</v>
      </c>
    </row>
    <row r="673" spans="1:10" ht="31.2" hidden="1" outlineLevel="1" x14ac:dyDescent="0.25">
      <c r="A673" s="84"/>
      <c r="B673" s="173" t="s">
        <v>150</v>
      </c>
      <c r="C673" s="171" t="s">
        <v>12</v>
      </c>
      <c r="D673" s="158">
        <v>0</v>
      </c>
      <c r="E673" s="158"/>
      <c r="F673" s="164">
        <f>2352*1.18</f>
        <v>2775.3599999999997</v>
      </c>
      <c r="G673" s="158"/>
      <c r="H673" s="158"/>
      <c r="I673" s="158"/>
      <c r="J673" s="780"/>
    </row>
    <row r="674" spans="1:10" hidden="1" outlineLevel="1" x14ac:dyDescent="0.25">
      <c r="A674" s="84" t="s">
        <v>553</v>
      </c>
      <c r="B674" s="307" t="s">
        <v>151</v>
      </c>
      <c r="C674" s="31" t="s">
        <v>29</v>
      </c>
      <c r="D674" s="306">
        <f>D675</f>
        <v>0</v>
      </c>
      <c r="E674" s="256">
        <v>100</v>
      </c>
      <c r="F674" s="60"/>
      <c r="G674" s="2">
        <f>ROUND(E674*D674,2)</f>
        <v>0</v>
      </c>
      <c r="H674" s="18"/>
      <c r="I674" s="18">
        <f t="shared" si="40"/>
        <v>0</v>
      </c>
    </row>
    <row r="675" spans="1:10" hidden="1" outlineLevel="1" x14ac:dyDescent="0.25">
      <c r="A675" s="84"/>
      <c r="B675" s="329" t="s">
        <v>701</v>
      </c>
      <c r="C675" s="21" t="s">
        <v>29</v>
      </c>
      <c r="D675" s="340">
        <v>0</v>
      </c>
      <c r="E675" s="18"/>
      <c r="F675" s="60">
        <f>2779*1.18</f>
        <v>3279.22</v>
      </c>
      <c r="G675" s="18"/>
      <c r="H675" s="2">
        <f>ROUND(D675*F675,2)</f>
        <v>0</v>
      </c>
      <c r="I675" s="18">
        <f t="shared" si="40"/>
        <v>0</v>
      </c>
    </row>
    <row r="676" spans="1:10" ht="31.2" hidden="1" outlineLevel="1" x14ac:dyDescent="0.25">
      <c r="A676" s="84" t="s">
        <v>554</v>
      </c>
      <c r="B676" s="307" t="s">
        <v>152</v>
      </c>
      <c r="C676" s="31" t="s">
        <v>29</v>
      </c>
      <c r="D676" s="306">
        <f>D677</f>
        <v>0</v>
      </c>
      <c r="E676" s="256">
        <v>85</v>
      </c>
      <c r="F676" s="60"/>
      <c r="G676" s="2">
        <f>ROUND(E676*D676,2)</f>
        <v>0</v>
      </c>
      <c r="H676" s="18"/>
      <c r="I676" s="18">
        <f t="shared" si="40"/>
        <v>0</v>
      </c>
    </row>
    <row r="677" spans="1:10" hidden="1" outlineLevel="1" x14ac:dyDescent="0.25">
      <c r="A677" s="84"/>
      <c r="B677" s="329" t="s">
        <v>438</v>
      </c>
      <c r="C677" s="21" t="s">
        <v>29</v>
      </c>
      <c r="D677" s="340">
        <v>0</v>
      </c>
      <c r="E677" s="18"/>
      <c r="F677" s="60">
        <f>1626.1/5.5</f>
        <v>295.65454545454543</v>
      </c>
      <c r="G677" s="18"/>
      <c r="H677" s="2">
        <f>ROUND(D677*F677,2)</f>
        <v>0</v>
      </c>
      <c r="I677" s="18">
        <f t="shared" si="40"/>
        <v>0</v>
      </c>
    </row>
    <row r="678" spans="1:10" s="6" customFormat="1" hidden="1" outlineLevel="1" x14ac:dyDescent="0.25">
      <c r="A678" s="84" t="s">
        <v>555</v>
      </c>
      <c r="B678" s="307" t="s">
        <v>153</v>
      </c>
      <c r="C678" s="31" t="s">
        <v>12</v>
      </c>
      <c r="D678" s="306">
        <v>0</v>
      </c>
      <c r="E678" s="5"/>
      <c r="F678" s="60"/>
      <c r="G678" s="18"/>
      <c r="H678" s="18"/>
      <c r="I678" s="18">
        <f t="shared" si="40"/>
        <v>0</v>
      </c>
    </row>
    <row r="679" spans="1:10" hidden="1" outlineLevel="1" x14ac:dyDescent="0.25">
      <c r="A679" s="84"/>
      <c r="B679" s="329" t="s">
        <v>436</v>
      </c>
      <c r="C679" s="21" t="s">
        <v>12</v>
      </c>
      <c r="D679" s="340">
        <v>0</v>
      </c>
      <c r="E679" s="18"/>
      <c r="F679" s="60">
        <v>480.3</v>
      </c>
      <c r="G679" s="18"/>
      <c r="H679" s="2">
        <f>ROUND(D679*F679,2)</f>
        <v>0</v>
      </c>
      <c r="I679" s="18">
        <f t="shared" si="40"/>
        <v>0</v>
      </c>
    </row>
    <row r="680" spans="1:10" hidden="1" outlineLevel="1" x14ac:dyDescent="0.25">
      <c r="A680" s="84"/>
      <c r="B680" s="329" t="s">
        <v>435</v>
      </c>
      <c r="C680" s="21" t="s">
        <v>12</v>
      </c>
      <c r="D680" s="340">
        <v>0</v>
      </c>
      <c r="E680" s="18"/>
      <c r="F680" s="60">
        <v>322.2</v>
      </c>
      <c r="G680" s="18"/>
      <c r="H680" s="2">
        <f>ROUND(D680*F680,2)</f>
        <v>0</v>
      </c>
      <c r="I680" s="18">
        <f t="shared" si="40"/>
        <v>0</v>
      </c>
    </row>
    <row r="681" spans="1:10" hidden="1" outlineLevel="1" x14ac:dyDescent="0.25">
      <c r="A681" s="84" t="s">
        <v>556</v>
      </c>
      <c r="B681" s="75" t="s">
        <v>92</v>
      </c>
      <c r="C681" s="2"/>
      <c r="D681" s="2"/>
      <c r="E681" s="2"/>
      <c r="F681" s="11"/>
      <c r="G681" s="18"/>
      <c r="H681" s="18"/>
      <c r="I681" s="18">
        <f t="shared" si="40"/>
        <v>0</v>
      </c>
    </row>
    <row r="682" spans="1:10" ht="31.2" hidden="1" outlineLevel="1" x14ac:dyDescent="0.25">
      <c r="A682" s="84" t="s">
        <v>557</v>
      </c>
      <c r="B682" s="9" t="s">
        <v>93</v>
      </c>
      <c r="C682" s="31" t="s">
        <v>29</v>
      </c>
      <c r="D682" s="31">
        <v>0</v>
      </c>
      <c r="E682" s="256">
        <v>150</v>
      </c>
      <c r="F682" s="60"/>
      <c r="G682" s="2">
        <f>ROUND(E682*D682,2)</f>
        <v>0</v>
      </c>
      <c r="H682" s="18"/>
      <c r="I682" s="18">
        <f t="shared" si="40"/>
        <v>0</v>
      </c>
    </row>
    <row r="683" spans="1:10" hidden="1" outlineLevel="1" x14ac:dyDescent="0.25">
      <c r="A683" s="84"/>
      <c r="B683" s="343" t="s">
        <v>94</v>
      </c>
      <c r="C683" s="21" t="s">
        <v>29</v>
      </c>
      <c r="D683" s="340">
        <v>0</v>
      </c>
      <c r="E683" s="282"/>
      <c r="F683" s="60">
        <v>64.900000000000006</v>
      </c>
      <c r="G683" s="18"/>
      <c r="H683" s="2">
        <f>ROUND(D683*F683,2)</f>
        <v>0</v>
      </c>
      <c r="I683" s="18">
        <f t="shared" si="40"/>
        <v>0</v>
      </c>
    </row>
    <row r="684" spans="1:10" ht="31.2" hidden="1" outlineLevel="1" x14ac:dyDescent="0.25">
      <c r="A684" s="84" t="s">
        <v>558</v>
      </c>
      <c r="B684" s="29" t="s">
        <v>95</v>
      </c>
      <c r="C684" s="31" t="s">
        <v>29</v>
      </c>
      <c r="D684" s="31">
        <f>D685+D686+D687+D688</f>
        <v>0</v>
      </c>
      <c r="E684" s="256">
        <v>85</v>
      </c>
      <c r="F684" s="60"/>
      <c r="G684" s="2">
        <f>ROUND(E684*D684,2)</f>
        <v>0</v>
      </c>
      <c r="H684" s="18"/>
      <c r="I684" s="18">
        <f t="shared" si="40"/>
        <v>0</v>
      </c>
    </row>
    <row r="685" spans="1:10" hidden="1" outlineLevel="1" x14ac:dyDescent="0.25">
      <c r="A685" s="84"/>
      <c r="B685" s="343" t="s">
        <v>96</v>
      </c>
      <c r="C685" s="21" t="s">
        <v>29</v>
      </c>
      <c r="D685" s="340">
        <v>0</v>
      </c>
      <c r="E685" s="282"/>
      <c r="F685" s="60">
        <v>22.07</v>
      </c>
      <c r="G685" s="18"/>
      <c r="H685" s="2">
        <f t="shared" ref="H685:H692" si="43">ROUND(D685*F685,2)</f>
        <v>0</v>
      </c>
      <c r="I685" s="18">
        <f t="shared" ref="I685:I715" si="44">G685+H685</f>
        <v>0</v>
      </c>
    </row>
    <row r="686" spans="1:10" hidden="1" outlineLevel="1" x14ac:dyDescent="0.25">
      <c r="A686" s="84"/>
      <c r="B686" s="343" t="s">
        <v>97</v>
      </c>
      <c r="C686" s="21" t="s">
        <v>29</v>
      </c>
      <c r="D686" s="340">
        <v>0</v>
      </c>
      <c r="E686" s="282"/>
      <c r="F686" s="60">
        <v>25.75</v>
      </c>
      <c r="G686" s="18"/>
      <c r="H686" s="2">
        <f t="shared" si="43"/>
        <v>0</v>
      </c>
      <c r="I686" s="18">
        <f t="shared" si="44"/>
        <v>0</v>
      </c>
    </row>
    <row r="687" spans="1:10" hidden="1" outlineLevel="1" x14ac:dyDescent="0.25">
      <c r="A687" s="84"/>
      <c r="B687" s="343" t="s">
        <v>98</v>
      </c>
      <c r="C687" s="21" t="s">
        <v>29</v>
      </c>
      <c r="D687" s="340">
        <v>0</v>
      </c>
      <c r="E687" s="282"/>
      <c r="F687" s="60">
        <v>58.9</v>
      </c>
      <c r="G687" s="18"/>
      <c r="H687" s="2">
        <f t="shared" si="43"/>
        <v>0</v>
      </c>
      <c r="I687" s="18">
        <f t="shared" si="44"/>
        <v>0</v>
      </c>
    </row>
    <row r="688" spans="1:10" hidden="1" outlineLevel="1" x14ac:dyDescent="0.25">
      <c r="A688" s="84"/>
      <c r="B688" s="343" t="s">
        <v>241</v>
      </c>
      <c r="C688" s="21" t="s">
        <v>29</v>
      </c>
      <c r="D688" s="340">
        <v>0</v>
      </c>
      <c r="E688" s="282"/>
      <c r="F688" s="60">
        <v>75</v>
      </c>
      <c r="G688" s="18"/>
      <c r="H688" s="2">
        <f t="shared" si="43"/>
        <v>0</v>
      </c>
      <c r="I688" s="18">
        <f>G688+H688</f>
        <v>0</v>
      </c>
    </row>
    <row r="689" spans="1:9" hidden="1" outlineLevel="1" x14ac:dyDescent="0.25">
      <c r="A689" s="84"/>
      <c r="B689" s="329" t="s">
        <v>99</v>
      </c>
      <c r="C689" s="21" t="s">
        <v>12</v>
      </c>
      <c r="D689" s="340">
        <v>0</v>
      </c>
      <c r="E689" s="282"/>
      <c r="F689" s="60">
        <v>198</v>
      </c>
      <c r="G689" s="18"/>
      <c r="H689" s="2">
        <f t="shared" si="43"/>
        <v>0</v>
      </c>
      <c r="I689" s="18">
        <f t="shared" si="44"/>
        <v>0</v>
      </c>
    </row>
    <row r="690" spans="1:9" hidden="1" outlineLevel="1" x14ac:dyDescent="0.25">
      <c r="A690" s="84"/>
      <c r="B690" s="329" t="s">
        <v>100</v>
      </c>
      <c r="C690" s="21" t="s">
        <v>12</v>
      </c>
      <c r="D690" s="340">
        <v>0</v>
      </c>
      <c r="E690" s="282"/>
      <c r="F690" s="60">
        <v>198</v>
      </c>
      <c r="G690" s="18"/>
      <c r="H690" s="2">
        <f t="shared" si="43"/>
        <v>0</v>
      </c>
      <c r="I690" s="18">
        <f t="shared" si="44"/>
        <v>0</v>
      </c>
    </row>
    <row r="691" spans="1:9" ht="31.2" hidden="1" outlineLevel="1" x14ac:dyDescent="0.25">
      <c r="A691" s="84"/>
      <c r="B691" s="329" t="s">
        <v>107</v>
      </c>
      <c r="C691" s="21" t="s">
        <v>12</v>
      </c>
      <c r="D691" s="360">
        <v>0</v>
      </c>
      <c r="E691" s="282"/>
      <c r="F691" s="361">
        <v>70</v>
      </c>
      <c r="G691" s="18"/>
      <c r="H691" s="2">
        <f t="shared" si="43"/>
        <v>0</v>
      </c>
      <c r="I691" s="18">
        <f t="shared" si="44"/>
        <v>0</v>
      </c>
    </row>
    <row r="692" spans="1:9" ht="31.2" hidden="1" outlineLevel="1" x14ac:dyDescent="0.25">
      <c r="A692" s="84"/>
      <c r="B692" s="329" t="s">
        <v>242</v>
      </c>
      <c r="C692" s="21" t="s">
        <v>29</v>
      </c>
      <c r="D692" s="340">
        <v>0</v>
      </c>
      <c r="E692" s="282"/>
      <c r="F692" s="60">
        <v>35</v>
      </c>
      <c r="G692" s="18"/>
      <c r="H692" s="2">
        <f t="shared" si="43"/>
        <v>0</v>
      </c>
      <c r="I692" s="18">
        <f>G692+H692</f>
        <v>0</v>
      </c>
    </row>
    <row r="693" spans="1:9" hidden="1" outlineLevel="1" x14ac:dyDescent="0.25">
      <c r="A693" s="84" t="s">
        <v>559</v>
      </c>
      <c r="B693" s="29" t="s">
        <v>101</v>
      </c>
      <c r="C693" s="31" t="s">
        <v>29</v>
      </c>
      <c r="D693" s="306">
        <f>D694</f>
        <v>0</v>
      </c>
      <c r="E693" s="256">
        <v>30</v>
      </c>
      <c r="F693" s="60"/>
      <c r="G693" s="2">
        <f>ROUND(E693*D693,2)</f>
        <v>0</v>
      </c>
      <c r="H693" s="18"/>
      <c r="I693" s="18">
        <f t="shared" si="44"/>
        <v>0</v>
      </c>
    </row>
    <row r="694" spans="1:9" hidden="1" outlineLevel="1" x14ac:dyDescent="0.25">
      <c r="A694" s="84"/>
      <c r="B694" s="329" t="s">
        <v>175</v>
      </c>
      <c r="C694" s="21" t="s">
        <v>29</v>
      </c>
      <c r="D694" s="340">
        <v>0</v>
      </c>
      <c r="E694" s="18"/>
      <c r="F694" s="164">
        <v>74</v>
      </c>
      <c r="G694" s="18"/>
      <c r="H694" s="2">
        <f>ROUND(D694*F694,2)</f>
        <v>0</v>
      </c>
      <c r="I694" s="18">
        <f t="shared" si="44"/>
        <v>0</v>
      </c>
    </row>
    <row r="695" spans="1:9" hidden="1" outlineLevel="1" x14ac:dyDescent="0.25">
      <c r="A695" s="84" t="s">
        <v>560</v>
      </c>
      <c r="B695" s="29" t="s">
        <v>102</v>
      </c>
      <c r="C695" s="31" t="s">
        <v>12</v>
      </c>
      <c r="D695" s="306">
        <f>D696</f>
        <v>0</v>
      </c>
      <c r="E695" s="256">
        <v>500</v>
      </c>
      <c r="F695" s="60"/>
      <c r="G695" s="2">
        <f>ROUND(E695*D695,2)</f>
        <v>0</v>
      </c>
      <c r="H695" s="18"/>
      <c r="I695" s="18">
        <f t="shared" si="44"/>
        <v>0</v>
      </c>
    </row>
    <row r="696" spans="1:9" hidden="1" outlineLevel="1" x14ac:dyDescent="0.25">
      <c r="A696" s="84"/>
      <c r="B696" s="343" t="s">
        <v>103</v>
      </c>
      <c r="C696" s="21" t="s">
        <v>12</v>
      </c>
      <c r="D696" s="340">
        <v>0</v>
      </c>
      <c r="E696" s="282"/>
      <c r="F696" s="60">
        <v>400</v>
      </c>
      <c r="G696" s="18"/>
      <c r="H696" s="2">
        <f>ROUND(D696*F696,2)</f>
        <v>0</v>
      </c>
      <c r="I696" s="18">
        <f t="shared" si="44"/>
        <v>0</v>
      </c>
    </row>
    <row r="697" spans="1:9" hidden="1" outlineLevel="1" x14ac:dyDescent="0.25">
      <c r="A697" s="84"/>
      <c r="B697" s="343" t="s">
        <v>104</v>
      </c>
      <c r="C697" s="21" t="s">
        <v>12</v>
      </c>
      <c r="D697" s="340">
        <f>D696</f>
        <v>0</v>
      </c>
      <c r="E697" s="282"/>
      <c r="F697" s="60">
        <v>210.8</v>
      </c>
      <c r="G697" s="18"/>
      <c r="H697" s="2">
        <f>ROUND(D697*F697,2)</f>
        <v>0</v>
      </c>
      <c r="I697" s="18">
        <f t="shared" si="44"/>
        <v>0</v>
      </c>
    </row>
    <row r="698" spans="1:9" hidden="1" outlineLevel="1" x14ac:dyDescent="0.25">
      <c r="A698" s="84" t="s">
        <v>561</v>
      </c>
      <c r="B698" s="29" t="s">
        <v>105</v>
      </c>
      <c r="C698" s="31" t="s">
        <v>12</v>
      </c>
      <c r="D698" s="306">
        <f>D697</f>
        <v>0</v>
      </c>
      <c r="E698" s="256">
        <v>520</v>
      </c>
      <c r="F698" s="60"/>
      <c r="G698" s="2">
        <f>ROUND(E698*D698,2)</f>
        <v>0</v>
      </c>
      <c r="H698" s="18"/>
      <c r="I698" s="18">
        <f t="shared" si="44"/>
        <v>0</v>
      </c>
    </row>
    <row r="699" spans="1:9" ht="31.2" hidden="1" outlineLevel="1" x14ac:dyDescent="0.25">
      <c r="A699" s="84"/>
      <c r="B699" s="343" t="s">
        <v>106</v>
      </c>
      <c r="C699" s="21" t="s">
        <v>12</v>
      </c>
      <c r="D699" s="340">
        <f>D698</f>
        <v>0</v>
      </c>
      <c r="E699" s="282"/>
      <c r="F699" s="60">
        <v>900</v>
      </c>
      <c r="G699" s="18"/>
      <c r="H699" s="2">
        <f>ROUND(D699*F699,2)</f>
        <v>0</v>
      </c>
      <c r="I699" s="18">
        <f t="shared" si="44"/>
        <v>0</v>
      </c>
    </row>
    <row r="700" spans="1:9" hidden="1" outlineLevel="1" x14ac:dyDescent="0.25">
      <c r="A700" s="84" t="s">
        <v>562</v>
      </c>
      <c r="B700" s="75" t="s">
        <v>108</v>
      </c>
      <c r="C700" s="2"/>
      <c r="D700" s="158"/>
      <c r="E700" s="282"/>
      <c r="F700" s="11"/>
      <c r="G700" s="18"/>
      <c r="H700" s="18"/>
      <c r="I700" s="18">
        <f t="shared" si="44"/>
        <v>0</v>
      </c>
    </row>
    <row r="701" spans="1:9" ht="31.2" hidden="1" outlineLevel="1" x14ac:dyDescent="0.25">
      <c r="A701" s="84" t="s">
        <v>563</v>
      </c>
      <c r="B701" s="29" t="s">
        <v>110</v>
      </c>
      <c r="C701" s="31" t="s">
        <v>29</v>
      </c>
      <c r="D701" s="31">
        <f>D702</f>
        <v>0</v>
      </c>
      <c r="E701" s="256">
        <v>85</v>
      </c>
      <c r="F701" s="60"/>
      <c r="G701" s="2">
        <f>ROUND(E701*D701,2)</f>
        <v>0</v>
      </c>
      <c r="H701" s="18">
        <f>D701*F701</f>
        <v>0</v>
      </c>
      <c r="I701" s="18">
        <f t="shared" si="44"/>
        <v>0</v>
      </c>
    </row>
    <row r="702" spans="1:9" ht="31.2" hidden="1" outlineLevel="1" x14ac:dyDescent="0.25">
      <c r="A702" s="84"/>
      <c r="B702" s="343" t="s">
        <v>109</v>
      </c>
      <c r="C702" s="21" t="s">
        <v>29</v>
      </c>
      <c r="D702" s="340">
        <v>0</v>
      </c>
      <c r="E702" s="18"/>
      <c r="F702" s="361">
        <v>170</v>
      </c>
      <c r="G702" s="18"/>
      <c r="H702" s="2">
        <f>ROUND(D702*F702,2)</f>
        <v>0</v>
      </c>
      <c r="I702" s="18">
        <f t="shared" si="44"/>
        <v>0</v>
      </c>
    </row>
    <row r="703" spans="1:9" hidden="1" outlineLevel="1" x14ac:dyDescent="0.25">
      <c r="A703" s="84"/>
      <c r="B703" s="329" t="s">
        <v>100</v>
      </c>
      <c r="C703" s="21" t="s">
        <v>12</v>
      </c>
      <c r="D703" s="340">
        <v>0</v>
      </c>
      <c r="E703" s="18"/>
      <c r="F703" s="361">
        <v>198</v>
      </c>
      <c r="G703" s="18"/>
      <c r="H703" s="2">
        <f>ROUND(D703*F703,2)</f>
        <v>0</v>
      </c>
      <c r="I703" s="18">
        <f t="shared" si="44"/>
        <v>0</v>
      </c>
    </row>
    <row r="704" spans="1:9" ht="31.2" hidden="1" outlineLevel="1" x14ac:dyDescent="0.25">
      <c r="A704" s="84"/>
      <c r="B704" s="329" t="s">
        <v>107</v>
      </c>
      <c r="C704" s="21" t="s">
        <v>12</v>
      </c>
      <c r="D704" s="340">
        <v>0</v>
      </c>
      <c r="E704" s="18"/>
      <c r="F704" s="361">
        <v>120</v>
      </c>
      <c r="G704" s="18"/>
      <c r="H704" s="2">
        <f>ROUND(D704*F704,2)</f>
        <v>0</v>
      </c>
      <c r="I704" s="18">
        <f t="shared" si="44"/>
        <v>0</v>
      </c>
    </row>
    <row r="705" spans="1:10" ht="31.2" hidden="1" outlineLevel="1" x14ac:dyDescent="0.25">
      <c r="A705" s="84"/>
      <c r="B705" s="329" t="s">
        <v>439</v>
      </c>
      <c r="C705" s="21" t="s">
        <v>29</v>
      </c>
      <c r="D705" s="340">
        <v>0</v>
      </c>
      <c r="E705" s="18"/>
      <c r="F705" s="60">
        <v>35</v>
      </c>
      <c r="G705" s="18"/>
      <c r="H705" s="2">
        <f>ROUND(D705*F705,2)</f>
        <v>0</v>
      </c>
      <c r="I705" s="18">
        <f>G705+H705</f>
        <v>0</v>
      </c>
    </row>
    <row r="706" spans="1:10" hidden="1" outlineLevel="1" x14ac:dyDescent="0.25">
      <c r="A706" s="84" t="s">
        <v>564</v>
      </c>
      <c r="B706" s="75" t="s">
        <v>111</v>
      </c>
      <c r="C706" s="2"/>
      <c r="D706" s="158"/>
      <c r="E706" s="2"/>
      <c r="F706" s="11"/>
      <c r="G706" s="18"/>
      <c r="H706" s="18"/>
      <c r="I706" s="18">
        <f t="shared" si="44"/>
        <v>0</v>
      </c>
    </row>
    <row r="707" spans="1:10" ht="31.2" hidden="1" outlineLevel="1" x14ac:dyDescent="0.25">
      <c r="A707" s="84" t="s">
        <v>565</v>
      </c>
      <c r="B707" s="29" t="s">
        <v>112</v>
      </c>
      <c r="C707" s="31" t="s">
        <v>29</v>
      </c>
      <c r="D707" s="31">
        <f>D708+D709+D710</f>
        <v>0</v>
      </c>
      <c r="E707" s="256">
        <v>85</v>
      </c>
      <c r="F707" s="60"/>
      <c r="G707" s="2">
        <f>ROUND(E707*D707,2)</f>
        <v>0</v>
      </c>
      <c r="H707" s="18"/>
      <c r="I707" s="18">
        <f t="shared" si="44"/>
        <v>0</v>
      </c>
    </row>
    <row r="708" spans="1:10" hidden="1" outlineLevel="1" x14ac:dyDescent="0.25">
      <c r="A708" s="84"/>
      <c r="B708" s="329" t="s">
        <v>113</v>
      </c>
      <c r="C708" s="21" t="s">
        <v>29</v>
      </c>
      <c r="D708" s="340">
        <v>0</v>
      </c>
      <c r="E708" s="18"/>
      <c r="F708" s="60">
        <v>63.8</v>
      </c>
      <c r="G708" s="18"/>
      <c r="H708" s="2">
        <f t="shared" ref="H708:H714" si="45">ROUND(D708*F708,2)</f>
        <v>0</v>
      </c>
      <c r="I708" s="18">
        <f t="shared" si="44"/>
        <v>0</v>
      </c>
    </row>
    <row r="709" spans="1:10" hidden="1" outlineLevel="1" x14ac:dyDescent="0.25">
      <c r="A709" s="84"/>
      <c r="B709" s="329" t="s">
        <v>440</v>
      </c>
      <c r="C709" s="21" t="s">
        <v>29</v>
      </c>
      <c r="D709" s="340">
        <v>0</v>
      </c>
      <c r="E709" s="18"/>
      <c r="F709" s="11">
        <v>55</v>
      </c>
      <c r="G709" s="18"/>
      <c r="H709" s="2">
        <f t="shared" si="45"/>
        <v>0</v>
      </c>
      <c r="I709" s="18">
        <f>G709+H709</f>
        <v>0</v>
      </c>
    </row>
    <row r="710" spans="1:10" hidden="1" outlineLevel="1" x14ac:dyDescent="0.25">
      <c r="A710" s="84"/>
      <c r="B710" s="329" t="s">
        <v>114</v>
      </c>
      <c r="C710" s="21" t="s">
        <v>29</v>
      </c>
      <c r="D710" s="340">
        <v>0</v>
      </c>
      <c r="E710" s="18"/>
      <c r="F710" s="60">
        <v>103.95</v>
      </c>
      <c r="G710" s="18"/>
      <c r="H710" s="2">
        <f t="shared" si="45"/>
        <v>0</v>
      </c>
      <c r="I710" s="18">
        <f>G710+H710</f>
        <v>0</v>
      </c>
    </row>
    <row r="711" spans="1:10" hidden="1" outlineLevel="1" x14ac:dyDescent="0.25">
      <c r="A711" s="84"/>
      <c r="B711" s="329" t="s">
        <v>115</v>
      </c>
      <c r="C711" s="21" t="s">
        <v>12</v>
      </c>
      <c r="D711" s="340">
        <v>0</v>
      </c>
      <c r="E711" s="18"/>
      <c r="F711" s="60">
        <v>61.27</v>
      </c>
      <c r="G711" s="18"/>
      <c r="H711" s="2">
        <f t="shared" si="45"/>
        <v>0</v>
      </c>
      <c r="I711" s="18">
        <f t="shared" si="44"/>
        <v>0</v>
      </c>
    </row>
    <row r="712" spans="1:10" hidden="1" outlineLevel="1" x14ac:dyDescent="0.25">
      <c r="A712" s="84"/>
      <c r="B712" s="343" t="s">
        <v>91</v>
      </c>
      <c r="C712" s="21" t="s">
        <v>15</v>
      </c>
      <c r="D712" s="340">
        <v>0</v>
      </c>
      <c r="E712" s="18"/>
      <c r="F712" s="60">
        <f>37500/1000</f>
        <v>37.5</v>
      </c>
      <c r="G712" s="18"/>
      <c r="H712" s="2">
        <f t="shared" si="45"/>
        <v>0</v>
      </c>
      <c r="I712" s="18">
        <f t="shared" si="44"/>
        <v>0</v>
      </c>
    </row>
    <row r="713" spans="1:10" hidden="1" outlineLevel="1" x14ac:dyDescent="0.25">
      <c r="A713" s="84"/>
      <c r="B713" s="329" t="s">
        <v>116</v>
      </c>
      <c r="C713" s="21" t="s">
        <v>12</v>
      </c>
      <c r="D713" s="340">
        <v>0</v>
      </c>
      <c r="E713" s="18"/>
      <c r="F713" s="60">
        <v>320</v>
      </c>
      <c r="G713" s="18"/>
      <c r="H713" s="2">
        <f t="shared" si="45"/>
        <v>0</v>
      </c>
      <c r="I713" s="18">
        <f t="shared" si="44"/>
        <v>0</v>
      </c>
    </row>
    <row r="714" spans="1:10" hidden="1" outlineLevel="1" x14ac:dyDescent="0.25">
      <c r="A714" s="84"/>
      <c r="B714" s="329" t="s">
        <v>441</v>
      </c>
      <c r="C714" s="21" t="s">
        <v>12</v>
      </c>
      <c r="D714" s="340">
        <v>0</v>
      </c>
      <c r="E714" s="18"/>
      <c r="F714" s="60">
        <v>1250</v>
      </c>
      <c r="G714" s="18"/>
      <c r="H714" s="2">
        <f t="shared" si="45"/>
        <v>0</v>
      </c>
      <c r="I714" s="18">
        <f>G714+H714</f>
        <v>0</v>
      </c>
    </row>
    <row r="715" spans="1:10" hidden="1" outlineLevel="1" x14ac:dyDescent="0.25">
      <c r="A715" s="84"/>
      <c r="B715" s="75" t="s">
        <v>117</v>
      </c>
      <c r="C715" s="2"/>
      <c r="D715" s="158"/>
      <c r="E715" s="2"/>
      <c r="F715" s="11"/>
      <c r="G715" s="18"/>
      <c r="H715" s="18"/>
      <c r="I715" s="18">
        <f t="shared" si="44"/>
        <v>0</v>
      </c>
    </row>
    <row r="716" spans="1:10" ht="31.2" hidden="1" outlineLevel="1" x14ac:dyDescent="0.25">
      <c r="A716" s="87"/>
      <c r="B716" s="307" t="s">
        <v>112</v>
      </c>
      <c r="C716" s="2" t="s">
        <v>29</v>
      </c>
      <c r="D716" s="306">
        <f>D717</f>
        <v>0</v>
      </c>
      <c r="E716" s="256">
        <v>85</v>
      </c>
      <c r="F716" s="60"/>
      <c r="G716" s="2">
        <f>ROUND(E716*D716,2)</f>
        <v>0</v>
      </c>
      <c r="H716" s="18"/>
      <c r="I716" s="18">
        <f>G716+H716</f>
        <v>0</v>
      </c>
      <c r="J716" s="780" t="s">
        <v>625</v>
      </c>
    </row>
    <row r="717" spans="1:10" hidden="1" outlineLevel="1" x14ac:dyDescent="0.25">
      <c r="A717" s="84"/>
      <c r="B717" s="329" t="s">
        <v>114</v>
      </c>
      <c r="C717" s="21" t="s">
        <v>29</v>
      </c>
      <c r="D717" s="340">
        <v>0</v>
      </c>
      <c r="E717" s="158"/>
      <c r="F717" s="60">
        <v>103.95</v>
      </c>
      <c r="G717" s="158"/>
      <c r="H717" s="2">
        <f t="shared" ref="H717:H722" si="46">ROUND(D717*F717,2)</f>
        <v>0</v>
      </c>
      <c r="I717" s="18">
        <f t="shared" ref="I717:I722" si="47">G717+H717</f>
        <v>0</v>
      </c>
      <c r="J717" s="780"/>
    </row>
    <row r="718" spans="1:10" hidden="1" outlineLevel="1" x14ac:dyDescent="0.25">
      <c r="A718" s="84"/>
      <c r="B718" s="329" t="s">
        <v>115</v>
      </c>
      <c r="C718" s="21" t="s">
        <v>12</v>
      </c>
      <c r="D718" s="340">
        <v>0</v>
      </c>
      <c r="E718" s="158"/>
      <c r="F718" s="60">
        <v>61.27</v>
      </c>
      <c r="G718" s="158"/>
      <c r="H718" s="2">
        <f t="shared" si="46"/>
        <v>0</v>
      </c>
      <c r="I718" s="18">
        <f t="shared" si="47"/>
        <v>0</v>
      </c>
      <c r="J718" s="780"/>
    </row>
    <row r="719" spans="1:10" hidden="1" outlineLevel="1" x14ac:dyDescent="0.25">
      <c r="A719" s="84"/>
      <c r="B719" s="343" t="s">
        <v>91</v>
      </c>
      <c r="C719" s="21" t="s">
        <v>15</v>
      </c>
      <c r="D719" s="340">
        <v>0</v>
      </c>
      <c r="E719" s="158"/>
      <c r="F719" s="11">
        <f>37500/1000</f>
        <v>37.5</v>
      </c>
      <c r="G719" s="158"/>
      <c r="H719" s="2">
        <f t="shared" si="46"/>
        <v>0</v>
      </c>
      <c r="I719" s="18">
        <f t="shared" si="47"/>
        <v>0</v>
      </c>
      <c r="J719" s="780"/>
    </row>
    <row r="720" spans="1:10" hidden="1" outlineLevel="1" x14ac:dyDescent="0.25">
      <c r="A720" s="84"/>
      <c r="B720" s="329" t="s">
        <v>116</v>
      </c>
      <c r="C720" s="21" t="s">
        <v>12</v>
      </c>
      <c r="D720" s="340">
        <v>0</v>
      </c>
      <c r="E720" s="158"/>
      <c r="F720" s="11">
        <v>320</v>
      </c>
      <c r="G720" s="158"/>
      <c r="H720" s="2">
        <f t="shared" si="46"/>
        <v>0</v>
      </c>
      <c r="I720" s="18">
        <f t="shared" si="47"/>
        <v>0</v>
      </c>
      <c r="J720" s="780"/>
    </row>
    <row r="721" spans="1:12" hidden="1" outlineLevel="1" x14ac:dyDescent="0.25">
      <c r="A721" s="84"/>
      <c r="B721" s="329" t="s">
        <v>118</v>
      </c>
      <c r="C721" s="21" t="s">
        <v>12</v>
      </c>
      <c r="D721" s="340">
        <v>0</v>
      </c>
      <c r="E721" s="158"/>
      <c r="F721" s="164">
        <v>2435.6</v>
      </c>
      <c r="G721" s="158"/>
      <c r="H721" s="2">
        <f>ROUND(D721*F721,2)</f>
        <v>0</v>
      </c>
      <c r="I721" s="18">
        <f>G721+H721</f>
        <v>0</v>
      </c>
      <c r="J721" s="780"/>
    </row>
    <row r="722" spans="1:12" hidden="1" outlineLevel="1" x14ac:dyDescent="0.25">
      <c r="A722" s="84"/>
      <c r="B722" s="329" t="s">
        <v>714</v>
      </c>
      <c r="C722" s="21" t="s">
        <v>12</v>
      </c>
      <c r="D722" s="340">
        <v>0</v>
      </c>
      <c r="E722" s="158"/>
      <c r="F722" s="164">
        <v>100</v>
      </c>
      <c r="G722" s="158"/>
      <c r="H722" s="2">
        <f t="shared" si="46"/>
        <v>0</v>
      </c>
      <c r="I722" s="18">
        <f t="shared" si="47"/>
        <v>0</v>
      </c>
      <c r="J722" s="780"/>
    </row>
    <row r="723" spans="1:12" s="5" customFormat="1" ht="26.4" customHeight="1" collapsed="1" x14ac:dyDescent="0.25">
      <c r="A723" s="223"/>
      <c r="B723" s="233" t="s">
        <v>62</v>
      </c>
      <c r="C723" s="234"/>
      <c r="D723" s="235"/>
      <c r="E723" s="236"/>
      <c r="F723" s="237"/>
      <c r="G723" s="236">
        <f>SUM(G607:G722)</f>
        <v>0</v>
      </c>
      <c r="H723" s="236">
        <f>SUM(H606:H722)</f>
        <v>0</v>
      </c>
      <c r="I723" s="236">
        <f>SUM(I607:I722)</f>
        <v>0</v>
      </c>
    </row>
    <row r="724" spans="1:12" s="5" customFormat="1" x14ac:dyDescent="0.25">
      <c r="A724" s="84"/>
      <c r="B724" s="471" t="s">
        <v>624</v>
      </c>
      <c r="C724" s="9"/>
      <c r="D724" s="31"/>
      <c r="E724" s="10"/>
      <c r="F724" s="57"/>
      <c r="G724" s="10"/>
      <c r="H724" s="10"/>
      <c r="I724" s="31">
        <f>ROUND(I723/1.18*0.18,2)</f>
        <v>0</v>
      </c>
    </row>
    <row r="725" spans="1:12" s="5" customFormat="1" ht="18.75" customHeight="1" x14ac:dyDescent="0.25">
      <c r="A725" s="109"/>
      <c r="B725" s="696" t="s">
        <v>1213</v>
      </c>
      <c r="C725" s="105"/>
      <c r="D725" s="105"/>
      <c r="E725" s="105"/>
      <c r="F725" s="138"/>
      <c r="G725" s="105"/>
      <c r="H725" s="105"/>
      <c r="I725" s="106"/>
    </row>
    <row r="726" spans="1:12" hidden="1" outlineLevel="1" x14ac:dyDescent="0.25">
      <c r="A726" s="90"/>
      <c r="B726" s="496" t="s">
        <v>177</v>
      </c>
      <c r="C726" s="13"/>
      <c r="D726" s="2"/>
      <c r="E726" s="130">
        <f>H760*0.5</f>
        <v>0</v>
      </c>
      <c r="F726" s="147"/>
      <c r="G726" s="546">
        <f>E726</f>
        <v>0</v>
      </c>
      <c r="H726" s="26"/>
      <c r="I726" s="546">
        <f>G726+H726</f>
        <v>0</v>
      </c>
    </row>
    <row r="727" spans="1:12" hidden="1" outlineLevel="1" x14ac:dyDescent="0.25">
      <c r="A727" s="87" t="s">
        <v>338</v>
      </c>
      <c r="B727" s="29" t="s">
        <v>178</v>
      </c>
      <c r="C727" s="2" t="s">
        <v>12</v>
      </c>
      <c r="D727" s="340">
        <v>0</v>
      </c>
      <c r="E727" s="18"/>
      <c r="F727" s="60"/>
      <c r="G727" s="18"/>
      <c r="H727" s="18"/>
      <c r="I727" s="18">
        <f>G727+H727</f>
        <v>0</v>
      </c>
    </row>
    <row r="728" spans="1:12" hidden="1" outlineLevel="1" x14ac:dyDescent="0.25">
      <c r="A728" s="84"/>
      <c r="B728" s="28" t="s">
        <v>243</v>
      </c>
      <c r="C728" s="21" t="s">
        <v>12</v>
      </c>
      <c r="D728" s="340">
        <v>0</v>
      </c>
      <c r="E728" s="18"/>
      <c r="F728" s="60">
        <v>1530</v>
      </c>
      <c r="G728" s="18"/>
      <c r="H728" s="2">
        <f>ROUND(D728*F728,2)</f>
        <v>0</v>
      </c>
      <c r="I728" s="18">
        <f t="shared" ref="I728:I754" si="48">G728+H728</f>
        <v>0</v>
      </c>
    </row>
    <row r="729" spans="1:12" s="6" customFormat="1" hidden="1" outlineLevel="1" x14ac:dyDescent="0.25">
      <c r="A729" s="87" t="s">
        <v>567</v>
      </c>
      <c r="B729" s="63" t="s">
        <v>179</v>
      </c>
      <c r="C729" s="2" t="s">
        <v>173</v>
      </c>
      <c r="D729" s="340">
        <v>0</v>
      </c>
      <c r="E729" s="2"/>
      <c r="F729" s="11"/>
      <c r="G729" s="18"/>
      <c r="H729" s="18"/>
      <c r="I729" s="18">
        <f t="shared" si="48"/>
        <v>0</v>
      </c>
    </row>
    <row r="730" spans="1:12" hidden="1" outlineLevel="1" x14ac:dyDescent="0.25">
      <c r="A730" s="84"/>
      <c r="B730" s="60" t="s">
        <v>180</v>
      </c>
      <c r="C730" s="2" t="s">
        <v>12</v>
      </c>
      <c r="D730" s="340">
        <v>0</v>
      </c>
      <c r="E730" s="2"/>
      <c r="F730" s="11">
        <v>4200</v>
      </c>
      <c r="G730" s="18"/>
      <c r="H730" s="2">
        <f>ROUND(D730*F730,2)</f>
        <v>0</v>
      </c>
      <c r="I730" s="18">
        <f t="shared" si="48"/>
        <v>0</v>
      </c>
    </row>
    <row r="731" spans="1:12" hidden="1" outlineLevel="1" x14ac:dyDescent="0.25">
      <c r="A731" s="84"/>
      <c r="B731" s="60" t="s">
        <v>244</v>
      </c>
      <c r="C731" s="2" t="s">
        <v>12</v>
      </c>
      <c r="D731" s="340">
        <v>0</v>
      </c>
      <c r="E731" s="2"/>
      <c r="F731" s="11">
        <v>380</v>
      </c>
      <c r="G731" s="18"/>
      <c r="H731" s="2">
        <f>ROUND(D731*F731,2)</f>
        <v>0</v>
      </c>
      <c r="I731" s="18">
        <f>G731+H731</f>
        <v>0</v>
      </c>
    </row>
    <row r="732" spans="1:12" ht="31.2" hidden="1" outlineLevel="1" x14ac:dyDescent="0.25">
      <c r="A732" s="84" t="s">
        <v>568</v>
      </c>
      <c r="B732" s="63" t="s">
        <v>262</v>
      </c>
      <c r="C732" s="2" t="s">
        <v>173</v>
      </c>
      <c r="D732" s="2">
        <v>0</v>
      </c>
      <c r="E732" s="2"/>
      <c r="F732" s="11"/>
      <c r="G732" s="18"/>
      <c r="H732" s="18"/>
      <c r="I732" s="18">
        <f>G732+H732</f>
        <v>0</v>
      </c>
    </row>
    <row r="733" spans="1:12" ht="25.2" hidden="1" customHeight="1" outlineLevel="1" x14ac:dyDescent="0.25">
      <c r="A733" s="84"/>
      <c r="B733" s="152" t="s">
        <v>353</v>
      </c>
      <c r="C733" s="150" t="s">
        <v>12</v>
      </c>
      <c r="D733" s="150">
        <f>D732</f>
        <v>0</v>
      </c>
      <c r="E733" s="150"/>
      <c r="F733" s="151">
        <f>185000/3</f>
        <v>61666.666666666664</v>
      </c>
      <c r="G733" s="149"/>
      <c r="H733" s="150">
        <f>ROUND(D733*F733,2)</f>
        <v>0</v>
      </c>
      <c r="I733" s="149">
        <f>G733+H733</f>
        <v>0</v>
      </c>
      <c r="K733" s="781" t="s">
        <v>466</v>
      </c>
      <c r="L733" s="782"/>
    </row>
    <row r="734" spans="1:12" hidden="1" outlineLevel="1" x14ac:dyDescent="0.25">
      <c r="A734" s="84" t="s">
        <v>569</v>
      </c>
      <c r="B734" s="62" t="s">
        <v>245</v>
      </c>
      <c r="C734" s="2" t="s">
        <v>29</v>
      </c>
      <c r="D734" s="2">
        <f>D736+D737+D738+D739+D735</f>
        <v>0</v>
      </c>
      <c r="E734" s="2"/>
      <c r="F734" s="11"/>
      <c r="G734" s="18"/>
      <c r="H734" s="18">
        <f>E734*D734</f>
        <v>0</v>
      </c>
      <c r="I734" s="18">
        <f t="shared" si="48"/>
        <v>0</v>
      </c>
    </row>
    <row r="735" spans="1:12" hidden="1" outlineLevel="1" x14ac:dyDescent="0.25">
      <c r="A735" s="84"/>
      <c r="B735" s="74" t="s">
        <v>460</v>
      </c>
      <c r="C735" s="2" t="s">
        <v>29</v>
      </c>
      <c r="D735" s="2">
        <v>0</v>
      </c>
      <c r="E735" s="2"/>
      <c r="F735" s="11">
        <v>252.4</v>
      </c>
      <c r="G735" s="18"/>
      <c r="H735" s="2">
        <f t="shared" ref="H735:H754" si="49">ROUND(D735*F735,2)</f>
        <v>0</v>
      </c>
      <c r="I735" s="18">
        <f>G735+H735</f>
        <v>0</v>
      </c>
    </row>
    <row r="736" spans="1:12" hidden="1" outlineLevel="1" x14ac:dyDescent="0.25">
      <c r="A736" s="84"/>
      <c r="B736" s="74" t="s">
        <v>246</v>
      </c>
      <c r="C736" s="2" t="s">
        <v>29</v>
      </c>
      <c r="D736" s="2">
        <v>0</v>
      </c>
      <c r="E736" s="2"/>
      <c r="F736" s="11">
        <v>145.19999999999999</v>
      </c>
      <c r="G736" s="18"/>
      <c r="H736" s="2">
        <f t="shared" si="49"/>
        <v>0</v>
      </c>
      <c r="I736" s="18">
        <f t="shared" si="48"/>
        <v>0</v>
      </c>
    </row>
    <row r="737" spans="1:9" hidden="1" outlineLevel="1" x14ac:dyDescent="0.25">
      <c r="A737" s="84"/>
      <c r="B737" s="74" t="s">
        <v>247</v>
      </c>
      <c r="C737" s="2" t="s">
        <v>29</v>
      </c>
      <c r="D737" s="2">
        <v>0</v>
      </c>
      <c r="E737" s="2"/>
      <c r="F737" s="11">
        <f>2.91*42</f>
        <v>122.22</v>
      </c>
      <c r="G737" s="18"/>
      <c r="H737" s="2">
        <f t="shared" si="49"/>
        <v>0</v>
      </c>
      <c r="I737" s="18">
        <f t="shared" si="48"/>
        <v>0</v>
      </c>
    </row>
    <row r="738" spans="1:9" hidden="1" outlineLevel="1" x14ac:dyDescent="0.25">
      <c r="A738" s="84"/>
      <c r="B738" s="74" t="s">
        <v>248</v>
      </c>
      <c r="C738" s="2" t="s">
        <v>29</v>
      </c>
      <c r="D738" s="2">
        <v>0</v>
      </c>
      <c r="E738" s="2"/>
      <c r="F738" s="11">
        <f>2.12*42</f>
        <v>89.04</v>
      </c>
      <c r="G738" s="18"/>
      <c r="H738" s="2">
        <f t="shared" si="49"/>
        <v>0</v>
      </c>
      <c r="I738" s="18">
        <f t="shared" si="48"/>
        <v>0</v>
      </c>
    </row>
    <row r="739" spans="1:9" hidden="1" outlineLevel="1" x14ac:dyDescent="0.25">
      <c r="A739" s="84"/>
      <c r="B739" s="74" t="s">
        <v>249</v>
      </c>
      <c r="C739" s="2" t="s">
        <v>29</v>
      </c>
      <c r="D739" s="2">
        <v>0</v>
      </c>
      <c r="E739" s="2"/>
      <c r="F739" s="11">
        <v>70.900000000000006</v>
      </c>
      <c r="G739" s="18"/>
      <c r="H739" s="2">
        <f t="shared" si="49"/>
        <v>0</v>
      </c>
      <c r="I739" s="18">
        <f t="shared" si="48"/>
        <v>0</v>
      </c>
    </row>
    <row r="740" spans="1:9" hidden="1" outlineLevel="1" x14ac:dyDescent="0.25">
      <c r="A740" s="84"/>
      <c r="B740" s="74" t="s">
        <v>465</v>
      </c>
      <c r="C740" s="2" t="s">
        <v>29</v>
      </c>
      <c r="D740" s="2">
        <v>0</v>
      </c>
      <c r="E740" s="2"/>
      <c r="F740" s="11">
        <v>232</v>
      </c>
      <c r="G740" s="18"/>
      <c r="H740" s="2">
        <f t="shared" si="49"/>
        <v>0</v>
      </c>
      <c r="I740" s="18">
        <f t="shared" si="48"/>
        <v>0</v>
      </c>
    </row>
    <row r="741" spans="1:9" hidden="1" outlineLevel="1" x14ac:dyDescent="0.25">
      <c r="A741" s="84"/>
      <c r="B741" s="74" t="s">
        <v>254</v>
      </c>
      <c r="C741" s="2" t="s">
        <v>29</v>
      </c>
      <c r="D741" s="2">
        <v>0</v>
      </c>
      <c r="E741" s="2"/>
      <c r="F741" s="11">
        <v>158</v>
      </c>
      <c r="G741" s="18"/>
      <c r="H741" s="2">
        <f t="shared" si="49"/>
        <v>0</v>
      </c>
      <c r="I741" s="18">
        <f t="shared" si="48"/>
        <v>0</v>
      </c>
    </row>
    <row r="742" spans="1:9" hidden="1" outlineLevel="1" x14ac:dyDescent="0.25">
      <c r="A742" s="84"/>
      <c r="B742" s="74" t="s">
        <v>463</v>
      </c>
      <c r="C742" s="2" t="s">
        <v>15</v>
      </c>
      <c r="D742" s="2">
        <v>0</v>
      </c>
      <c r="E742" s="2"/>
      <c r="F742" s="11">
        <v>45</v>
      </c>
      <c r="G742" s="18"/>
      <c r="H742" s="18">
        <f t="shared" si="49"/>
        <v>0</v>
      </c>
      <c r="I742" s="18">
        <f t="shared" si="48"/>
        <v>0</v>
      </c>
    </row>
    <row r="743" spans="1:9" hidden="1" outlineLevel="1" x14ac:dyDescent="0.25">
      <c r="A743" s="84" t="s">
        <v>570</v>
      </c>
      <c r="B743" s="63" t="s">
        <v>250</v>
      </c>
      <c r="C743" s="2" t="s">
        <v>12</v>
      </c>
      <c r="D743" s="2">
        <f>D744+D745+D746+D748+D747+D749</f>
        <v>0</v>
      </c>
      <c r="E743" s="2"/>
      <c r="F743" s="11"/>
      <c r="G743" s="18"/>
      <c r="H743" s="18"/>
      <c r="I743" s="18">
        <f t="shared" si="48"/>
        <v>0</v>
      </c>
    </row>
    <row r="744" spans="1:9" hidden="1" outlineLevel="1" x14ac:dyDescent="0.25">
      <c r="A744" s="84"/>
      <c r="B744" s="28" t="s">
        <v>251</v>
      </c>
      <c r="C744" s="21" t="s">
        <v>12</v>
      </c>
      <c r="D744" s="2">
        <v>0</v>
      </c>
      <c r="E744" s="18"/>
      <c r="F744" s="60">
        <v>278</v>
      </c>
      <c r="G744" s="18"/>
      <c r="H744" s="18">
        <f t="shared" si="49"/>
        <v>0</v>
      </c>
      <c r="I744" s="18">
        <f t="shared" si="48"/>
        <v>0</v>
      </c>
    </row>
    <row r="745" spans="1:9" hidden="1" outlineLevel="1" x14ac:dyDescent="0.25">
      <c r="A745" s="84"/>
      <c r="B745" s="28" t="s">
        <v>252</v>
      </c>
      <c r="C745" s="21" t="s">
        <v>12</v>
      </c>
      <c r="D745" s="2">
        <v>0</v>
      </c>
      <c r="E745" s="18"/>
      <c r="F745" s="60">
        <v>143</v>
      </c>
      <c r="G745" s="18"/>
      <c r="H745" s="18">
        <f t="shared" si="49"/>
        <v>0</v>
      </c>
      <c r="I745" s="18">
        <f t="shared" si="48"/>
        <v>0</v>
      </c>
    </row>
    <row r="746" spans="1:9" hidden="1" outlineLevel="1" x14ac:dyDescent="0.25">
      <c r="A746" s="84"/>
      <c r="B746" s="28" t="s">
        <v>253</v>
      </c>
      <c r="C746" s="21" t="s">
        <v>12</v>
      </c>
      <c r="D746" s="2">
        <v>0</v>
      </c>
      <c r="E746" s="18"/>
      <c r="F746" s="60">
        <v>89.7</v>
      </c>
      <c r="G746" s="18"/>
      <c r="H746" s="18">
        <f t="shared" si="49"/>
        <v>0</v>
      </c>
      <c r="I746" s="18">
        <f t="shared" si="48"/>
        <v>0</v>
      </c>
    </row>
    <row r="747" spans="1:9" hidden="1" outlineLevel="1" x14ac:dyDescent="0.25">
      <c r="A747" s="84"/>
      <c r="B747" s="74" t="s">
        <v>488</v>
      </c>
      <c r="C747" s="2" t="s">
        <v>12</v>
      </c>
      <c r="D747" s="2">
        <v>0</v>
      </c>
      <c r="E747" s="2"/>
      <c r="F747" s="60">
        <v>1320</v>
      </c>
      <c r="G747" s="18"/>
      <c r="H747" s="18">
        <f t="shared" si="49"/>
        <v>0</v>
      </c>
      <c r="I747" s="18">
        <f t="shared" si="48"/>
        <v>0</v>
      </c>
    </row>
    <row r="748" spans="1:9" hidden="1" outlineLevel="1" x14ac:dyDescent="0.25">
      <c r="A748" s="84"/>
      <c r="B748" s="74" t="s">
        <v>487</v>
      </c>
      <c r="C748" s="2" t="s">
        <v>12</v>
      </c>
      <c r="D748" s="2">
        <v>0</v>
      </c>
      <c r="E748" s="2"/>
      <c r="F748" s="60">
        <v>1200</v>
      </c>
      <c r="G748" s="18"/>
      <c r="H748" s="18">
        <f t="shared" si="49"/>
        <v>0</v>
      </c>
      <c r="I748" s="18">
        <f t="shared" si="48"/>
        <v>0</v>
      </c>
    </row>
    <row r="749" spans="1:9" hidden="1" outlineLevel="1" x14ac:dyDescent="0.25">
      <c r="A749" s="84"/>
      <c r="B749" s="28" t="s">
        <v>459</v>
      </c>
      <c r="C749" s="21" t="s">
        <v>12</v>
      </c>
      <c r="D749" s="2">
        <v>0</v>
      </c>
      <c r="E749" s="2"/>
      <c r="F749" s="60">
        <v>490</v>
      </c>
      <c r="G749" s="18"/>
      <c r="H749" s="18">
        <f t="shared" si="49"/>
        <v>0</v>
      </c>
      <c r="I749" s="18">
        <f t="shared" si="48"/>
        <v>0</v>
      </c>
    </row>
    <row r="750" spans="1:9" hidden="1" outlineLevel="1" x14ac:dyDescent="0.25">
      <c r="A750" s="84"/>
      <c r="B750" s="74" t="s">
        <v>255</v>
      </c>
      <c r="C750" s="2" t="s">
        <v>12</v>
      </c>
      <c r="D750" s="2">
        <v>0</v>
      </c>
      <c r="E750" s="2"/>
      <c r="F750" s="11">
        <v>22.22</v>
      </c>
      <c r="G750" s="18"/>
      <c r="H750" s="18">
        <f t="shared" si="49"/>
        <v>0</v>
      </c>
      <c r="I750" s="18">
        <f t="shared" si="48"/>
        <v>0</v>
      </c>
    </row>
    <row r="751" spans="1:9" hidden="1" outlineLevel="1" x14ac:dyDescent="0.25">
      <c r="A751" s="84"/>
      <c r="B751" s="74" t="s">
        <v>256</v>
      </c>
      <c r="C751" s="2" t="s">
        <v>12</v>
      </c>
      <c r="D751" s="2">
        <v>0</v>
      </c>
      <c r="E751" s="2"/>
      <c r="F751" s="11">
        <v>16.760000000000002</v>
      </c>
      <c r="G751" s="18"/>
      <c r="H751" s="18">
        <f t="shared" si="49"/>
        <v>0</v>
      </c>
      <c r="I751" s="18">
        <f t="shared" si="48"/>
        <v>0</v>
      </c>
    </row>
    <row r="752" spans="1:9" hidden="1" outlineLevel="1" x14ac:dyDescent="0.25">
      <c r="A752" s="84"/>
      <c r="B752" s="74" t="s">
        <v>461</v>
      </c>
      <c r="C752" s="2" t="s">
        <v>12</v>
      </c>
      <c r="D752" s="2">
        <v>0</v>
      </c>
      <c r="E752" s="2"/>
      <c r="F752" s="11">
        <v>54.92</v>
      </c>
      <c r="G752" s="18"/>
      <c r="H752" s="18">
        <f t="shared" si="49"/>
        <v>0</v>
      </c>
      <c r="I752" s="18">
        <f t="shared" si="48"/>
        <v>0</v>
      </c>
    </row>
    <row r="753" spans="1:12" hidden="1" outlineLevel="1" x14ac:dyDescent="0.25">
      <c r="A753" s="84"/>
      <c r="B753" s="74" t="s">
        <v>257</v>
      </c>
      <c r="C753" s="2" t="s">
        <v>12</v>
      </c>
      <c r="D753" s="2">
        <v>0</v>
      </c>
      <c r="E753" s="2"/>
      <c r="F753" s="11">
        <v>19.12</v>
      </c>
      <c r="G753" s="18"/>
      <c r="H753" s="18">
        <f t="shared" si="49"/>
        <v>0</v>
      </c>
      <c r="I753" s="18">
        <f t="shared" si="48"/>
        <v>0</v>
      </c>
    </row>
    <row r="754" spans="1:12" hidden="1" outlineLevel="1" x14ac:dyDescent="0.25">
      <c r="A754" s="84"/>
      <c r="B754" s="74" t="s">
        <v>258</v>
      </c>
      <c r="C754" s="2" t="s">
        <v>12</v>
      </c>
      <c r="D754" s="2">
        <v>0</v>
      </c>
      <c r="E754" s="2"/>
      <c r="F754" s="11">
        <v>19.13</v>
      </c>
      <c r="G754" s="18"/>
      <c r="H754" s="18">
        <f t="shared" si="49"/>
        <v>0</v>
      </c>
      <c r="I754" s="18">
        <f t="shared" si="48"/>
        <v>0</v>
      </c>
    </row>
    <row r="755" spans="1:12" hidden="1" outlineLevel="1" x14ac:dyDescent="0.25">
      <c r="A755" s="84"/>
      <c r="B755" s="74" t="s">
        <v>462</v>
      </c>
      <c r="C755" s="2" t="s">
        <v>12</v>
      </c>
      <c r="D755" s="2">
        <v>0</v>
      </c>
      <c r="E755" s="2"/>
      <c r="F755" s="11">
        <v>32.700000000000003</v>
      </c>
      <c r="G755" s="18"/>
      <c r="H755" s="18">
        <f>ROUND(D755*F755,2)</f>
        <v>0</v>
      </c>
      <c r="I755" s="18">
        <f>G755+H755</f>
        <v>0</v>
      </c>
    </row>
    <row r="756" spans="1:12" hidden="1" outlineLevel="1" x14ac:dyDescent="0.25">
      <c r="A756" s="84" t="s">
        <v>571</v>
      </c>
      <c r="B756" s="62" t="s">
        <v>259</v>
      </c>
      <c r="C756" s="2" t="s">
        <v>14</v>
      </c>
      <c r="D756" s="2">
        <v>0</v>
      </c>
      <c r="E756" s="2"/>
      <c r="F756" s="11"/>
      <c r="G756" s="18"/>
      <c r="H756" s="18"/>
      <c r="I756" s="18"/>
    </row>
    <row r="757" spans="1:12" hidden="1" outlineLevel="1" x14ac:dyDescent="0.25">
      <c r="A757" s="84"/>
      <c r="B757" s="28" t="s">
        <v>260</v>
      </c>
      <c r="C757" s="21" t="s">
        <v>15</v>
      </c>
      <c r="D757" s="2">
        <f>D756*0.2</f>
        <v>0</v>
      </c>
      <c r="E757" s="18"/>
      <c r="F757" s="60">
        <v>100</v>
      </c>
      <c r="G757" s="18"/>
      <c r="H757" s="18">
        <f>ROUND(D757*F757,2)</f>
        <v>0</v>
      </c>
      <c r="I757" s="18">
        <f>H757+G757</f>
        <v>0</v>
      </c>
    </row>
    <row r="758" spans="1:12" hidden="1" outlineLevel="1" x14ac:dyDescent="0.25">
      <c r="A758" s="84"/>
      <c r="B758" s="28" t="s">
        <v>261</v>
      </c>
      <c r="C758" s="21" t="s">
        <v>15</v>
      </c>
      <c r="D758" s="2">
        <f>D756*0.4</f>
        <v>0</v>
      </c>
      <c r="E758" s="18"/>
      <c r="F758" s="60">
        <v>200</v>
      </c>
      <c r="G758" s="18"/>
      <c r="H758" s="18">
        <f>ROUND(D758*F758,2)</f>
        <v>0</v>
      </c>
      <c r="I758" s="18">
        <f>H758+G758</f>
        <v>0</v>
      </c>
    </row>
    <row r="759" spans="1:12" hidden="1" outlineLevel="1" x14ac:dyDescent="0.25">
      <c r="A759" s="84" t="s">
        <v>572</v>
      </c>
      <c r="B759" s="183" t="s">
        <v>464</v>
      </c>
      <c r="C759" s="178" t="s">
        <v>29</v>
      </c>
      <c r="D759" s="179">
        <f>D734</f>
        <v>0</v>
      </c>
      <c r="E759" s="180"/>
      <c r="F759" s="181"/>
      <c r="G759" s="182"/>
      <c r="H759" s="18"/>
      <c r="I759" s="18"/>
    </row>
    <row r="760" spans="1:12" s="5" customFormat="1" collapsed="1" x14ac:dyDescent="0.25">
      <c r="A760" s="223"/>
      <c r="B760" s="233" t="s">
        <v>63</v>
      </c>
      <c r="C760" s="234"/>
      <c r="D760" s="235"/>
      <c r="E760" s="236"/>
      <c r="F760" s="237"/>
      <c r="G760" s="236">
        <f>SUM(G726:G758)</f>
        <v>0</v>
      </c>
      <c r="H760" s="236">
        <f>SUM(H726:H758)</f>
        <v>0</v>
      </c>
      <c r="I760" s="236">
        <f>SUM(I726:I758)</f>
        <v>0</v>
      </c>
    </row>
    <row r="761" spans="1:12" s="5" customFormat="1" ht="18.600000000000001" customHeight="1" x14ac:dyDescent="0.25">
      <c r="A761" s="84"/>
      <c r="B761" s="471" t="s">
        <v>624</v>
      </c>
      <c r="C761" s="9"/>
      <c r="D761" s="31"/>
      <c r="E761" s="10"/>
      <c r="F761" s="57"/>
      <c r="G761" s="10"/>
      <c r="H761" s="10"/>
      <c r="I761" s="31">
        <f>ROUND(I760/1.18*0.18,2)</f>
        <v>0</v>
      </c>
    </row>
    <row r="762" spans="1:12" s="5" customFormat="1" ht="24" customHeight="1" x14ac:dyDescent="0.25">
      <c r="A762" s="492"/>
      <c r="B762" s="696" t="s">
        <v>1214</v>
      </c>
      <c r="C762" s="497"/>
      <c r="D762" s="124"/>
      <c r="E762" s="111"/>
      <c r="F762" s="145"/>
      <c r="G762" s="111"/>
      <c r="H762" s="111"/>
      <c r="I762" s="111"/>
      <c r="K762" s="129"/>
      <c r="L762" s="197"/>
    </row>
    <row r="763" spans="1:12" s="5" customFormat="1" outlineLevel="1" x14ac:dyDescent="0.25">
      <c r="A763" s="87" t="s">
        <v>1225</v>
      </c>
      <c r="B763" s="498" t="s">
        <v>341</v>
      </c>
      <c r="C763" s="176" t="s">
        <v>340</v>
      </c>
      <c r="D763" s="166">
        <v>0</v>
      </c>
      <c r="E763" s="10">
        <v>1320</v>
      </c>
      <c r="F763" s="57"/>
      <c r="G763" s="26">
        <f>E763*D763</f>
        <v>0</v>
      </c>
      <c r="H763" s="26"/>
      <c r="I763" s="26">
        <f>G763+H763</f>
        <v>0</v>
      </c>
      <c r="K763" s="129"/>
      <c r="L763" s="129"/>
    </row>
    <row r="764" spans="1:12" s="5" customFormat="1" x14ac:dyDescent="0.25">
      <c r="A764" s="223"/>
      <c r="B764" s="238" t="s">
        <v>308</v>
      </c>
      <c r="C764" s="234"/>
      <c r="D764" s="235"/>
      <c r="E764" s="236"/>
      <c r="F764" s="237"/>
      <c r="G764" s="236">
        <f>SUM(G763:G763)</f>
        <v>0</v>
      </c>
      <c r="H764" s="236">
        <f>SUM(H763:H763)</f>
        <v>0</v>
      </c>
      <c r="I764" s="236">
        <f>SUM(I763:I763)</f>
        <v>0</v>
      </c>
      <c r="K764" s="162"/>
      <c r="L764" s="129"/>
    </row>
    <row r="765" spans="1:12" s="5" customFormat="1" ht="16.95" customHeight="1" x14ac:dyDescent="0.25">
      <c r="A765" s="84"/>
      <c r="B765" s="58" t="s">
        <v>624</v>
      </c>
      <c r="C765" s="9"/>
      <c r="D765" s="31"/>
      <c r="E765" s="10"/>
      <c r="F765" s="57"/>
      <c r="G765" s="10"/>
      <c r="H765" s="10"/>
      <c r="I765" s="31">
        <f>ROUND(I764/1.18*0.18,2)</f>
        <v>0</v>
      </c>
    </row>
    <row r="766" spans="1:12" s="5" customFormat="1" ht="25.5" customHeight="1" x14ac:dyDescent="0.25">
      <c r="A766" s="241"/>
      <c r="B766" s="242" t="s">
        <v>24</v>
      </c>
      <c r="C766" s="243"/>
      <c r="D766" s="244"/>
      <c r="E766" s="243"/>
      <c r="F766" s="242"/>
      <c r="G766" s="243">
        <f>G42+G109+G170+G338+G344+G363+G374+G423+G441+G452+G553+G603+G723+G760+G764+G574+G402+G276+G189+G210</f>
        <v>5467662.9576599998</v>
      </c>
      <c r="H766" s="243">
        <f>H42+H109+H170+H338+H344+H363+H374+H423+H441+H452+H553+H603+H723+H760+H764+H574+H402+H276+H210+H189</f>
        <v>10645707.8325966</v>
      </c>
      <c r="I766" s="243">
        <f>I764+I760+I723+I603+I574+I553+I452+I441+I423+I374+I363+I344+I338+I170+I109+I52+I189+I210+I276+I402</f>
        <v>20053201.053400002</v>
      </c>
      <c r="J766" s="5">
        <f>I452+I441+I423+I402+I374+I363+I344+I338+I276+I210+I189+I170+I109+I52</f>
        <v>20053201.053399999</v>
      </c>
    </row>
    <row r="767" spans="1:12" s="101" customFormat="1" ht="21" customHeight="1" x14ac:dyDescent="0.25">
      <c r="A767" s="245"/>
      <c r="B767" s="246" t="s">
        <v>26</v>
      </c>
      <c r="C767" s="247"/>
      <c r="D767" s="247"/>
      <c r="E767" s="247"/>
      <c r="F767" s="246"/>
      <c r="G767" s="247"/>
      <c r="H767" s="247"/>
      <c r="I767" s="247">
        <f>I766/1.18*18/100</f>
        <v>3058962.8725525434</v>
      </c>
    </row>
    <row r="768" spans="1:12" ht="25.5" customHeight="1" x14ac:dyDescent="0.25">
      <c r="A768" s="98"/>
      <c r="B768" s="99" t="s">
        <v>342</v>
      </c>
      <c r="C768" s="100"/>
      <c r="D768" s="100"/>
      <c r="E768" s="100"/>
      <c r="F768" s="99"/>
      <c r="G768" s="100">
        <f>G766/C10</f>
        <v>4650.5596305690224</v>
      </c>
      <c r="H768" s="100">
        <f>H766/C10</f>
        <v>9054.7825402709877</v>
      </c>
      <c r="I768" s="100">
        <f>I766/C10</f>
        <v>17056.392832695416</v>
      </c>
    </row>
  </sheetData>
  <mergeCells count="20">
    <mergeCell ref="J716:J722"/>
    <mergeCell ref="K733:L733"/>
    <mergeCell ref="G13:H13"/>
    <mergeCell ref="I13:I14"/>
    <mergeCell ref="B13:B14"/>
    <mergeCell ref="C13:C14"/>
    <mergeCell ref="D13:D14"/>
    <mergeCell ref="E13:F13"/>
    <mergeCell ref="J656:J665"/>
    <mergeCell ref="J672:J673"/>
    <mergeCell ref="B15:E15"/>
    <mergeCell ref="B54:F54"/>
    <mergeCell ref="B376:F376"/>
    <mergeCell ref="B454:D454"/>
    <mergeCell ref="B7:H7"/>
    <mergeCell ref="B8:H8"/>
    <mergeCell ref="G9:H9"/>
    <mergeCell ref="A10:B10"/>
    <mergeCell ref="F10:H10"/>
    <mergeCell ref="A13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R729"/>
  <sheetViews>
    <sheetView topLeftCell="A38" workbookViewId="0">
      <selection activeCell="A725" sqref="A725:IV726"/>
    </sheetView>
  </sheetViews>
  <sheetFormatPr defaultColWidth="9" defaultRowHeight="15.6" outlineLevelRow="1" x14ac:dyDescent="0.25"/>
  <cols>
    <col min="1" max="1" width="5.21875" style="81" customWidth="1"/>
    <col min="2" max="2" width="44.44140625" style="25" customWidth="1"/>
    <col min="3" max="3" width="11.6640625" style="515" customWidth="1"/>
    <col min="4" max="4" width="12.33203125" style="515" customWidth="1"/>
    <col min="5" max="5" width="13.109375" style="515" customWidth="1"/>
    <col min="6" max="6" width="13" style="148" customWidth="1"/>
    <col min="7" max="7" width="15.33203125" style="515" customWidth="1"/>
    <col min="8" max="8" width="16.44140625" style="515" customWidth="1"/>
    <col min="9" max="9" width="16.33203125" style="515" customWidth="1"/>
    <col min="10" max="10" width="14.44140625" style="25" bestFit="1" customWidth="1"/>
    <col min="11" max="11" width="17.109375" style="25" customWidth="1"/>
    <col min="12" max="12" width="16.33203125" style="25" customWidth="1"/>
    <col min="13" max="13" width="10.6640625" style="25" customWidth="1"/>
    <col min="14" max="14" width="7" style="25" customWidth="1"/>
    <col min="15" max="15" width="26.21875" style="25" customWidth="1"/>
    <col min="16" max="16" width="17.33203125" style="25" customWidth="1"/>
    <col min="17" max="16384" width="9" style="25"/>
  </cols>
  <sheetData>
    <row r="1" spans="1:13" s="251" customFormat="1" ht="14.4" x14ac:dyDescent="0.25">
      <c r="A1" s="249"/>
      <c r="B1" s="249"/>
      <c r="C1" s="249"/>
      <c r="D1" s="249"/>
      <c r="E1" s="249"/>
      <c r="F1" s="249"/>
      <c r="G1" s="250"/>
      <c r="H1" s="250"/>
      <c r="I1" s="250"/>
    </row>
    <row r="2" spans="1:13" s="251" customFormat="1" ht="27.75" customHeight="1" x14ac:dyDescent="0.25">
      <c r="A2" s="249"/>
      <c r="B2" s="252" t="s">
        <v>626</v>
      </c>
      <c r="C2" s="249"/>
      <c r="D2" s="249"/>
      <c r="E2" s="249"/>
      <c r="F2" s="249"/>
      <c r="G2" s="253" t="s">
        <v>627</v>
      </c>
      <c r="H2" s="250"/>
      <c r="I2" s="250"/>
    </row>
    <row r="3" spans="1:13" s="251" customFormat="1" ht="14.4" x14ac:dyDescent="0.25">
      <c r="A3" s="249"/>
      <c r="B3" s="249"/>
      <c r="C3" s="249"/>
      <c r="D3" s="249"/>
      <c r="E3" s="249"/>
      <c r="F3" s="249"/>
      <c r="G3" s="250"/>
      <c r="H3" s="250" t="s">
        <v>628</v>
      </c>
      <c r="I3" s="250"/>
      <c r="K3" s="251">
        <v>55.5</v>
      </c>
      <c r="L3" s="251">
        <v>3</v>
      </c>
    </row>
    <row r="4" spans="1:13" s="251" customFormat="1" ht="14.4" x14ac:dyDescent="0.25">
      <c r="A4" s="249"/>
      <c r="B4" s="249"/>
      <c r="C4" s="249"/>
      <c r="D4" s="249"/>
      <c r="E4" s="249"/>
      <c r="F4" s="249"/>
      <c r="G4" s="250"/>
      <c r="H4" s="250"/>
      <c r="I4" s="250"/>
      <c r="K4" s="251">
        <v>73.900000000000006</v>
      </c>
      <c r="L4" s="251">
        <v>3</v>
      </c>
    </row>
    <row r="5" spans="1:13" s="251" customFormat="1" ht="14.4" x14ac:dyDescent="0.25">
      <c r="A5" s="249"/>
      <c r="B5" s="254"/>
      <c r="C5" s="249"/>
      <c r="D5" s="249"/>
      <c r="E5" s="255"/>
      <c r="F5" s="249" t="s">
        <v>629</v>
      </c>
      <c r="G5" s="250"/>
      <c r="H5" s="250"/>
      <c r="I5" s="250"/>
      <c r="K5" s="251">
        <v>37.4</v>
      </c>
      <c r="L5" s="251">
        <v>3</v>
      </c>
    </row>
    <row r="6" spans="1:13" s="251" customFormat="1" ht="14.4" x14ac:dyDescent="0.25">
      <c r="A6" s="249"/>
      <c r="B6" s="249"/>
      <c r="C6" s="249"/>
      <c r="D6" s="249"/>
      <c r="E6" s="249"/>
      <c r="F6" s="249"/>
      <c r="G6" s="250"/>
      <c r="H6" s="250" t="s">
        <v>630</v>
      </c>
      <c r="I6" s="250"/>
      <c r="K6" s="251">
        <v>35.5</v>
      </c>
      <c r="L6" s="251">
        <v>3</v>
      </c>
    </row>
    <row r="7" spans="1:13" s="251" customFormat="1" ht="14.4" x14ac:dyDescent="0.25">
      <c r="A7" s="249"/>
      <c r="B7" s="772" t="s">
        <v>631</v>
      </c>
      <c r="C7" s="773"/>
      <c r="D7" s="773"/>
      <c r="E7" s="773"/>
      <c r="F7" s="773"/>
      <c r="G7" s="773"/>
      <c r="H7" s="773"/>
      <c r="I7" s="250"/>
      <c r="K7" s="251">
        <f>SUM(K3:K6)</f>
        <v>202.3</v>
      </c>
      <c r="L7" s="251">
        <f>K7*3</f>
        <v>606.90000000000009</v>
      </c>
    </row>
    <row r="8" spans="1:13" s="251" customFormat="1" ht="29.25" customHeight="1" x14ac:dyDescent="0.25">
      <c r="A8" s="249"/>
      <c r="B8" s="774" t="s">
        <v>1300</v>
      </c>
      <c r="C8" s="775"/>
      <c r="D8" s="775"/>
      <c r="E8" s="775"/>
      <c r="F8" s="775"/>
      <c r="G8" s="775"/>
      <c r="H8" s="775"/>
      <c r="I8" s="250"/>
    </row>
    <row r="9" spans="1:13" s="7" customFormat="1" ht="15.75" customHeight="1" x14ac:dyDescent="0.25">
      <c r="A9" s="82"/>
      <c r="B9" s="4"/>
      <c r="C9" s="4"/>
      <c r="D9" s="4"/>
      <c r="E9" s="4"/>
      <c r="F9" s="134"/>
      <c r="G9" s="776" t="s">
        <v>342</v>
      </c>
      <c r="H9" s="776"/>
      <c r="I9" s="94">
        <f>I10/C10</f>
        <v>16796.495165430872</v>
      </c>
    </row>
    <row r="10" spans="1:13" s="7" customFormat="1" ht="15.75" customHeight="1" x14ac:dyDescent="0.25">
      <c r="A10" s="777" t="s">
        <v>227</v>
      </c>
      <c r="B10" s="777"/>
      <c r="C10" s="594">
        <f>L7</f>
        <v>606.90000000000009</v>
      </c>
      <c r="D10" s="59" t="s">
        <v>343</v>
      </c>
      <c r="E10" s="595">
        <v>12</v>
      </c>
      <c r="F10" s="778" t="s">
        <v>17</v>
      </c>
      <c r="G10" s="778"/>
      <c r="H10" s="778"/>
      <c r="I10" s="8">
        <f>I727*1</f>
        <v>10193792.915899998</v>
      </c>
    </row>
    <row r="11" spans="1:13" s="7" customFormat="1" ht="15.75" customHeight="1" x14ac:dyDescent="0.25">
      <c r="A11" s="325"/>
      <c r="B11" s="325"/>
      <c r="C11" s="122"/>
      <c r="D11" s="59"/>
      <c r="E11" s="123"/>
      <c r="F11" s="518"/>
      <c r="G11" s="518"/>
      <c r="H11" s="518"/>
      <c r="I11" s="8"/>
    </row>
    <row r="12" spans="1:13" s="7" customFormat="1" ht="15.75" customHeight="1" x14ac:dyDescent="0.25">
      <c r="A12" s="325"/>
      <c r="B12" s="325"/>
      <c r="C12" s="122"/>
      <c r="D12" s="59"/>
      <c r="E12" s="123"/>
      <c r="F12" s="518"/>
      <c r="G12" s="518"/>
      <c r="H12" s="518"/>
      <c r="I12" s="8"/>
    </row>
    <row r="13" spans="1:13" ht="25.5" customHeight="1" x14ac:dyDescent="0.25">
      <c r="A13" s="779" t="s">
        <v>0</v>
      </c>
      <c r="B13" s="783" t="s">
        <v>1</v>
      </c>
      <c r="C13" s="783" t="s">
        <v>2</v>
      </c>
      <c r="D13" s="783" t="s">
        <v>3</v>
      </c>
      <c r="E13" s="783" t="s">
        <v>4</v>
      </c>
      <c r="F13" s="783"/>
      <c r="G13" s="783" t="s">
        <v>5</v>
      </c>
      <c r="H13" s="783"/>
      <c r="I13" s="783" t="s">
        <v>6</v>
      </c>
    </row>
    <row r="14" spans="1:13" x14ac:dyDescent="0.25">
      <c r="A14" s="779"/>
      <c r="B14" s="783"/>
      <c r="C14" s="783"/>
      <c r="D14" s="783"/>
      <c r="E14" s="516" t="s">
        <v>7</v>
      </c>
      <c r="F14" s="135" t="s">
        <v>475</v>
      </c>
      <c r="G14" s="516" t="s">
        <v>7</v>
      </c>
      <c r="H14" s="516" t="s">
        <v>339</v>
      </c>
      <c r="I14" s="783"/>
    </row>
    <row r="15" spans="1:13" s="5" customFormat="1" ht="24" customHeight="1" x14ac:dyDescent="0.25">
      <c r="A15" s="104"/>
      <c r="B15" s="771" t="s">
        <v>721</v>
      </c>
      <c r="C15" s="771"/>
      <c r="D15" s="771"/>
      <c r="E15" s="771"/>
      <c r="F15" s="138"/>
      <c r="G15" s="105"/>
      <c r="H15" s="105"/>
      <c r="I15" s="106"/>
      <c r="K15" s="5" t="s">
        <v>792</v>
      </c>
    </row>
    <row r="16" spans="1:13" s="6" customFormat="1" ht="21.75" customHeight="1" outlineLevel="1" x14ac:dyDescent="0.25">
      <c r="A16" s="107" t="s">
        <v>492</v>
      </c>
      <c r="B16" s="531" t="s">
        <v>280</v>
      </c>
      <c r="C16" s="31" t="s">
        <v>8</v>
      </c>
      <c r="D16" s="166">
        <f>138.67*1.6+65.52*0.2</f>
        <v>234.976</v>
      </c>
      <c r="E16" s="166">
        <v>500</v>
      </c>
      <c r="F16" s="60"/>
      <c r="G16" s="2">
        <f>ROUND(E16*D16,2)</f>
        <v>117488</v>
      </c>
      <c r="H16" s="18"/>
      <c r="I16" s="11">
        <f>G16+H16</f>
        <v>117488</v>
      </c>
      <c r="J16" s="541">
        <v>20.16</v>
      </c>
      <c r="K16" s="351"/>
      <c r="L16" s="161"/>
      <c r="M16" s="161"/>
    </row>
    <row r="17" spans="1:252" outlineLevel="1" x14ac:dyDescent="0.25">
      <c r="A17" s="84"/>
      <c r="B17" s="377" t="s">
        <v>1505</v>
      </c>
      <c r="C17" s="31" t="s">
        <v>8</v>
      </c>
      <c r="D17" s="158">
        <f>D16*1.1</f>
        <v>258.47360000000003</v>
      </c>
      <c r="E17" s="18"/>
      <c r="F17" s="164">
        <v>320</v>
      </c>
      <c r="G17" s="18"/>
      <c r="H17" s="18">
        <f>ROUND(D17*F17,2)</f>
        <v>82711.55</v>
      </c>
      <c r="I17" s="11">
        <f>G17+H17</f>
        <v>82711.55</v>
      </c>
      <c r="K17" s="161"/>
      <c r="L17" s="161"/>
      <c r="M17" s="161"/>
    </row>
    <row r="18" spans="1:252" s="6" customFormat="1" ht="18" customHeight="1" outlineLevel="1" x14ac:dyDescent="0.25">
      <c r="A18" s="107" t="s">
        <v>210</v>
      </c>
      <c r="B18" s="531" t="s">
        <v>722</v>
      </c>
      <c r="C18" s="31" t="s">
        <v>8</v>
      </c>
      <c r="D18" s="166">
        <f>204.2*0.1+0.195*15.11+0.31725*2.65</f>
        <v>24.207162499999999</v>
      </c>
      <c r="E18" s="256">
        <v>1600</v>
      </c>
      <c r="F18" s="60"/>
      <c r="G18" s="2">
        <f>ROUND(E18*D18,2)</f>
        <v>38731.46</v>
      </c>
      <c r="H18" s="18"/>
      <c r="I18" s="27">
        <f t="shared" ref="I18:I46" si="0">G18+H18</f>
        <v>38731.46</v>
      </c>
      <c r="J18" s="256">
        <v>65.849999999999994</v>
      </c>
      <c r="K18" s="161"/>
      <c r="L18" s="161"/>
      <c r="M18" s="161"/>
    </row>
    <row r="19" spans="1:252" s="38" customFormat="1" outlineLevel="1" x14ac:dyDescent="0.25">
      <c r="A19" s="84"/>
      <c r="B19" s="377" t="s">
        <v>486</v>
      </c>
      <c r="C19" s="31" t="s">
        <v>8</v>
      </c>
      <c r="D19" s="158">
        <f>D18*1.015</f>
        <v>24.570269937499997</v>
      </c>
      <c r="E19" s="18"/>
      <c r="F19" s="664">
        <v>3450</v>
      </c>
      <c r="G19" s="18"/>
      <c r="H19" s="18">
        <f>ROUND(D19*F19,2)</f>
        <v>84767.43</v>
      </c>
      <c r="I19" s="27">
        <f t="shared" si="0"/>
        <v>84767.43</v>
      </c>
      <c r="J19" s="15"/>
      <c r="K19" s="161"/>
      <c r="L19" s="161"/>
      <c r="M19" s="161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</row>
    <row r="20" spans="1:252" s="38" customFormat="1" ht="22.2" customHeight="1" outlineLevel="1" x14ac:dyDescent="0.25">
      <c r="A20" s="107" t="s">
        <v>211</v>
      </c>
      <c r="B20" s="531" t="s">
        <v>723</v>
      </c>
      <c r="C20" s="31" t="s">
        <v>8</v>
      </c>
      <c r="D20" s="166">
        <f>187.91*0.35</f>
        <v>65.768499999999989</v>
      </c>
      <c r="E20" s="256">
        <v>2500</v>
      </c>
      <c r="F20" s="60"/>
      <c r="G20" s="2">
        <f>ROUND(E20*D20,2)</f>
        <v>164421.25</v>
      </c>
      <c r="H20" s="18"/>
      <c r="I20" s="663">
        <f t="shared" si="0"/>
        <v>164421.25</v>
      </c>
      <c r="J20" s="15"/>
      <c r="K20" s="407"/>
      <c r="L20" s="161"/>
      <c r="M20" s="161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</row>
    <row r="21" spans="1:252" s="38" customFormat="1" outlineLevel="1" x14ac:dyDescent="0.25">
      <c r="A21" s="83"/>
      <c r="B21" s="361" t="s">
        <v>724</v>
      </c>
      <c r="C21" s="2" t="s">
        <v>8</v>
      </c>
      <c r="D21" s="282">
        <f>D20*1.015</f>
        <v>66.755027499999983</v>
      </c>
      <c r="E21" s="2"/>
      <c r="F21" s="664">
        <v>4500</v>
      </c>
      <c r="G21" s="2"/>
      <c r="H21" s="2">
        <f>ROUND(D21*F21,2)</f>
        <v>300397.62</v>
      </c>
      <c r="I21" s="27">
        <f t="shared" si="0"/>
        <v>300397.62</v>
      </c>
      <c r="J21" s="15"/>
      <c r="K21" s="161"/>
      <c r="L21" s="161"/>
      <c r="M21" s="161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</row>
    <row r="22" spans="1:252" s="5" customFormat="1" ht="20.25" customHeight="1" outlineLevel="1" x14ac:dyDescent="0.25">
      <c r="A22" s="83"/>
      <c r="B22" s="377" t="s">
        <v>358</v>
      </c>
      <c r="C22" s="2" t="s">
        <v>9</v>
      </c>
      <c r="D22" s="257">
        <f>6069.7/1000</f>
        <v>6.0697000000000001</v>
      </c>
      <c r="E22" s="2"/>
      <c r="F22" s="361">
        <v>34000</v>
      </c>
      <c r="G22" s="2"/>
      <c r="H22" s="2">
        <f>ROUND(D22*F22,2)</f>
        <v>206369.8</v>
      </c>
      <c r="I22" s="27">
        <f t="shared" si="0"/>
        <v>206369.8</v>
      </c>
      <c r="J22" s="544">
        <f>135.06*0.35</f>
        <v>47.271000000000001</v>
      </c>
      <c r="L22" s="161"/>
      <c r="M22" s="161"/>
    </row>
    <row r="23" spans="1:252" outlineLevel="1" x14ac:dyDescent="0.25">
      <c r="A23" s="83"/>
      <c r="B23" s="361" t="s">
        <v>11</v>
      </c>
      <c r="C23" s="2" t="s">
        <v>8</v>
      </c>
      <c r="D23" s="282">
        <f>0.0061*D20</f>
        <v>0.40118784999999996</v>
      </c>
      <c r="E23" s="2"/>
      <c r="F23" s="361">
        <v>7500</v>
      </c>
      <c r="G23" s="2"/>
      <c r="H23" s="2">
        <f>ROUND(D23*F23,2)</f>
        <v>3008.91</v>
      </c>
      <c r="I23" s="27">
        <f t="shared" si="0"/>
        <v>3008.91</v>
      </c>
      <c r="K23" s="161"/>
      <c r="L23" s="161"/>
      <c r="M23" s="161"/>
    </row>
    <row r="24" spans="1:252" ht="16.2" customHeight="1" outlineLevel="1" x14ac:dyDescent="0.25">
      <c r="A24" s="107" t="s">
        <v>212</v>
      </c>
      <c r="B24" s="543" t="s">
        <v>22</v>
      </c>
      <c r="C24" s="31" t="s">
        <v>14</v>
      </c>
      <c r="D24" s="690">
        <f>177.88*0.35</f>
        <v>62.257999999999996</v>
      </c>
      <c r="E24" s="256">
        <v>150</v>
      </c>
      <c r="F24" s="11"/>
      <c r="G24" s="2">
        <f>ROUND(E24*D24,2)</f>
        <v>9338.7000000000007</v>
      </c>
      <c r="H24" s="18"/>
      <c r="I24" s="27">
        <f t="shared" si="0"/>
        <v>9338.7000000000007</v>
      </c>
      <c r="K24" s="161"/>
      <c r="L24" s="161"/>
      <c r="M24" s="161"/>
    </row>
    <row r="25" spans="1:252" ht="16.2" customHeight="1" outlineLevel="1" x14ac:dyDescent="0.25">
      <c r="A25" s="84"/>
      <c r="B25" s="361" t="s">
        <v>1311</v>
      </c>
      <c r="C25" s="2" t="s">
        <v>15</v>
      </c>
      <c r="D25" s="158">
        <f>2.5*D24</f>
        <v>155.64499999999998</v>
      </c>
      <c r="E25" s="2"/>
      <c r="F25" s="361">
        <v>55</v>
      </c>
      <c r="G25" s="18"/>
      <c r="H25" s="2">
        <f>ROUND(D25*F25,2)</f>
        <v>8560.48</v>
      </c>
      <c r="I25" s="663">
        <f t="shared" si="0"/>
        <v>8560.48</v>
      </c>
      <c r="J25" s="264">
        <f>188.14*0.02</f>
        <v>3.7627999999999999</v>
      </c>
      <c r="K25" s="161"/>
      <c r="L25" s="161"/>
      <c r="M25" s="161"/>
    </row>
    <row r="26" spans="1:252" ht="16.2" customHeight="1" outlineLevel="1" x14ac:dyDescent="0.25">
      <c r="A26" s="84"/>
      <c r="B26" s="361" t="s">
        <v>1312</v>
      </c>
      <c r="C26" s="2" t="s">
        <v>30</v>
      </c>
      <c r="D26" s="158">
        <f>0.35*D24</f>
        <v>21.790299999999998</v>
      </c>
      <c r="E26" s="2"/>
      <c r="F26" s="361">
        <v>44</v>
      </c>
      <c r="G26" s="18"/>
      <c r="H26" s="2">
        <f>ROUND(D26*F26,2)</f>
        <v>958.77</v>
      </c>
      <c r="I26" s="663">
        <f t="shared" si="0"/>
        <v>958.77</v>
      </c>
      <c r="J26" s="282">
        <f>ROUND(J25*1.015,2)</f>
        <v>3.82</v>
      </c>
      <c r="K26" s="161"/>
      <c r="L26" s="161"/>
      <c r="M26" s="161"/>
    </row>
    <row r="27" spans="1:252" ht="26.25" customHeight="1" outlineLevel="1" x14ac:dyDescent="0.25">
      <c r="A27" s="107" t="s">
        <v>213</v>
      </c>
      <c r="B27" s="543" t="s">
        <v>1243</v>
      </c>
      <c r="C27" s="31" t="s">
        <v>8</v>
      </c>
      <c r="D27" s="350">
        <f>187.91*0.02</f>
        <v>3.7582</v>
      </c>
      <c r="E27" s="264">
        <v>250</v>
      </c>
      <c r="F27" s="140"/>
      <c r="G27" s="51">
        <f>E27*D27</f>
        <v>939.55</v>
      </c>
      <c r="H27" s="51"/>
      <c r="I27" s="669">
        <f>H27+G27</f>
        <v>939.55</v>
      </c>
      <c r="K27" s="351"/>
      <c r="L27" s="161"/>
      <c r="M27" s="161"/>
    </row>
    <row r="28" spans="1:252" ht="15.75" customHeight="1" outlineLevel="1" x14ac:dyDescent="0.25">
      <c r="A28" s="84"/>
      <c r="B28" s="377" t="s">
        <v>1244</v>
      </c>
      <c r="C28" s="2" t="s">
        <v>8</v>
      </c>
      <c r="D28" s="158">
        <f>ROUND(D27*1.015,2)</f>
        <v>3.81</v>
      </c>
      <c r="E28" s="2"/>
      <c r="F28" s="363">
        <f>ROUND(4100*1.1,2)</f>
        <v>4510</v>
      </c>
      <c r="G28" s="2"/>
      <c r="H28" s="2">
        <f>ROUND(D28*F28,2)</f>
        <v>17183.099999999999</v>
      </c>
      <c r="I28" s="27">
        <f>G28+H28</f>
        <v>17183.099999999999</v>
      </c>
      <c r="K28" s="401"/>
      <c r="L28" s="161"/>
      <c r="M28" s="161"/>
    </row>
    <row r="29" spans="1:252" ht="15.75" customHeight="1" outlineLevel="1" x14ac:dyDescent="0.25">
      <c r="A29" s="107" t="s">
        <v>493</v>
      </c>
      <c r="B29" s="531" t="s">
        <v>731</v>
      </c>
      <c r="C29" s="31" t="s">
        <v>12</v>
      </c>
      <c r="D29" s="256">
        <f>D32+D31+D30+D33</f>
        <v>173</v>
      </c>
      <c r="E29" s="256">
        <v>550</v>
      </c>
      <c r="F29" s="60"/>
      <c r="G29" s="2">
        <f>ROUND(E29*D29,2)</f>
        <v>95150</v>
      </c>
      <c r="H29" s="18"/>
      <c r="I29" s="663">
        <f t="shared" si="0"/>
        <v>95150</v>
      </c>
      <c r="K29" s="401"/>
      <c r="L29" s="161"/>
      <c r="M29" s="161"/>
    </row>
    <row r="30" spans="1:252" ht="15.75" customHeight="1" outlineLevel="1" x14ac:dyDescent="0.25">
      <c r="A30" s="84"/>
      <c r="B30" s="377" t="s">
        <v>732</v>
      </c>
      <c r="C30" s="2" t="s">
        <v>12</v>
      </c>
      <c r="D30" s="282">
        <v>72</v>
      </c>
      <c r="E30" s="31"/>
      <c r="F30" s="664">
        <v>1935.11</v>
      </c>
      <c r="G30" s="2"/>
      <c r="H30" s="2">
        <f t="shared" ref="H30:H35" si="1">ROUND(D30*F30,2)</f>
        <v>139327.92000000001</v>
      </c>
      <c r="I30" s="663">
        <f t="shared" si="0"/>
        <v>139327.92000000001</v>
      </c>
      <c r="K30" s="401"/>
      <c r="L30" s="161"/>
      <c r="M30" s="161"/>
    </row>
    <row r="31" spans="1:252" ht="15.75" customHeight="1" outlineLevel="1" x14ac:dyDescent="0.25">
      <c r="A31" s="84"/>
      <c r="B31" s="377" t="s">
        <v>733</v>
      </c>
      <c r="C31" s="2" t="s">
        <v>12</v>
      </c>
      <c r="D31" s="282">
        <v>30</v>
      </c>
      <c r="E31" s="31"/>
      <c r="F31" s="664">
        <v>944.39</v>
      </c>
      <c r="G31" s="2"/>
      <c r="H31" s="2">
        <f t="shared" si="1"/>
        <v>28331.7</v>
      </c>
      <c r="I31" s="663">
        <f t="shared" si="0"/>
        <v>28331.7</v>
      </c>
      <c r="K31" s="401"/>
      <c r="L31" s="161"/>
      <c r="M31" s="161"/>
    </row>
    <row r="32" spans="1:252" outlineLevel="1" x14ac:dyDescent="0.25">
      <c r="A32" s="84"/>
      <c r="B32" s="377" t="s">
        <v>735</v>
      </c>
      <c r="C32" s="2" t="s">
        <v>12</v>
      </c>
      <c r="D32" s="282">
        <v>64</v>
      </c>
      <c r="E32" s="18"/>
      <c r="F32" s="664">
        <v>694.93</v>
      </c>
      <c r="G32" s="18"/>
      <c r="H32" s="2">
        <f t="shared" si="1"/>
        <v>44475.519999999997</v>
      </c>
      <c r="I32" s="663">
        <f t="shared" si="0"/>
        <v>44475.519999999997</v>
      </c>
      <c r="K32" s="161"/>
      <c r="L32" s="161"/>
      <c r="M32" s="161"/>
    </row>
    <row r="33" spans="1:13" outlineLevel="1" x14ac:dyDescent="0.25">
      <c r="A33" s="84"/>
      <c r="B33" s="377" t="s">
        <v>1302</v>
      </c>
      <c r="C33" s="2" t="s">
        <v>12</v>
      </c>
      <c r="D33" s="282">
        <v>7</v>
      </c>
      <c r="E33" s="18"/>
      <c r="F33" s="164">
        <v>900</v>
      </c>
      <c r="G33" s="18"/>
      <c r="H33" s="2">
        <f t="shared" si="1"/>
        <v>6300</v>
      </c>
      <c r="I33" s="663">
        <f>G33+H33</f>
        <v>6300</v>
      </c>
      <c r="K33" s="404"/>
      <c r="L33" s="161"/>
      <c r="M33" s="161"/>
    </row>
    <row r="34" spans="1:13" outlineLevel="1" x14ac:dyDescent="0.25">
      <c r="A34" s="84"/>
      <c r="B34" s="361" t="s">
        <v>72</v>
      </c>
      <c r="C34" s="2" t="s">
        <v>8</v>
      </c>
      <c r="D34" s="282">
        <f>D29*0.05</f>
        <v>8.65</v>
      </c>
      <c r="E34" s="18"/>
      <c r="F34" s="361">
        <v>2600</v>
      </c>
      <c r="G34" s="18"/>
      <c r="H34" s="2">
        <f t="shared" si="1"/>
        <v>22490</v>
      </c>
      <c r="I34" s="663">
        <f t="shared" si="0"/>
        <v>22490</v>
      </c>
      <c r="K34" s="404"/>
      <c r="L34" s="161"/>
      <c r="M34" s="161"/>
    </row>
    <row r="35" spans="1:13" outlineLevel="1" x14ac:dyDescent="0.25">
      <c r="A35" s="92"/>
      <c r="B35" s="533" t="s">
        <v>1494</v>
      </c>
      <c r="C35" s="41" t="s">
        <v>15</v>
      </c>
      <c r="D35" s="277">
        <f>[1]арматура!E26</f>
        <v>94.53</v>
      </c>
      <c r="E35" s="2"/>
      <c r="F35" s="364">
        <v>42</v>
      </c>
      <c r="G35" s="10"/>
      <c r="H35" s="2">
        <f t="shared" si="1"/>
        <v>3970.26</v>
      </c>
      <c r="I35" s="27">
        <f t="shared" si="0"/>
        <v>3970.26</v>
      </c>
      <c r="K35" s="404"/>
      <c r="L35" s="161"/>
      <c r="M35" s="161"/>
    </row>
    <row r="36" spans="1:13" ht="31.2" outlineLevel="1" x14ac:dyDescent="0.25">
      <c r="A36" s="107" t="s">
        <v>1246</v>
      </c>
      <c r="B36" s="531" t="s">
        <v>1245</v>
      </c>
      <c r="C36" s="41" t="s">
        <v>8</v>
      </c>
      <c r="D36" s="277">
        <v>3.6</v>
      </c>
      <c r="E36" s="256">
        <v>800</v>
      </c>
      <c r="F36" s="60"/>
      <c r="G36" s="2">
        <f>ROUND(E36*D36,2)</f>
        <v>2880</v>
      </c>
      <c r="H36" s="18"/>
      <c r="I36" s="27">
        <f t="shared" si="0"/>
        <v>2880</v>
      </c>
      <c r="K36" s="256">
        <f>18.55+30+18.4</f>
        <v>66.949999999999989</v>
      </c>
      <c r="L36" s="161"/>
      <c r="M36" s="161"/>
    </row>
    <row r="37" spans="1:13" outlineLevel="1" x14ac:dyDescent="0.25">
      <c r="A37" s="92"/>
      <c r="B37" s="361" t="s">
        <v>738</v>
      </c>
      <c r="C37" s="2" t="s">
        <v>8</v>
      </c>
      <c r="D37" s="282">
        <f>D36*1.015</f>
        <v>3.6539999999999999</v>
      </c>
      <c r="E37" s="2"/>
      <c r="F37" s="664">
        <v>4200</v>
      </c>
      <c r="G37" s="2"/>
      <c r="H37" s="2">
        <f>ROUND(D37*F37,2)</f>
        <v>15346.8</v>
      </c>
      <c r="I37" s="27">
        <f t="shared" si="0"/>
        <v>15346.8</v>
      </c>
      <c r="K37" s="161"/>
      <c r="L37" s="161"/>
      <c r="M37" s="161"/>
    </row>
    <row r="38" spans="1:13" ht="31.2" outlineLevel="1" x14ac:dyDescent="0.25">
      <c r="A38" s="107" t="s">
        <v>1247</v>
      </c>
      <c r="B38" s="543" t="s">
        <v>1495</v>
      </c>
      <c r="C38" s="31" t="s">
        <v>14</v>
      </c>
      <c r="D38" s="690">
        <f>212.2*0.6</f>
        <v>127.32</v>
      </c>
      <c r="E38" s="256">
        <v>150</v>
      </c>
      <c r="F38" s="11"/>
      <c r="G38" s="2">
        <f>ROUND(E38*D38,2)</f>
        <v>19098</v>
      </c>
      <c r="H38" s="18"/>
      <c r="I38" s="11">
        <f t="shared" si="0"/>
        <v>19098</v>
      </c>
      <c r="K38" s="407">
        <f>(1174.2+732.63+738.63)/1000</f>
        <v>2.6454599999999999</v>
      </c>
      <c r="L38" s="161"/>
      <c r="M38" s="161"/>
    </row>
    <row r="39" spans="1:13" outlineLevel="1" x14ac:dyDescent="0.25">
      <c r="A39" s="84"/>
      <c r="B39" s="361" t="s">
        <v>1311</v>
      </c>
      <c r="C39" s="2" t="s">
        <v>15</v>
      </c>
      <c r="D39" s="158">
        <f>2.5*D38</f>
        <v>318.29999999999995</v>
      </c>
      <c r="E39" s="2"/>
      <c r="F39" s="361">
        <v>55</v>
      </c>
      <c r="G39" s="18"/>
      <c r="H39" s="2">
        <f>ROUND(D39*F39,2)</f>
        <v>17506.5</v>
      </c>
      <c r="I39" s="60">
        <f t="shared" si="0"/>
        <v>17506.5</v>
      </c>
      <c r="K39" s="161"/>
      <c r="L39" s="161"/>
      <c r="M39" s="161"/>
    </row>
    <row r="40" spans="1:13" s="36" customFormat="1" ht="33" customHeight="1" x14ac:dyDescent="0.25">
      <c r="A40" s="84"/>
      <c r="B40" s="361" t="s">
        <v>1312</v>
      </c>
      <c r="C40" s="2" t="s">
        <v>30</v>
      </c>
      <c r="D40" s="158">
        <f>0.35*D38</f>
        <v>44.561999999999998</v>
      </c>
      <c r="E40" s="2"/>
      <c r="F40" s="361">
        <v>44</v>
      </c>
      <c r="G40" s="18"/>
      <c r="H40" s="2">
        <f>ROUND(D40*F40,2)</f>
        <v>1960.73</v>
      </c>
      <c r="I40" s="60">
        <f t="shared" si="0"/>
        <v>1960.73</v>
      </c>
      <c r="K40" s="162"/>
      <c r="L40" s="162"/>
      <c r="M40" s="162"/>
    </row>
    <row r="41" spans="1:13" s="36" customFormat="1" x14ac:dyDescent="0.25">
      <c r="A41" s="107" t="s">
        <v>1496</v>
      </c>
      <c r="B41" s="543" t="s">
        <v>1506</v>
      </c>
      <c r="C41" s="31" t="s">
        <v>14</v>
      </c>
      <c r="D41" s="350">
        <f>42.18</f>
        <v>42.18</v>
      </c>
      <c r="E41" s="264">
        <v>250</v>
      </c>
      <c r="F41" s="140"/>
      <c r="G41" s="51">
        <f>E41*D41</f>
        <v>10545</v>
      </c>
      <c r="H41" s="51"/>
      <c r="I41" s="669">
        <f>H41+G41</f>
        <v>10545</v>
      </c>
      <c r="K41" s="162"/>
      <c r="L41" s="162"/>
      <c r="M41" s="162"/>
    </row>
    <row r="42" spans="1:13" s="36" customFormat="1" x14ac:dyDescent="0.25">
      <c r="A42" s="84"/>
      <c r="B42" s="377" t="s">
        <v>1507</v>
      </c>
      <c r="C42" s="2" t="s">
        <v>14</v>
      </c>
      <c r="D42" s="158">
        <f>ROUND(D41*2,2)</f>
        <v>84.36</v>
      </c>
      <c r="E42" s="2"/>
      <c r="F42" s="665">
        <v>86.8</v>
      </c>
      <c r="G42" s="2"/>
      <c r="H42" s="2">
        <f>ROUND(D42*F42,2)</f>
        <v>7322.45</v>
      </c>
      <c r="I42" s="27">
        <f>G42+H42</f>
        <v>7322.45</v>
      </c>
      <c r="K42" s="162"/>
      <c r="L42" s="162"/>
      <c r="M42" s="162"/>
    </row>
    <row r="43" spans="1:13" s="36" customFormat="1" x14ac:dyDescent="0.25">
      <c r="A43" s="107" t="s">
        <v>1497</v>
      </c>
      <c r="B43" s="531" t="s">
        <v>1304</v>
      </c>
      <c r="C43" s="31" t="s">
        <v>8</v>
      </c>
      <c r="D43" s="256">
        <v>12.6</v>
      </c>
      <c r="E43" s="256">
        <v>2600</v>
      </c>
      <c r="F43" s="60"/>
      <c r="G43" s="2">
        <f>ROUND(E43*D43,2)</f>
        <v>32760</v>
      </c>
      <c r="H43" s="18"/>
      <c r="I43" s="663">
        <f t="shared" si="0"/>
        <v>32760</v>
      </c>
      <c r="K43" s="162"/>
      <c r="L43" s="162"/>
      <c r="M43" s="162"/>
    </row>
    <row r="44" spans="1:13" s="36" customFormat="1" x14ac:dyDescent="0.25">
      <c r="A44" s="83"/>
      <c r="B44" s="361" t="s">
        <v>738</v>
      </c>
      <c r="C44" s="2" t="s">
        <v>8</v>
      </c>
      <c r="D44" s="282">
        <f>D43*1.015</f>
        <v>12.788999999999998</v>
      </c>
      <c r="E44" s="2"/>
      <c r="F44" s="664">
        <v>4200</v>
      </c>
      <c r="G44" s="2"/>
      <c r="H44" s="2">
        <f>ROUND(D44*F44,2)</f>
        <v>53713.8</v>
      </c>
      <c r="I44" s="27">
        <f t="shared" si="0"/>
        <v>53713.8</v>
      </c>
      <c r="K44" s="162"/>
      <c r="L44" s="162"/>
      <c r="M44" s="162"/>
    </row>
    <row r="45" spans="1:13" s="36" customFormat="1" x14ac:dyDescent="0.25">
      <c r="A45" s="83"/>
      <c r="B45" s="377" t="s">
        <v>358</v>
      </c>
      <c r="C45" s="2" t="s">
        <v>9</v>
      </c>
      <c r="D45" s="257">
        <f>242.8/1000</f>
        <v>0.24280000000000002</v>
      </c>
      <c r="E45" s="2"/>
      <c r="F45" s="361">
        <v>34000</v>
      </c>
      <c r="G45" s="2"/>
      <c r="H45" s="2">
        <f>ROUND(D45*F45,2)</f>
        <v>8255.2000000000007</v>
      </c>
      <c r="I45" s="27">
        <f t="shared" si="0"/>
        <v>8255.2000000000007</v>
      </c>
      <c r="K45" s="162"/>
      <c r="L45" s="162"/>
      <c r="M45" s="162"/>
    </row>
    <row r="46" spans="1:13" s="36" customFormat="1" x14ac:dyDescent="0.25">
      <c r="A46" s="83"/>
      <c r="B46" s="361" t="s">
        <v>11</v>
      </c>
      <c r="C46" s="2" t="s">
        <v>8</v>
      </c>
      <c r="D46" s="282">
        <f>0.0061*D43</f>
        <v>7.6859999999999998E-2</v>
      </c>
      <c r="E46" s="2"/>
      <c r="F46" s="361">
        <v>7500</v>
      </c>
      <c r="G46" s="2"/>
      <c r="H46" s="2">
        <f>ROUND(D46*F46,2)</f>
        <v>576.45000000000005</v>
      </c>
      <c r="I46" s="27">
        <f t="shared" si="0"/>
        <v>576.45000000000005</v>
      </c>
      <c r="K46" s="162"/>
      <c r="L46" s="162"/>
      <c r="M46" s="162"/>
    </row>
    <row r="47" spans="1:13" s="36" customFormat="1" x14ac:dyDescent="0.25">
      <c r="A47" s="107" t="s">
        <v>1499</v>
      </c>
      <c r="B47" s="531" t="s">
        <v>1500</v>
      </c>
      <c r="C47" s="2" t="s">
        <v>8</v>
      </c>
      <c r="D47" s="256">
        <v>0.44</v>
      </c>
      <c r="E47" s="256">
        <v>1500</v>
      </c>
      <c r="F47" s="164"/>
      <c r="G47" s="2">
        <f>ROUND(E47*D47,2)</f>
        <v>660</v>
      </c>
      <c r="H47" s="2"/>
      <c r="I47" s="11">
        <f>G47+H47</f>
        <v>660</v>
      </c>
      <c r="K47" s="162"/>
      <c r="L47" s="162"/>
      <c r="M47" s="162"/>
    </row>
    <row r="48" spans="1:13" s="36" customFormat="1" x14ac:dyDescent="0.25">
      <c r="A48" s="84"/>
      <c r="B48" s="361" t="s">
        <v>738</v>
      </c>
      <c r="C48" s="2" t="s">
        <v>8</v>
      </c>
      <c r="D48" s="282">
        <f>D47*1.02</f>
        <v>0.44880000000000003</v>
      </c>
      <c r="E48" s="2"/>
      <c r="F48" s="664">
        <v>4200</v>
      </c>
      <c r="G48" s="2"/>
      <c r="H48" s="2">
        <f>ROUND(D48*F48,2)</f>
        <v>1884.96</v>
      </c>
      <c r="I48" s="60">
        <f>G48+H48</f>
        <v>1884.96</v>
      </c>
      <c r="K48" s="162"/>
      <c r="L48" s="162"/>
      <c r="M48" s="162"/>
    </row>
    <row r="49" spans="1:14" s="36" customFormat="1" x14ac:dyDescent="0.25">
      <c r="A49" s="84"/>
      <c r="B49" s="361" t="s">
        <v>737</v>
      </c>
      <c r="C49" s="41" t="s">
        <v>15</v>
      </c>
      <c r="D49" s="277">
        <f>2*13.64+14*0.07</f>
        <v>28.26</v>
      </c>
      <c r="E49" s="2"/>
      <c r="F49" s="364">
        <v>42</v>
      </c>
      <c r="G49" s="10"/>
      <c r="H49" s="2">
        <f>ROUND(D49*F49,2)</f>
        <v>1186.92</v>
      </c>
      <c r="I49" s="11">
        <f>G49+H49</f>
        <v>1186.92</v>
      </c>
      <c r="K49" s="162"/>
      <c r="L49" s="162"/>
      <c r="M49" s="162"/>
    </row>
    <row r="50" spans="1:14" s="36" customFormat="1" ht="46.8" x14ac:dyDescent="0.25">
      <c r="A50" s="212"/>
      <c r="B50" s="213" t="s">
        <v>739</v>
      </c>
      <c r="C50" s="222"/>
      <c r="D50" s="215"/>
      <c r="E50" s="216"/>
      <c r="F50" s="217"/>
      <c r="G50" s="216">
        <f>SUM(G16:G49)</f>
        <v>492011.95999999996</v>
      </c>
      <c r="H50" s="216">
        <f>SUM(H16:H49)</f>
        <v>1056606.8699999999</v>
      </c>
      <c r="I50" s="215">
        <f>SUM(I16:I49)</f>
        <v>1548618.8299999996</v>
      </c>
      <c r="K50" s="162"/>
      <c r="L50" s="162"/>
      <c r="M50" s="162"/>
    </row>
    <row r="51" spans="1:14" ht="18.75" customHeight="1" x14ac:dyDescent="0.25">
      <c r="A51" s="104"/>
      <c r="B51" s="771" t="s">
        <v>494</v>
      </c>
      <c r="C51" s="771"/>
      <c r="D51" s="771"/>
      <c r="E51" s="771"/>
      <c r="F51" s="771"/>
      <c r="G51" s="105"/>
      <c r="H51" s="105"/>
      <c r="I51" s="106"/>
      <c r="K51" s="129"/>
      <c r="L51" s="133"/>
      <c r="M51" s="133"/>
    </row>
    <row r="52" spans="1:14" ht="31.5" customHeight="1" outlineLevel="1" x14ac:dyDescent="0.25">
      <c r="A52" s="107" t="s">
        <v>204</v>
      </c>
      <c r="B52" s="531" t="s">
        <v>755</v>
      </c>
      <c r="C52" s="31" t="s">
        <v>8</v>
      </c>
      <c r="D52" s="256">
        <f>(6.68-1.58)*(2.1-1.33)*0.25</f>
        <v>0.9817499999999999</v>
      </c>
      <c r="E52" s="256">
        <v>500</v>
      </c>
      <c r="F52" s="11"/>
      <c r="G52" s="2">
        <f>ROUND(E52*D52,2)</f>
        <v>490.88</v>
      </c>
      <c r="H52" s="2"/>
      <c r="I52" s="11">
        <f>G52+H52</f>
        <v>490.88</v>
      </c>
      <c r="K52" s="161"/>
      <c r="L52" s="161"/>
      <c r="M52" s="161"/>
    </row>
    <row r="53" spans="1:14" ht="31.2" outlineLevel="1" x14ac:dyDescent="0.25">
      <c r="A53" s="84"/>
      <c r="B53" s="361" t="s">
        <v>764</v>
      </c>
      <c r="C53" s="2" t="s">
        <v>12</v>
      </c>
      <c r="D53" s="540">
        <f>D52*400</f>
        <v>392.69999999999993</v>
      </c>
      <c r="E53" s="2"/>
      <c r="F53" s="664">
        <v>10.75</v>
      </c>
      <c r="G53" s="2"/>
      <c r="H53" s="2">
        <f>ROUND(D53*F53,2)</f>
        <v>4221.53</v>
      </c>
      <c r="I53" s="11">
        <f>G53+H53</f>
        <v>4221.53</v>
      </c>
      <c r="K53" s="161"/>
      <c r="L53" s="161"/>
      <c r="M53" s="161"/>
    </row>
    <row r="54" spans="1:14" outlineLevel="1" x14ac:dyDescent="0.25">
      <c r="A54" s="84"/>
      <c r="B54" s="361" t="s">
        <v>756</v>
      </c>
      <c r="C54" s="2" t="s">
        <v>8</v>
      </c>
      <c r="D54" s="540">
        <f>ROUND(0.23*D52,2)</f>
        <v>0.23</v>
      </c>
      <c r="E54" s="2"/>
      <c r="F54" s="361">
        <v>2600</v>
      </c>
      <c r="G54" s="2"/>
      <c r="H54" s="2">
        <f>ROUND(D54*F54,2)</f>
        <v>598</v>
      </c>
      <c r="I54" s="11">
        <f>G54+H54</f>
        <v>598</v>
      </c>
      <c r="K54" s="161"/>
      <c r="L54" s="161"/>
      <c r="M54" s="161"/>
    </row>
    <row r="55" spans="1:14" outlineLevel="1" x14ac:dyDescent="0.25">
      <c r="A55" s="107" t="s">
        <v>205</v>
      </c>
      <c r="B55" s="539" t="s">
        <v>16</v>
      </c>
      <c r="C55" s="31" t="s">
        <v>12</v>
      </c>
      <c r="D55" s="268">
        <f>D56</f>
        <v>1</v>
      </c>
      <c r="E55" s="256">
        <v>100</v>
      </c>
      <c r="F55" s="11"/>
      <c r="G55" s="2">
        <f>ROUND(E55*D55,2)</f>
        <v>100</v>
      </c>
      <c r="H55" s="2"/>
      <c r="I55" s="11">
        <f t="shared" ref="I55:I77" si="2">G55+H55</f>
        <v>100</v>
      </c>
      <c r="K55" s="163"/>
      <c r="L55" s="163"/>
      <c r="M55" s="163"/>
      <c r="N55" s="5"/>
    </row>
    <row r="56" spans="1:14" outlineLevel="1" x14ac:dyDescent="0.25">
      <c r="A56" s="84"/>
      <c r="B56" s="377" t="s">
        <v>754</v>
      </c>
      <c r="C56" s="2" t="s">
        <v>12</v>
      </c>
      <c r="D56" s="540">
        <v>1</v>
      </c>
      <c r="E56" s="2"/>
      <c r="F56" s="664">
        <v>203</v>
      </c>
      <c r="G56" s="2"/>
      <c r="H56" s="2">
        <f>ROUND(D56*F56,2)</f>
        <v>203</v>
      </c>
      <c r="I56" s="11">
        <f t="shared" si="2"/>
        <v>203</v>
      </c>
      <c r="K56" s="163"/>
      <c r="L56" s="163"/>
      <c r="M56" s="163"/>
      <c r="N56" s="5"/>
    </row>
    <row r="57" spans="1:14" outlineLevel="1" x14ac:dyDescent="0.25">
      <c r="A57" s="84"/>
      <c r="B57" s="361" t="s">
        <v>72</v>
      </c>
      <c r="C57" s="2" t="s">
        <v>8</v>
      </c>
      <c r="D57" s="540">
        <f>ROUND(0.23*D55,2)</f>
        <v>0.23</v>
      </c>
      <c r="E57" s="2"/>
      <c r="F57" s="361">
        <v>2600</v>
      </c>
      <c r="G57" s="2"/>
      <c r="H57" s="2">
        <f>ROUND(D57*F57,2)</f>
        <v>598</v>
      </c>
      <c r="I57" s="11">
        <f t="shared" si="2"/>
        <v>598</v>
      </c>
      <c r="K57" s="163"/>
      <c r="L57" s="163"/>
      <c r="M57" s="163"/>
      <c r="N57" s="5"/>
    </row>
    <row r="58" spans="1:14" outlineLevel="1" x14ac:dyDescent="0.25">
      <c r="A58" s="107" t="s">
        <v>207</v>
      </c>
      <c r="B58" s="555" t="s">
        <v>784</v>
      </c>
      <c r="C58" s="46" t="s">
        <v>12</v>
      </c>
      <c r="D58" s="275">
        <v>1</v>
      </c>
      <c r="E58" s="166">
        <v>1000</v>
      </c>
      <c r="F58" s="43"/>
      <c r="G58" s="2">
        <f>ROUND(E58*D58,2)</f>
        <v>1000</v>
      </c>
      <c r="H58" s="11">
        <f>D58*F58</f>
        <v>0</v>
      </c>
      <c r="I58" s="11">
        <f t="shared" si="2"/>
        <v>1000</v>
      </c>
      <c r="K58" s="163"/>
      <c r="L58" s="163"/>
      <c r="M58" s="163"/>
      <c r="N58" s="5"/>
    </row>
    <row r="59" spans="1:14" outlineLevel="1" x14ac:dyDescent="0.25">
      <c r="A59" s="84"/>
      <c r="B59" s="361" t="s">
        <v>785</v>
      </c>
      <c r="C59" s="2" t="s">
        <v>12</v>
      </c>
      <c r="D59" s="540">
        <v>6</v>
      </c>
      <c r="E59" s="2"/>
      <c r="F59" s="164">
        <v>1300</v>
      </c>
      <c r="G59" s="2"/>
      <c r="H59" s="2">
        <f t="shared" ref="H59:H65" si="3">ROUND(D59*F59,2)</f>
        <v>7800</v>
      </c>
      <c r="I59" s="11">
        <f t="shared" si="2"/>
        <v>7800</v>
      </c>
      <c r="K59" s="163"/>
      <c r="L59" s="163"/>
      <c r="M59" s="163"/>
      <c r="N59" s="5"/>
    </row>
    <row r="60" spans="1:14" outlineLevel="1" x14ac:dyDescent="0.25">
      <c r="A60" s="84"/>
      <c r="B60" s="361" t="s">
        <v>1326</v>
      </c>
      <c r="C60" s="2" t="s">
        <v>12</v>
      </c>
      <c r="D60" s="540">
        <v>1</v>
      </c>
      <c r="E60" s="2"/>
      <c r="F60" s="164">
        <v>1300</v>
      </c>
      <c r="G60" s="2"/>
      <c r="H60" s="2">
        <f t="shared" si="3"/>
        <v>1300</v>
      </c>
      <c r="I60" s="11">
        <f t="shared" si="2"/>
        <v>1300</v>
      </c>
      <c r="K60" s="163"/>
      <c r="L60" s="163"/>
      <c r="M60" s="163"/>
      <c r="N60" s="5"/>
    </row>
    <row r="61" spans="1:14" outlineLevel="1" x14ac:dyDescent="0.25">
      <c r="A61" s="84"/>
      <c r="B61" s="361" t="s">
        <v>786</v>
      </c>
      <c r="C61" s="2" t="s">
        <v>12</v>
      </c>
      <c r="D61" s="540">
        <v>6</v>
      </c>
      <c r="E61" s="2"/>
      <c r="F61" s="164">
        <v>1300</v>
      </c>
      <c r="G61" s="2"/>
      <c r="H61" s="2">
        <f t="shared" si="3"/>
        <v>7800</v>
      </c>
      <c r="I61" s="11">
        <f t="shared" si="2"/>
        <v>7800</v>
      </c>
      <c r="K61" s="163"/>
      <c r="L61" s="163"/>
      <c r="M61" s="163"/>
      <c r="N61" s="5"/>
    </row>
    <row r="62" spans="1:14" outlineLevel="1" x14ac:dyDescent="0.25">
      <c r="A62" s="84"/>
      <c r="B62" s="361" t="s">
        <v>1327</v>
      </c>
      <c r="C62" s="2" t="s">
        <v>12</v>
      </c>
      <c r="D62" s="540">
        <v>1</v>
      </c>
      <c r="E62" s="2"/>
      <c r="F62" s="164">
        <v>1300</v>
      </c>
      <c r="G62" s="2"/>
      <c r="H62" s="2">
        <f t="shared" si="3"/>
        <v>1300</v>
      </c>
      <c r="I62" s="11">
        <f t="shared" si="2"/>
        <v>1300</v>
      </c>
      <c r="K62" s="163"/>
      <c r="L62" s="163"/>
      <c r="M62" s="163"/>
      <c r="N62" s="5"/>
    </row>
    <row r="63" spans="1:14" outlineLevel="1" x14ac:dyDescent="0.25">
      <c r="A63" s="84"/>
      <c r="B63" s="361" t="s">
        <v>1518</v>
      </c>
      <c r="C63" s="2" t="s">
        <v>12</v>
      </c>
      <c r="D63" s="540">
        <v>1</v>
      </c>
      <c r="E63" s="2"/>
      <c r="F63" s="164">
        <v>1300</v>
      </c>
      <c r="G63" s="2"/>
      <c r="H63" s="2">
        <f t="shared" si="3"/>
        <v>1300</v>
      </c>
      <c r="I63" s="11">
        <f t="shared" si="2"/>
        <v>1300</v>
      </c>
      <c r="K63" s="163"/>
      <c r="L63" s="163"/>
      <c r="M63" s="163"/>
      <c r="N63" s="5"/>
    </row>
    <row r="64" spans="1:14" outlineLevel="1" x14ac:dyDescent="0.25">
      <c r="A64" s="84"/>
      <c r="B64" s="361" t="s">
        <v>738</v>
      </c>
      <c r="C64" s="2" t="s">
        <v>8</v>
      </c>
      <c r="D64" s="282">
        <v>0.05</v>
      </c>
      <c r="E64" s="2"/>
      <c r="F64" s="664">
        <v>4200</v>
      </c>
      <c r="G64" s="2"/>
      <c r="H64" s="2">
        <f>ROUND(D64*F64,2)</f>
        <v>210</v>
      </c>
      <c r="I64" s="11">
        <f>G64+H64</f>
        <v>210</v>
      </c>
      <c r="K64" s="163"/>
      <c r="L64" s="163"/>
      <c r="M64" s="163"/>
      <c r="N64" s="5"/>
    </row>
    <row r="65" spans="1:14" outlineLevel="1" x14ac:dyDescent="0.25">
      <c r="A65" s="84"/>
      <c r="B65" s="361" t="s">
        <v>763</v>
      </c>
      <c r="C65" s="2" t="s">
        <v>1323</v>
      </c>
      <c r="D65" s="540">
        <v>10.8</v>
      </c>
      <c r="E65" s="2"/>
      <c r="F65" s="164">
        <v>300</v>
      </c>
      <c r="G65" s="2"/>
      <c r="H65" s="2">
        <f t="shared" si="3"/>
        <v>3240</v>
      </c>
      <c r="I65" s="11">
        <f t="shared" si="2"/>
        <v>3240</v>
      </c>
      <c r="K65" s="163"/>
      <c r="L65" s="163"/>
      <c r="M65" s="163"/>
      <c r="N65" s="5"/>
    </row>
    <row r="66" spans="1:14" outlineLevel="1" x14ac:dyDescent="0.25">
      <c r="A66" s="84"/>
      <c r="B66" s="361" t="s">
        <v>767</v>
      </c>
      <c r="C66" s="2" t="s">
        <v>15</v>
      </c>
      <c r="D66" s="540">
        <v>135</v>
      </c>
      <c r="E66" s="2"/>
      <c r="F66" s="361">
        <v>40</v>
      </c>
      <c r="G66" s="2"/>
      <c r="H66" s="2">
        <f t="shared" ref="H66:H71" si="4">ROUND(D66*F66,2)</f>
        <v>5400</v>
      </c>
      <c r="I66" s="11">
        <f t="shared" si="2"/>
        <v>5400</v>
      </c>
      <c r="K66" s="163"/>
      <c r="L66" s="163"/>
      <c r="M66" s="163"/>
      <c r="N66" s="5"/>
    </row>
    <row r="67" spans="1:14" outlineLevel="1" x14ac:dyDescent="0.25">
      <c r="A67" s="84"/>
      <c r="B67" s="361" t="s">
        <v>768</v>
      </c>
      <c r="C67" s="2" t="s">
        <v>15</v>
      </c>
      <c r="D67" s="540">
        <v>280</v>
      </c>
      <c r="E67" s="2"/>
      <c r="F67" s="361">
        <v>40</v>
      </c>
      <c r="G67" s="2"/>
      <c r="H67" s="2">
        <f t="shared" si="4"/>
        <v>11200</v>
      </c>
      <c r="I67" s="11">
        <f t="shared" si="2"/>
        <v>11200</v>
      </c>
      <c r="K67" s="163"/>
      <c r="L67" s="163"/>
      <c r="M67" s="163"/>
      <c r="N67" s="5"/>
    </row>
    <row r="68" spans="1:14" outlineLevel="1" x14ac:dyDescent="0.25">
      <c r="A68" s="84"/>
      <c r="B68" s="361" t="s">
        <v>770</v>
      </c>
      <c r="C68" s="2" t="s">
        <v>15</v>
      </c>
      <c r="D68" s="540">
        <v>5</v>
      </c>
      <c r="E68" s="2"/>
      <c r="F68" s="361">
        <v>36</v>
      </c>
      <c r="G68" s="2"/>
      <c r="H68" s="2">
        <f t="shared" si="4"/>
        <v>180</v>
      </c>
      <c r="I68" s="11">
        <f t="shared" si="2"/>
        <v>180</v>
      </c>
      <c r="K68" s="163"/>
      <c r="L68" s="163"/>
      <c r="M68" s="163"/>
      <c r="N68" s="5"/>
    </row>
    <row r="69" spans="1:14" outlineLevel="1" x14ac:dyDescent="0.25">
      <c r="A69" s="84"/>
      <c r="B69" s="361" t="s">
        <v>1331</v>
      </c>
      <c r="C69" s="2" t="s">
        <v>15</v>
      </c>
      <c r="D69" s="540">
        <v>45</v>
      </c>
      <c r="E69" s="2"/>
      <c r="F69" s="361">
        <v>36</v>
      </c>
      <c r="G69" s="2"/>
      <c r="H69" s="2">
        <f t="shared" si="4"/>
        <v>1620</v>
      </c>
      <c r="I69" s="11">
        <f t="shared" si="2"/>
        <v>1620</v>
      </c>
      <c r="K69" s="163"/>
      <c r="L69" s="163"/>
      <c r="M69" s="163"/>
      <c r="N69" s="5"/>
    </row>
    <row r="70" spans="1:14" outlineLevel="1" x14ac:dyDescent="0.25">
      <c r="A70" s="84"/>
      <c r="B70" s="361" t="s">
        <v>772</v>
      </c>
      <c r="C70" s="2" t="s">
        <v>15</v>
      </c>
      <c r="D70" s="540">
        <v>20</v>
      </c>
      <c r="E70" s="2"/>
      <c r="F70" s="361">
        <v>33</v>
      </c>
      <c r="G70" s="2"/>
      <c r="H70" s="2">
        <f t="shared" si="4"/>
        <v>660</v>
      </c>
      <c r="I70" s="11">
        <f t="shared" si="2"/>
        <v>660</v>
      </c>
      <c r="K70" s="163"/>
      <c r="L70" s="163"/>
      <c r="M70" s="163"/>
      <c r="N70" s="5"/>
    </row>
    <row r="71" spans="1:14" outlineLevel="1" x14ac:dyDescent="0.25">
      <c r="A71" s="84"/>
      <c r="B71" s="361" t="s">
        <v>773</v>
      </c>
      <c r="C71" s="2" t="s">
        <v>15</v>
      </c>
      <c r="D71" s="540">
        <v>32</v>
      </c>
      <c r="E71" s="2"/>
      <c r="F71" s="361">
        <v>33</v>
      </c>
      <c r="G71" s="2"/>
      <c r="H71" s="2">
        <f t="shared" si="4"/>
        <v>1056</v>
      </c>
      <c r="I71" s="11">
        <f t="shared" si="2"/>
        <v>1056</v>
      </c>
      <c r="K71" s="163"/>
      <c r="L71" s="163"/>
      <c r="M71" s="163"/>
      <c r="N71" s="5"/>
    </row>
    <row r="72" spans="1:14" outlineLevel="1" x14ac:dyDescent="0.25">
      <c r="A72" s="107" t="s">
        <v>66</v>
      </c>
      <c r="B72" s="538" t="s">
        <v>807</v>
      </c>
      <c r="C72" s="41" t="s">
        <v>14</v>
      </c>
      <c r="D72" s="282">
        <f>SUM(D65:D71)*27/1000</f>
        <v>14.250599999999999</v>
      </c>
      <c r="E72" s="353">
        <v>150</v>
      </c>
      <c r="F72" s="363"/>
      <c r="G72" s="2">
        <f>D72*E72</f>
        <v>2137.5899999999997</v>
      </c>
      <c r="H72" s="2"/>
      <c r="I72" s="11">
        <f>G72</f>
        <v>2137.5899999999997</v>
      </c>
      <c r="K72" s="163"/>
      <c r="L72" s="163"/>
      <c r="M72" s="163"/>
      <c r="N72" s="5"/>
    </row>
    <row r="73" spans="1:14" outlineLevel="1" x14ac:dyDescent="0.25">
      <c r="A73" s="84"/>
      <c r="B73" s="533" t="s">
        <v>908</v>
      </c>
      <c r="C73" s="41" t="s">
        <v>15</v>
      </c>
      <c r="D73" s="282">
        <f>D72*0.2</f>
        <v>2.85012</v>
      </c>
      <c r="E73" s="390"/>
      <c r="F73" s="362">
        <v>85</v>
      </c>
      <c r="G73" s="2"/>
      <c r="H73" s="2">
        <f>F73*D73</f>
        <v>242.2602</v>
      </c>
      <c r="I73" s="11">
        <f>H73</f>
        <v>242.2602</v>
      </c>
      <c r="K73" s="163"/>
      <c r="L73" s="163"/>
      <c r="M73" s="163"/>
      <c r="N73" s="5"/>
    </row>
    <row r="74" spans="1:14" outlineLevel="1" x14ac:dyDescent="0.25">
      <c r="A74" s="84"/>
      <c r="B74" s="533" t="s">
        <v>809</v>
      </c>
      <c r="C74" s="41" t="s">
        <v>15</v>
      </c>
      <c r="D74" s="282">
        <f>D72*0.3</f>
        <v>4.2751799999999998</v>
      </c>
      <c r="E74" s="390"/>
      <c r="F74" s="362">
        <v>115</v>
      </c>
      <c r="G74" s="2"/>
      <c r="H74" s="2">
        <f>F74*D74</f>
        <v>491.64569999999998</v>
      </c>
      <c r="I74" s="11">
        <f>H74</f>
        <v>491.64569999999998</v>
      </c>
      <c r="K74" s="163"/>
      <c r="L74" s="163"/>
      <c r="M74" s="163"/>
      <c r="N74" s="5"/>
    </row>
    <row r="75" spans="1:14" outlineLevel="1" x14ac:dyDescent="0.25">
      <c r="A75" s="107" t="s">
        <v>349</v>
      </c>
      <c r="B75" s="531" t="s">
        <v>787</v>
      </c>
      <c r="C75" s="31" t="s">
        <v>8</v>
      </c>
      <c r="D75" s="256">
        <v>0.8</v>
      </c>
      <c r="E75" s="256">
        <v>800</v>
      </c>
      <c r="F75" s="11"/>
      <c r="G75" s="2">
        <f>ROUND(E75*D75,2)</f>
        <v>640</v>
      </c>
      <c r="H75" s="2"/>
      <c r="I75" s="11">
        <f t="shared" si="2"/>
        <v>640</v>
      </c>
      <c r="K75" s="163"/>
      <c r="L75" s="163"/>
      <c r="M75" s="163"/>
      <c r="N75" s="5"/>
    </row>
    <row r="76" spans="1:14" outlineLevel="1" x14ac:dyDescent="0.25">
      <c r="A76" s="84"/>
      <c r="B76" s="361" t="s">
        <v>738</v>
      </c>
      <c r="C76" s="2" t="s">
        <v>8</v>
      </c>
      <c r="D76" s="282">
        <f>D75*1.02</f>
        <v>0.81600000000000006</v>
      </c>
      <c r="E76" s="2"/>
      <c r="F76" s="664">
        <v>4200</v>
      </c>
      <c r="G76" s="2"/>
      <c r="H76" s="2">
        <f>ROUND(D76*F76,2)</f>
        <v>3427.2</v>
      </c>
      <c r="I76" s="11">
        <f t="shared" si="2"/>
        <v>3427.2</v>
      </c>
      <c r="K76" s="163"/>
      <c r="L76" s="163"/>
      <c r="M76" s="163"/>
      <c r="N76" s="5"/>
    </row>
    <row r="77" spans="1:14" outlineLevel="1" x14ac:dyDescent="0.25">
      <c r="A77" s="84"/>
      <c r="B77" s="533" t="s">
        <v>1339</v>
      </c>
      <c r="C77" s="41" t="s">
        <v>15</v>
      </c>
      <c r="D77" s="277">
        <f>12*0.61+19*0.56+19*0.59</f>
        <v>29.17</v>
      </c>
      <c r="E77" s="2"/>
      <c r="F77" s="364">
        <v>42</v>
      </c>
      <c r="G77" s="10"/>
      <c r="H77" s="2">
        <f>ROUND(D77*F77,2)</f>
        <v>1225.1400000000001</v>
      </c>
      <c r="I77" s="11">
        <f t="shared" si="2"/>
        <v>1225.1400000000001</v>
      </c>
      <c r="K77" s="163"/>
      <c r="L77" s="163"/>
      <c r="M77" s="163"/>
      <c r="N77" s="5"/>
    </row>
    <row r="78" spans="1:14" ht="17.25" customHeight="1" outlineLevel="1" x14ac:dyDescent="0.25">
      <c r="A78" s="107" t="s">
        <v>495</v>
      </c>
      <c r="B78" s="531" t="s">
        <v>1305</v>
      </c>
      <c r="C78" s="2" t="s">
        <v>8</v>
      </c>
      <c r="D78" s="256">
        <v>0.44</v>
      </c>
      <c r="E78" s="256">
        <v>1500</v>
      </c>
      <c r="F78" s="164"/>
      <c r="G78" s="2">
        <f>ROUND(E78*D78,2)</f>
        <v>660</v>
      </c>
      <c r="H78" s="2"/>
      <c r="I78" s="11">
        <f>G78+H78</f>
        <v>660</v>
      </c>
      <c r="K78" s="161"/>
      <c r="L78" s="161"/>
      <c r="M78" s="161"/>
      <c r="N78" s="5"/>
    </row>
    <row r="79" spans="1:14" outlineLevel="1" x14ac:dyDescent="0.25">
      <c r="A79" s="84"/>
      <c r="B79" s="361" t="s">
        <v>738</v>
      </c>
      <c r="C79" s="2" t="s">
        <v>8</v>
      </c>
      <c r="D79" s="282">
        <f>D78*1.02</f>
        <v>0.44880000000000003</v>
      </c>
      <c r="E79" s="2"/>
      <c r="F79" s="664">
        <v>4200</v>
      </c>
      <c r="G79" s="2"/>
      <c r="H79" s="2">
        <f>ROUND(D79*F79,2)</f>
        <v>1884.96</v>
      </c>
      <c r="I79" s="60">
        <f>G79+H79</f>
        <v>1884.96</v>
      </c>
      <c r="K79" s="161"/>
      <c r="L79" s="161"/>
      <c r="M79" s="161"/>
      <c r="N79" s="5"/>
    </row>
    <row r="80" spans="1:14" outlineLevel="1" x14ac:dyDescent="0.25">
      <c r="A80" s="84"/>
      <c r="B80" s="361" t="s">
        <v>737</v>
      </c>
      <c r="C80" s="41" t="s">
        <v>15</v>
      </c>
      <c r="D80" s="277">
        <f>2*13.64+14*0.07</f>
        <v>28.26</v>
      </c>
      <c r="E80" s="2"/>
      <c r="F80" s="364">
        <v>42</v>
      </c>
      <c r="G80" s="10"/>
      <c r="H80" s="2">
        <f>ROUND(D80*F80,2)</f>
        <v>1186.92</v>
      </c>
      <c r="I80" s="11">
        <f>G80+H80</f>
        <v>1186.92</v>
      </c>
      <c r="K80" s="161"/>
      <c r="L80" s="161"/>
      <c r="M80" s="161"/>
      <c r="N80" s="5"/>
    </row>
    <row r="81" spans="1:14" outlineLevel="1" x14ac:dyDescent="0.25">
      <c r="A81" s="107" t="s">
        <v>496</v>
      </c>
      <c r="B81" s="536" t="s">
        <v>740</v>
      </c>
      <c r="C81" s="46" t="s">
        <v>12</v>
      </c>
      <c r="D81" s="275">
        <f>SUM(D82:D88)</f>
        <v>32</v>
      </c>
      <c r="E81" s="275">
        <v>600</v>
      </c>
      <c r="F81" s="43"/>
      <c r="G81" s="2">
        <f>ROUND(E81*D81,2)</f>
        <v>19200</v>
      </c>
      <c r="H81" s="11"/>
      <c r="I81" s="11">
        <f>G81+H81</f>
        <v>19200</v>
      </c>
      <c r="K81" s="161"/>
      <c r="L81" s="161"/>
      <c r="M81" s="161"/>
      <c r="N81" s="5"/>
    </row>
    <row r="82" spans="1:14" outlineLevel="1" x14ac:dyDescent="0.25">
      <c r="A82" s="84"/>
      <c r="B82" s="533" t="s">
        <v>742</v>
      </c>
      <c r="C82" s="2" t="s">
        <v>12</v>
      </c>
      <c r="D82" s="282">
        <v>6</v>
      </c>
      <c r="E82" s="31"/>
      <c r="F82" s="664">
        <v>12796</v>
      </c>
      <c r="G82" s="2"/>
      <c r="H82" s="2">
        <f t="shared" ref="H82:H88" si="5">ROUND(D82*F82,2)</f>
        <v>76776</v>
      </c>
      <c r="I82" s="60">
        <f t="shared" ref="I82:I94" si="6">G82+H82</f>
        <v>76776</v>
      </c>
      <c r="K82" s="161"/>
      <c r="L82" s="161"/>
      <c r="M82" s="161"/>
      <c r="N82" s="5"/>
    </row>
    <row r="83" spans="1:14" outlineLevel="1" x14ac:dyDescent="0.25">
      <c r="A83" s="84"/>
      <c r="B83" s="533" t="s">
        <v>741</v>
      </c>
      <c r="C83" s="2" t="s">
        <v>12</v>
      </c>
      <c r="D83" s="282">
        <v>5</v>
      </c>
      <c r="E83" s="31"/>
      <c r="F83" s="664">
        <v>14406</v>
      </c>
      <c r="G83" s="2"/>
      <c r="H83" s="2">
        <f t="shared" si="5"/>
        <v>72030</v>
      </c>
      <c r="I83" s="60">
        <f t="shared" si="6"/>
        <v>72030</v>
      </c>
      <c r="K83" s="161"/>
      <c r="L83" s="161"/>
      <c r="M83" s="161"/>
      <c r="N83" s="5"/>
    </row>
    <row r="84" spans="1:14" outlineLevel="1" x14ac:dyDescent="0.25">
      <c r="A84" s="84"/>
      <c r="B84" s="533" t="s">
        <v>743</v>
      </c>
      <c r="C84" s="2" t="s">
        <v>12</v>
      </c>
      <c r="D84" s="282">
        <v>13</v>
      </c>
      <c r="E84" s="31"/>
      <c r="F84" s="362">
        <v>9631</v>
      </c>
      <c r="G84" s="2"/>
      <c r="H84" s="2">
        <f t="shared" si="5"/>
        <v>125203</v>
      </c>
      <c r="I84" s="60">
        <f t="shared" si="6"/>
        <v>125203</v>
      </c>
      <c r="K84" s="161"/>
      <c r="L84" s="161"/>
      <c r="M84" s="161"/>
      <c r="N84" s="5"/>
    </row>
    <row r="85" spans="1:14" outlineLevel="1" x14ac:dyDescent="0.25">
      <c r="A85" s="84"/>
      <c r="B85" s="533" t="s">
        <v>744</v>
      </c>
      <c r="C85" s="2" t="s">
        <v>12</v>
      </c>
      <c r="D85" s="282">
        <v>2</v>
      </c>
      <c r="E85" s="31"/>
      <c r="F85" s="362">
        <v>11987</v>
      </c>
      <c r="G85" s="2"/>
      <c r="H85" s="2">
        <f t="shared" si="5"/>
        <v>23974</v>
      </c>
      <c r="I85" s="60">
        <f t="shared" si="6"/>
        <v>23974</v>
      </c>
      <c r="K85" s="161"/>
      <c r="L85" s="161"/>
      <c r="M85" s="161"/>
      <c r="N85" s="5"/>
    </row>
    <row r="86" spans="1:14" outlineLevel="1" x14ac:dyDescent="0.25">
      <c r="A86" s="84"/>
      <c r="B86" s="533" t="s">
        <v>1306</v>
      </c>
      <c r="C86" s="2" t="s">
        <v>12</v>
      </c>
      <c r="D86" s="282">
        <v>1</v>
      </c>
      <c r="E86" s="31"/>
      <c r="F86" s="664">
        <v>5621</v>
      </c>
      <c r="G86" s="2"/>
      <c r="H86" s="2">
        <f t="shared" si="5"/>
        <v>5621</v>
      </c>
      <c r="I86" s="60">
        <f t="shared" si="6"/>
        <v>5621</v>
      </c>
      <c r="K86" s="161"/>
      <c r="L86" s="161"/>
      <c r="M86" s="161"/>
      <c r="N86" s="5"/>
    </row>
    <row r="87" spans="1:14" outlineLevel="1" x14ac:dyDescent="0.25">
      <c r="A87" s="84"/>
      <c r="B87" s="533" t="s">
        <v>746</v>
      </c>
      <c r="C87" s="2" t="s">
        <v>12</v>
      </c>
      <c r="D87" s="282">
        <v>1</v>
      </c>
      <c r="E87" s="31"/>
      <c r="F87" s="666">
        <v>4222</v>
      </c>
      <c r="G87" s="2"/>
      <c r="H87" s="2">
        <f t="shared" si="5"/>
        <v>4222</v>
      </c>
      <c r="I87" s="60">
        <f t="shared" si="6"/>
        <v>4222</v>
      </c>
      <c r="K87" s="161"/>
      <c r="L87" s="161"/>
      <c r="M87" s="161"/>
      <c r="N87" s="5"/>
    </row>
    <row r="88" spans="1:14" outlineLevel="1" x14ac:dyDescent="0.25">
      <c r="A88" s="84"/>
      <c r="B88" s="533" t="s">
        <v>1307</v>
      </c>
      <c r="C88" s="2" t="s">
        <v>12</v>
      </c>
      <c r="D88" s="282">
        <v>4</v>
      </c>
      <c r="E88" s="31"/>
      <c r="F88" s="362">
        <v>18060</v>
      </c>
      <c r="G88" s="2"/>
      <c r="H88" s="2">
        <f t="shared" si="5"/>
        <v>72240</v>
      </c>
      <c r="I88" s="60">
        <f t="shared" si="6"/>
        <v>72240</v>
      </c>
      <c r="K88" s="161"/>
      <c r="L88" s="161"/>
      <c r="M88" s="161"/>
      <c r="N88" s="5"/>
    </row>
    <row r="89" spans="1:14" outlineLevel="1" x14ac:dyDescent="0.25">
      <c r="A89" s="84"/>
      <c r="B89" s="535" t="s">
        <v>480</v>
      </c>
      <c r="C89" s="41" t="s">
        <v>9</v>
      </c>
      <c r="D89" s="534">
        <f>МЭ!E7/1000</f>
        <v>6.0980000000000006E-2</v>
      </c>
      <c r="E89" s="43"/>
      <c r="F89" s="364">
        <v>40000</v>
      </c>
      <c r="G89" s="18"/>
      <c r="H89" s="2">
        <f>ROUND(D89*F89,2)</f>
        <v>2439.1999999999998</v>
      </c>
      <c r="I89" s="11">
        <f t="shared" si="6"/>
        <v>2439.1999999999998</v>
      </c>
      <c r="K89" s="161"/>
      <c r="L89" s="161"/>
      <c r="M89" s="161"/>
      <c r="N89" s="5"/>
    </row>
    <row r="90" spans="1:14" outlineLevel="1" x14ac:dyDescent="0.25">
      <c r="A90" s="84"/>
      <c r="B90" s="45" t="s">
        <v>198</v>
      </c>
      <c r="C90" s="41" t="s">
        <v>9</v>
      </c>
      <c r="D90" s="42">
        <f>0.11/334.51*D80</f>
        <v>9.2929957250904322E-3</v>
      </c>
      <c r="E90" s="43"/>
      <c r="F90" s="364">
        <f>65*1.1*1000</f>
        <v>71500</v>
      </c>
      <c r="G90" s="2"/>
      <c r="H90" s="2">
        <f>ROUND(D90*F90,2)</f>
        <v>664.45</v>
      </c>
      <c r="I90" s="11">
        <f t="shared" si="6"/>
        <v>664.45</v>
      </c>
      <c r="K90" s="161"/>
      <c r="L90" s="161"/>
      <c r="M90" s="161"/>
      <c r="N90" s="5"/>
    </row>
    <row r="91" spans="1:14" outlineLevel="1" x14ac:dyDescent="0.25">
      <c r="A91" s="107" t="s">
        <v>621</v>
      </c>
      <c r="B91" s="538" t="s">
        <v>788</v>
      </c>
      <c r="C91" s="203" t="s">
        <v>8</v>
      </c>
      <c r="D91" s="537">
        <v>1.35</v>
      </c>
      <c r="E91" s="353">
        <v>800</v>
      </c>
      <c r="F91" s="139"/>
      <c r="G91" s="2">
        <f>ROUND(E91*D91,2)</f>
        <v>1080</v>
      </c>
      <c r="H91" s="26"/>
      <c r="I91" s="11">
        <f t="shared" si="6"/>
        <v>1080</v>
      </c>
      <c r="K91" s="161"/>
      <c r="L91" s="161"/>
      <c r="M91" s="161"/>
      <c r="N91" s="5"/>
    </row>
    <row r="92" spans="1:14" outlineLevel="1" x14ac:dyDescent="0.25">
      <c r="A92" s="84"/>
      <c r="B92" s="533" t="s">
        <v>366</v>
      </c>
      <c r="C92" s="41" t="s">
        <v>15</v>
      </c>
      <c r="D92" s="277">
        <f>МЭ!E10</f>
        <v>149.13</v>
      </c>
      <c r="E92" s="2"/>
      <c r="F92" s="364">
        <v>34</v>
      </c>
      <c r="G92" s="10"/>
      <c r="H92" s="2">
        <f>ROUND(D92*F92,2)</f>
        <v>5070.42</v>
      </c>
      <c r="I92" s="11">
        <f t="shared" si="6"/>
        <v>5070.42</v>
      </c>
      <c r="K92" s="161"/>
      <c r="L92" s="161"/>
      <c r="M92" s="161"/>
      <c r="N92" s="5"/>
    </row>
    <row r="93" spans="1:14" outlineLevel="1" x14ac:dyDescent="0.25">
      <c r="A93" s="84"/>
      <c r="B93" s="533" t="s">
        <v>1308</v>
      </c>
      <c r="C93" s="41" t="s">
        <v>15</v>
      </c>
      <c r="D93" s="277">
        <f>108*0.04</f>
        <v>4.32</v>
      </c>
      <c r="E93" s="2"/>
      <c r="F93" s="364">
        <v>42</v>
      </c>
      <c r="G93" s="10"/>
      <c r="H93" s="2">
        <f>ROUND(D93*F93,2)</f>
        <v>181.44</v>
      </c>
      <c r="I93" s="11">
        <f t="shared" si="6"/>
        <v>181.44</v>
      </c>
      <c r="K93" s="161"/>
      <c r="L93" s="161"/>
      <c r="M93" s="161"/>
      <c r="N93" s="5"/>
    </row>
    <row r="94" spans="1:14" outlineLevel="1" x14ac:dyDescent="0.25">
      <c r="A94" s="84"/>
      <c r="B94" s="533" t="s">
        <v>1309</v>
      </c>
      <c r="C94" s="41" t="s">
        <v>8</v>
      </c>
      <c r="D94" s="277">
        <f>D91*1.015</f>
        <v>1.37025</v>
      </c>
      <c r="E94" s="2"/>
      <c r="F94" s="664">
        <v>4200</v>
      </c>
      <c r="G94" s="31"/>
      <c r="H94" s="2">
        <f>ROUND(D94*F94,2)</f>
        <v>5755.05</v>
      </c>
      <c r="I94" s="11">
        <f t="shared" si="6"/>
        <v>5755.05</v>
      </c>
      <c r="K94" s="161"/>
      <c r="L94" s="161"/>
      <c r="M94" s="161"/>
      <c r="N94" s="5"/>
    </row>
    <row r="95" spans="1:14" outlineLevel="1" x14ac:dyDescent="0.25">
      <c r="A95" s="84"/>
      <c r="B95" s="309"/>
      <c r="C95" s="2"/>
      <c r="D95" s="340"/>
      <c r="E95" s="2"/>
      <c r="F95" s="164"/>
      <c r="G95" s="2"/>
      <c r="H95" s="2"/>
      <c r="I95" s="60"/>
      <c r="K95" s="161"/>
      <c r="L95" s="161"/>
      <c r="M95" s="161"/>
      <c r="N95" s="5"/>
    </row>
    <row r="96" spans="1:14" s="6" customFormat="1" hidden="1" outlineLevel="1" x14ac:dyDescent="0.25">
      <c r="A96" s="269" t="s">
        <v>496</v>
      </c>
      <c r="B96" s="313" t="s">
        <v>27</v>
      </c>
      <c r="C96" s="31" t="s">
        <v>14</v>
      </c>
      <c r="D96" s="306">
        <v>0</v>
      </c>
      <c r="E96" s="256">
        <v>100</v>
      </c>
      <c r="F96" s="11"/>
      <c r="G96" s="2">
        <f>ROUND(E96*D96,2)</f>
        <v>0</v>
      </c>
      <c r="H96" s="2"/>
      <c r="I96" s="11">
        <f>G96+H96</f>
        <v>0</v>
      </c>
      <c r="K96" s="161"/>
      <c r="L96" s="161"/>
      <c r="M96" s="161"/>
      <c r="N96" s="5"/>
    </row>
    <row r="97" spans="1:252" ht="31.2" hidden="1" outlineLevel="1" x14ac:dyDescent="0.25">
      <c r="A97" s="86"/>
      <c r="B97" s="309" t="s">
        <v>28</v>
      </c>
      <c r="C97" s="2" t="s">
        <v>8</v>
      </c>
      <c r="D97" s="340">
        <f>ROUND(D96*0.1*1.03,2)</f>
        <v>0</v>
      </c>
      <c r="E97" s="2"/>
      <c r="F97" s="164">
        <v>4100</v>
      </c>
      <c r="G97" s="2"/>
      <c r="H97" s="2">
        <f>ROUND(D97*F97,2)</f>
        <v>0</v>
      </c>
      <c r="I97" s="11">
        <f>G97+H97</f>
        <v>0</v>
      </c>
      <c r="K97" s="161"/>
      <c r="L97" s="161"/>
      <c r="M97" s="161"/>
      <c r="N97" s="5"/>
    </row>
    <row r="98" spans="1:252" s="36" customFormat="1" ht="36" hidden="1" customHeight="1" outlineLevel="1" x14ac:dyDescent="0.25">
      <c r="A98" s="261" t="s">
        <v>621</v>
      </c>
      <c r="B98" s="307" t="s">
        <v>209</v>
      </c>
      <c r="C98" s="31" t="s">
        <v>14</v>
      </c>
      <c r="D98" s="306">
        <v>0</v>
      </c>
      <c r="E98" s="256">
        <v>150</v>
      </c>
      <c r="F98" s="11"/>
      <c r="G98" s="2">
        <f>ROUND(E98*D98,2)</f>
        <v>0</v>
      </c>
      <c r="H98" s="2"/>
      <c r="I98" s="11">
        <f>G98+H98</f>
        <v>0</v>
      </c>
      <c r="K98" s="161"/>
      <c r="L98" s="161"/>
      <c r="M98" s="161"/>
      <c r="N98" s="5"/>
    </row>
    <row r="99" spans="1:252" hidden="1" outlineLevel="1" x14ac:dyDescent="0.25">
      <c r="A99" s="84"/>
      <c r="B99" s="309" t="s">
        <v>65</v>
      </c>
      <c r="C99" s="2" t="s">
        <v>15</v>
      </c>
      <c r="D99" s="340">
        <f>2.5*D98</f>
        <v>0</v>
      </c>
      <c r="E99" s="2"/>
      <c r="F99" s="361">
        <v>55</v>
      </c>
      <c r="G99" s="2"/>
      <c r="H99" s="2">
        <f>ROUND(D99*F99,2)</f>
        <v>0</v>
      </c>
      <c r="I99" s="11">
        <f>G99+H99</f>
        <v>0</v>
      </c>
      <c r="K99" s="161"/>
      <c r="L99" s="161"/>
      <c r="M99" s="161"/>
      <c r="N99" s="5"/>
    </row>
    <row r="100" spans="1:252" hidden="1" outlineLevel="1" x14ac:dyDescent="0.25">
      <c r="A100" s="84"/>
      <c r="B100" s="309" t="s">
        <v>68</v>
      </c>
      <c r="C100" s="2" t="s">
        <v>30</v>
      </c>
      <c r="D100" s="340">
        <f>0.35*D98</f>
        <v>0</v>
      </c>
      <c r="E100" s="2"/>
      <c r="F100" s="361">
        <v>44</v>
      </c>
      <c r="G100" s="2"/>
      <c r="H100" s="2">
        <f>ROUND(D100*F100,2)</f>
        <v>0</v>
      </c>
      <c r="I100" s="11">
        <f>G100+H100</f>
        <v>0</v>
      </c>
      <c r="K100" s="161"/>
      <c r="L100" s="161"/>
      <c r="M100" s="161"/>
      <c r="N100" s="5"/>
    </row>
    <row r="101" spans="1:252" s="36" customFormat="1" ht="31.2" collapsed="1" x14ac:dyDescent="0.25">
      <c r="A101" s="212"/>
      <c r="B101" s="213" t="s">
        <v>577</v>
      </c>
      <c r="C101" s="222"/>
      <c r="D101" s="215"/>
      <c r="E101" s="216"/>
      <c r="F101" s="217"/>
      <c r="G101" s="216">
        <f>SUM(G52:G100)</f>
        <v>25308.47</v>
      </c>
      <c r="H101" s="216">
        <f>SUM(H52:H100)</f>
        <v>451321.21590000001</v>
      </c>
      <c r="I101" s="215">
        <f>SUM(I52:I100)</f>
        <v>476629.68589999998</v>
      </c>
    </row>
    <row r="102" spans="1:252" s="39" customFormat="1" ht="18.600000000000001" customHeight="1" x14ac:dyDescent="0.25">
      <c r="A102" s="519"/>
      <c r="B102" s="58" t="s">
        <v>624</v>
      </c>
      <c r="C102" s="9"/>
      <c r="D102" s="31"/>
      <c r="E102" s="10"/>
      <c r="F102" s="57"/>
      <c r="G102" s="10"/>
      <c r="H102" s="10"/>
      <c r="I102" s="31">
        <f>ROUND(I101/1.18*0.18,2)</f>
        <v>72706.22</v>
      </c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25"/>
      <c r="IG102" s="25"/>
      <c r="IH102" s="25"/>
      <c r="II102" s="25"/>
      <c r="IJ102" s="25"/>
      <c r="IK102" s="25"/>
      <c r="IL102" s="25"/>
      <c r="IM102" s="25"/>
      <c r="IN102" s="25"/>
      <c r="IO102" s="25"/>
      <c r="IP102" s="25"/>
      <c r="IQ102" s="25"/>
      <c r="IR102" s="25"/>
    </row>
    <row r="103" spans="1:252" ht="18.75" customHeight="1" x14ac:dyDescent="0.25">
      <c r="A103" s="104"/>
      <c r="B103" s="556" t="s">
        <v>789</v>
      </c>
      <c r="C103" s="105"/>
      <c r="D103" s="105"/>
      <c r="E103" s="105"/>
      <c r="F103" s="138"/>
      <c r="G103" s="105"/>
      <c r="H103" s="105"/>
      <c r="I103" s="106"/>
    </row>
    <row r="104" spans="1:252" ht="32.25" customHeight="1" outlineLevel="1" x14ac:dyDescent="0.25">
      <c r="A104" s="107" t="s">
        <v>219</v>
      </c>
      <c r="B104" s="531" t="s">
        <v>1285</v>
      </c>
      <c r="C104" s="30" t="s">
        <v>8</v>
      </c>
      <c r="D104" s="256">
        <f>кладка!J36-окна!Q54-окна!T48</f>
        <v>309.26718</v>
      </c>
      <c r="E104" s="256">
        <v>1600</v>
      </c>
      <c r="F104" s="11"/>
      <c r="G104" s="2">
        <f>ROUND(E104*D104,2)</f>
        <v>494827.49</v>
      </c>
      <c r="H104" s="2"/>
      <c r="I104" s="11">
        <f>G104+H104</f>
        <v>494827.49</v>
      </c>
      <c r="J104" s="25">
        <f>D104+D108</f>
        <v>330.12250799999998</v>
      </c>
      <c r="K104" s="280"/>
    </row>
    <row r="105" spans="1:252" ht="17.25" customHeight="1" outlineLevel="1" x14ac:dyDescent="0.25">
      <c r="A105" s="84"/>
      <c r="B105" s="361" t="s">
        <v>796</v>
      </c>
      <c r="C105" s="2" t="s">
        <v>12</v>
      </c>
      <c r="D105" s="282">
        <f>D104*400</f>
        <v>123706.872</v>
      </c>
      <c r="E105" s="158"/>
      <c r="F105" s="664">
        <v>8.27</v>
      </c>
      <c r="G105" s="2"/>
      <c r="H105" s="2">
        <f>ROUND(D105*F105,2)</f>
        <v>1023055.83</v>
      </c>
      <c r="I105" s="11">
        <f>G105+H105</f>
        <v>1023055.83</v>
      </c>
      <c r="K105" s="280"/>
    </row>
    <row r="106" spans="1:252" ht="17.25" customHeight="1" outlineLevel="1" x14ac:dyDescent="0.25">
      <c r="A106" s="84"/>
      <c r="B106" s="361" t="s">
        <v>797</v>
      </c>
      <c r="C106" s="2" t="s">
        <v>8</v>
      </c>
      <c r="D106" s="282">
        <f>ROUND(0.23*D104,2)</f>
        <v>71.13</v>
      </c>
      <c r="E106" s="158"/>
      <c r="F106" s="361">
        <v>2600</v>
      </c>
      <c r="G106" s="2"/>
      <c r="H106" s="2">
        <f>ROUND(D106*F106,2)</f>
        <v>184938</v>
      </c>
      <c r="I106" s="11">
        <f>G106+H106</f>
        <v>184938</v>
      </c>
      <c r="K106" s="280"/>
    </row>
    <row r="107" spans="1:252" ht="17.25" customHeight="1" outlineLevel="1" x14ac:dyDescent="0.25">
      <c r="A107" s="84"/>
      <c r="B107" s="361" t="s">
        <v>862</v>
      </c>
      <c r="C107" s="2" t="s">
        <v>9</v>
      </c>
      <c r="D107" s="282">
        <f>(1667.14*1.98+143.1*2.73)/1000</f>
        <v>3.6916002000000003</v>
      </c>
      <c r="E107" s="158"/>
      <c r="F107" s="164">
        <v>42000</v>
      </c>
      <c r="G107" s="2"/>
      <c r="H107" s="2">
        <f>ROUND(D107*F107,2)</f>
        <v>155047.21</v>
      </c>
      <c r="I107" s="11">
        <f>G107+H107</f>
        <v>155047.21</v>
      </c>
      <c r="K107" s="280"/>
    </row>
    <row r="108" spans="1:252" ht="18.75" customHeight="1" outlineLevel="1" x14ac:dyDescent="0.25">
      <c r="A108" s="107" t="s">
        <v>498</v>
      </c>
      <c r="B108" s="531" t="s">
        <v>963</v>
      </c>
      <c r="C108" s="30" t="s">
        <v>8</v>
      </c>
      <c r="D108" s="256">
        <f>кладка!N36</f>
        <v>20.855328</v>
      </c>
      <c r="E108" s="256">
        <v>1600</v>
      </c>
      <c r="F108" s="11"/>
      <c r="G108" s="2">
        <f>ROUND(E108*D108,2)</f>
        <v>33368.519999999997</v>
      </c>
      <c r="H108" s="2"/>
      <c r="I108" s="11">
        <f t="shared" ref="I108:I141" si="7">G108+H108</f>
        <v>33368.519999999997</v>
      </c>
      <c r="K108" s="280"/>
    </row>
    <row r="109" spans="1:252" ht="33.75" customHeight="1" outlineLevel="1" x14ac:dyDescent="0.25">
      <c r="A109" s="84"/>
      <c r="B109" s="361" t="s">
        <v>793</v>
      </c>
      <c r="C109" s="2" t="s">
        <v>12</v>
      </c>
      <c r="D109" s="282">
        <f>D108*513</f>
        <v>10698.783264</v>
      </c>
      <c r="E109" s="158"/>
      <c r="F109" s="664">
        <v>10.75</v>
      </c>
      <c r="G109" s="2"/>
      <c r="H109" s="2">
        <f>ROUND(D109*F109,2)</f>
        <v>115011.92</v>
      </c>
      <c r="I109" s="11">
        <f t="shared" si="7"/>
        <v>115011.92</v>
      </c>
      <c r="K109" s="280"/>
    </row>
    <row r="110" spans="1:252" ht="15" customHeight="1" outlineLevel="1" x14ac:dyDescent="0.25">
      <c r="A110" s="84"/>
      <c r="B110" s="361" t="s">
        <v>797</v>
      </c>
      <c r="C110" s="2" t="s">
        <v>8</v>
      </c>
      <c r="D110" s="282">
        <f>ROUND(0.23*D108,2)</f>
        <v>4.8</v>
      </c>
      <c r="E110" s="158"/>
      <c r="F110" s="361">
        <v>2600</v>
      </c>
      <c r="G110" s="2"/>
      <c r="H110" s="2">
        <f>ROUND(D110*F110,2)</f>
        <v>12480</v>
      </c>
      <c r="I110" s="11">
        <f t="shared" si="7"/>
        <v>12480</v>
      </c>
      <c r="K110" s="280"/>
    </row>
    <row r="111" spans="1:252" ht="15" hidden="1" customHeight="1" outlineLevel="1" x14ac:dyDescent="0.25">
      <c r="A111" s="107" t="s">
        <v>501</v>
      </c>
      <c r="B111" s="379" t="s">
        <v>964</v>
      </c>
      <c r="C111" s="30" t="s">
        <v>8</v>
      </c>
      <c r="D111" s="351">
        <v>0</v>
      </c>
      <c r="E111" s="166">
        <v>1500</v>
      </c>
      <c r="F111" s="11"/>
      <c r="G111" s="2">
        <f>ROUND(E111*D111,2)</f>
        <v>0</v>
      </c>
      <c r="H111" s="2"/>
      <c r="I111" s="11">
        <f t="shared" si="7"/>
        <v>0</v>
      </c>
      <c r="K111" s="280"/>
    </row>
    <row r="112" spans="1:252" ht="15" hidden="1" customHeight="1" outlineLevel="1" x14ac:dyDescent="0.25">
      <c r="A112" s="84"/>
      <c r="B112" s="368" t="s">
        <v>796</v>
      </c>
      <c r="C112" s="2" t="s">
        <v>12</v>
      </c>
      <c r="D112" s="401">
        <f>D111*400</f>
        <v>0</v>
      </c>
      <c r="E112" s="158"/>
      <c r="F112" s="361">
        <v>11.7</v>
      </c>
      <c r="G112" s="2"/>
      <c r="H112" s="2">
        <f>ROUND(D112*F112,2)</f>
        <v>0</v>
      </c>
      <c r="I112" s="11">
        <f t="shared" si="7"/>
        <v>0</v>
      </c>
      <c r="K112" s="280"/>
    </row>
    <row r="113" spans="1:12" ht="15" hidden="1" customHeight="1" outlineLevel="1" x14ac:dyDescent="0.25">
      <c r="A113" s="84"/>
      <c r="B113" s="368" t="s">
        <v>756</v>
      </c>
      <c r="C113" s="2" t="s">
        <v>8</v>
      </c>
      <c r="D113" s="401">
        <f>ROUND(0.23*D111,2)</f>
        <v>0</v>
      </c>
      <c r="E113" s="158"/>
      <c r="F113" s="361">
        <v>2700</v>
      </c>
      <c r="G113" s="2"/>
      <c r="H113" s="2">
        <f>ROUND(D113*F113,2)</f>
        <v>0</v>
      </c>
      <c r="I113" s="11">
        <f t="shared" si="7"/>
        <v>0</v>
      </c>
      <c r="K113" s="280"/>
    </row>
    <row r="114" spans="1:12" ht="18.899999999999999" hidden="1" customHeight="1" outlineLevel="1" x14ac:dyDescent="0.25">
      <c r="A114" s="107" t="s">
        <v>502</v>
      </c>
      <c r="B114" s="379" t="s">
        <v>795</v>
      </c>
      <c r="C114" s="30" t="s">
        <v>8</v>
      </c>
      <c r="D114" s="351">
        <v>0</v>
      </c>
      <c r="E114" s="166">
        <v>1500</v>
      </c>
      <c r="F114" s="11"/>
      <c r="G114" s="2">
        <f>ROUND(E114*D114,2)</f>
        <v>0</v>
      </c>
      <c r="H114" s="2"/>
      <c r="I114" s="11">
        <f t="shared" si="7"/>
        <v>0</v>
      </c>
      <c r="K114" s="280"/>
    </row>
    <row r="115" spans="1:12" ht="15.75" hidden="1" customHeight="1" outlineLevel="1" x14ac:dyDescent="0.25">
      <c r="A115" s="84"/>
      <c r="B115" s="368" t="s">
        <v>796</v>
      </c>
      <c r="C115" s="2" t="s">
        <v>12</v>
      </c>
      <c r="D115" s="401">
        <f>D114*400</f>
        <v>0</v>
      </c>
      <c r="E115" s="158"/>
      <c r="F115" s="361">
        <v>11.7</v>
      </c>
      <c r="G115" s="2"/>
      <c r="H115" s="2">
        <f>ROUND(D115*F115,2)</f>
        <v>0</v>
      </c>
      <c r="I115" s="11">
        <f t="shared" si="7"/>
        <v>0</v>
      </c>
      <c r="K115" s="280"/>
    </row>
    <row r="116" spans="1:12" ht="15" hidden="1" customHeight="1" outlineLevel="1" x14ac:dyDescent="0.25">
      <c r="A116" s="84"/>
      <c r="B116" s="368" t="s">
        <v>756</v>
      </c>
      <c r="C116" s="2" t="s">
        <v>8</v>
      </c>
      <c r="D116" s="401">
        <f>ROUND(0.23*D114,2)</f>
        <v>0</v>
      </c>
      <c r="E116" s="158"/>
      <c r="F116" s="361">
        <v>2700</v>
      </c>
      <c r="G116" s="2"/>
      <c r="H116" s="2">
        <f>ROUND(D116*F116,2)</f>
        <v>0</v>
      </c>
      <c r="I116" s="11">
        <f t="shared" si="7"/>
        <v>0</v>
      </c>
      <c r="K116" s="280"/>
    </row>
    <row r="117" spans="1:12" ht="31.2" outlineLevel="1" x14ac:dyDescent="0.25">
      <c r="A117" s="107" t="s">
        <v>499</v>
      </c>
      <c r="B117" s="531" t="s">
        <v>798</v>
      </c>
      <c r="C117" s="30" t="s">
        <v>8</v>
      </c>
      <c r="D117" s="541">
        <f>кладка!O55</f>
        <v>13.281265999999992</v>
      </c>
      <c r="E117" s="256">
        <v>1600</v>
      </c>
      <c r="F117" s="11"/>
      <c r="G117" s="2">
        <f>ROUND(E117*D117,2)</f>
        <v>21250.03</v>
      </c>
      <c r="H117" s="2"/>
      <c r="I117" s="11">
        <f t="shared" si="7"/>
        <v>21250.03</v>
      </c>
      <c r="K117" s="5"/>
      <c r="L117" s="132"/>
    </row>
    <row r="118" spans="1:12" s="17" customFormat="1" ht="31.2" outlineLevel="1" x14ac:dyDescent="0.25">
      <c r="A118" s="86"/>
      <c r="B118" s="361" t="s">
        <v>799</v>
      </c>
      <c r="C118" s="2" t="s">
        <v>12</v>
      </c>
      <c r="D118" s="282">
        <f>D117*513</f>
        <v>6813.2894579999956</v>
      </c>
      <c r="E118" s="2"/>
      <c r="F118" s="664">
        <v>10.75</v>
      </c>
      <c r="G118" s="2"/>
      <c r="H118" s="2">
        <f>ROUND(D118*F118,2)</f>
        <v>73242.86</v>
      </c>
      <c r="I118" s="11">
        <f t="shared" si="7"/>
        <v>73242.86</v>
      </c>
    </row>
    <row r="119" spans="1:12" s="6" customFormat="1" outlineLevel="1" x14ac:dyDescent="0.25">
      <c r="A119" s="88"/>
      <c r="B119" s="361" t="s">
        <v>800</v>
      </c>
      <c r="C119" s="2" t="s">
        <v>8</v>
      </c>
      <c r="D119" s="282">
        <f>ROUND(0.23*D117,2)</f>
        <v>3.05</v>
      </c>
      <c r="E119" s="2"/>
      <c r="F119" s="361">
        <v>2500</v>
      </c>
      <c r="G119" s="2"/>
      <c r="H119" s="2">
        <f>ROUND(D119*F119,2)</f>
        <v>7625</v>
      </c>
      <c r="I119" s="11">
        <f t="shared" si="7"/>
        <v>7625</v>
      </c>
    </row>
    <row r="120" spans="1:12" s="6" customFormat="1" outlineLevel="1" x14ac:dyDescent="0.25">
      <c r="A120" s="83"/>
      <c r="B120" s="361" t="s">
        <v>794</v>
      </c>
      <c r="C120" s="2" t="s">
        <v>8</v>
      </c>
      <c r="D120" s="542">
        <f>кладка!P55*0.15</f>
        <v>13.438949999999997</v>
      </c>
      <c r="E120" s="2"/>
      <c r="F120" s="664">
        <v>3196</v>
      </c>
      <c r="G120" s="2"/>
      <c r="H120" s="2">
        <f>ROUND(D120*F120,2)</f>
        <v>42950.879999999997</v>
      </c>
      <c r="I120" s="11">
        <f t="shared" si="7"/>
        <v>42950.879999999997</v>
      </c>
    </row>
    <row r="121" spans="1:12" s="6" customFormat="1" outlineLevel="1" x14ac:dyDescent="0.25">
      <c r="A121" s="107" t="s">
        <v>500</v>
      </c>
      <c r="B121" s="539" t="s">
        <v>16</v>
      </c>
      <c r="C121" s="31" t="s">
        <v>12</v>
      </c>
      <c r="D121" s="268">
        <f>SUM(D122:D129)</f>
        <v>109</v>
      </c>
      <c r="E121" s="256">
        <v>100</v>
      </c>
      <c r="F121" s="11"/>
      <c r="G121" s="2">
        <f>ROUND(E121*D121,2)</f>
        <v>10900</v>
      </c>
      <c r="H121" s="2"/>
      <c r="I121" s="11">
        <f t="shared" si="7"/>
        <v>10900</v>
      </c>
    </row>
    <row r="122" spans="1:12" s="6" customFormat="1" outlineLevel="1" x14ac:dyDescent="0.25">
      <c r="A122" s="83"/>
      <c r="B122" s="377" t="s">
        <v>855</v>
      </c>
      <c r="C122" s="2" t="s">
        <v>12</v>
      </c>
      <c r="D122" s="540">
        <f>27</f>
        <v>27</v>
      </c>
      <c r="E122" s="2"/>
      <c r="F122" s="664">
        <v>2147</v>
      </c>
      <c r="G122" s="2"/>
      <c r="H122" s="2">
        <f>ROUND(D122*F122,2)</f>
        <v>57969</v>
      </c>
      <c r="I122" s="11">
        <f t="shared" si="7"/>
        <v>57969</v>
      </c>
    </row>
    <row r="123" spans="1:12" s="6" customFormat="1" outlineLevel="1" x14ac:dyDescent="0.25">
      <c r="A123" s="83"/>
      <c r="B123" s="377" t="s">
        <v>871</v>
      </c>
      <c r="C123" s="2" t="s">
        <v>12</v>
      </c>
      <c r="D123" s="540">
        <v>6</v>
      </c>
      <c r="E123" s="2"/>
      <c r="F123" s="164">
        <v>2500</v>
      </c>
      <c r="G123" s="2"/>
      <c r="H123" s="2">
        <f t="shared" ref="H123:H133" si="8">ROUND(D123*F123,2)</f>
        <v>15000</v>
      </c>
      <c r="I123" s="11">
        <f t="shared" si="7"/>
        <v>15000</v>
      </c>
    </row>
    <row r="124" spans="1:12" s="6" customFormat="1" outlineLevel="1" x14ac:dyDescent="0.25">
      <c r="A124" s="83"/>
      <c r="B124" s="361" t="s">
        <v>872</v>
      </c>
      <c r="C124" s="2" t="s">
        <v>12</v>
      </c>
      <c r="D124" s="277">
        <f>54</f>
        <v>54</v>
      </c>
      <c r="E124" s="2"/>
      <c r="F124" s="664">
        <v>495</v>
      </c>
      <c r="G124" s="2"/>
      <c r="H124" s="2">
        <f t="shared" si="8"/>
        <v>26730</v>
      </c>
      <c r="I124" s="11">
        <f t="shared" si="7"/>
        <v>26730</v>
      </c>
    </row>
    <row r="125" spans="1:12" s="6" customFormat="1" outlineLevel="1" x14ac:dyDescent="0.25">
      <c r="A125" s="83"/>
      <c r="B125" s="361" t="s">
        <v>873</v>
      </c>
      <c r="C125" s="2" t="s">
        <v>12</v>
      </c>
      <c r="D125" s="277">
        <f>7</f>
        <v>7</v>
      </c>
      <c r="E125" s="2"/>
      <c r="F125" s="664">
        <v>310</v>
      </c>
      <c r="G125" s="2"/>
      <c r="H125" s="2">
        <f t="shared" si="8"/>
        <v>2170</v>
      </c>
      <c r="I125" s="11">
        <f t="shared" si="7"/>
        <v>2170</v>
      </c>
    </row>
    <row r="126" spans="1:12" s="6" customFormat="1" outlineLevel="1" x14ac:dyDescent="0.25">
      <c r="A126" s="83"/>
      <c r="B126" s="361" t="s">
        <v>754</v>
      </c>
      <c r="C126" s="2" t="s">
        <v>12</v>
      </c>
      <c r="D126" s="277">
        <f>2</f>
        <v>2</v>
      </c>
      <c r="E126" s="2"/>
      <c r="F126" s="164">
        <v>300</v>
      </c>
      <c r="G126" s="2"/>
      <c r="H126" s="2">
        <f>ROUND(D126*F126,2)</f>
        <v>600</v>
      </c>
      <c r="I126" s="11">
        <f>G126+H126</f>
        <v>600</v>
      </c>
    </row>
    <row r="127" spans="1:12" s="6" customFormat="1" outlineLevel="1" x14ac:dyDescent="0.25">
      <c r="A127" s="83"/>
      <c r="B127" s="535" t="s">
        <v>880</v>
      </c>
      <c r="C127" s="2" t="s">
        <v>12</v>
      </c>
      <c r="D127" s="277">
        <f>1</f>
        <v>1</v>
      </c>
      <c r="E127" s="2"/>
      <c r="F127" s="664">
        <v>386</v>
      </c>
      <c r="G127" s="2"/>
      <c r="H127" s="2">
        <f t="shared" si="8"/>
        <v>386</v>
      </c>
      <c r="I127" s="11">
        <f t="shared" si="7"/>
        <v>386</v>
      </c>
    </row>
    <row r="128" spans="1:12" s="6" customFormat="1" outlineLevel="1" x14ac:dyDescent="0.25">
      <c r="A128" s="83"/>
      <c r="B128" s="535" t="s">
        <v>861</v>
      </c>
      <c r="C128" s="2" t="s">
        <v>12</v>
      </c>
      <c r="D128" s="277">
        <v>2</v>
      </c>
      <c r="E128" s="2"/>
      <c r="F128" s="664">
        <v>2139</v>
      </c>
      <c r="G128" s="2"/>
      <c r="H128" s="2">
        <f t="shared" si="8"/>
        <v>4278</v>
      </c>
      <c r="I128" s="11">
        <f t="shared" si="7"/>
        <v>4278</v>
      </c>
    </row>
    <row r="129" spans="1:11" s="6" customFormat="1" outlineLevel="1" x14ac:dyDescent="0.25">
      <c r="A129" s="83"/>
      <c r="B129" s="535" t="s">
        <v>882</v>
      </c>
      <c r="C129" s="41" t="s">
        <v>12</v>
      </c>
      <c r="D129" s="277">
        <v>10</v>
      </c>
      <c r="E129" s="2"/>
      <c r="F129" s="361">
        <v>454</v>
      </c>
      <c r="G129" s="2"/>
      <c r="H129" s="2">
        <f t="shared" si="8"/>
        <v>4540</v>
      </c>
      <c r="I129" s="11">
        <f t="shared" si="7"/>
        <v>4540</v>
      </c>
    </row>
    <row r="130" spans="1:11" s="6" customFormat="1" outlineLevel="1" x14ac:dyDescent="0.25">
      <c r="A130" s="83"/>
      <c r="B130" s="535" t="s">
        <v>875</v>
      </c>
      <c r="C130" s="41" t="s">
        <v>15</v>
      </c>
      <c r="D130" s="277">
        <f>2*9.9+6*7.3+2*6.7</f>
        <v>77</v>
      </c>
      <c r="E130" s="2"/>
      <c r="F130" s="364">
        <v>36</v>
      </c>
      <c r="G130" s="2"/>
      <c r="H130" s="2">
        <f t="shared" si="8"/>
        <v>2772</v>
      </c>
      <c r="I130" s="11">
        <f t="shared" si="7"/>
        <v>2772</v>
      </c>
    </row>
    <row r="131" spans="1:11" s="6" customFormat="1" outlineLevel="1" x14ac:dyDescent="0.25">
      <c r="A131" s="83"/>
      <c r="B131" s="535" t="s">
        <v>883</v>
      </c>
      <c r="C131" s="41" t="s">
        <v>15</v>
      </c>
      <c r="D131" s="277">
        <f>18*0.68</f>
        <v>12.24</v>
      </c>
      <c r="E131" s="2"/>
      <c r="F131" s="364">
        <v>33</v>
      </c>
      <c r="G131" s="2"/>
      <c r="H131" s="2">
        <f t="shared" si="8"/>
        <v>403.92</v>
      </c>
      <c r="I131" s="11">
        <f t="shared" si="7"/>
        <v>403.92</v>
      </c>
    </row>
    <row r="132" spans="1:11" s="6" customFormat="1" outlineLevel="1" x14ac:dyDescent="0.25">
      <c r="A132" s="83"/>
      <c r="B132" s="535" t="s">
        <v>1401</v>
      </c>
      <c r="C132" s="41" t="s">
        <v>15</v>
      </c>
      <c r="D132" s="277">
        <f>3*1.88</f>
        <v>5.64</v>
      </c>
      <c r="E132" s="351"/>
      <c r="F132" s="364">
        <v>33</v>
      </c>
      <c r="G132" s="2"/>
      <c r="H132" s="2">
        <f t="shared" si="8"/>
        <v>186.12</v>
      </c>
      <c r="I132" s="11">
        <f t="shared" si="7"/>
        <v>186.12</v>
      </c>
      <c r="K132" s="5"/>
    </row>
    <row r="133" spans="1:11" s="6" customFormat="1" outlineLevel="1" x14ac:dyDescent="0.25">
      <c r="A133" s="76"/>
      <c r="B133" s="535" t="s">
        <v>1402</v>
      </c>
      <c r="C133" s="41" t="s">
        <v>15</v>
      </c>
      <c r="D133" s="277">
        <f>16*13.31+2*3.76</f>
        <v>220.48000000000002</v>
      </c>
      <c r="E133" s="2"/>
      <c r="F133" s="364">
        <v>33</v>
      </c>
      <c r="G133" s="2"/>
      <c r="H133" s="2">
        <f t="shared" si="8"/>
        <v>7275.84</v>
      </c>
      <c r="I133" s="11">
        <f t="shared" si="7"/>
        <v>7275.84</v>
      </c>
      <c r="K133" s="5"/>
    </row>
    <row r="134" spans="1:11" s="6" customFormat="1" outlineLevel="1" x14ac:dyDescent="0.25">
      <c r="A134" s="107" t="s">
        <v>501</v>
      </c>
      <c r="B134" s="531" t="s">
        <v>965</v>
      </c>
      <c r="C134" s="30" t="s">
        <v>8</v>
      </c>
      <c r="D134" s="256">
        <v>24</v>
      </c>
      <c r="E134" s="256">
        <v>1600</v>
      </c>
      <c r="F134" s="11"/>
      <c r="G134" s="2">
        <f>ROUND(E134*D134,2)</f>
        <v>38400</v>
      </c>
      <c r="H134" s="2"/>
      <c r="I134" s="11">
        <f t="shared" si="7"/>
        <v>38400</v>
      </c>
      <c r="K134" s="5"/>
    </row>
    <row r="135" spans="1:11" s="6" customFormat="1" outlineLevel="1" x14ac:dyDescent="0.25">
      <c r="A135" s="76"/>
      <c r="B135" s="361" t="s">
        <v>966</v>
      </c>
      <c r="C135" s="2" t="s">
        <v>8</v>
      </c>
      <c r="D135" s="540">
        <f>D134*1.05</f>
        <v>25.200000000000003</v>
      </c>
      <c r="E135" s="2"/>
      <c r="F135" s="361">
        <v>3450</v>
      </c>
      <c r="G135" s="2"/>
      <c r="H135" s="2">
        <f>ROUND(D135*F135,2)</f>
        <v>86940</v>
      </c>
      <c r="I135" s="11">
        <f t="shared" si="7"/>
        <v>86940</v>
      </c>
      <c r="K135" s="5"/>
    </row>
    <row r="136" spans="1:11" s="6" customFormat="1" outlineLevel="1" x14ac:dyDescent="0.25">
      <c r="A136" s="76"/>
      <c r="B136" s="361" t="s">
        <v>756</v>
      </c>
      <c r="C136" s="2" t="s">
        <v>8</v>
      </c>
      <c r="D136" s="282">
        <f>ROUND(0.23*D134,2)</f>
        <v>5.52</v>
      </c>
      <c r="E136" s="2"/>
      <c r="F136" s="361">
        <v>2500</v>
      </c>
      <c r="G136" s="2"/>
      <c r="H136" s="2">
        <f>ROUND(D136*F136,2)</f>
        <v>13800</v>
      </c>
      <c r="I136" s="11">
        <f t="shared" si="7"/>
        <v>13800</v>
      </c>
      <c r="K136" s="5"/>
    </row>
    <row r="137" spans="1:11" s="6" customFormat="1" ht="31.2" outlineLevel="1" x14ac:dyDescent="0.25">
      <c r="A137" s="107" t="s">
        <v>502</v>
      </c>
      <c r="B137" s="531" t="s">
        <v>645</v>
      </c>
      <c r="C137" s="174" t="s">
        <v>14</v>
      </c>
      <c r="D137" s="256">
        <v>238</v>
      </c>
      <c r="E137" s="256">
        <v>500</v>
      </c>
      <c r="F137" s="11"/>
      <c r="G137" s="2">
        <f>ROUND(E137*D137,2)</f>
        <v>119000</v>
      </c>
      <c r="H137" s="2"/>
      <c r="I137" s="11">
        <f t="shared" si="7"/>
        <v>119000</v>
      </c>
    </row>
    <row r="138" spans="1:11" s="6" customFormat="1" ht="31.2" outlineLevel="1" x14ac:dyDescent="0.25">
      <c r="A138" s="76"/>
      <c r="B138" s="361" t="s">
        <v>968</v>
      </c>
      <c r="C138" s="2" t="s">
        <v>14</v>
      </c>
      <c r="D138" s="282">
        <f>D137*1.012</f>
        <v>240.85599999999999</v>
      </c>
      <c r="E138" s="2"/>
      <c r="F138" s="664">
        <v>351</v>
      </c>
      <c r="G138" s="2"/>
      <c r="H138" s="2">
        <f>ROUND(D138*F138,2)</f>
        <v>84540.46</v>
      </c>
      <c r="I138" s="11">
        <f t="shared" si="7"/>
        <v>84540.46</v>
      </c>
    </row>
    <row r="139" spans="1:11" s="6" customFormat="1" outlineLevel="1" x14ac:dyDescent="0.25">
      <c r="A139" s="76"/>
      <c r="B139" s="361" t="s">
        <v>642</v>
      </c>
      <c r="C139" s="2" t="s">
        <v>12</v>
      </c>
      <c r="D139" s="282">
        <f>D137*0.75</f>
        <v>178.5</v>
      </c>
      <c r="E139" s="2"/>
      <c r="F139" s="164">
        <v>2.79</v>
      </c>
      <c r="G139" s="2"/>
      <c r="H139" s="2">
        <f>ROUND(D139*F139,2)</f>
        <v>498.02</v>
      </c>
      <c r="I139" s="11">
        <f t="shared" si="7"/>
        <v>498.02</v>
      </c>
    </row>
    <row r="140" spans="1:11" s="6" customFormat="1" ht="31.2" outlineLevel="1" x14ac:dyDescent="0.25">
      <c r="A140" s="76"/>
      <c r="B140" s="361" t="s">
        <v>644</v>
      </c>
      <c r="C140" s="2" t="s">
        <v>643</v>
      </c>
      <c r="D140" s="282">
        <f>D137*0.026</f>
        <v>6.1879999999999997</v>
      </c>
      <c r="E140" s="2"/>
      <c r="F140" s="164">
        <v>110</v>
      </c>
      <c r="G140" s="2"/>
      <c r="H140" s="2">
        <f>ROUND(D140*F140,2)</f>
        <v>680.68</v>
      </c>
      <c r="I140" s="11">
        <f t="shared" si="7"/>
        <v>680.68</v>
      </c>
    </row>
    <row r="141" spans="1:11" s="6" customFormat="1" outlineLevel="1" x14ac:dyDescent="0.25">
      <c r="A141" s="76"/>
      <c r="B141" s="361" t="s">
        <v>967</v>
      </c>
      <c r="C141" s="2" t="s">
        <v>15</v>
      </c>
      <c r="D141" s="282">
        <f>D137*2</f>
        <v>476</v>
      </c>
      <c r="E141" s="2"/>
      <c r="F141" s="164">
        <v>8.9700000000000006</v>
      </c>
      <c r="G141" s="2"/>
      <c r="H141" s="2">
        <f>ROUND(D141*F141,2)</f>
        <v>4269.72</v>
      </c>
      <c r="I141" s="11">
        <f t="shared" si="7"/>
        <v>4269.72</v>
      </c>
    </row>
    <row r="142" spans="1:11" s="6" customFormat="1" ht="31.2" outlineLevel="1" x14ac:dyDescent="0.25">
      <c r="A142" s="107" t="s">
        <v>503</v>
      </c>
      <c r="B142" s="531" t="s">
        <v>646</v>
      </c>
      <c r="C142" s="174" t="s">
        <v>14</v>
      </c>
      <c r="D142" s="256">
        <v>132</v>
      </c>
      <c r="E142" s="256">
        <v>500</v>
      </c>
      <c r="F142" s="164"/>
      <c r="G142" s="2">
        <f>ROUND(E142*D142,2)</f>
        <v>66000</v>
      </c>
      <c r="H142" s="2"/>
      <c r="I142" s="11">
        <f t="shared" ref="I142:I150" si="9">G142+H142</f>
        <v>66000</v>
      </c>
    </row>
    <row r="143" spans="1:11" s="6" customFormat="1" ht="31.2" outlineLevel="1" x14ac:dyDescent="0.25">
      <c r="A143" s="76"/>
      <c r="B143" s="361" t="s">
        <v>647</v>
      </c>
      <c r="C143" s="2" t="s">
        <v>14</v>
      </c>
      <c r="D143" s="282">
        <f>D142*1.012</f>
        <v>133.584</v>
      </c>
      <c r="E143" s="2"/>
      <c r="F143" s="664">
        <v>405</v>
      </c>
      <c r="G143" s="2"/>
      <c r="H143" s="2">
        <f>ROUND(D143*F143,2)</f>
        <v>54101.52</v>
      </c>
      <c r="I143" s="11">
        <f t="shared" si="9"/>
        <v>54101.52</v>
      </c>
    </row>
    <row r="144" spans="1:11" s="6" customFormat="1" outlineLevel="1" x14ac:dyDescent="0.25">
      <c r="A144" s="76"/>
      <c r="B144" s="361" t="s">
        <v>642</v>
      </c>
      <c r="C144" s="2" t="s">
        <v>12</v>
      </c>
      <c r="D144" s="282">
        <f>D142*0.75</f>
        <v>99</v>
      </c>
      <c r="E144" s="2"/>
      <c r="F144" s="164">
        <v>2.79</v>
      </c>
      <c r="G144" s="2"/>
      <c r="H144" s="2">
        <f>ROUND(D144*F144,2)</f>
        <v>276.20999999999998</v>
      </c>
      <c r="I144" s="11">
        <f t="shared" si="9"/>
        <v>276.20999999999998</v>
      </c>
    </row>
    <row r="145" spans="1:11" s="6" customFormat="1" ht="31.2" outlineLevel="1" x14ac:dyDescent="0.25">
      <c r="A145" s="76"/>
      <c r="B145" s="361" t="s">
        <v>644</v>
      </c>
      <c r="C145" s="2" t="s">
        <v>643</v>
      </c>
      <c r="D145" s="282">
        <f>D142*0.026</f>
        <v>3.4319999999999999</v>
      </c>
      <c r="E145" s="2"/>
      <c r="F145" s="164">
        <v>110</v>
      </c>
      <c r="G145" s="2"/>
      <c r="H145" s="2">
        <f>ROUND(D145*F145,2)</f>
        <v>377.52</v>
      </c>
      <c r="I145" s="11">
        <f t="shared" si="9"/>
        <v>377.52</v>
      </c>
    </row>
    <row r="146" spans="1:11" s="6" customFormat="1" outlineLevel="1" x14ac:dyDescent="0.25">
      <c r="A146" s="76"/>
      <c r="B146" s="361" t="s">
        <v>967</v>
      </c>
      <c r="C146" s="2" t="s">
        <v>15</v>
      </c>
      <c r="D146" s="282">
        <f>D142*2</f>
        <v>264</v>
      </c>
      <c r="E146" s="2"/>
      <c r="F146" s="164">
        <v>8.9700000000000006</v>
      </c>
      <c r="G146" s="2"/>
      <c r="H146" s="2">
        <f>ROUND(D146*F146,2)</f>
        <v>2368.08</v>
      </c>
      <c r="I146" s="11">
        <f t="shared" si="9"/>
        <v>2368.08</v>
      </c>
    </row>
    <row r="147" spans="1:11" s="6" customFormat="1" hidden="1" outlineLevel="1" x14ac:dyDescent="0.25">
      <c r="A147" s="519" t="s">
        <v>504</v>
      </c>
      <c r="B147" s="330" t="s">
        <v>376</v>
      </c>
      <c r="C147" s="46" t="s">
        <v>9</v>
      </c>
      <c r="D147" s="336">
        <v>0</v>
      </c>
      <c r="E147" s="256">
        <v>15000</v>
      </c>
      <c r="F147" s="56"/>
      <c r="G147" s="2">
        <f>ROUND(E147*D147,2)</f>
        <v>0</v>
      </c>
      <c r="H147" s="11"/>
      <c r="I147" s="11">
        <f t="shared" si="9"/>
        <v>0</v>
      </c>
    </row>
    <row r="148" spans="1:11" s="6" customFormat="1" hidden="1" outlineLevel="1" x14ac:dyDescent="0.25">
      <c r="A148" s="265"/>
      <c r="B148" s="335" t="s">
        <v>377</v>
      </c>
      <c r="C148" s="41" t="s">
        <v>9</v>
      </c>
      <c r="D148" s="324">
        <v>0</v>
      </c>
      <c r="E148" s="31"/>
      <c r="F148" s="164">
        <v>32000</v>
      </c>
      <c r="G148" s="10"/>
      <c r="H148" s="2">
        <f>ROUND(D148*F148,2)</f>
        <v>0</v>
      </c>
      <c r="I148" s="11">
        <f t="shared" si="9"/>
        <v>0</v>
      </c>
    </row>
    <row r="149" spans="1:11" s="6" customFormat="1" hidden="1" outlineLevel="1" x14ac:dyDescent="0.25">
      <c r="A149" s="265"/>
      <c r="B149" s="335" t="s">
        <v>378</v>
      </c>
      <c r="C149" s="41" t="s">
        <v>9</v>
      </c>
      <c r="D149" s="324">
        <v>0</v>
      </c>
      <c r="E149" s="31"/>
      <c r="F149" s="164">
        <v>32000</v>
      </c>
      <c r="G149" s="10"/>
      <c r="H149" s="2">
        <f>ROUND(D149*F149,2)</f>
        <v>0</v>
      </c>
      <c r="I149" s="11">
        <f t="shared" si="9"/>
        <v>0</v>
      </c>
    </row>
    <row r="150" spans="1:11" s="6" customFormat="1" hidden="1" outlineLevel="1" x14ac:dyDescent="0.25">
      <c r="A150" s="265"/>
      <c r="B150" s="335" t="s">
        <v>379</v>
      </c>
      <c r="C150" s="41" t="s">
        <v>9</v>
      </c>
      <c r="D150" s="324">
        <v>0</v>
      </c>
      <c r="E150" s="31"/>
      <c r="F150" s="164">
        <v>32000</v>
      </c>
      <c r="G150" s="10"/>
      <c r="H150" s="2">
        <f>ROUND(D150*F150,2)</f>
        <v>0</v>
      </c>
      <c r="I150" s="11">
        <f t="shared" si="9"/>
        <v>0</v>
      </c>
    </row>
    <row r="151" spans="1:11" ht="24" customHeight="1" collapsed="1" x14ac:dyDescent="0.25">
      <c r="A151" s="223"/>
      <c r="B151" s="224" t="s">
        <v>801</v>
      </c>
      <c r="C151" s="225"/>
      <c r="D151" s="226"/>
      <c r="E151" s="227"/>
      <c r="F151" s="228"/>
      <c r="G151" s="227">
        <f>SUM(G104:G150)</f>
        <v>783746.04</v>
      </c>
      <c r="H151" s="227">
        <f>SUM(H104:H150)</f>
        <v>1984514.79</v>
      </c>
      <c r="I151" s="230">
        <f>ROUND(SUM(I104:I150),2)</f>
        <v>2768260.83</v>
      </c>
      <c r="K151" s="133"/>
    </row>
    <row r="152" spans="1:11" s="5" customFormat="1" ht="15.6" customHeight="1" x14ac:dyDescent="0.25">
      <c r="A152" s="89"/>
      <c r="B152" s="58" t="s">
        <v>624</v>
      </c>
      <c r="C152" s="9"/>
      <c r="D152" s="31"/>
      <c r="E152" s="10"/>
      <c r="F152" s="57"/>
      <c r="G152" s="10"/>
      <c r="H152" s="10"/>
      <c r="I152" s="31">
        <f>ROUND(I151/1.18*0.18,2)</f>
        <v>422277.08</v>
      </c>
    </row>
    <row r="153" spans="1:11" s="5" customFormat="1" ht="21" customHeight="1" x14ac:dyDescent="0.25">
      <c r="A153" s="108"/>
      <c r="B153" s="562" t="s">
        <v>802</v>
      </c>
      <c r="C153" s="105"/>
      <c r="D153" s="105"/>
      <c r="E153" s="105"/>
      <c r="F153" s="138"/>
      <c r="G153" s="105"/>
      <c r="H153" s="105"/>
      <c r="I153" s="106"/>
    </row>
    <row r="154" spans="1:11" s="5" customFormat="1" ht="15.6" customHeight="1" x14ac:dyDescent="0.25">
      <c r="A154" s="107" t="s">
        <v>223</v>
      </c>
      <c r="B154" s="536" t="s">
        <v>740</v>
      </c>
      <c r="C154" s="46" t="s">
        <v>12</v>
      </c>
      <c r="D154" s="275">
        <f>SUM(D155:D162)</f>
        <v>107</v>
      </c>
      <c r="E154" s="275">
        <v>600</v>
      </c>
      <c r="F154" s="43"/>
      <c r="G154" s="2">
        <f>ROUND(E154*D154,2)</f>
        <v>64200</v>
      </c>
      <c r="H154" s="11"/>
      <c r="I154" s="11">
        <f>G154+H154</f>
        <v>64200</v>
      </c>
    </row>
    <row r="155" spans="1:11" s="5" customFormat="1" ht="15.6" customHeight="1" x14ac:dyDescent="0.25">
      <c r="A155" s="84"/>
      <c r="B155" s="533" t="s">
        <v>888</v>
      </c>
      <c r="C155" s="2" t="s">
        <v>12</v>
      </c>
      <c r="D155" s="277">
        <v>9</v>
      </c>
      <c r="E155" s="31"/>
      <c r="F155" s="362">
        <v>9478.9</v>
      </c>
      <c r="G155" s="2"/>
      <c r="H155" s="2">
        <f t="shared" ref="H155:H162" si="10">ROUND(D155*F155,2)</f>
        <v>85310.1</v>
      </c>
      <c r="I155" s="60">
        <f t="shared" ref="I155:I167" si="11">G155+H155</f>
        <v>85310.1</v>
      </c>
    </row>
    <row r="156" spans="1:11" s="5" customFormat="1" ht="15.6" customHeight="1" x14ac:dyDescent="0.25">
      <c r="A156" s="84"/>
      <c r="B156" s="533" t="s">
        <v>889</v>
      </c>
      <c r="C156" s="2" t="s">
        <v>12</v>
      </c>
      <c r="D156" s="277">
        <v>39</v>
      </c>
      <c r="E156" s="31"/>
      <c r="F156" s="362">
        <v>9631</v>
      </c>
      <c r="G156" s="2"/>
      <c r="H156" s="2">
        <f t="shared" si="10"/>
        <v>375609</v>
      </c>
      <c r="I156" s="60">
        <f t="shared" si="11"/>
        <v>375609</v>
      </c>
    </row>
    <row r="157" spans="1:11" s="5" customFormat="1" ht="15.6" customHeight="1" x14ac:dyDescent="0.25">
      <c r="A157" s="84"/>
      <c r="B157" s="533" t="s">
        <v>1371</v>
      </c>
      <c r="C157" s="2" t="s">
        <v>12</v>
      </c>
      <c r="D157" s="277">
        <v>2</v>
      </c>
      <c r="E157" s="31"/>
      <c r="F157" s="664">
        <v>5615</v>
      </c>
      <c r="G157" s="2"/>
      <c r="H157" s="2">
        <f t="shared" si="10"/>
        <v>11230</v>
      </c>
      <c r="I157" s="60">
        <f t="shared" si="11"/>
        <v>11230</v>
      </c>
    </row>
    <row r="158" spans="1:11" s="5" customFormat="1" ht="15.6" customHeight="1" x14ac:dyDescent="0.25">
      <c r="A158" s="84"/>
      <c r="B158" s="533" t="s">
        <v>890</v>
      </c>
      <c r="C158" s="2" t="s">
        <v>12</v>
      </c>
      <c r="D158" s="277">
        <v>7</v>
      </c>
      <c r="E158" s="31"/>
      <c r="F158" s="664">
        <v>4445</v>
      </c>
      <c r="G158" s="2"/>
      <c r="H158" s="2">
        <f t="shared" si="10"/>
        <v>31115</v>
      </c>
      <c r="I158" s="60">
        <f t="shared" si="11"/>
        <v>31115</v>
      </c>
    </row>
    <row r="159" spans="1:11" s="5" customFormat="1" ht="15.6" customHeight="1" x14ac:dyDescent="0.25">
      <c r="A159" s="89"/>
      <c r="B159" s="533" t="s">
        <v>891</v>
      </c>
      <c r="C159" s="2" t="s">
        <v>12</v>
      </c>
      <c r="D159" s="277">
        <v>33</v>
      </c>
      <c r="E159" s="31"/>
      <c r="F159" s="664">
        <v>12796</v>
      </c>
      <c r="G159" s="2"/>
      <c r="H159" s="2">
        <f t="shared" si="10"/>
        <v>422268</v>
      </c>
      <c r="I159" s="60">
        <f t="shared" si="11"/>
        <v>422268</v>
      </c>
    </row>
    <row r="160" spans="1:11" s="5" customFormat="1" ht="15.6" customHeight="1" x14ac:dyDescent="0.25">
      <c r="A160" s="89"/>
      <c r="B160" s="533" t="s">
        <v>892</v>
      </c>
      <c r="C160" s="2" t="s">
        <v>12</v>
      </c>
      <c r="D160" s="277">
        <v>6</v>
      </c>
      <c r="E160" s="31"/>
      <c r="F160" s="664">
        <v>10346.25</v>
      </c>
      <c r="G160" s="2"/>
      <c r="H160" s="2">
        <f t="shared" si="10"/>
        <v>62077.5</v>
      </c>
      <c r="I160" s="60">
        <f t="shared" si="11"/>
        <v>62077.5</v>
      </c>
    </row>
    <row r="161" spans="1:9" s="5" customFormat="1" ht="15.6" customHeight="1" x14ac:dyDescent="0.25">
      <c r="A161" s="89"/>
      <c r="B161" s="533" t="s">
        <v>893</v>
      </c>
      <c r="C161" s="2" t="s">
        <v>12</v>
      </c>
      <c r="D161" s="277">
        <v>3</v>
      </c>
      <c r="E161" s="31"/>
      <c r="F161" s="664">
        <v>4457</v>
      </c>
      <c r="G161" s="2"/>
      <c r="H161" s="2">
        <f t="shared" si="10"/>
        <v>13371</v>
      </c>
      <c r="I161" s="60">
        <f t="shared" si="11"/>
        <v>13371</v>
      </c>
    </row>
    <row r="162" spans="1:9" s="5" customFormat="1" ht="15.6" customHeight="1" x14ac:dyDescent="0.25">
      <c r="A162" s="89"/>
      <c r="B162" s="533" t="s">
        <v>1403</v>
      </c>
      <c r="C162" s="2" t="s">
        <v>12</v>
      </c>
      <c r="D162" s="277">
        <v>8</v>
      </c>
      <c r="E162" s="31"/>
      <c r="F162" s="362">
        <v>14953.2</v>
      </c>
      <c r="G162" s="2"/>
      <c r="H162" s="2">
        <f t="shared" si="10"/>
        <v>119625.60000000001</v>
      </c>
      <c r="I162" s="60">
        <f t="shared" si="11"/>
        <v>119625.60000000001</v>
      </c>
    </row>
    <row r="163" spans="1:9" s="5" customFormat="1" ht="14.25" customHeight="1" x14ac:dyDescent="0.25">
      <c r="A163" s="89"/>
      <c r="B163" s="533" t="s">
        <v>902</v>
      </c>
      <c r="C163" s="41" t="s">
        <v>9</v>
      </c>
      <c r="D163" s="277">
        <f>МЭ!M58/1000</f>
        <v>0.34946000000000005</v>
      </c>
      <c r="E163" s="43"/>
      <c r="F163" s="364">
        <v>33000</v>
      </c>
      <c r="G163" s="18"/>
      <c r="H163" s="2">
        <f>ROUND(D163*F163,2)</f>
        <v>11532.18</v>
      </c>
      <c r="I163" s="11">
        <f t="shared" si="11"/>
        <v>11532.18</v>
      </c>
    </row>
    <row r="164" spans="1:9" s="5" customFormat="1" ht="15.6" customHeight="1" x14ac:dyDescent="0.25">
      <c r="A164" s="89"/>
      <c r="B164" s="533" t="s">
        <v>901</v>
      </c>
      <c r="C164" s="41" t="s">
        <v>15</v>
      </c>
      <c r="D164" s="277">
        <f>16*1.13</f>
        <v>18.079999999999998</v>
      </c>
      <c r="E164" s="43"/>
      <c r="F164" s="364">
        <v>33</v>
      </c>
      <c r="G164" s="18"/>
      <c r="H164" s="2">
        <f>ROUND(D164*F164,2)</f>
        <v>596.64</v>
      </c>
      <c r="I164" s="11">
        <f t="shared" si="11"/>
        <v>596.64</v>
      </c>
    </row>
    <row r="165" spans="1:9" s="5" customFormat="1" ht="15.6" customHeight="1" x14ac:dyDescent="0.25">
      <c r="A165" s="107" t="s">
        <v>224</v>
      </c>
      <c r="B165" s="538" t="s">
        <v>788</v>
      </c>
      <c r="C165" s="203" t="s">
        <v>8</v>
      </c>
      <c r="D165" s="537">
        <f>МУ!E108</f>
        <v>2.8200000000000003</v>
      </c>
      <c r="E165" s="353">
        <v>800</v>
      </c>
      <c r="F165" s="139"/>
      <c r="G165" s="2">
        <f>ROUND(E165*D165,2)</f>
        <v>2256</v>
      </c>
      <c r="H165" s="26"/>
      <c r="I165" s="11">
        <f t="shared" si="11"/>
        <v>2256</v>
      </c>
    </row>
    <row r="166" spans="1:9" s="5" customFormat="1" ht="15.6" customHeight="1" x14ac:dyDescent="0.25">
      <c r="A166" s="89"/>
      <c r="B166" s="533" t="s">
        <v>366</v>
      </c>
      <c r="C166" s="41" t="s">
        <v>9</v>
      </c>
      <c r="D166" s="277">
        <f>МУ!C108/1000</f>
        <v>0.44195999999999996</v>
      </c>
      <c r="E166" s="2"/>
      <c r="F166" s="364">
        <v>34000</v>
      </c>
      <c r="G166" s="10"/>
      <c r="H166" s="2">
        <f>ROUND(D166*F166,2)</f>
        <v>15026.64</v>
      </c>
      <c r="I166" s="11">
        <f t="shared" si="11"/>
        <v>15026.64</v>
      </c>
    </row>
    <row r="167" spans="1:9" s="5" customFormat="1" ht="15.6" customHeight="1" x14ac:dyDescent="0.25">
      <c r="A167" s="89"/>
      <c r="B167" s="533" t="s">
        <v>483</v>
      </c>
      <c r="C167" s="41" t="s">
        <v>8</v>
      </c>
      <c r="D167" s="277">
        <f>D165*1.015</f>
        <v>2.8622999999999998</v>
      </c>
      <c r="E167" s="2"/>
      <c r="F167" s="664">
        <v>4200</v>
      </c>
      <c r="G167" s="31"/>
      <c r="H167" s="2">
        <f>ROUND(D167*F167,2)</f>
        <v>12021.66</v>
      </c>
      <c r="I167" s="11">
        <f t="shared" si="11"/>
        <v>12021.66</v>
      </c>
    </row>
    <row r="168" spans="1:9" s="5" customFormat="1" ht="15.6" customHeight="1" x14ac:dyDescent="0.25">
      <c r="A168" s="89"/>
      <c r="B168" s="384"/>
      <c r="C168" s="385"/>
      <c r="D168" s="386"/>
      <c r="E168" s="387"/>
      <c r="F168" s="388"/>
      <c r="G168" s="387"/>
      <c r="H168" s="387"/>
      <c r="I168" s="389"/>
    </row>
    <row r="169" spans="1:9" s="5" customFormat="1" ht="36" customHeight="1" x14ac:dyDescent="0.25">
      <c r="A169" s="223"/>
      <c r="B169" s="232" t="s">
        <v>803</v>
      </c>
      <c r="C169" s="225"/>
      <c r="D169" s="239"/>
      <c r="E169" s="230"/>
      <c r="F169" s="240"/>
      <c r="G169" s="230">
        <f>SUM(G154:G168)</f>
        <v>66456</v>
      </c>
      <c r="H169" s="230">
        <f>SUM(H154:H168)</f>
        <v>1159783.3199999996</v>
      </c>
      <c r="I169" s="230">
        <f>ROUND(SUM(I154:I168),2)</f>
        <v>1226239.32</v>
      </c>
    </row>
    <row r="170" spans="1:9" s="5" customFormat="1" ht="15.6" customHeight="1" x14ac:dyDescent="0.25">
      <c r="A170" s="90"/>
      <c r="B170" s="58" t="s">
        <v>624</v>
      </c>
      <c r="C170" s="9"/>
      <c r="D170" s="31"/>
      <c r="E170" s="10"/>
      <c r="F170" s="57"/>
      <c r="G170" s="10"/>
      <c r="H170" s="10"/>
      <c r="I170" s="31">
        <f>ROUND(I169/1.18*0.18,2)</f>
        <v>187053.46</v>
      </c>
    </row>
    <row r="171" spans="1:9" s="5" customFormat="1" ht="21" customHeight="1" x14ac:dyDescent="0.25">
      <c r="A171" s="108"/>
      <c r="B171" s="562" t="s">
        <v>810</v>
      </c>
      <c r="C171" s="105"/>
      <c r="D171" s="105"/>
      <c r="E171" s="105"/>
      <c r="F171" s="138"/>
      <c r="G171" s="105"/>
      <c r="H171" s="105"/>
      <c r="I171" s="106"/>
    </row>
    <row r="172" spans="1:9" s="5" customFormat="1" ht="15.6" customHeight="1" x14ac:dyDescent="0.25">
      <c r="A172" s="107" t="s">
        <v>979</v>
      </c>
      <c r="B172" s="538" t="s">
        <v>384</v>
      </c>
      <c r="C172" s="203" t="s">
        <v>12</v>
      </c>
      <c r="D172" s="277">
        <f>D173</f>
        <v>38</v>
      </c>
      <c r="E172" s="353">
        <v>100</v>
      </c>
      <c r="F172" s="139"/>
      <c r="G172" s="2">
        <f>ROUND(E172*D172,2)</f>
        <v>3800</v>
      </c>
      <c r="H172" s="26"/>
      <c r="I172" s="11">
        <f t="shared" ref="I172:I177" si="12">G172+H172</f>
        <v>3800</v>
      </c>
    </row>
    <row r="173" spans="1:9" s="5" customFormat="1" ht="15.6" customHeight="1" x14ac:dyDescent="0.25">
      <c r="A173" s="391"/>
      <c r="B173" s="533" t="s">
        <v>1375</v>
      </c>
      <c r="C173" s="41" t="s">
        <v>12</v>
      </c>
      <c r="D173" s="277">
        <v>38</v>
      </c>
      <c r="E173" s="282"/>
      <c r="F173" s="668">
        <v>784</v>
      </c>
      <c r="G173" s="10"/>
      <c r="H173" s="2">
        <f>ROUND(D173*F173,2)</f>
        <v>29792</v>
      </c>
      <c r="I173" s="11">
        <f t="shared" si="12"/>
        <v>29792</v>
      </c>
    </row>
    <row r="174" spans="1:9" s="5" customFormat="1" ht="15.6" customHeight="1" x14ac:dyDescent="0.25">
      <c r="A174" s="391"/>
      <c r="B174" s="533" t="s">
        <v>804</v>
      </c>
      <c r="C174" s="41" t="s">
        <v>8</v>
      </c>
      <c r="D174" s="277">
        <v>7.0000000000000007E-2</v>
      </c>
      <c r="E174" s="353"/>
      <c r="F174" s="664">
        <v>4200</v>
      </c>
      <c r="G174" s="31"/>
      <c r="H174" s="2">
        <f>ROUND(D174*F174,2)</f>
        <v>294</v>
      </c>
      <c r="I174" s="11">
        <f>G174+H174</f>
        <v>294</v>
      </c>
    </row>
    <row r="175" spans="1:9" s="5" customFormat="1" ht="15.6" customHeight="1" x14ac:dyDescent="0.25">
      <c r="A175" s="107" t="s">
        <v>980</v>
      </c>
      <c r="B175" s="538" t="s">
        <v>824</v>
      </c>
      <c r="C175" s="203" t="s">
        <v>9</v>
      </c>
      <c r="D175" s="610">
        <f>D176</f>
        <v>0.42886000000000007</v>
      </c>
      <c r="E175" s="353">
        <v>30000</v>
      </c>
      <c r="F175" s="139"/>
      <c r="G175" s="2">
        <f>ROUND(E175*D175,2)</f>
        <v>12865.8</v>
      </c>
      <c r="H175" s="26"/>
      <c r="I175" s="11">
        <f t="shared" si="12"/>
        <v>12865.8</v>
      </c>
    </row>
    <row r="176" spans="1:9" s="5" customFormat="1" ht="15.6" customHeight="1" x14ac:dyDescent="0.25">
      <c r="A176" s="391"/>
      <c r="B176" s="533" t="s">
        <v>1376</v>
      </c>
      <c r="C176" s="41" t="s">
        <v>9</v>
      </c>
      <c r="D176" s="277">
        <f>металл!D29/1000</f>
        <v>0.42886000000000007</v>
      </c>
      <c r="E176" s="282"/>
      <c r="F176" s="364">
        <v>34000</v>
      </c>
      <c r="G176" s="10"/>
      <c r="H176" s="2">
        <f>ROUND(D176*F176,2)</f>
        <v>14581.24</v>
      </c>
      <c r="I176" s="11">
        <f t="shared" si="12"/>
        <v>14581.24</v>
      </c>
    </row>
    <row r="177" spans="1:9" s="5" customFormat="1" ht="15.6" customHeight="1" x14ac:dyDescent="0.3">
      <c r="A177" s="391"/>
      <c r="B177" s="538" t="s">
        <v>903</v>
      </c>
      <c r="C177" s="41" t="s">
        <v>12</v>
      </c>
      <c r="D177" s="282">
        <v>4</v>
      </c>
      <c r="E177" s="353">
        <v>600</v>
      </c>
      <c r="F177" s="392"/>
      <c r="G177" s="2">
        <f>D177*E177</f>
        <v>2400</v>
      </c>
      <c r="H177" s="2"/>
      <c r="I177" s="11">
        <f t="shared" si="12"/>
        <v>2400</v>
      </c>
    </row>
    <row r="178" spans="1:9" s="5" customFormat="1" ht="15.6" customHeight="1" x14ac:dyDescent="0.25">
      <c r="A178" s="107" t="s">
        <v>981</v>
      </c>
      <c r="B178" s="533" t="s">
        <v>1378</v>
      </c>
      <c r="C178" s="41" t="s">
        <v>9</v>
      </c>
      <c r="D178" s="282">
        <f>3*металл!D37/1000</f>
        <v>0.253104</v>
      </c>
      <c r="E178" s="353"/>
      <c r="F178" s="364">
        <v>34000</v>
      </c>
      <c r="G178" s="2"/>
      <c r="H178" s="2">
        <f>D178*F178</f>
        <v>8605.5360000000001</v>
      </c>
      <c r="I178" s="11">
        <f>H178</f>
        <v>8605.5360000000001</v>
      </c>
    </row>
    <row r="179" spans="1:9" s="5" customFormat="1" ht="15.6" customHeight="1" x14ac:dyDescent="0.25">
      <c r="A179" s="391"/>
      <c r="B179" s="533" t="s">
        <v>1379</v>
      </c>
      <c r="C179" s="41" t="s">
        <v>9</v>
      </c>
      <c r="D179" s="282">
        <f>1*металл!D43/1000</f>
        <v>8.2859999999999989E-2</v>
      </c>
      <c r="E179" s="353"/>
      <c r="F179" s="364">
        <v>34000</v>
      </c>
      <c r="G179" s="2"/>
      <c r="H179" s="2">
        <f>D179*F179</f>
        <v>2817.24</v>
      </c>
      <c r="I179" s="11">
        <f>H179</f>
        <v>2817.24</v>
      </c>
    </row>
    <row r="180" spans="1:9" s="5" customFormat="1" ht="15.6" customHeight="1" x14ac:dyDescent="0.25">
      <c r="A180" s="391"/>
      <c r="B180" s="538" t="s">
        <v>805</v>
      </c>
      <c r="C180" s="41" t="s">
        <v>12</v>
      </c>
      <c r="D180" s="282">
        <f>4+1</f>
        <v>5</v>
      </c>
      <c r="E180" s="353">
        <v>3000</v>
      </c>
      <c r="F180" s="363"/>
      <c r="G180" s="2">
        <f>D180*E180</f>
        <v>15000</v>
      </c>
      <c r="H180" s="2"/>
      <c r="I180" s="11">
        <f>G180</f>
        <v>15000</v>
      </c>
    </row>
    <row r="181" spans="1:9" s="5" customFormat="1" ht="15.6" customHeight="1" x14ac:dyDescent="0.25">
      <c r="A181" s="107" t="s">
        <v>982</v>
      </c>
      <c r="B181" s="533" t="s">
        <v>1380</v>
      </c>
      <c r="C181" s="41" t="s">
        <v>9</v>
      </c>
      <c r="D181" s="282">
        <f>4*40.1/1000</f>
        <v>0.16040000000000001</v>
      </c>
      <c r="E181" s="353"/>
      <c r="F181" s="363">
        <v>32000</v>
      </c>
      <c r="G181" s="2"/>
      <c r="H181" s="2">
        <f>F181*D181</f>
        <v>5132.8</v>
      </c>
      <c r="I181" s="11">
        <f>H181</f>
        <v>5132.8</v>
      </c>
    </row>
    <row r="182" spans="1:9" s="5" customFormat="1" ht="15.6" customHeight="1" x14ac:dyDescent="0.25">
      <c r="A182" s="391"/>
      <c r="B182" s="533" t="s">
        <v>806</v>
      </c>
      <c r="C182" s="41" t="s">
        <v>9</v>
      </c>
      <c r="D182" s="282">
        <f>1*21.1/1000</f>
        <v>2.1100000000000001E-2</v>
      </c>
      <c r="E182" s="353"/>
      <c r="F182" s="363">
        <v>32000</v>
      </c>
      <c r="G182" s="2"/>
      <c r="H182" s="2">
        <f>F182*D182</f>
        <v>675.2</v>
      </c>
      <c r="I182" s="11">
        <f>H182</f>
        <v>675.2</v>
      </c>
    </row>
    <row r="183" spans="1:9" s="5" customFormat="1" ht="15.6" customHeight="1" x14ac:dyDescent="0.3">
      <c r="A183" s="107" t="s">
        <v>983</v>
      </c>
      <c r="B183" s="538" t="s">
        <v>807</v>
      </c>
      <c r="C183" s="41" t="s">
        <v>14</v>
      </c>
      <c r="D183" s="264">
        <f>(D175+D181+D182+D178+D179)*27</f>
        <v>25.550748000000006</v>
      </c>
      <c r="E183" s="256">
        <v>150</v>
      </c>
      <c r="F183" s="484"/>
      <c r="G183" s="2">
        <f>D183*E183</f>
        <v>3832.6122000000009</v>
      </c>
      <c r="H183" s="484"/>
      <c r="I183" s="11">
        <f>G183</f>
        <v>3832.6122000000009</v>
      </c>
    </row>
    <row r="184" spans="1:9" s="5" customFormat="1" ht="15.6" customHeight="1" x14ac:dyDescent="0.3">
      <c r="A184" s="391"/>
      <c r="B184" s="533" t="s">
        <v>1166</v>
      </c>
      <c r="C184" s="41" t="s">
        <v>15</v>
      </c>
      <c r="D184" s="282">
        <f>D183*0.2</f>
        <v>5.1101496000000015</v>
      </c>
      <c r="E184" s="484"/>
      <c r="F184" s="362">
        <v>85</v>
      </c>
      <c r="G184" s="484"/>
      <c r="H184" s="2">
        <f>F184*D184</f>
        <v>434.36271600000015</v>
      </c>
      <c r="I184" s="11">
        <f>H184</f>
        <v>434.36271600000015</v>
      </c>
    </row>
    <row r="185" spans="1:9" s="5" customFormat="1" ht="15.6" customHeight="1" x14ac:dyDescent="0.3">
      <c r="A185" s="391"/>
      <c r="B185" s="533" t="s">
        <v>1162</v>
      </c>
      <c r="C185" s="41" t="s">
        <v>15</v>
      </c>
      <c r="D185" s="282">
        <f>D183*0.3</f>
        <v>7.6652244000000014</v>
      </c>
      <c r="E185" s="484"/>
      <c r="F185" s="362">
        <v>115</v>
      </c>
      <c r="G185" s="484"/>
      <c r="H185" s="2">
        <f>F185*D185</f>
        <v>881.50080600000013</v>
      </c>
      <c r="I185" s="11">
        <f>H185</f>
        <v>881.50080600000013</v>
      </c>
    </row>
    <row r="186" spans="1:9" s="5" customFormat="1" ht="15.6" customHeight="1" x14ac:dyDescent="0.25">
      <c r="A186" s="391"/>
      <c r="B186" s="232" t="s">
        <v>811</v>
      </c>
      <c r="C186" s="225"/>
      <c r="D186" s="239"/>
      <c r="E186" s="230"/>
      <c r="F186" s="240"/>
      <c r="G186" s="230">
        <f>SUM(G172:G185)</f>
        <v>37898.412200000006</v>
      </c>
      <c r="H186" s="230">
        <f>SUM(H172:H185)</f>
        <v>63213.879522000003</v>
      </c>
      <c r="I186" s="230">
        <f>ROUND(SUM(I172:I185),2)</f>
        <v>101112.29</v>
      </c>
    </row>
    <row r="187" spans="1:9" s="5" customFormat="1" ht="15.6" customHeight="1" x14ac:dyDescent="0.25">
      <c r="A187" s="391"/>
      <c r="B187" s="58" t="s">
        <v>624</v>
      </c>
      <c r="C187" s="9"/>
      <c r="D187" s="31"/>
      <c r="E187" s="10"/>
      <c r="F187" s="57"/>
      <c r="G187" s="10"/>
      <c r="H187" s="10"/>
      <c r="I187" s="31">
        <f>ROUND(I186/1.18*0.18,2)</f>
        <v>15423.91</v>
      </c>
    </row>
    <row r="188" spans="1:9" s="5" customFormat="1" ht="21" hidden="1" customHeight="1" x14ac:dyDescent="0.25">
      <c r="A188" s="108"/>
      <c r="B188" s="517" t="s">
        <v>812</v>
      </c>
      <c r="C188" s="105"/>
      <c r="D188" s="105"/>
      <c r="E188" s="105"/>
      <c r="F188" s="138"/>
      <c r="G188" s="105"/>
      <c r="H188" s="105"/>
      <c r="I188" s="106"/>
    </row>
    <row r="189" spans="1:9" s="5" customFormat="1" ht="15.6" hidden="1" customHeight="1" x14ac:dyDescent="0.25">
      <c r="A189" s="391"/>
      <c r="B189" s="383" t="s">
        <v>813</v>
      </c>
      <c r="C189" s="41" t="s">
        <v>12</v>
      </c>
      <c r="D189" s="282">
        <v>0</v>
      </c>
      <c r="E189" s="390">
        <v>500</v>
      </c>
      <c r="F189" s="363">
        <v>24000</v>
      </c>
      <c r="G189" s="2">
        <f>D189*E189</f>
        <v>0</v>
      </c>
      <c r="H189" s="2">
        <f>D189*F189</f>
        <v>0</v>
      </c>
      <c r="I189" s="11">
        <f>H189+G189</f>
        <v>0</v>
      </c>
    </row>
    <row r="190" spans="1:9" s="5" customFormat="1" ht="15.6" hidden="1" customHeight="1" x14ac:dyDescent="0.25">
      <c r="A190" s="391"/>
      <c r="B190" s="383" t="s">
        <v>814</v>
      </c>
      <c r="C190" s="41" t="s">
        <v>8</v>
      </c>
      <c r="D190" s="282">
        <v>0</v>
      </c>
      <c r="E190" s="390">
        <v>2500</v>
      </c>
      <c r="F190" s="363"/>
      <c r="G190" s="2">
        <f>D190*E190</f>
        <v>0</v>
      </c>
      <c r="H190" s="2"/>
      <c r="I190" s="11">
        <f>G190</f>
        <v>0</v>
      </c>
    </row>
    <row r="191" spans="1:9" s="5" customFormat="1" ht="15.6" hidden="1" customHeight="1" x14ac:dyDescent="0.3">
      <c r="A191" s="391"/>
      <c r="B191" s="394" t="s">
        <v>815</v>
      </c>
      <c r="C191" s="41" t="s">
        <v>8</v>
      </c>
      <c r="D191" s="282">
        <f>D190*1.05</f>
        <v>0</v>
      </c>
      <c r="E191" s="390"/>
      <c r="F191" s="363">
        <f>F91</f>
        <v>0</v>
      </c>
      <c r="G191" s="2"/>
      <c r="H191" s="2">
        <f>F191*D191</f>
        <v>0</v>
      </c>
      <c r="I191" s="11">
        <f>G191+H191</f>
        <v>0</v>
      </c>
    </row>
    <row r="192" spans="1:9" s="5" customFormat="1" ht="15.6" hidden="1" customHeight="1" x14ac:dyDescent="0.3">
      <c r="A192" s="391"/>
      <c r="B192" s="395" t="s">
        <v>816</v>
      </c>
      <c r="C192" s="41" t="s">
        <v>9</v>
      </c>
      <c r="D192" s="282">
        <v>0</v>
      </c>
      <c r="E192" s="390"/>
      <c r="F192" s="363">
        <v>31000</v>
      </c>
      <c r="G192" s="2"/>
      <c r="H192" s="2">
        <f>F192*D192</f>
        <v>0</v>
      </c>
      <c r="I192" s="11">
        <f>G192+H192</f>
        <v>0</v>
      </c>
    </row>
    <row r="193" spans="1:9" s="5" customFormat="1" ht="15.6" hidden="1" customHeight="1" x14ac:dyDescent="0.3">
      <c r="A193" s="391"/>
      <c r="B193" s="395" t="s">
        <v>817</v>
      </c>
      <c r="C193" s="41" t="s">
        <v>9</v>
      </c>
      <c r="D193" s="282">
        <v>0</v>
      </c>
      <c r="E193" s="390"/>
      <c r="F193" s="363">
        <v>31000</v>
      </c>
      <c r="G193" s="2"/>
      <c r="H193" s="2">
        <f>F193*D193</f>
        <v>0</v>
      </c>
      <c r="I193" s="11">
        <f>G193+H193</f>
        <v>0</v>
      </c>
    </row>
    <row r="194" spans="1:9" s="5" customFormat="1" ht="15.6" hidden="1" customHeight="1" x14ac:dyDescent="0.3">
      <c r="A194" s="391"/>
      <c r="B194" s="396" t="s">
        <v>818</v>
      </c>
      <c r="C194" s="41" t="s">
        <v>9</v>
      </c>
      <c r="D194" s="282">
        <v>0</v>
      </c>
      <c r="E194" s="390"/>
      <c r="F194" s="363">
        <v>31000</v>
      </c>
      <c r="G194" s="2"/>
      <c r="H194" s="2">
        <f>F194*D194</f>
        <v>0</v>
      </c>
      <c r="I194" s="11">
        <f>G194+H194</f>
        <v>0</v>
      </c>
    </row>
    <row r="195" spans="1:9" s="5" customFormat="1" ht="15.6" hidden="1" customHeight="1" x14ac:dyDescent="0.25">
      <c r="A195" s="391"/>
      <c r="B195" s="383" t="s">
        <v>819</v>
      </c>
      <c r="C195" s="41" t="s">
        <v>853</v>
      </c>
      <c r="D195" s="282">
        <v>0</v>
      </c>
      <c r="E195" s="390">
        <v>25000</v>
      </c>
      <c r="F195" s="363"/>
      <c r="G195" s="2">
        <f>D195*E195</f>
        <v>0</v>
      </c>
      <c r="H195" s="2">
        <f>D195*F195</f>
        <v>0</v>
      </c>
      <c r="I195" s="11">
        <f>H195+G195</f>
        <v>0</v>
      </c>
    </row>
    <row r="196" spans="1:9" s="5" customFormat="1" ht="15.6" hidden="1" customHeight="1" x14ac:dyDescent="0.3">
      <c r="A196" s="391"/>
      <c r="B196" s="393" t="s">
        <v>820</v>
      </c>
      <c r="C196" s="41" t="s">
        <v>853</v>
      </c>
      <c r="D196" s="282">
        <v>0</v>
      </c>
      <c r="E196" s="390"/>
      <c r="F196" s="363">
        <v>33000</v>
      </c>
      <c r="G196" s="2"/>
      <c r="H196" s="2">
        <f>D196*F196</f>
        <v>0</v>
      </c>
      <c r="I196" s="11">
        <f>H196</f>
        <v>0</v>
      </c>
    </row>
    <row r="197" spans="1:9" s="5" customFormat="1" ht="15.6" hidden="1" customHeight="1" x14ac:dyDescent="0.3">
      <c r="A197" s="391"/>
      <c r="B197" s="393" t="s">
        <v>821</v>
      </c>
      <c r="C197" s="41" t="s">
        <v>853</v>
      </c>
      <c r="D197" s="282">
        <v>0</v>
      </c>
      <c r="E197" s="390"/>
      <c r="F197" s="363">
        <v>33000</v>
      </c>
      <c r="G197" s="2"/>
      <c r="H197" s="2">
        <f>D197*F197</f>
        <v>0</v>
      </c>
      <c r="I197" s="11">
        <f>H197</f>
        <v>0</v>
      </c>
    </row>
    <row r="198" spans="1:9" s="5" customFormat="1" ht="15.6" hidden="1" customHeight="1" x14ac:dyDescent="0.3">
      <c r="A198" s="391"/>
      <c r="B198" s="393" t="s">
        <v>822</v>
      </c>
      <c r="C198" s="41" t="s">
        <v>14</v>
      </c>
      <c r="D198" s="282">
        <v>0</v>
      </c>
      <c r="E198" s="390"/>
      <c r="F198" s="363">
        <v>250</v>
      </c>
      <c r="G198" s="2"/>
      <c r="H198" s="2">
        <f>D198*F198</f>
        <v>0</v>
      </c>
      <c r="I198" s="11">
        <f>H198</f>
        <v>0</v>
      </c>
    </row>
    <row r="199" spans="1:9" s="5" customFormat="1" ht="15.6" hidden="1" customHeight="1" x14ac:dyDescent="0.3">
      <c r="A199" s="391"/>
      <c r="B199" s="397" t="s">
        <v>823</v>
      </c>
      <c r="C199" s="41"/>
      <c r="D199" s="282"/>
      <c r="E199" s="390"/>
      <c r="F199" s="363"/>
      <c r="G199" s="2"/>
      <c r="H199" s="2"/>
      <c r="I199" s="11"/>
    </row>
    <row r="200" spans="1:9" s="5" customFormat="1" ht="15.6" hidden="1" customHeight="1" x14ac:dyDescent="0.25">
      <c r="A200" s="391"/>
      <c r="B200" s="383" t="s">
        <v>824</v>
      </c>
      <c r="C200" s="41" t="s">
        <v>853</v>
      </c>
      <c r="D200" s="282">
        <v>0</v>
      </c>
      <c r="E200" s="390">
        <v>25000</v>
      </c>
      <c r="F200" s="363"/>
      <c r="G200" s="2">
        <f>D200*E200</f>
        <v>0</v>
      </c>
      <c r="H200" s="2">
        <f t="shared" ref="H200:H209" si="13">D200*F200</f>
        <v>0</v>
      </c>
      <c r="I200" s="11">
        <f>H200+G200</f>
        <v>0</v>
      </c>
    </row>
    <row r="201" spans="1:9" s="5" customFormat="1" ht="15.6" hidden="1" customHeight="1" x14ac:dyDescent="0.3">
      <c r="A201" s="391"/>
      <c r="B201" s="393" t="s">
        <v>825</v>
      </c>
      <c r="C201" s="41" t="s">
        <v>853</v>
      </c>
      <c r="D201" s="282">
        <v>0</v>
      </c>
      <c r="E201" s="390"/>
      <c r="F201" s="363">
        <v>33000</v>
      </c>
      <c r="G201" s="2"/>
      <c r="H201" s="2">
        <f t="shared" si="13"/>
        <v>0</v>
      </c>
      <c r="I201" s="11">
        <f>H201</f>
        <v>0</v>
      </c>
    </row>
    <row r="202" spans="1:9" s="5" customFormat="1" ht="15.6" hidden="1" customHeight="1" x14ac:dyDescent="0.3">
      <c r="A202" s="391"/>
      <c r="B202" s="393" t="s">
        <v>826</v>
      </c>
      <c r="C202" s="41" t="s">
        <v>853</v>
      </c>
      <c r="D202" s="282">
        <v>0</v>
      </c>
      <c r="E202" s="390"/>
      <c r="F202" s="363">
        <v>33000</v>
      </c>
      <c r="G202" s="2"/>
      <c r="H202" s="2">
        <f t="shared" si="13"/>
        <v>0</v>
      </c>
      <c r="I202" s="11">
        <f t="shared" ref="I202:I209" si="14">H202</f>
        <v>0</v>
      </c>
    </row>
    <row r="203" spans="1:9" s="5" customFormat="1" ht="15.6" hidden="1" customHeight="1" x14ac:dyDescent="0.3">
      <c r="A203" s="391"/>
      <c r="B203" s="393" t="s">
        <v>827</v>
      </c>
      <c r="C203" s="41" t="s">
        <v>853</v>
      </c>
      <c r="D203" s="282">
        <v>0</v>
      </c>
      <c r="E203" s="390"/>
      <c r="F203" s="363">
        <v>33000</v>
      </c>
      <c r="G203" s="2"/>
      <c r="H203" s="2">
        <f t="shared" si="13"/>
        <v>0</v>
      </c>
      <c r="I203" s="11">
        <f>H203</f>
        <v>0</v>
      </c>
    </row>
    <row r="204" spans="1:9" s="5" customFormat="1" ht="15.6" hidden="1" customHeight="1" x14ac:dyDescent="0.3">
      <c r="A204" s="391"/>
      <c r="B204" s="393" t="s">
        <v>828</v>
      </c>
      <c r="C204" s="41" t="s">
        <v>853</v>
      </c>
      <c r="D204" s="282">
        <v>0</v>
      </c>
      <c r="E204" s="390"/>
      <c r="F204" s="363">
        <v>33000</v>
      </c>
      <c r="G204" s="2"/>
      <c r="H204" s="2">
        <f t="shared" si="13"/>
        <v>0</v>
      </c>
      <c r="I204" s="11">
        <f t="shared" si="14"/>
        <v>0</v>
      </c>
    </row>
    <row r="205" spans="1:9" s="5" customFormat="1" ht="15.6" hidden="1" customHeight="1" x14ac:dyDescent="0.3">
      <c r="A205" s="391"/>
      <c r="B205" s="393" t="s">
        <v>822</v>
      </c>
      <c r="C205" s="41" t="s">
        <v>14</v>
      </c>
      <c r="D205" s="282">
        <v>0</v>
      </c>
      <c r="E205" s="390"/>
      <c r="F205" s="363">
        <v>250</v>
      </c>
      <c r="G205" s="2"/>
      <c r="H205" s="2">
        <f t="shared" si="13"/>
        <v>0</v>
      </c>
      <c r="I205" s="11">
        <f t="shared" si="14"/>
        <v>0</v>
      </c>
    </row>
    <row r="206" spans="1:9" s="5" customFormat="1" ht="15.6" hidden="1" customHeight="1" x14ac:dyDescent="0.3">
      <c r="A206" s="391"/>
      <c r="B206" s="393" t="s">
        <v>829</v>
      </c>
      <c r="C206" s="41" t="s">
        <v>14</v>
      </c>
      <c r="D206" s="282">
        <v>0</v>
      </c>
      <c r="E206" s="390"/>
      <c r="F206" s="363">
        <v>250</v>
      </c>
      <c r="G206" s="2"/>
      <c r="H206" s="2">
        <f t="shared" si="13"/>
        <v>0</v>
      </c>
      <c r="I206" s="11">
        <f t="shared" si="14"/>
        <v>0</v>
      </c>
    </row>
    <row r="207" spans="1:9" s="5" customFormat="1" ht="15.6" hidden="1" customHeight="1" x14ac:dyDescent="0.3">
      <c r="A207" s="391"/>
      <c r="B207" s="393" t="s">
        <v>830</v>
      </c>
      <c r="C207" s="41" t="s">
        <v>14</v>
      </c>
      <c r="D207" s="282">
        <v>0</v>
      </c>
      <c r="E207" s="390"/>
      <c r="F207" s="363">
        <v>250</v>
      </c>
      <c r="G207" s="2"/>
      <c r="H207" s="2">
        <f t="shared" si="13"/>
        <v>0</v>
      </c>
      <c r="I207" s="11">
        <f t="shared" si="14"/>
        <v>0</v>
      </c>
    </row>
    <row r="208" spans="1:9" s="5" customFormat="1" ht="15.6" hidden="1" customHeight="1" x14ac:dyDescent="0.3">
      <c r="A208" s="391"/>
      <c r="B208" s="393" t="s">
        <v>831</v>
      </c>
      <c r="C208" s="41" t="s">
        <v>12</v>
      </c>
      <c r="D208" s="282">
        <v>0</v>
      </c>
      <c r="E208" s="390"/>
      <c r="F208" s="363">
        <v>250</v>
      </c>
      <c r="G208" s="2"/>
      <c r="H208" s="2">
        <f t="shared" si="13"/>
        <v>0</v>
      </c>
      <c r="I208" s="11">
        <f t="shared" si="14"/>
        <v>0</v>
      </c>
    </row>
    <row r="209" spans="1:9" s="5" customFormat="1" ht="15.6" hidden="1" customHeight="1" x14ac:dyDescent="0.3">
      <c r="A209" s="391"/>
      <c r="B209" s="393" t="s">
        <v>832</v>
      </c>
      <c r="C209" s="41" t="s">
        <v>14</v>
      </c>
      <c r="D209" s="282">
        <v>0</v>
      </c>
      <c r="E209" s="390"/>
      <c r="F209" s="363">
        <v>200</v>
      </c>
      <c r="G209" s="2"/>
      <c r="H209" s="2">
        <f t="shared" si="13"/>
        <v>0</v>
      </c>
      <c r="I209" s="11">
        <f t="shared" si="14"/>
        <v>0</v>
      </c>
    </row>
    <row r="210" spans="1:9" s="5" customFormat="1" ht="15.6" hidden="1" customHeight="1" x14ac:dyDescent="0.25">
      <c r="A210" s="391"/>
      <c r="B210" s="383" t="s">
        <v>807</v>
      </c>
      <c r="C210" s="41" t="s">
        <v>14</v>
      </c>
      <c r="D210" s="282">
        <f>(D195+D200)*27</f>
        <v>0</v>
      </c>
      <c r="E210" s="390">
        <v>150</v>
      </c>
      <c r="F210" s="363"/>
      <c r="G210" s="2">
        <f>D210*E210</f>
        <v>0</v>
      </c>
      <c r="H210" s="2"/>
      <c r="I210" s="11">
        <f>G210</f>
        <v>0</v>
      </c>
    </row>
    <row r="211" spans="1:9" s="5" customFormat="1" ht="15.6" hidden="1" customHeight="1" x14ac:dyDescent="0.3">
      <c r="A211" s="391"/>
      <c r="B211" s="393" t="s">
        <v>808</v>
      </c>
      <c r="C211" s="41" t="s">
        <v>15</v>
      </c>
      <c r="D211" s="282">
        <f>D210*0.2</f>
        <v>0</v>
      </c>
      <c r="E211" s="390"/>
      <c r="F211" s="363">
        <v>85</v>
      </c>
      <c r="G211" s="2"/>
      <c r="H211" s="2">
        <f>F211*D211</f>
        <v>0</v>
      </c>
      <c r="I211" s="11">
        <f>H211</f>
        <v>0</v>
      </c>
    </row>
    <row r="212" spans="1:9" s="5" customFormat="1" ht="15.6" hidden="1" customHeight="1" x14ac:dyDescent="0.3">
      <c r="A212" s="391"/>
      <c r="B212" s="393" t="s">
        <v>809</v>
      </c>
      <c r="C212" s="41" t="s">
        <v>15</v>
      </c>
      <c r="D212" s="282">
        <f>D210*0.3</f>
        <v>0</v>
      </c>
      <c r="E212" s="390"/>
      <c r="F212" s="363">
        <v>115</v>
      </c>
      <c r="G212" s="2"/>
      <c r="H212" s="2">
        <f>F212*D212</f>
        <v>0</v>
      </c>
      <c r="I212" s="11">
        <f>H212</f>
        <v>0</v>
      </c>
    </row>
    <row r="213" spans="1:9" s="5" customFormat="1" ht="15.6" hidden="1" customHeight="1" x14ac:dyDescent="0.3">
      <c r="A213" s="391"/>
      <c r="B213" s="398" t="s">
        <v>833</v>
      </c>
      <c r="C213" s="41"/>
      <c r="D213" s="282"/>
      <c r="E213" s="390"/>
      <c r="F213" s="363"/>
      <c r="G213" s="2"/>
      <c r="H213" s="2"/>
      <c r="I213" s="11"/>
    </row>
    <row r="214" spans="1:9" s="5" customFormat="1" ht="15.6" hidden="1" customHeight="1" x14ac:dyDescent="0.25">
      <c r="A214" s="391"/>
      <c r="B214" s="383" t="s">
        <v>824</v>
      </c>
      <c r="C214" s="41" t="s">
        <v>853</v>
      </c>
      <c r="D214" s="282">
        <v>0</v>
      </c>
      <c r="E214" s="390">
        <v>25000</v>
      </c>
      <c r="F214" s="363"/>
      <c r="G214" s="2">
        <f>D214*E214</f>
        <v>0</v>
      </c>
      <c r="H214" s="2">
        <f t="shared" ref="H214:H227" si="15">D214*F214</f>
        <v>0</v>
      </c>
      <c r="I214" s="11">
        <f t="shared" ref="I214:I228" si="16">H214+G214</f>
        <v>0</v>
      </c>
    </row>
    <row r="215" spans="1:9" s="5" customFormat="1" ht="15.6" hidden="1" customHeight="1" x14ac:dyDescent="0.3">
      <c r="A215" s="391"/>
      <c r="B215" s="399" t="s">
        <v>834</v>
      </c>
      <c r="C215" s="41" t="s">
        <v>853</v>
      </c>
      <c r="D215" s="282">
        <v>0</v>
      </c>
      <c r="E215" s="390"/>
      <c r="F215" s="363">
        <v>33000</v>
      </c>
      <c r="G215" s="2"/>
      <c r="H215" s="2">
        <f t="shared" si="15"/>
        <v>0</v>
      </c>
      <c r="I215" s="11">
        <f t="shared" si="16"/>
        <v>0</v>
      </c>
    </row>
    <row r="216" spans="1:9" s="5" customFormat="1" ht="15.6" hidden="1" customHeight="1" x14ac:dyDescent="0.3">
      <c r="A216" s="391"/>
      <c r="B216" s="400" t="s">
        <v>835</v>
      </c>
      <c r="C216" s="41" t="s">
        <v>853</v>
      </c>
      <c r="D216" s="282">
        <v>0</v>
      </c>
      <c r="E216" s="390"/>
      <c r="F216" s="363">
        <v>33000</v>
      </c>
      <c r="G216" s="2"/>
      <c r="H216" s="2">
        <f t="shared" si="15"/>
        <v>0</v>
      </c>
      <c r="I216" s="11">
        <f t="shared" si="16"/>
        <v>0</v>
      </c>
    </row>
    <row r="217" spans="1:9" s="5" customFormat="1" ht="15.6" hidden="1" customHeight="1" x14ac:dyDescent="0.3">
      <c r="A217" s="391"/>
      <c r="B217" s="400" t="s">
        <v>836</v>
      </c>
      <c r="C217" s="41" t="s">
        <v>853</v>
      </c>
      <c r="D217" s="282">
        <v>0</v>
      </c>
      <c r="E217" s="390"/>
      <c r="F217" s="363">
        <v>33000</v>
      </c>
      <c r="G217" s="2"/>
      <c r="H217" s="2">
        <f t="shared" si="15"/>
        <v>0</v>
      </c>
      <c r="I217" s="11">
        <f t="shared" si="16"/>
        <v>0</v>
      </c>
    </row>
    <row r="218" spans="1:9" s="5" customFormat="1" ht="15.6" hidden="1" customHeight="1" x14ac:dyDescent="0.3">
      <c r="A218" s="391"/>
      <c r="B218" s="400" t="s">
        <v>837</v>
      </c>
      <c r="C218" s="41" t="s">
        <v>853</v>
      </c>
      <c r="D218" s="282">
        <v>0</v>
      </c>
      <c r="E218" s="390"/>
      <c r="F218" s="363">
        <v>33000</v>
      </c>
      <c r="G218" s="2"/>
      <c r="H218" s="2">
        <f t="shared" si="15"/>
        <v>0</v>
      </c>
      <c r="I218" s="11">
        <f t="shared" si="16"/>
        <v>0</v>
      </c>
    </row>
    <row r="219" spans="1:9" s="5" customFormat="1" ht="15.6" hidden="1" customHeight="1" x14ac:dyDescent="0.3">
      <c r="A219" s="391"/>
      <c r="B219" s="400" t="s">
        <v>838</v>
      </c>
      <c r="C219" s="41" t="s">
        <v>853</v>
      </c>
      <c r="D219" s="282">
        <v>0</v>
      </c>
      <c r="E219" s="390"/>
      <c r="F219" s="363">
        <v>33000</v>
      </c>
      <c r="G219" s="2"/>
      <c r="H219" s="2">
        <f t="shared" si="15"/>
        <v>0</v>
      </c>
      <c r="I219" s="11">
        <f t="shared" si="16"/>
        <v>0</v>
      </c>
    </row>
    <row r="220" spans="1:9" s="5" customFormat="1" ht="15.6" hidden="1" customHeight="1" x14ac:dyDescent="0.3">
      <c r="A220" s="391"/>
      <c r="B220" s="400" t="s">
        <v>839</v>
      </c>
      <c r="C220" s="41" t="s">
        <v>853</v>
      </c>
      <c r="D220" s="282">
        <v>0</v>
      </c>
      <c r="E220" s="390"/>
      <c r="F220" s="363">
        <v>33000</v>
      </c>
      <c r="G220" s="2"/>
      <c r="H220" s="2">
        <f t="shared" si="15"/>
        <v>0</v>
      </c>
      <c r="I220" s="11">
        <f t="shared" si="16"/>
        <v>0</v>
      </c>
    </row>
    <row r="221" spans="1:9" s="5" customFormat="1" ht="15.6" hidden="1" customHeight="1" x14ac:dyDescent="0.3">
      <c r="A221" s="391"/>
      <c r="B221" s="400" t="s">
        <v>840</v>
      </c>
      <c r="C221" s="41" t="s">
        <v>853</v>
      </c>
      <c r="D221" s="282">
        <v>0</v>
      </c>
      <c r="E221" s="390"/>
      <c r="F221" s="363">
        <v>33000</v>
      </c>
      <c r="G221" s="2"/>
      <c r="H221" s="2">
        <f t="shared" si="15"/>
        <v>0</v>
      </c>
      <c r="I221" s="11">
        <f t="shared" si="16"/>
        <v>0</v>
      </c>
    </row>
    <row r="222" spans="1:9" s="5" customFormat="1" ht="15.6" hidden="1" customHeight="1" x14ac:dyDescent="0.3">
      <c r="A222" s="391"/>
      <c r="B222" s="400" t="s">
        <v>841</v>
      </c>
      <c r="C222" s="41" t="s">
        <v>853</v>
      </c>
      <c r="D222" s="282">
        <v>0</v>
      </c>
      <c r="E222" s="390"/>
      <c r="F222" s="363">
        <v>33000</v>
      </c>
      <c r="G222" s="2"/>
      <c r="H222" s="2">
        <f t="shared" si="15"/>
        <v>0</v>
      </c>
      <c r="I222" s="11">
        <f t="shared" si="16"/>
        <v>0</v>
      </c>
    </row>
    <row r="223" spans="1:9" s="5" customFormat="1" ht="15.6" hidden="1" customHeight="1" x14ac:dyDescent="0.3">
      <c r="A223" s="391"/>
      <c r="B223" s="400" t="s">
        <v>842</v>
      </c>
      <c r="C223" s="41" t="s">
        <v>853</v>
      </c>
      <c r="D223" s="282">
        <v>0</v>
      </c>
      <c r="E223" s="390"/>
      <c r="F223" s="363">
        <v>33000</v>
      </c>
      <c r="G223" s="2"/>
      <c r="H223" s="2">
        <f t="shared" si="15"/>
        <v>0</v>
      </c>
      <c r="I223" s="11">
        <f t="shared" si="16"/>
        <v>0</v>
      </c>
    </row>
    <row r="224" spans="1:9" s="5" customFormat="1" ht="15.6" hidden="1" customHeight="1" x14ac:dyDescent="0.3">
      <c r="A224" s="391"/>
      <c r="B224" s="400" t="s">
        <v>843</v>
      </c>
      <c r="C224" s="41" t="s">
        <v>853</v>
      </c>
      <c r="D224" s="282">
        <v>0</v>
      </c>
      <c r="E224" s="390"/>
      <c r="F224" s="363">
        <v>31000</v>
      </c>
      <c r="G224" s="2"/>
      <c r="H224" s="2">
        <f t="shared" si="15"/>
        <v>0</v>
      </c>
      <c r="I224" s="11">
        <f t="shared" si="16"/>
        <v>0</v>
      </c>
    </row>
    <row r="225" spans="1:9" s="5" customFormat="1" ht="15.6" hidden="1" customHeight="1" x14ac:dyDescent="0.3">
      <c r="A225" s="391"/>
      <c r="B225" s="400" t="s">
        <v>844</v>
      </c>
      <c r="C225" s="41" t="s">
        <v>853</v>
      </c>
      <c r="D225" s="282">
        <v>0</v>
      </c>
      <c r="E225" s="390"/>
      <c r="F225" s="363">
        <v>33000</v>
      </c>
      <c r="G225" s="2"/>
      <c r="H225" s="2">
        <f t="shared" si="15"/>
        <v>0</v>
      </c>
      <c r="I225" s="11">
        <f t="shared" si="16"/>
        <v>0</v>
      </c>
    </row>
    <row r="226" spans="1:9" s="5" customFormat="1" ht="15.6" hidden="1" customHeight="1" x14ac:dyDescent="0.3">
      <c r="A226" s="391"/>
      <c r="B226" s="393" t="s">
        <v>845</v>
      </c>
      <c r="C226" s="41" t="s">
        <v>14</v>
      </c>
      <c r="D226" s="282">
        <v>0</v>
      </c>
      <c r="E226" s="390"/>
      <c r="F226" s="363">
        <v>250</v>
      </c>
      <c r="G226" s="2"/>
      <c r="H226" s="2">
        <f t="shared" si="15"/>
        <v>0</v>
      </c>
      <c r="I226" s="11">
        <f t="shared" si="16"/>
        <v>0</v>
      </c>
    </row>
    <row r="227" spans="1:9" s="5" customFormat="1" ht="15.6" hidden="1" customHeight="1" x14ac:dyDescent="0.3">
      <c r="A227" s="391"/>
      <c r="B227" s="393" t="s">
        <v>846</v>
      </c>
      <c r="C227" s="41" t="s">
        <v>14</v>
      </c>
      <c r="D227" s="282">
        <v>0</v>
      </c>
      <c r="E227" s="390"/>
      <c r="F227" s="363">
        <v>250</v>
      </c>
      <c r="G227" s="2"/>
      <c r="H227" s="2">
        <f t="shared" si="15"/>
        <v>0</v>
      </c>
      <c r="I227" s="11">
        <f t="shared" si="16"/>
        <v>0</v>
      </c>
    </row>
    <row r="228" spans="1:9" s="5" customFormat="1" ht="15.6" hidden="1" customHeight="1" x14ac:dyDescent="0.3">
      <c r="A228" s="391"/>
      <c r="B228" s="393" t="s">
        <v>847</v>
      </c>
      <c r="C228" s="41"/>
      <c r="D228" s="282"/>
      <c r="E228" s="390"/>
      <c r="F228" s="363"/>
      <c r="G228" s="2"/>
      <c r="H228" s="2">
        <v>0</v>
      </c>
      <c r="I228" s="11">
        <f t="shared" si="16"/>
        <v>0</v>
      </c>
    </row>
    <row r="229" spans="1:9" s="5" customFormat="1" ht="15.6" hidden="1" customHeight="1" x14ac:dyDescent="0.25">
      <c r="A229" s="391"/>
      <c r="B229" s="383" t="s">
        <v>848</v>
      </c>
      <c r="C229" s="41" t="s">
        <v>8</v>
      </c>
      <c r="D229" s="282">
        <v>0</v>
      </c>
      <c r="E229" s="390">
        <v>2500</v>
      </c>
      <c r="F229" s="363"/>
      <c r="G229" s="2">
        <f>D229*E229</f>
        <v>0</v>
      </c>
      <c r="H229" s="2"/>
      <c r="I229" s="11">
        <f>G229</f>
        <v>0</v>
      </c>
    </row>
    <row r="230" spans="1:9" s="5" customFormat="1" ht="15.6" hidden="1" customHeight="1" x14ac:dyDescent="0.3">
      <c r="A230" s="391"/>
      <c r="B230" s="393" t="s">
        <v>849</v>
      </c>
      <c r="C230" s="41" t="s">
        <v>8</v>
      </c>
      <c r="D230" s="282">
        <v>0</v>
      </c>
      <c r="E230" s="390"/>
      <c r="F230" s="363">
        <v>4975</v>
      </c>
      <c r="G230" s="2"/>
      <c r="H230" s="2">
        <f>F230*D230</f>
        <v>0</v>
      </c>
      <c r="I230" s="11">
        <f>H230</f>
        <v>0</v>
      </c>
    </row>
    <row r="231" spans="1:9" s="5" customFormat="1" ht="15.6" hidden="1" customHeight="1" x14ac:dyDescent="0.3">
      <c r="A231" s="391"/>
      <c r="B231" s="393" t="s">
        <v>850</v>
      </c>
      <c r="C231" s="41" t="s">
        <v>8</v>
      </c>
      <c r="D231" s="282">
        <v>0</v>
      </c>
      <c r="E231" s="390"/>
      <c r="F231" s="363">
        <f>F157</f>
        <v>5615</v>
      </c>
      <c r="G231" s="2"/>
      <c r="H231" s="2">
        <f>F231*D231</f>
        <v>0</v>
      </c>
      <c r="I231" s="11">
        <f>H231</f>
        <v>0</v>
      </c>
    </row>
    <row r="232" spans="1:9" s="5" customFormat="1" ht="15.6" hidden="1" customHeight="1" x14ac:dyDescent="0.3">
      <c r="A232" s="391"/>
      <c r="B232" s="393" t="s">
        <v>851</v>
      </c>
      <c r="C232" s="41" t="s">
        <v>853</v>
      </c>
      <c r="D232" s="282">
        <v>0</v>
      </c>
      <c r="E232" s="390"/>
      <c r="F232" s="363">
        <v>42000</v>
      </c>
      <c r="G232" s="2"/>
      <c r="H232" s="2">
        <f>F232*D232</f>
        <v>0</v>
      </c>
      <c r="I232" s="11">
        <f>H232</f>
        <v>0</v>
      </c>
    </row>
    <row r="233" spans="1:9" s="5" customFormat="1" ht="15.6" hidden="1" customHeight="1" x14ac:dyDescent="0.3">
      <c r="A233" s="391"/>
      <c r="B233" s="393" t="s">
        <v>852</v>
      </c>
      <c r="C233" s="41" t="s">
        <v>853</v>
      </c>
      <c r="D233" s="282">
        <v>0</v>
      </c>
      <c r="E233" s="390"/>
      <c r="F233" s="363">
        <v>35000</v>
      </c>
      <c r="G233" s="2"/>
      <c r="H233" s="2">
        <f>F233*D233</f>
        <v>0</v>
      </c>
      <c r="I233" s="11">
        <f>H233</f>
        <v>0</v>
      </c>
    </row>
    <row r="234" spans="1:9" s="5" customFormat="1" ht="15.6" hidden="1" customHeight="1" x14ac:dyDescent="0.25">
      <c r="A234" s="391"/>
      <c r="B234" s="383" t="s">
        <v>807</v>
      </c>
      <c r="C234" s="41" t="s">
        <v>14</v>
      </c>
      <c r="D234" s="282">
        <f>D214*27</f>
        <v>0</v>
      </c>
      <c r="E234" s="390">
        <v>150</v>
      </c>
      <c r="F234" s="363"/>
      <c r="G234" s="2">
        <f>D234*E234</f>
        <v>0</v>
      </c>
      <c r="H234" s="2"/>
      <c r="I234" s="11">
        <f>G234</f>
        <v>0</v>
      </c>
    </row>
    <row r="235" spans="1:9" s="5" customFormat="1" ht="15.6" hidden="1" customHeight="1" x14ac:dyDescent="0.3">
      <c r="A235" s="391"/>
      <c r="B235" s="393" t="s">
        <v>808</v>
      </c>
      <c r="C235" s="41" t="s">
        <v>15</v>
      </c>
      <c r="D235" s="282">
        <f>D234*0.2</f>
        <v>0</v>
      </c>
      <c r="E235" s="390"/>
      <c r="F235" s="363">
        <v>85</v>
      </c>
      <c r="G235" s="2"/>
      <c r="H235" s="2">
        <f>F235*D235</f>
        <v>0</v>
      </c>
      <c r="I235" s="11">
        <f>H235</f>
        <v>0</v>
      </c>
    </row>
    <row r="236" spans="1:9" s="5" customFormat="1" ht="15.6" hidden="1" customHeight="1" x14ac:dyDescent="0.3">
      <c r="A236" s="391"/>
      <c r="B236" s="393" t="s">
        <v>809</v>
      </c>
      <c r="C236" s="41" t="s">
        <v>15</v>
      </c>
      <c r="D236" s="282">
        <f>D234*0.3</f>
        <v>0</v>
      </c>
      <c r="E236" s="390"/>
      <c r="F236" s="363">
        <v>115</v>
      </c>
      <c r="G236" s="2"/>
      <c r="H236" s="2">
        <f>F236*D236</f>
        <v>0</v>
      </c>
      <c r="I236" s="11">
        <f>H236</f>
        <v>0</v>
      </c>
    </row>
    <row r="237" spans="1:9" s="5" customFormat="1" ht="15.6" hidden="1" customHeight="1" x14ac:dyDescent="0.25">
      <c r="A237" s="391"/>
      <c r="B237" s="232" t="s">
        <v>854</v>
      </c>
      <c r="C237" s="225"/>
      <c r="D237" s="239"/>
      <c r="E237" s="230"/>
      <c r="F237" s="240"/>
      <c r="G237" s="230">
        <f>SUM(G189:G236)</f>
        <v>0</v>
      </c>
      <c r="H237" s="230">
        <f>SUM(H189:H236)</f>
        <v>0</v>
      </c>
      <c r="I237" s="230">
        <f>ROUND(SUM(I189:I236),2)</f>
        <v>0</v>
      </c>
    </row>
    <row r="238" spans="1:9" s="5" customFormat="1" ht="15.6" hidden="1" customHeight="1" x14ac:dyDescent="0.25">
      <c r="A238" s="391"/>
      <c r="B238" s="58" t="s">
        <v>624</v>
      </c>
      <c r="C238" s="9"/>
      <c r="D238" s="31"/>
      <c r="E238" s="10"/>
      <c r="F238" s="57"/>
      <c r="G238" s="10"/>
      <c r="H238" s="10"/>
      <c r="I238" s="31">
        <f>ROUND(I237/1.18*0.18,2)</f>
        <v>0</v>
      </c>
    </row>
    <row r="239" spans="1:9" s="5" customFormat="1" ht="23.25" customHeight="1" x14ac:dyDescent="0.25">
      <c r="A239" s="517"/>
      <c r="B239" s="562" t="s">
        <v>812</v>
      </c>
      <c r="C239" s="517"/>
      <c r="D239" s="517"/>
      <c r="E239" s="517"/>
      <c r="F239" s="517"/>
      <c r="G239" s="517"/>
      <c r="H239" s="517"/>
      <c r="I239" s="517"/>
    </row>
    <row r="240" spans="1:9" s="5" customFormat="1" ht="15.6" customHeight="1" x14ac:dyDescent="0.25">
      <c r="A240" s="107" t="s">
        <v>313</v>
      </c>
      <c r="B240" s="538" t="s">
        <v>1163</v>
      </c>
      <c r="C240" s="46" t="s">
        <v>9</v>
      </c>
      <c r="D240" s="256">
        <f>D241</f>
        <v>2.0506199999999999</v>
      </c>
      <c r="E240" s="256">
        <v>30000</v>
      </c>
      <c r="F240" s="56"/>
      <c r="G240" s="2">
        <f>ROUND(E240*D240,2)</f>
        <v>61518.6</v>
      </c>
      <c r="H240" s="11"/>
      <c r="I240" s="11">
        <f>G240+H240</f>
        <v>61518.6</v>
      </c>
    </row>
    <row r="241" spans="1:11" s="5" customFormat="1" ht="15.6" customHeight="1" x14ac:dyDescent="0.25">
      <c r="A241" s="90"/>
      <c r="B241" s="652" t="s">
        <v>1443</v>
      </c>
      <c r="C241" s="41" t="s">
        <v>9</v>
      </c>
      <c r="D241" s="282">
        <f>балконы!H6/1000</f>
        <v>2.0506199999999999</v>
      </c>
      <c r="E241" s="166"/>
      <c r="F241" s="362">
        <v>33000</v>
      </c>
      <c r="G241" s="2"/>
      <c r="H241" s="2">
        <f>F241*D241</f>
        <v>67670.459999999992</v>
      </c>
      <c r="I241" s="11">
        <f>H241</f>
        <v>67670.459999999992</v>
      </c>
    </row>
    <row r="242" spans="1:11" s="5" customFormat="1" ht="15.6" customHeight="1" x14ac:dyDescent="0.25">
      <c r="A242" s="90"/>
      <c r="B242" s="533" t="s">
        <v>1161</v>
      </c>
      <c r="C242" s="41" t="s">
        <v>14</v>
      </c>
      <c r="D242" s="282">
        <f>балконы!H7</f>
        <v>77.37</v>
      </c>
      <c r="E242" s="166"/>
      <c r="F242" s="362">
        <v>280</v>
      </c>
      <c r="G242" s="2"/>
      <c r="H242" s="2">
        <f>F242*D242</f>
        <v>21663.600000000002</v>
      </c>
      <c r="I242" s="11">
        <f>H242</f>
        <v>21663.600000000002</v>
      </c>
    </row>
    <row r="243" spans="1:11" s="5" customFormat="1" ht="15.6" customHeight="1" x14ac:dyDescent="0.25">
      <c r="A243" s="107" t="s">
        <v>314</v>
      </c>
      <c r="B243" s="538" t="s">
        <v>1176</v>
      </c>
      <c r="C243" s="46" t="s">
        <v>9</v>
      </c>
      <c r="D243" s="256">
        <f>D244</f>
        <v>0.30297000000000002</v>
      </c>
      <c r="E243" s="256">
        <v>40000</v>
      </c>
      <c r="F243" s="56"/>
      <c r="G243" s="2">
        <f>ROUND(E243*D243,2)</f>
        <v>12118.8</v>
      </c>
      <c r="H243" s="11"/>
      <c r="I243" s="11">
        <f>G243+H243</f>
        <v>12118.8</v>
      </c>
    </row>
    <row r="244" spans="1:11" s="5" customFormat="1" ht="15.6" customHeight="1" x14ac:dyDescent="0.25">
      <c r="A244" s="90"/>
      <c r="B244" s="652" t="s">
        <v>1443</v>
      </c>
      <c r="C244" s="41" t="s">
        <v>9</v>
      </c>
      <c r="D244" s="282">
        <f>балконы!H2/1000</f>
        <v>0.30297000000000002</v>
      </c>
      <c r="E244" s="166"/>
      <c r="F244" s="362">
        <v>33000</v>
      </c>
      <c r="G244" s="2"/>
      <c r="H244" s="2">
        <f>F244*D244</f>
        <v>9998.01</v>
      </c>
      <c r="I244" s="11">
        <f>H244</f>
        <v>9998.01</v>
      </c>
    </row>
    <row r="245" spans="1:11" s="5" customFormat="1" ht="15.6" customHeight="1" x14ac:dyDescent="0.25">
      <c r="A245" s="107" t="s">
        <v>347</v>
      </c>
      <c r="B245" s="538" t="s">
        <v>1444</v>
      </c>
      <c r="C245" s="46" t="s">
        <v>12</v>
      </c>
      <c r="D245" s="256">
        <v>4</v>
      </c>
      <c r="E245" s="256">
        <v>4000</v>
      </c>
      <c r="F245" s="56"/>
      <c r="G245" s="2">
        <f>ROUND(E245*D245,2)</f>
        <v>16000</v>
      </c>
      <c r="H245" s="11"/>
      <c r="I245" s="11">
        <f>G245+H245</f>
        <v>16000</v>
      </c>
    </row>
    <row r="246" spans="1:11" s="5" customFormat="1" ht="15.6" customHeight="1" x14ac:dyDescent="0.25">
      <c r="A246" s="90"/>
      <c r="B246" s="533" t="s">
        <v>1451</v>
      </c>
      <c r="C246" s="41" t="s">
        <v>14</v>
      </c>
      <c r="D246" s="282">
        <f>балконы!H3</f>
        <v>36</v>
      </c>
      <c r="E246" s="166"/>
      <c r="F246" s="362">
        <v>280</v>
      </c>
      <c r="G246" s="2"/>
      <c r="H246" s="2">
        <f>F246*D246</f>
        <v>10080</v>
      </c>
      <c r="I246" s="11">
        <f>H246</f>
        <v>10080</v>
      </c>
    </row>
    <row r="247" spans="1:11" s="5" customFormat="1" ht="15.6" customHeight="1" x14ac:dyDescent="0.25">
      <c r="A247" s="90"/>
      <c r="B247" s="533" t="s">
        <v>1117</v>
      </c>
      <c r="C247" s="41" t="s">
        <v>12</v>
      </c>
      <c r="D247" s="282">
        <f>балконы!H5</f>
        <v>4</v>
      </c>
      <c r="E247" s="10"/>
      <c r="F247" s="362">
        <v>1200</v>
      </c>
      <c r="G247" s="2"/>
      <c r="H247" s="2">
        <f>F247*D247</f>
        <v>4800</v>
      </c>
      <c r="I247" s="11">
        <f>H247</f>
        <v>4800</v>
      </c>
    </row>
    <row r="248" spans="1:11" s="5" customFormat="1" ht="15.6" customHeight="1" x14ac:dyDescent="0.25">
      <c r="A248" s="90"/>
      <c r="B248" s="533" t="s">
        <v>1118</v>
      </c>
      <c r="C248" s="41" t="s">
        <v>14</v>
      </c>
      <c r="D248" s="282">
        <f>балконы!G4</f>
        <v>10.860000000000001</v>
      </c>
      <c r="E248" s="10"/>
      <c r="F248" s="362">
        <v>250</v>
      </c>
      <c r="G248" s="2"/>
      <c r="H248" s="2">
        <f>F248*D248</f>
        <v>2715.0000000000005</v>
      </c>
      <c r="I248" s="11">
        <f>H248</f>
        <v>2715.0000000000005</v>
      </c>
    </row>
    <row r="249" spans="1:11" s="5" customFormat="1" ht="15.6" customHeight="1" x14ac:dyDescent="0.3">
      <c r="A249" s="107" t="s">
        <v>1452</v>
      </c>
      <c r="B249" s="538" t="s">
        <v>807</v>
      </c>
      <c r="C249" s="41" t="s">
        <v>14</v>
      </c>
      <c r="D249" s="282">
        <f>D240*27+D243*27</f>
        <v>63.546930000000003</v>
      </c>
      <c r="E249" s="256">
        <v>150</v>
      </c>
      <c r="F249" s="484"/>
      <c r="G249" s="2">
        <f>D249*E249</f>
        <v>9532.0395000000008</v>
      </c>
      <c r="H249" s="484"/>
      <c r="I249" s="11">
        <f>G249</f>
        <v>9532.0395000000008</v>
      </c>
    </row>
    <row r="250" spans="1:11" s="5" customFormat="1" ht="15.6" customHeight="1" x14ac:dyDescent="0.3">
      <c r="A250" s="90"/>
      <c r="B250" s="533" t="s">
        <v>1166</v>
      </c>
      <c r="C250" s="41" t="s">
        <v>15</v>
      </c>
      <c r="D250" s="282">
        <f>D249*0.2</f>
        <v>12.709386000000002</v>
      </c>
      <c r="E250" s="484"/>
      <c r="F250" s="362">
        <v>85</v>
      </c>
      <c r="G250" s="484"/>
      <c r="H250" s="2">
        <f>F250*D250</f>
        <v>1080.2978100000003</v>
      </c>
      <c r="I250" s="11">
        <f>H250</f>
        <v>1080.2978100000003</v>
      </c>
    </row>
    <row r="251" spans="1:11" s="5" customFormat="1" ht="15.6" customHeight="1" x14ac:dyDescent="0.3">
      <c r="A251" s="90"/>
      <c r="B251" s="533" t="s">
        <v>1162</v>
      </c>
      <c r="C251" s="41" t="s">
        <v>15</v>
      </c>
      <c r="D251" s="282">
        <f>D249*0.3</f>
        <v>19.064079</v>
      </c>
      <c r="E251" s="484"/>
      <c r="F251" s="362">
        <v>115</v>
      </c>
      <c r="G251" s="484"/>
      <c r="H251" s="2">
        <f>F251*D251</f>
        <v>2192.3690849999998</v>
      </c>
      <c r="I251" s="11">
        <f>H251</f>
        <v>2192.3690849999998</v>
      </c>
    </row>
    <row r="252" spans="1:11" s="5" customFormat="1" ht="15.6" customHeight="1" x14ac:dyDescent="0.25">
      <c r="A252" s="90"/>
      <c r="B252" s="232" t="s">
        <v>854</v>
      </c>
      <c r="C252" s="225"/>
      <c r="D252" s="239"/>
      <c r="E252" s="230"/>
      <c r="F252" s="240"/>
      <c r="G252" s="230">
        <f>SUM(G240:G251)</f>
        <v>99169.439499999993</v>
      </c>
      <c r="H252" s="230">
        <f>SUM(H240:H251)</f>
        <v>120199.73689499999</v>
      </c>
      <c r="I252" s="230">
        <f>ROUND(SUM(I240:I251),2)</f>
        <v>219369.18</v>
      </c>
    </row>
    <row r="253" spans="1:11" s="5" customFormat="1" ht="15.6" customHeight="1" x14ac:dyDescent="0.25">
      <c r="A253" s="90"/>
      <c r="B253" s="58" t="s">
        <v>624</v>
      </c>
      <c r="C253" s="9"/>
      <c r="D253" s="31"/>
      <c r="E253" s="10"/>
      <c r="F253" s="57"/>
      <c r="G253" s="10"/>
      <c r="H253" s="10"/>
      <c r="I253" s="31">
        <f>ROUND(I252/1.18*0.18,2)</f>
        <v>33463.1</v>
      </c>
    </row>
    <row r="254" spans="1:11" ht="21" customHeight="1" x14ac:dyDescent="0.25">
      <c r="A254" s="108"/>
      <c r="B254" s="562" t="s">
        <v>1160</v>
      </c>
      <c r="C254" s="105"/>
      <c r="D254" s="105"/>
      <c r="E254" s="105"/>
      <c r="F254" s="138"/>
      <c r="G254" s="105"/>
      <c r="H254" s="105"/>
      <c r="I254" s="106"/>
    </row>
    <row r="255" spans="1:11" outlineLevel="1" x14ac:dyDescent="0.25">
      <c r="A255" s="107" t="s">
        <v>315</v>
      </c>
      <c r="B255" s="531" t="s">
        <v>473</v>
      </c>
      <c r="C255" s="2" t="s">
        <v>14</v>
      </c>
      <c r="D255" s="264">
        <f>кровля!D12</f>
        <v>240.91939999999997</v>
      </c>
      <c r="E255" s="264">
        <v>550</v>
      </c>
      <c r="F255" s="140"/>
      <c r="G255" s="2">
        <f>ROUND(E255*D255,2)</f>
        <v>132505.67000000001</v>
      </c>
      <c r="H255" s="51"/>
      <c r="I255" s="140">
        <f>H255+G255</f>
        <v>132505.67000000001</v>
      </c>
      <c r="J255" s="25">
        <v>1096.1795999999999</v>
      </c>
      <c r="K255" s="25" t="s">
        <v>1272</v>
      </c>
    </row>
    <row r="256" spans="1:11" ht="15" customHeight="1" outlineLevel="1" x14ac:dyDescent="0.25">
      <c r="A256" s="84"/>
      <c r="B256" s="558" t="s">
        <v>1086</v>
      </c>
      <c r="C256" s="23" t="s">
        <v>14</v>
      </c>
      <c r="D256" s="614">
        <f>ROUND(D255*1.1,2)</f>
        <v>265.01</v>
      </c>
      <c r="E256" s="51"/>
      <c r="F256" s="365">
        <f>ROUND(10.1*1.1,2)</f>
        <v>11.11</v>
      </c>
      <c r="G256" s="51"/>
      <c r="H256" s="2">
        <f t="shared" ref="H256:H262" si="17">ROUND(D256*F256,2)</f>
        <v>2944.26</v>
      </c>
      <c r="I256" s="140">
        <f t="shared" ref="I256:I271" si="18">H256+G256</f>
        <v>2944.26</v>
      </c>
    </row>
    <row r="257" spans="1:9" outlineLevel="1" x14ac:dyDescent="0.25">
      <c r="A257" s="84"/>
      <c r="B257" s="612" t="s">
        <v>32</v>
      </c>
      <c r="C257" s="23" t="s">
        <v>8</v>
      </c>
      <c r="D257" s="614">
        <f>ROUND(D255*0.7*0.12,2)</f>
        <v>20.239999999999998</v>
      </c>
      <c r="E257" s="51"/>
      <c r="F257" s="365">
        <v>1300</v>
      </c>
      <c r="G257" s="51"/>
      <c r="H257" s="2">
        <f t="shared" si="17"/>
        <v>26312</v>
      </c>
      <c r="I257" s="140">
        <f t="shared" si="18"/>
        <v>26312</v>
      </c>
    </row>
    <row r="258" spans="1:9" ht="31.2" outlineLevel="1" x14ac:dyDescent="0.25">
      <c r="A258" s="84"/>
      <c r="B258" s="612" t="s">
        <v>1087</v>
      </c>
      <c r="C258" s="21" t="s">
        <v>8</v>
      </c>
      <c r="D258" s="614">
        <f>ROUND(D255*0.15,2)</f>
        <v>36.14</v>
      </c>
      <c r="E258" s="51"/>
      <c r="F258" s="365">
        <v>4400</v>
      </c>
      <c r="G258" s="51"/>
      <c r="H258" s="2">
        <f t="shared" si="17"/>
        <v>159016</v>
      </c>
      <c r="I258" s="140">
        <f t="shared" si="18"/>
        <v>159016</v>
      </c>
    </row>
    <row r="259" spans="1:9" ht="27.6" outlineLevel="1" x14ac:dyDescent="0.25">
      <c r="A259" s="84"/>
      <c r="B259" s="613" t="s">
        <v>1068</v>
      </c>
      <c r="C259" s="21" t="s">
        <v>14</v>
      </c>
      <c r="D259" s="614">
        <f>ROUND(D255*2*1.03,2)</f>
        <v>496.29</v>
      </c>
      <c r="E259" s="51"/>
      <c r="F259" s="365">
        <v>270</v>
      </c>
      <c r="G259" s="51"/>
      <c r="H259" s="2">
        <f t="shared" si="17"/>
        <v>133998.29999999999</v>
      </c>
      <c r="I259" s="140">
        <f t="shared" si="18"/>
        <v>133998.29999999999</v>
      </c>
    </row>
    <row r="260" spans="1:9" outlineLevel="1" x14ac:dyDescent="0.25">
      <c r="A260" s="84"/>
      <c r="B260" s="612" t="s">
        <v>1088</v>
      </c>
      <c r="C260" s="21" t="s">
        <v>15</v>
      </c>
      <c r="D260" s="614">
        <f>ROUND(D255*1.4,2)</f>
        <v>337.29</v>
      </c>
      <c r="E260" s="51"/>
      <c r="F260" s="361">
        <v>45.4</v>
      </c>
      <c r="G260" s="51"/>
      <c r="H260" s="2">
        <f t="shared" si="17"/>
        <v>15312.97</v>
      </c>
      <c r="I260" s="140">
        <f t="shared" si="18"/>
        <v>15312.97</v>
      </c>
    </row>
    <row r="261" spans="1:9" outlineLevel="1" x14ac:dyDescent="0.25">
      <c r="A261" s="84"/>
      <c r="B261" s="612" t="s">
        <v>400</v>
      </c>
      <c r="C261" s="21" t="s">
        <v>14</v>
      </c>
      <c r="D261" s="614">
        <f>ROUND(D255*1.015,2)</f>
        <v>244.53</v>
      </c>
      <c r="E261" s="51"/>
      <c r="F261" s="365">
        <v>109.41</v>
      </c>
      <c r="G261" s="51"/>
      <c r="H261" s="2">
        <f t="shared" si="17"/>
        <v>26754.03</v>
      </c>
      <c r="I261" s="140">
        <f t="shared" si="18"/>
        <v>26754.03</v>
      </c>
    </row>
    <row r="262" spans="1:9" outlineLevel="1" x14ac:dyDescent="0.25">
      <c r="A262" s="84"/>
      <c r="B262" s="612" t="s">
        <v>401</v>
      </c>
      <c r="C262" s="2" t="s">
        <v>14</v>
      </c>
      <c r="D262" s="614">
        <f>ROUND(D255*1.01,2)</f>
        <v>243.33</v>
      </c>
      <c r="E262" s="51"/>
      <c r="F262" s="365">
        <v>154.75</v>
      </c>
      <c r="G262" s="51"/>
      <c r="H262" s="2">
        <f t="shared" si="17"/>
        <v>37655.32</v>
      </c>
      <c r="I262" s="140">
        <f t="shared" si="18"/>
        <v>37655.32</v>
      </c>
    </row>
    <row r="263" spans="1:9" ht="31.2" outlineLevel="1" x14ac:dyDescent="0.25">
      <c r="A263" s="107" t="s">
        <v>513</v>
      </c>
      <c r="B263" s="531" t="s">
        <v>188</v>
      </c>
      <c r="C263" s="31" t="s">
        <v>14</v>
      </c>
      <c r="D263" s="264">
        <f>кровля!F12</f>
        <v>68.619599999999991</v>
      </c>
      <c r="E263" s="264">
        <v>300</v>
      </c>
      <c r="F263" s="140"/>
      <c r="G263" s="2">
        <f>ROUND(E263*D263,2)</f>
        <v>20585.88</v>
      </c>
      <c r="H263" s="51"/>
      <c r="I263" s="140">
        <f>H263+G263</f>
        <v>20585.88</v>
      </c>
    </row>
    <row r="264" spans="1:9" outlineLevel="1" x14ac:dyDescent="0.25">
      <c r="A264" s="84"/>
      <c r="B264" s="558" t="s">
        <v>400</v>
      </c>
      <c r="C264" s="21" t="s">
        <v>14</v>
      </c>
      <c r="D264" s="614">
        <f>ROUND(D263*1.015,2)</f>
        <v>69.650000000000006</v>
      </c>
      <c r="E264" s="51"/>
      <c r="F264" s="365">
        <v>109.41</v>
      </c>
      <c r="G264" s="51"/>
      <c r="H264" s="2">
        <f>ROUND(D264*F264,2)</f>
        <v>7620.41</v>
      </c>
      <c r="I264" s="140">
        <f>H264+G264</f>
        <v>7620.41</v>
      </c>
    </row>
    <row r="265" spans="1:9" outlineLevel="1" x14ac:dyDescent="0.25">
      <c r="A265" s="84"/>
      <c r="B265" s="558" t="s">
        <v>401</v>
      </c>
      <c r="C265" s="2" t="s">
        <v>14</v>
      </c>
      <c r="D265" s="614">
        <f>ROUND(D263*1.01,2)</f>
        <v>69.31</v>
      </c>
      <c r="E265" s="51"/>
      <c r="F265" s="365">
        <v>154.75</v>
      </c>
      <c r="G265" s="51"/>
      <c r="H265" s="2">
        <f>ROUND(D265*F265,2)</f>
        <v>10725.72</v>
      </c>
      <c r="I265" s="140">
        <f>H265+G265</f>
        <v>10725.72</v>
      </c>
    </row>
    <row r="266" spans="1:9" outlineLevel="1" x14ac:dyDescent="0.25">
      <c r="B266" s="558" t="s">
        <v>1384</v>
      </c>
      <c r="C266" s="2" t="s">
        <v>12</v>
      </c>
      <c r="D266" s="614">
        <f>32/6</f>
        <v>5.333333333333333</v>
      </c>
      <c r="E266" s="51"/>
      <c r="F266" s="365">
        <v>650</v>
      </c>
      <c r="G266" s="51"/>
      <c r="H266" s="2">
        <f>ROUND(D266*F266,2)</f>
        <v>3466.67</v>
      </c>
      <c r="I266" s="140">
        <f>H266+G266</f>
        <v>3466.67</v>
      </c>
    </row>
    <row r="267" spans="1:9" outlineLevel="1" x14ac:dyDescent="0.25">
      <c r="A267" s="84"/>
      <c r="B267" s="558" t="s">
        <v>1385</v>
      </c>
      <c r="C267" s="2" t="s">
        <v>12</v>
      </c>
      <c r="D267" s="614">
        <f>54/6</f>
        <v>9</v>
      </c>
      <c r="E267" s="51"/>
      <c r="F267" s="328">
        <v>650</v>
      </c>
      <c r="G267" s="51"/>
      <c r="H267" s="2">
        <f>ROUND(D267*F267,2)</f>
        <v>5850</v>
      </c>
      <c r="I267" s="140">
        <f>H267+G267</f>
        <v>5850</v>
      </c>
    </row>
    <row r="268" spans="1:9" outlineLevel="1" x14ac:dyDescent="0.25">
      <c r="A268" s="84"/>
      <c r="B268" s="558"/>
      <c r="C268" s="2"/>
      <c r="D268" s="614"/>
      <c r="E268" s="51"/>
      <c r="F268" s="365"/>
      <c r="G268" s="51"/>
      <c r="H268" s="2"/>
      <c r="I268" s="140"/>
    </row>
    <row r="269" spans="1:9" outlineLevel="1" x14ac:dyDescent="0.25">
      <c r="A269" s="107" t="s">
        <v>514</v>
      </c>
      <c r="B269" s="531" t="s">
        <v>1232</v>
      </c>
      <c r="C269" s="2" t="s">
        <v>14</v>
      </c>
      <c r="D269" s="264">
        <f>кровля!E12*0.6</f>
        <v>42.011999999999993</v>
      </c>
      <c r="E269" s="264">
        <v>150</v>
      </c>
      <c r="F269" s="140"/>
      <c r="G269" s="2">
        <f>ROUND(E269*D269,2)</f>
        <v>6301.8</v>
      </c>
      <c r="H269" s="51"/>
      <c r="I269" s="140">
        <f t="shared" si="18"/>
        <v>6301.8</v>
      </c>
    </row>
    <row r="270" spans="1:9" outlineLevel="1" x14ac:dyDescent="0.25">
      <c r="A270" s="84"/>
      <c r="B270" s="558" t="s">
        <v>1386</v>
      </c>
      <c r="C270" s="21" t="s">
        <v>15</v>
      </c>
      <c r="D270" s="614">
        <f>250*6.48/6</f>
        <v>270</v>
      </c>
      <c r="E270" s="51"/>
      <c r="F270" s="328">
        <v>32</v>
      </c>
      <c r="G270" s="51"/>
      <c r="H270" s="2">
        <f>ROUND(D270*F270,2)</f>
        <v>8640</v>
      </c>
      <c r="I270" s="140">
        <f t="shared" si="18"/>
        <v>8640</v>
      </c>
    </row>
    <row r="271" spans="1:9" outlineLevel="1" x14ac:dyDescent="0.25">
      <c r="A271" s="84"/>
      <c r="B271" s="558" t="s">
        <v>1383</v>
      </c>
      <c r="C271" s="2" t="s">
        <v>15</v>
      </c>
      <c r="D271" s="614">
        <f>620*0.82/6</f>
        <v>84.733333333333334</v>
      </c>
      <c r="E271" s="51"/>
      <c r="F271" s="328">
        <v>32</v>
      </c>
      <c r="G271" s="51"/>
      <c r="H271" s="2">
        <f>ROUND(D271*F271,2)</f>
        <v>2711.47</v>
      </c>
      <c r="I271" s="140">
        <f t="shared" si="18"/>
        <v>2711.47</v>
      </c>
    </row>
    <row r="272" spans="1:9" outlineLevel="1" x14ac:dyDescent="0.25">
      <c r="A272" s="84"/>
      <c r="B272" s="558" t="s">
        <v>1387</v>
      </c>
      <c r="C272" s="2" t="s">
        <v>9</v>
      </c>
      <c r="D272" s="614">
        <f>1405*0.92/1000/6</f>
        <v>0.21543333333333337</v>
      </c>
      <c r="E272" s="51"/>
      <c r="F272" s="365">
        <v>42000</v>
      </c>
      <c r="G272" s="51"/>
      <c r="H272" s="2">
        <f>ROUND(D272*F272,2)</f>
        <v>9048.2000000000007</v>
      </c>
      <c r="I272" s="140">
        <f>H272+G272</f>
        <v>9048.2000000000007</v>
      </c>
    </row>
    <row r="273" spans="1:9" outlineLevel="1" x14ac:dyDescent="0.25">
      <c r="A273" s="107" t="s">
        <v>1196</v>
      </c>
      <c r="B273" s="531" t="s">
        <v>397</v>
      </c>
      <c r="C273" s="31" t="s">
        <v>33</v>
      </c>
      <c r="D273" s="264">
        <f>19.6*2+12.76+0.51*2</f>
        <v>52.980000000000004</v>
      </c>
      <c r="E273" s="264">
        <v>800</v>
      </c>
      <c r="F273" s="140"/>
      <c r="G273" s="2">
        <f>ROUND(E273*D273,2)</f>
        <v>42384</v>
      </c>
      <c r="H273" s="51"/>
      <c r="I273" s="140">
        <f>H273+G273</f>
        <v>42384</v>
      </c>
    </row>
    <row r="274" spans="1:9" outlineLevel="1" x14ac:dyDescent="0.25">
      <c r="A274" s="84"/>
      <c r="B274" s="533" t="s">
        <v>1226</v>
      </c>
      <c r="C274" s="21" t="s">
        <v>9</v>
      </c>
      <c r="D274" s="614">
        <f>(273*1.39+545*1.39)/1000/6</f>
        <v>0.18950333333333333</v>
      </c>
      <c r="E274" s="51"/>
      <c r="F274" s="365">
        <v>32000</v>
      </c>
      <c r="G274" s="51"/>
      <c r="H274" s="2">
        <f>ROUND(D274*F274,2)</f>
        <v>6064.11</v>
      </c>
      <c r="I274" s="140">
        <f>H274+G274</f>
        <v>6064.11</v>
      </c>
    </row>
    <row r="275" spans="1:9" s="6" customFormat="1" outlineLevel="1" x14ac:dyDescent="0.25">
      <c r="A275" s="84"/>
      <c r="B275" s="655" t="s">
        <v>1174</v>
      </c>
      <c r="C275" s="31"/>
      <c r="D275" s="350"/>
      <c r="E275" s="54"/>
      <c r="F275" s="141"/>
      <c r="G275" s="54"/>
      <c r="H275" s="54"/>
      <c r="I275" s="141"/>
    </row>
    <row r="276" spans="1:9" outlineLevel="1" x14ac:dyDescent="0.25">
      <c r="A276" s="107" t="s">
        <v>1197</v>
      </c>
      <c r="B276" s="538" t="s">
        <v>1170</v>
      </c>
      <c r="C276" s="41" t="s">
        <v>8</v>
      </c>
      <c r="D276" s="542">
        <v>4.8</v>
      </c>
      <c r="E276" s="353">
        <v>2800</v>
      </c>
      <c r="F276" s="363"/>
      <c r="G276" s="2">
        <f>E276*D276</f>
        <v>13440</v>
      </c>
      <c r="H276" s="2"/>
      <c r="I276" s="11">
        <f>G276</f>
        <v>13440</v>
      </c>
    </row>
    <row r="277" spans="1:9" outlineLevel="1" x14ac:dyDescent="0.25">
      <c r="A277" s="84"/>
      <c r="B277" s="533" t="s">
        <v>1144</v>
      </c>
      <c r="C277" s="41" t="s">
        <v>8</v>
      </c>
      <c r="D277" s="656">
        <v>4.871999999999999</v>
      </c>
      <c r="E277" s="390"/>
      <c r="F277" s="361">
        <v>3450</v>
      </c>
      <c r="G277" s="31"/>
      <c r="H277" s="2">
        <f>ROUND(D277*F277,2)</f>
        <v>16808.400000000001</v>
      </c>
      <c r="I277" s="11">
        <f>G277+H277</f>
        <v>16808.400000000001</v>
      </c>
    </row>
    <row r="278" spans="1:9" outlineLevel="1" x14ac:dyDescent="0.25">
      <c r="A278" s="84"/>
      <c r="B278" s="533" t="s">
        <v>850</v>
      </c>
      <c r="C278" s="41" t="s">
        <v>8</v>
      </c>
      <c r="D278" s="542">
        <v>1.68</v>
      </c>
      <c r="E278" s="390"/>
      <c r="F278" s="361">
        <v>2800</v>
      </c>
      <c r="G278" s="2"/>
      <c r="H278" s="2">
        <f>F278*D278</f>
        <v>4704</v>
      </c>
      <c r="I278" s="11">
        <f>H278</f>
        <v>4704</v>
      </c>
    </row>
    <row r="279" spans="1:9" outlineLevel="1" x14ac:dyDescent="0.25">
      <c r="A279" s="84"/>
      <c r="B279" s="533" t="s">
        <v>1171</v>
      </c>
      <c r="C279" s="41" t="s">
        <v>15</v>
      </c>
      <c r="D279" s="542">
        <v>47.52</v>
      </c>
      <c r="E279" s="51"/>
      <c r="F279" s="365">
        <v>31</v>
      </c>
      <c r="G279" s="51"/>
      <c r="H279" s="2">
        <f>ROUND(D279*F279,2)</f>
        <v>1473.12</v>
      </c>
      <c r="I279" s="140">
        <f>H279+G279</f>
        <v>1473.12</v>
      </c>
    </row>
    <row r="280" spans="1:9" outlineLevel="1" x14ac:dyDescent="0.25">
      <c r="A280" s="84"/>
      <c r="B280" s="533" t="s">
        <v>1172</v>
      </c>
      <c r="C280" s="41" t="s">
        <v>15</v>
      </c>
      <c r="D280" s="542">
        <v>12.36</v>
      </c>
      <c r="E280" s="51"/>
      <c r="F280" s="365">
        <v>42</v>
      </c>
      <c r="G280" s="51"/>
      <c r="H280" s="2">
        <f>ROUND(D280*F280,2)</f>
        <v>519.12</v>
      </c>
      <c r="I280" s="140">
        <f>H280+G280</f>
        <v>519.12</v>
      </c>
    </row>
    <row r="281" spans="1:9" outlineLevel="1" x14ac:dyDescent="0.25">
      <c r="A281" s="107" t="s">
        <v>1198</v>
      </c>
      <c r="B281" s="538" t="s">
        <v>1453</v>
      </c>
      <c r="C281" s="46" t="s">
        <v>12</v>
      </c>
      <c r="D281" s="275">
        <v>1</v>
      </c>
      <c r="E281" s="373">
        <v>700</v>
      </c>
      <c r="F281" s="43"/>
      <c r="G281" s="2">
        <f>ROUND(E281*D281,2)</f>
        <v>700</v>
      </c>
      <c r="H281" s="11"/>
      <c r="I281" s="11">
        <f>G281+H281</f>
        <v>700</v>
      </c>
    </row>
    <row r="282" spans="1:9" outlineLevel="1" x14ac:dyDescent="0.25">
      <c r="A282" s="84"/>
      <c r="B282" s="533" t="s">
        <v>1461</v>
      </c>
      <c r="C282" s="41" t="s">
        <v>15</v>
      </c>
      <c r="D282" s="542">
        <f>балконы!D151</f>
        <v>41.43</v>
      </c>
      <c r="E282" s="51"/>
      <c r="F282" s="365">
        <v>42</v>
      </c>
      <c r="G282" s="51"/>
      <c r="H282" s="2">
        <f>ROUND(D282*F282,2)</f>
        <v>1740.06</v>
      </c>
      <c r="I282" s="140">
        <f>H282+G282</f>
        <v>1740.06</v>
      </c>
    </row>
    <row r="283" spans="1:9" outlineLevel="1" x14ac:dyDescent="0.25">
      <c r="A283" s="107" t="s">
        <v>1199</v>
      </c>
      <c r="B283" s="538" t="s">
        <v>1177</v>
      </c>
      <c r="C283" s="46" t="s">
        <v>9</v>
      </c>
      <c r="D283" s="256">
        <f>SUM(D284:D292)*0.04/1000</f>
        <v>1.6604799999999996E-2</v>
      </c>
      <c r="E283" s="256">
        <v>40000</v>
      </c>
      <c r="F283" s="56"/>
      <c r="G283" s="2">
        <f>ROUND(E283*D283,2)</f>
        <v>664.19</v>
      </c>
      <c r="H283" s="11"/>
      <c r="I283" s="11">
        <f>G283+H283</f>
        <v>664.19</v>
      </c>
    </row>
    <row r="284" spans="1:9" outlineLevel="1" x14ac:dyDescent="0.25">
      <c r="A284" s="84"/>
      <c r="B284" s="657" t="s">
        <v>1178</v>
      </c>
      <c r="C284" s="41" t="s">
        <v>15</v>
      </c>
      <c r="D284" s="282">
        <v>191.48</v>
      </c>
      <c r="E284" s="51"/>
      <c r="F284" s="365">
        <v>33</v>
      </c>
      <c r="G284" s="51"/>
      <c r="H284" s="2">
        <f t="shared" ref="H284:H292" si="19">ROUND(D284*F284,2)</f>
        <v>6318.84</v>
      </c>
      <c r="I284" s="140">
        <f t="shared" ref="I284:I292" si="20">H284+G284</f>
        <v>6318.84</v>
      </c>
    </row>
    <row r="285" spans="1:9" outlineLevel="1" x14ac:dyDescent="0.25">
      <c r="A285" s="84"/>
      <c r="B285" s="657" t="s">
        <v>1195</v>
      </c>
      <c r="C285" s="41" t="s">
        <v>15</v>
      </c>
      <c r="D285" s="282">
        <v>30.37</v>
      </c>
      <c r="E285" s="51"/>
      <c r="F285" s="365">
        <v>39</v>
      </c>
      <c r="G285" s="51"/>
      <c r="H285" s="2">
        <f t="shared" si="19"/>
        <v>1184.43</v>
      </c>
      <c r="I285" s="140">
        <f t="shared" si="20"/>
        <v>1184.43</v>
      </c>
    </row>
    <row r="286" spans="1:9" outlineLevel="1" x14ac:dyDescent="0.25">
      <c r="A286" s="84"/>
      <c r="B286" s="533" t="s">
        <v>1179</v>
      </c>
      <c r="C286" s="41" t="s">
        <v>15</v>
      </c>
      <c r="D286" s="282">
        <v>52.05</v>
      </c>
      <c r="E286" s="51"/>
      <c r="F286" s="365">
        <v>33</v>
      </c>
      <c r="G286" s="51"/>
      <c r="H286" s="2">
        <f t="shared" si="19"/>
        <v>1717.65</v>
      </c>
      <c r="I286" s="140">
        <f t="shared" si="20"/>
        <v>1717.65</v>
      </c>
    </row>
    <row r="287" spans="1:9" outlineLevel="1" x14ac:dyDescent="0.25">
      <c r="A287" s="84"/>
      <c r="B287" s="533" t="s">
        <v>1180</v>
      </c>
      <c r="C287" s="41" t="s">
        <v>29</v>
      </c>
      <c r="D287" s="282">
        <v>48.68</v>
      </c>
      <c r="E287" s="51"/>
      <c r="F287" s="365">
        <v>33</v>
      </c>
      <c r="G287" s="51"/>
      <c r="H287" s="2">
        <f t="shared" si="19"/>
        <v>1606.44</v>
      </c>
      <c r="I287" s="140">
        <f t="shared" si="20"/>
        <v>1606.44</v>
      </c>
    </row>
    <row r="288" spans="1:9" outlineLevel="1" x14ac:dyDescent="0.25">
      <c r="A288" s="84"/>
      <c r="B288" s="533" t="s">
        <v>1181</v>
      </c>
      <c r="C288" s="41" t="s">
        <v>29</v>
      </c>
      <c r="D288" s="282">
        <v>83.325000000000003</v>
      </c>
      <c r="E288" s="51"/>
      <c r="F288" s="365">
        <v>33</v>
      </c>
      <c r="G288" s="51"/>
      <c r="H288" s="2">
        <f t="shared" si="19"/>
        <v>2749.73</v>
      </c>
      <c r="I288" s="140">
        <f t="shared" si="20"/>
        <v>2749.73</v>
      </c>
    </row>
    <row r="289" spans="1:252" outlineLevel="1" x14ac:dyDescent="0.25">
      <c r="A289" s="84"/>
      <c r="B289" s="533" t="s">
        <v>1182</v>
      </c>
      <c r="C289" s="41" t="s">
        <v>15</v>
      </c>
      <c r="D289" s="282">
        <v>2.08</v>
      </c>
      <c r="E289" s="51"/>
      <c r="F289" s="365">
        <v>33</v>
      </c>
      <c r="G289" s="51"/>
      <c r="H289" s="2">
        <f t="shared" si="19"/>
        <v>68.64</v>
      </c>
      <c r="I289" s="140">
        <f t="shared" si="20"/>
        <v>68.64</v>
      </c>
    </row>
    <row r="290" spans="1:252" outlineLevel="1" x14ac:dyDescent="0.25">
      <c r="A290" s="84"/>
      <c r="B290" s="657" t="s">
        <v>1183</v>
      </c>
      <c r="C290" s="41" t="s">
        <v>15</v>
      </c>
      <c r="D290" s="282">
        <v>0.97499999999999998</v>
      </c>
      <c r="E290" s="51"/>
      <c r="F290" s="365">
        <v>31</v>
      </c>
      <c r="G290" s="51"/>
      <c r="H290" s="2">
        <f t="shared" si="19"/>
        <v>30.23</v>
      </c>
      <c r="I290" s="140">
        <f t="shared" si="20"/>
        <v>30.23</v>
      </c>
    </row>
    <row r="291" spans="1:252" outlineLevel="1" x14ac:dyDescent="0.25">
      <c r="A291" s="84"/>
      <c r="B291" s="533" t="s">
        <v>1184</v>
      </c>
      <c r="C291" s="41" t="s">
        <v>15</v>
      </c>
      <c r="D291" s="282">
        <v>1.76</v>
      </c>
      <c r="E291" s="51"/>
      <c r="F291" s="365">
        <v>33</v>
      </c>
      <c r="G291" s="51"/>
      <c r="H291" s="2">
        <f t="shared" si="19"/>
        <v>58.08</v>
      </c>
      <c r="I291" s="140">
        <f t="shared" si="20"/>
        <v>58.08</v>
      </c>
    </row>
    <row r="292" spans="1:252" outlineLevel="1" x14ac:dyDescent="0.25">
      <c r="A292" s="84"/>
      <c r="B292" s="533" t="s">
        <v>1185</v>
      </c>
      <c r="C292" s="41" t="s">
        <v>15</v>
      </c>
      <c r="D292" s="282">
        <v>4.4000000000000004</v>
      </c>
      <c r="E292" s="51"/>
      <c r="F292" s="365">
        <v>33</v>
      </c>
      <c r="G292" s="51"/>
      <c r="H292" s="2">
        <f t="shared" si="19"/>
        <v>145.19999999999999</v>
      </c>
      <c r="I292" s="140">
        <f t="shared" si="20"/>
        <v>145.19999999999999</v>
      </c>
    </row>
    <row r="293" spans="1:252" outlineLevel="1" x14ac:dyDescent="0.25">
      <c r="A293" s="84"/>
      <c r="B293" s="533" t="s">
        <v>1135</v>
      </c>
      <c r="C293" s="41" t="s">
        <v>14</v>
      </c>
      <c r="D293" s="282">
        <v>10.7</v>
      </c>
      <c r="E293" s="51"/>
      <c r="F293" s="362">
        <v>280</v>
      </c>
      <c r="G293" s="2"/>
      <c r="H293" s="2">
        <f>F293*D293</f>
        <v>2996</v>
      </c>
      <c r="I293" s="11">
        <f>H293</f>
        <v>2996</v>
      </c>
    </row>
    <row r="294" spans="1:252" outlineLevel="1" x14ac:dyDescent="0.25">
      <c r="A294" s="84"/>
      <c r="B294" s="533" t="s">
        <v>1186</v>
      </c>
      <c r="C294" s="41" t="s">
        <v>14</v>
      </c>
      <c r="D294" s="282">
        <v>3.15</v>
      </c>
      <c r="E294" s="51"/>
      <c r="F294" s="362">
        <v>280</v>
      </c>
      <c r="G294" s="2"/>
      <c r="H294" s="2">
        <f>F294*D294</f>
        <v>882</v>
      </c>
      <c r="I294" s="11">
        <f>H294</f>
        <v>882</v>
      </c>
    </row>
    <row r="295" spans="1:252" outlineLevel="1" x14ac:dyDescent="0.25">
      <c r="A295" s="84"/>
      <c r="B295" s="535" t="s">
        <v>1462</v>
      </c>
      <c r="C295" s="41" t="s">
        <v>12</v>
      </c>
      <c r="D295" s="282">
        <v>1</v>
      </c>
      <c r="E295" s="51"/>
      <c r="F295" s="328">
        <v>10000</v>
      </c>
      <c r="G295" s="51"/>
      <c r="H295" s="2">
        <f>ROUND(D295*F295,2)</f>
        <v>10000</v>
      </c>
      <c r="I295" s="140">
        <f>H295+G295</f>
        <v>10000</v>
      </c>
    </row>
    <row r="296" spans="1:252" outlineLevel="1" x14ac:dyDescent="0.3">
      <c r="A296" s="107" t="s">
        <v>1200</v>
      </c>
      <c r="B296" s="538" t="s">
        <v>807</v>
      </c>
      <c r="C296" s="41" t="s">
        <v>14</v>
      </c>
      <c r="D296" s="256">
        <f>D283*27</f>
        <v>0.44832959999999988</v>
      </c>
      <c r="E296" s="256">
        <v>150</v>
      </c>
      <c r="F296" s="484"/>
      <c r="G296" s="2">
        <f>D296*E296</f>
        <v>67.249439999999979</v>
      </c>
      <c r="H296" s="484"/>
      <c r="I296" s="11">
        <f>G296</f>
        <v>67.249439999999979</v>
      </c>
    </row>
    <row r="297" spans="1:252" outlineLevel="1" x14ac:dyDescent="0.3">
      <c r="A297" s="84"/>
      <c r="B297" s="533" t="s">
        <v>1166</v>
      </c>
      <c r="C297" s="41" t="s">
        <v>15</v>
      </c>
      <c r="D297" s="282">
        <f>D296*0.2</f>
        <v>8.9665919999999982E-2</v>
      </c>
      <c r="E297" s="484"/>
      <c r="F297" s="362">
        <v>85</v>
      </c>
      <c r="G297" s="484"/>
      <c r="H297" s="2">
        <f>F297*D297</f>
        <v>7.6216031999999982</v>
      </c>
      <c r="I297" s="11">
        <f>H297</f>
        <v>7.6216031999999982</v>
      </c>
    </row>
    <row r="298" spans="1:252" outlineLevel="1" x14ac:dyDescent="0.3">
      <c r="A298" s="84"/>
      <c r="B298" s="533" t="s">
        <v>1162</v>
      </c>
      <c r="C298" s="41" t="s">
        <v>15</v>
      </c>
      <c r="D298" s="282">
        <f>D296*0.3</f>
        <v>0.13449887999999996</v>
      </c>
      <c r="E298" s="484"/>
      <c r="F298" s="362">
        <v>115</v>
      </c>
      <c r="G298" s="484"/>
      <c r="H298" s="2">
        <f>F298*D298</f>
        <v>15.467371199999995</v>
      </c>
      <c r="I298" s="11">
        <f>H298</f>
        <v>15.467371199999995</v>
      </c>
    </row>
    <row r="299" spans="1:252" x14ac:dyDescent="0.25">
      <c r="A299" s="223"/>
      <c r="B299" s="232" t="s">
        <v>55</v>
      </c>
      <c r="C299" s="225"/>
      <c r="D299" s="239"/>
      <c r="E299" s="230"/>
      <c r="F299" s="240"/>
      <c r="G299" s="230">
        <f>SUM(G255:G298)</f>
        <v>216648.78944000002</v>
      </c>
      <c r="H299" s="230">
        <f>SUM(H255:H298)</f>
        <v>509144.48897439986</v>
      </c>
      <c r="I299" s="230">
        <f>ROUND(SUM(I255:I298),2)</f>
        <v>725793.28000000003</v>
      </c>
      <c r="K299" s="133"/>
    </row>
    <row r="300" spans="1:252" ht="15" customHeight="1" x14ac:dyDescent="0.25">
      <c r="A300" s="90"/>
      <c r="B300" s="471" t="s">
        <v>624</v>
      </c>
      <c r="C300" s="9"/>
      <c r="D300" s="31"/>
      <c r="E300" s="10"/>
      <c r="F300" s="57"/>
      <c r="G300" s="10"/>
      <c r="H300" s="10"/>
      <c r="I300" s="31">
        <f>ROUND(I299/1.18*0.18,2)</f>
        <v>110714.23</v>
      </c>
    </row>
    <row r="301" spans="1:252" ht="18.75" customHeight="1" x14ac:dyDescent="0.25">
      <c r="A301" s="104"/>
      <c r="B301" s="562" t="s">
        <v>1202</v>
      </c>
      <c r="C301" s="105"/>
      <c r="D301" s="105"/>
      <c r="E301" s="105"/>
      <c r="F301" s="138"/>
      <c r="G301" s="105"/>
      <c r="H301" s="105"/>
      <c r="I301" s="106"/>
    </row>
    <row r="302" spans="1:252" s="38" customFormat="1" ht="31.2" outlineLevel="1" x14ac:dyDescent="0.25">
      <c r="A302" s="271" t="s">
        <v>239</v>
      </c>
      <c r="B302" s="602" t="s">
        <v>1013</v>
      </c>
      <c r="C302" s="202" t="s">
        <v>14</v>
      </c>
      <c r="D302" s="598">
        <f>окна!T47</f>
        <v>91.74260000000001</v>
      </c>
      <c r="E302" s="353">
        <v>5100</v>
      </c>
      <c r="F302" s="207"/>
      <c r="G302" s="2">
        <f>ROUND(E302*D302,2)</f>
        <v>467887.26</v>
      </c>
      <c r="H302" s="2">
        <f>ROUND(D302*F302,2)</f>
        <v>0</v>
      </c>
      <c r="I302" s="3">
        <f>H302+G302</f>
        <v>467887.26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5"/>
      <c r="HD302" s="15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5"/>
      <c r="HT302" s="15"/>
      <c r="HU302" s="15"/>
      <c r="HV302" s="15"/>
      <c r="HW302" s="15"/>
      <c r="HX302" s="15"/>
      <c r="HY302" s="15"/>
      <c r="HZ302" s="15"/>
      <c r="IA302" s="15"/>
      <c r="IB302" s="15"/>
      <c r="IC302" s="15"/>
      <c r="ID302" s="15"/>
      <c r="IE302" s="15"/>
      <c r="IF302" s="15"/>
      <c r="IG302" s="15"/>
      <c r="IH302" s="15"/>
      <c r="II302" s="15"/>
      <c r="IJ302" s="15"/>
      <c r="IK302" s="15"/>
      <c r="IL302" s="15"/>
      <c r="IM302" s="15"/>
      <c r="IN302" s="15"/>
      <c r="IO302" s="15"/>
      <c r="IP302" s="15"/>
      <c r="IQ302" s="15"/>
      <c r="IR302" s="15"/>
    </row>
    <row r="303" spans="1:252" s="38" customFormat="1" outlineLevel="1" x14ac:dyDescent="0.25">
      <c r="A303" s="271"/>
      <c r="B303" s="603" t="s">
        <v>1322</v>
      </c>
      <c r="C303" s="202" t="s">
        <v>14</v>
      </c>
      <c r="D303" s="554">
        <v>11.423999999999999</v>
      </c>
      <c r="E303" s="353">
        <v>6200</v>
      </c>
      <c r="F303" s="207"/>
      <c r="G303" s="2">
        <f>ROUND(E303*D303,2)</f>
        <v>70828.800000000003</v>
      </c>
      <c r="H303" s="2">
        <f>ROUND(D303*F303,2)</f>
        <v>0</v>
      </c>
      <c r="I303" s="3">
        <f>H303+G303</f>
        <v>70828.800000000003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  <c r="EP303" s="15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  <c r="FL303" s="15"/>
      <c r="FM303" s="15"/>
      <c r="FN303" s="15"/>
      <c r="FO303" s="15"/>
      <c r="FP303" s="15"/>
      <c r="FQ303" s="15"/>
      <c r="FR303" s="15"/>
      <c r="FS303" s="15"/>
      <c r="FT303" s="15"/>
      <c r="FU303" s="15"/>
      <c r="FV303" s="15"/>
      <c r="FW303" s="15"/>
      <c r="FX303" s="15"/>
      <c r="FY303" s="15"/>
      <c r="FZ303" s="15"/>
      <c r="GA303" s="15"/>
      <c r="GB303" s="15"/>
      <c r="GC303" s="15"/>
      <c r="GD303" s="15"/>
      <c r="GE303" s="15"/>
      <c r="GF303" s="15"/>
      <c r="GG303" s="15"/>
      <c r="GH303" s="15"/>
      <c r="GI303" s="15"/>
      <c r="GJ303" s="15"/>
      <c r="GK303" s="15"/>
      <c r="GL303" s="15"/>
      <c r="GM303" s="15"/>
      <c r="GN303" s="15"/>
      <c r="GO303" s="15"/>
      <c r="GP303" s="15"/>
      <c r="GQ303" s="15"/>
      <c r="GR303" s="15"/>
      <c r="GS303" s="15"/>
      <c r="GT303" s="15"/>
      <c r="GU303" s="15"/>
      <c r="GV303" s="15"/>
      <c r="GW303" s="15"/>
      <c r="GX303" s="15"/>
      <c r="GY303" s="15"/>
      <c r="GZ303" s="15"/>
      <c r="HA303" s="15"/>
      <c r="HB303" s="15"/>
      <c r="HC303" s="15"/>
      <c r="HD303" s="15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5"/>
      <c r="HT303" s="15"/>
      <c r="HU303" s="15"/>
      <c r="HV303" s="15"/>
      <c r="HW303" s="15"/>
      <c r="HX303" s="15"/>
      <c r="HY303" s="15"/>
      <c r="HZ303" s="15"/>
      <c r="IA303" s="15"/>
      <c r="IB303" s="15"/>
      <c r="IC303" s="15"/>
      <c r="ID303" s="15"/>
      <c r="IE303" s="15"/>
      <c r="IF303" s="15"/>
      <c r="IG303" s="15"/>
      <c r="IH303" s="15"/>
      <c r="II303" s="15"/>
      <c r="IJ303" s="15"/>
      <c r="IK303" s="15"/>
      <c r="IL303" s="15"/>
      <c r="IM303" s="15"/>
      <c r="IN303" s="15"/>
      <c r="IO303" s="15"/>
      <c r="IP303" s="15"/>
      <c r="IQ303" s="15"/>
      <c r="IR303" s="15"/>
    </row>
    <row r="304" spans="1:252" s="38" customFormat="1" outlineLevel="1" x14ac:dyDescent="0.25">
      <c r="A304" s="271" t="s">
        <v>1203</v>
      </c>
      <c r="B304" s="603" t="s">
        <v>1014</v>
      </c>
      <c r="C304" s="202" t="s">
        <v>1323</v>
      </c>
      <c r="D304" s="267">
        <f>окна!X48</f>
        <v>52.91</v>
      </c>
      <c r="E304" s="353">
        <v>250</v>
      </c>
      <c r="F304" s="207"/>
      <c r="G304" s="2">
        <f>ROUND(E304*D304,2)</f>
        <v>13227.5</v>
      </c>
      <c r="H304" s="2">
        <f>ROUND(D304*F304,2)</f>
        <v>0</v>
      </c>
      <c r="I304" s="3">
        <f>H304+G304</f>
        <v>13227.5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N304" s="15"/>
      <c r="EO304" s="15"/>
      <c r="EP304" s="15"/>
      <c r="EQ304" s="15"/>
      <c r="ER304" s="15"/>
      <c r="ES304" s="15"/>
      <c r="ET304" s="15"/>
      <c r="EU304" s="15"/>
      <c r="EV304" s="15"/>
      <c r="EW304" s="15"/>
      <c r="EX304" s="15"/>
      <c r="EY304" s="15"/>
      <c r="EZ304" s="15"/>
      <c r="FA304" s="15"/>
      <c r="FB304" s="15"/>
      <c r="FC304" s="15"/>
      <c r="FD304" s="15"/>
      <c r="FE304" s="15"/>
      <c r="FF304" s="15"/>
      <c r="FG304" s="15"/>
      <c r="FH304" s="15"/>
      <c r="FI304" s="15"/>
      <c r="FJ304" s="15"/>
      <c r="FK304" s="15"/>
      <c r="FL304" s="15"/>
      <c r="FM304" s="15"/>
      <c r="FN304" s="15"/>
      <c r="FO304" s="15"/>
      <c r="FP304" s="15"/>
      <c r="FQ304" s="15"/>
      <c r="FR304" s="15"/>
      <c r="FS304" s="15"/>
      <c r="FT304" s="15"/>
      <c r="FU304" s="15"/>
      <c r="FV304" s="15"/>
      <c r="FW304" s="15"/>
      <c r="FX304" s="15"/>
      <c r="FY304" s="15"/>
      <c r="FZ304" s="15"/>
      <c r="GA304" s="15"/>
      <c r="GB304" s="15"/>
      <c r="GC304" s="15"/>
      <c r="GD304" s="15"/>
      <c r="GE304" s="15"/>
      <c r="GF304" s="15"/>
      <c r="GG304" s="15"/>
      <c r="GH304" s="15"/>
      <c r="GI304" s="15"/>
      <c r="GJ304" s="15"/>
      <c r="GK304" s="15"/>
      <c r="GL304" s="15"/>
      <c r="GM304" s="15"/>
      <c r="GN304" s="15"/>
      <c r="GO304" s="15"/>
      <c r="GP304" s="15"/>
      <c r="GQ304" s="15"/>
      <c r="GR304" s="15"/>
      <c r="GS304" s="15"/>
      <c r="GT304" s="15"/>
      <c r="GU304" s="15"/>
      <c r="GV304" s="15"/>
      <c r="GW304" s="15"/>
      <c r="GX304" s="15"/>
      <c r="GY304" s="15"/>
      <c r="GZ304" s="15"/>
      <c r="HA304" s="15"/>
      <c r="HB304" s="15"/>
      <c r="HC304" s="15"/>
      <c r="HD304" s="15"/>
      <c r="HE304" s="15"/>
      <c r="HF304" s="15"/>
      <c r="HG304" s="15"/>
      <c r="HH304" s="15"/>
      <c r="HI304" s="15"/>
      <c r="HJ304" s="15"/>
      <c r="HK304" s="15"/>
      <c r="HL304" s="15"/>
      <c r="HM304" s="15"/>
      <c r="HN304" s="15"/>
      <c r="HO304" s="15"/>
      <c r="HP304" s="15"/>
      <c r="HQ304" s="15"/>
      <c r="HR304" s="15"/>
      <c r="HS304" s="15"/>
      <c r="HT304" s="15"/>
      <c r="HU304" s="15"/>
      <c r="HV304" s="15"/>
      <c r="HW304" s="15"/>
      <c r="HX304" s="15"/>
      <c r="HY304" s="15"/>
      <c r="HZ304" s="15"/>
      <c r="IA304" s="15"/>
      <c r="IB304" s="15"/>
      <c r="IC304" s="15"/>
      <c r="ID304" s="15"/>
      <c r="IE304" s="15"/>
      <c r="IF304" s="15"/>
      <c r="IG304" s="15"/>
      <c r="IH304" s="15"/>
      <c r="II304" s="15"/>
      <c r="IJ304" s="15"/>
      <c r="IK304" s="15"/>
      <c r="IL304" s="15"/>
      <c r="IM304" s="15"/>
      <c r="IN304" s="15"/>
      <c r="IO304" s="15"/>
      <c r="IP304" s="15"/>
      <c r="IQ304" s="15"/>
      <c r="IR304" s="15"/>
    </row>
    <row r="305" spans="1:9" x14ac:dyDescent="0.25">
      <c r="A305" s="223"/>
      <c r="B305" s="224" t="s">
        <v>59</v>
      </c>
      <c r="C305" s="225"/>
      <c r="D305" s="226"/>
      <c r="E305" s="227"/>
      <c r="F305" s="228"/>
      <c r="G305" s="227">
        <f>SUM(G302:G304)</f>
        <v>551943.56000000006</v>
      </c>
      <c r="H305" s="227">
        <f>SUM(H302:H304)</f>
        <v>0</v>
      </c>
      <c r="I305" s="227">
        <f>SUM(I302:I304)</f>
        <v>551943.56000000006</v>
      </c>
    </row>
    <row r="306" spans="1:9" ht="16.2" customHeight="1" x14ac:dyDescent="0.25">
      <c r="A306" s="90"/>
      <c r="B306" s="471" t="s">
        <v>624</v>
      </c>
      <c r="C306" s="9"/>
      <c r="D306" s="31"/>
      <c r="E306" s="10"/>
      <c r="F306" s="57"/>
      <c r="G306" s="10"/>
      <c r="H306" s="10"/>
      <c r="I306" s="31">
        <f>ROUND(I305/1.18*0.18,2)</f>
        <v>84194.78</v>
      </c>
    </row>
    <row r="307" spans="1:9" ht="18.75" customHeight="1" x14ac:dyDescent="0.25">
      <c r="A307" s="109"/>
      <c r="B307" s="517" t="s">
        <v>1204</v>
      </c>
      <c r="C307" s="105"/>
      <c r="D307" s="105"/>
      <c r="E307" s="105"/>
      <c r="F307" s="138"/>
      <c r="G307" s="105"/>
      <c r="H307" s="105"/>
      <c r="I307" s="106"/>
    </row>
    <row r="308" spans="1:9" outlineLevel="1" x14ac:dyDescent="0.25">
      <c r="A308" s="271" t="s">
        <v>316</v>
      </c>
      <c r="B308" s="636" t="s">
        <v>37</v>
      </c>
      <c r="C308" s="2" t="s">
        <v>12</v>
      </c>
      <c r="D308" s="268">
        <f>SUM(D309:D312)</f>
        <v>17</v>
      </c>
      <c r="E308" s="256">
        <v>1200</v>
      </c>
      <c r="F308" s="60"/>
      <c r="G308" s="2">
        <f>ROUND(E308*D308,2)</f>
        <v>20400</v>
      </c>
      <c r="H308" s="18"/>
      <c r="I308" s="18">
        <f>G308+H308</f>
        <v>20400</v>
      </c>
    </row>
    <row r="309" spans="1:9" ht="31.2" outlineLevel="1" x14ac:dyDescent="0.25">
      <c r="A309" s="84"/>
      <c r="B309" s="612" t="s">
        <v>225</v>
      </c>
      <c r="C309" s="21" t="s">
        <v>12</v>
      </c>
      <c r="D309" s="639">
        <v>12</v>
      </c>
      <c r="E309" s="2"/>
      <c r="F309" s="361">
        <v>1400</v>
      </c>
      <c r="G309" s="18"/>
      <c r="H309" s="2">
        <f>ROUND(D309*F309,2)</f>
        <v>16800</v>
      </c>
      <c r="I309" s="18">
        <f t="shared" ref="I309:I316" si="21">G309+H309</f>
        <v>16800</v>
      </c>
    </row>
    <row r="310" spans="1:9" outlineLevel="1" x14ac:dyDescent="0.25">
      <c r="A310" s="84"/>
      <c r="B310" s="612" t="s">
        <v>1468</v>
      </c>
      <c r="C310" s="21" t="s">
        <v>12</v>
      </c>
      <c r="D310" s="639">
        <v>3</v>
      </c>
      <c r="E310" s="2"/>
      <c r="F310" s="361">
        <v>1400</v>
      </c>
      <c r="G310" s="18"/>
      <c r="H310" s="2">
        <f>ROUND(D310*F310,2)</f>
        <v>4200</v>
      </c>
      <c r="I310" s="18">
        <f>G310+H310</f>
        <v>4200</v>
      </c>
    </row>
    <row r="311" spans="1:9" ht="31.2" outlineLevel="1" x14ac:dyDescent="0.25">
      <c r="A311" s="84"/>
      <c r="B311" s="612" t="s">
        <v>1430</v>
      </c>
      <c r="C311" s="21" t="s">
        <v>12</v>
      </c>
      <c r="D311" s="639">
        <v>1</v>
      </c>
      <c r="E311" s="2"/>
      <c r="F311" s="361">
        <v>24500</v>
      </c>
      <c r="G311" s="18"/>
      <c r="H311" s="2">
        <f>ROUND(D311*F311,2)</f>
        <v>24500</v>
      </c>
      <c r="I311" s="18">
        <f>G311+H311</f>
        <v>24500</v>
      </c>
    </row>
    <row r="312" spans="1:9" outlineLevel="1" x14ac:dyDescent="0.25">
      <c r="A312" s="84"/>
      <c r="B312" s="612" t="s">
        <v>1463</v>
      </c>
      <c r="C312" s="21" t="s">
        <v>12</v>
      </c>
      <c r="D312" s="639">
        <v>1</v>
      </c>
      <c r="E312" s="2"/>
      <c r="F312" s="164">
        <v>10000</v>
      </c>
      <c r="G312" s="18"/>
      <c r="H312" s="2">
        <f>ROUND(D312*F312,2)</f>
        <v>10000</v>
      </c>
      <c r="I312" s="18">
        <f>G312+H312</f>
        <v>10000</v>
      </c>
    </row>
    <row r="313" spans="1:9" outlineLevel="1" x14ac:dyDescent="0.25">
      <c r="A313" s="271" t="s">
        <v>469</v>
      </c>
      <c r="B313" s="543" t="s">
        <v>38</v>
      </c>
      <c r="C313" s="2" t="s">
        <v>12</v>
      </c>
      <c r="D313" s="268">
        <f>SUM(D314:D316)</f>
        <v>3</v>
      </c>
      <c r="E313" s="256">
        <v>1600</v>
      </c>
      <c r="F313" s="164"/>
      <c r="G313" s="2">
        <f>ROUND(E313*D313,2)</f>
        <v>4800</v>
      </c>
      <c r="H313" s="18"/>
      <c r="I313" s="18">
        <f t="shared" si="21"/>
        <v>4800</v>
      </c>
    </row>
    <row r="314" spans="1:9" ht="31.2" outlineLevel="1" x14ac:dyDescent="0.25">
      <c r="A314" s="84"/>
      <c r="B314" s="612" t="s">
        <v>1215</v>
      </c>
      <c r="C314" s="21" t="s">
        <v>12</v>
      </c>
      <c r="D314" s="639">
        <v>1</v>
      </c>
      <c r="E314" s="2"/>
      <c r="F314" s="361">
        <f>10200*1.18</f>
        <v>12036</v>
      </c>
      <c r="G314" s="18"/>
      <c r="H314" s="2">
        <f>ROUND(D314*F314,2)</f>
        <v>12036</v>
      </c>
      <c r="I314" s="18">
        <f t="shared" si="21"/>
        <v>12036</v>
      </c>
    </row>
    <row r="315" spans="1:9" ht="31.2" outlineLevel="1" x14ac:dyDescent="0.25">
      <c r="A315" s="84"/>
      <c r="B315" s="612" t="s">
        <v>1216</v>
      </c>
      <c r="C315" s="21" t="s">
        <v>12</v>
      </c>
      <c r="D315" s="639">
        <v>1</v>
      </c>
      <c r="E315" s="2"/>
      <c r="F315" s="361">
        <f>10915*1.18</f>
        <v>12879.699999999999</v>
      </c>
      <c r="G315" s="18"/>
      <c r="H315" s="2">
        <f>ROUND(D315*F315,2)</f>
        <v>12879.7</v>
      </c>
      <c r="I315" s="18">
        <f t="shared" si="21"/>
        <v>12879.7</v>
      </c>
    </row>
    <row r="316" spans="1:9" outlineLevel="1" x14ac:dyDescent="0.25">
      <c r="A316" s="84"/>
      <c r="B316" s="612" t="s">
        <v>1464</v>
      </c>
      <c r="C316" s="21" t="s">
        <v>12</v>
      </c>
      <c r="D316" s="639">
        <v>1</v>
      </c>
      <c r="E316" s="2"/>
      <c r="F316" s="361">
        <f>10915*1.18</f>
        <v>12879.699999999999</v>
      </c>
      <c r="G316" s="18"/>
      <c r="H316" s="2">
        <f>ROUND(D316*F316,2)</f>
        <v>12879.7</v>
      </c>
      <c r="I316" s="18">
        <f t="shared" si="21"/>
        <v>12879.7</v>
      </c>
    </row>
    <row r="317" spans="1:9" outlineLevel="1" x14ac:dyDescent="0.25">
      <c r="A317" s="271" t="s">
        <v>522</v>
      </c>
      <c r="B317" s="543" t="s">
        <v>664</v>
      </c>
      <c r="C317" s="2" t="s">
        <v>12</v>
      </c>
      <c r="D317" s="268">
        <f>SUM(D318:D318)</f>
        <v>1</v>
      </c>
      <c r="E317" s="256">
        <v>1300</v>
      </c>
      <c r="F317" s="485">
        <v>10800</v>
      </c>
      <c r="G317" s="2">
        <f>ROUND(E317*D317,2)</f>
        <v>1300</v>
      </c>
      <c r="H317" s="2">
        <f>ROUND(D317*F317,2)</f>
        <v>10800</v>
      </c>
      <c r="I317" s="18">
        <f>G317+H317</f>
        <v>12100</v>
      </c>
    </row>
    <row r="318" spans="1:9" outlineLevel="1" x14ac:dyDescent="0.25">
      <c r="A318" s="84"/>
      <c r="B318" s="558" t="s">
        <v>1465</v>
      </c>
      <c r="C318" s="2" t="s">
        <v>12</v>
      </c>
      <c r="D318" s="660">
        <v>1</v>
      </c>
      <c r="E318" s="158"/>
      <c r="F318" s="60"/>
      <c r="G318" s="18"/>
      <c r="H318" s="18"/>
      <c r="I318" s="18"/>
    </row>
    <row r="319" spans="1:9" outlineLevel="1" x14ac:dyDescent="0.25">
      <c r="A319" s="271" t="s">
        <v>523</v>
      </c>
      <c r="B319" s="543" t="s">
        <v>665</v>
      </c>
      <c r="C319" s="2" t="s">
        <v>12</v>
      </c>
      <c r="D319" s="661">
        <f>D320+D321</f>
        <v>8</v>
      </c>
      <c r="E319" s="256">
        <v>1300</v>
      </c>
      <c r="F319" s="60"/>
      <c r="G319" s="2">
        <f>ROUND(E319*D319,2)</f>
        <v>10400</v>
      </c>
      <c r="H319" s="18"/>
      <c r="I319" s="18">
        <f>G319+H319</f>
        <v>10400</v>
      </c>
    </row>
    <row r="320" spans="1:9" outlineLevel="1" x14ac:dyDescent="0.25">
      <c r="A320" s="84"/>
      <c r="B320" s="558" t="s">
        <v>1219</v>
      </c>
      <c r="C320" s="2" t="s">
        <v>12</v>
      </c>
      <c r="D320" s="660">
        <v>4</v>
      </c>
      <c r="E320" s="2"/>
      <c r="F320" s="164">
        <v>700</v>
      </c>
      <c r="G320" s="18"/>
      <c r="H320" s="2">
        <f>ROUND(D320*F320,2)</f>
        <v>2800</v>
      </c>
      <c r="I320" s="18">
        <f>G320+H320</f>
        <v>2800</v>
      </c>
    </row>
    <row r="321" spans="1:12" ht="31.2" outlineLevel="1" x14ac:dyDescent="0.25">
      <c r="A321" s="84"/>
      <c r="B321" s="558" t="s">
        <v>1220</v>
      </c>
      <c r="C321" s="2" t="s">
        <v>12</v>
      </c>
      <c r="D321" s="660">
        <v>4</v>
      </c>
      <c r="E321" s="2"/>
      <c r="F321" s="164">
        <v>2000</v>
      </c>
      <c r="G321" s="18"/>
      <c r="H321" s="2">
        <f>ROUND(D321*F321,2)</f>
        <v>8000</v>
      </c>
      <c r="I321" s="18">
        <f>G321+H321</f>
        <v>8000</v>
      </c>
    </row>
    <row r="322" spans="1:12" x14ac:dyDescent="0.25">
      <c r="A322" s="223"/>
      <c r="B322" s="232" t="s">
        <v>58</v>
      </c>
      <c r="C322" s="225"/>
      <c r="D322" s="226"/>
      <c r="E322" s="227"/>
      <c r="F322" s="228"/>
      <c r="G322" s="227">
        <f>SUM(G308:G321)</f>
        <v>36900</v>
      </c>
      <c r="H322" s="227">
        <f>SUM(H308:H321)</f>
        <v>114895.4</v>
      </c>
      <c r="I322" s="227">
        <f>SUM(I308:I321)</f>
        <v>151795.4</v>
      </c>
    </row>
    <row r="323" spans="1:12" ht="16.95" customHeight="1" x14ac:dyDescent="0.25">
      <c r="A323" s="90"/>
      <c r="B323" s="471" t="s">
        <v>624</v>
      </c>
      <c r="C323" s="9"/>
      <c r="D323" s="31"/>
      <c r="E323" s="10"/>
      <c r="F323" s="57"/>
      <c r="G323" s="10"/>
      <c r="H323" s="10"/>
      <c r="I323" s="31">
        <f>ROUND(I322/1.18*0.18,2)</f>
        <v>23155.23</v>
      </c>
    </row>
    <row r="324" spans="1:12" ht="18.75" customHeight="1" x14ac:dyDescent="0.25">
      <c r="A324" s="108"/>
      <c r="B324" s="562" t="s">
        <v>1205</v>
      </c>
      <c r="C324" s="105"/>
      <c r="D324" s="105"/>
      <c r="E324" s="105"/>
      <c r="F324" s="138"/>
      <c r="G324" s="105"/>
      <c r="H324" s="105"/>
      <c r="I324" s="106"/>
    </row>
    <row r="325" spans="1:12" s="6" customFormat="1" ht="31.5" customHeight="1" outlineLevel="1" x14ac:dyDescent="0.25">
      <c r="A325" s="107" t="s">
        <v>317</v>
      </c>
      <c r="B325" s="599" t="s">
        <v>1005</v>
      </c>
      <c r="C325" s="31" t="s">
        <v>14</v>
      </c>
      <c r="D325" s="268">
        <f>фасад!P17-окна!T47-окна!V48</f>
        <v>472.89739999999995</v>
      </c>
      <c r="E325" s="256">
        <v>900</v>
      </c>
      <c r="F325" s="60"/>
      <c r="G325" s="2">
        <f>ROUND(E325*D325,2)</f>
        <v>425607.66</v>
      </c>
      <c r="H325" s="18"/>
      <c r="I325" s="18">
        <f t="shared" ref="I325:I332" si="22">G325+H325</f>
        <v>425607.66</v>
      </c>
      <c r="J325" s="499"/>
      <c r="K325" s="25"/>
      <c r="L325" s="25"/>
    </row>
    <row r="326" spans="1:12" ht="31.2" outlineLevel="1" x14ac:dyDescent="0.25">
      <c r="A326" s="84"/>
      <c r="B326" s="533" t="s">
        <v>1223</v>
      </c>
      <c r="C326" s="55" t="s">
        <v>15</v>
      </c>
      <c r="D326" s="277">
        <f>ROUND(D325*0.1,2)</f>
        <v>47.29</v>
      </c>
      <c r="E326" s="18"/>
      <c r="F326" s="366">
        <f>ROUND(1868.06/10,2)</f>
        <v>186.81</v>
      </c>
      <c r="G326" s="18"/>
      <c r="H326" s="2">
        <f>ROUND(D326*F326,2)</f>
        <v>8834.24</v>
      </c>
      <c r="I326" s="18">
        <f t="shared" si="22"/>
        <v>8834.24</v>
      </c>
    </row>
    <row r="327" spans="1:12" ht="18" customHeight="1" outlineLevel="1" x14ac:dyDescent="0.25">
      <c r="A327" s="84"/>
      <c r="B327" s="533" t="s">
        <v>1012</v>
      </c>
      <c r="C327" s="2" t="s">
        <v>8</v>
      </c>
      <c r="D327" s="282">
        <f>фасад!F6*0.12</f>
        <v>199.7064</v>
      </c>
      <c r="E327" s="31"/>
      <c r="F327" s="666">
        <v>2351</v>
      </c>
      <c r="G327" s="2"/>
      <c r="H327" s="2">
        <f>ROUND(D327*F327,2)</f>
        <v>469509.75</v>
      </c>
      <c r="I327" s="18">
        <f t="shared" si="22"/>
        <v>469509.75</v>
      </c>
    </row>
    <row r="328" spans="1:12" ht="36" hidden="1" customHeight="1" outlineLevel="1" x14ac:dyDescent="0.25">
      <c r="A328" s="84"/>
      <c r="B328" s="361" t="s">
        <v>1034</v>
      </c>
      <c r="C328" s="2" t="s">
        <v>8</v>
      </c>
      <c r="D328" s="282">
        <v>0</v>
      </c>
      <c r="E328" s="158"/>
      <c r="F328" s="666">
        <v>3196</v>
      </c>
      <c r="G328" s="2"/>
      <c r="H328" s="2">
        <f>ROUND(D328*F328,2)</f>
        <v>0</v>
      </c>
      <c r="I328" s="2">
        <f t="shared" si="22"/>
        <v>0</v>
      </c>
    </row>
    <row r="329" spans="1:12" outlineLevel="1" x14ac:dyDescent="0.25">
      <c r="A329" s="84"/>
      <c r="B329" s="600" t="s">
        <v>230</v>
      </c>
      <c r="C329" s="55" t="s">
        <v>12</v>
      </c>
      <c r="D329" s="277">
        <f>ROUND(D325*12,2)</f>
        <v>5674.77</v>
      </c>
      <c r="E329" s="18"/>
      <c r="F329" s="142">
        <v>12</v>
      </c>
      <c r="G329" s="18"/>
      <c r="H329" s="2">
        <f>ROUND(D329*F329,2)</f>
        <v>68097.240000000005</v>
      </c>
      <c r="I329" s="18">
        <f t="shared" si="22"/>
        <v>68097.240000000005</v>
      </c>
    </row>
    <row r="330" spans="1:12" outlineLevel="1" x14ac:dyDescent="0.25">
      <c r="A330" s="107" t="s">
        <v>318</v>
      </c>
      <c r="B330" s="531" t="s">
        <v>1391</v>
      </c>
      <c r="C330" s="31" t="s">
        <v>14</v>
      </c>
      <c r="D330" s="268">
        <f>кровля!E12*0.98</f>
        <v>68.619599999999991</v>
      </c>
      <c r="E330" s="256">
        <v>900</v>
      </c>
      <c r="F330" s="60"/>
      <c r="G330" s="2">
        <f>ROUND(E330*D330,2)</f>
        <v>61757.64</v>
      </c>
      <c r="H330" s="18"/>
      <c r="I330" s="18">
        <f t="shared" si="22"/>
        <v>61757.64</v>
      </c>
    </row>
    <row r="331" spans="1:12" ht="31.2" outlineLevel="1" x14ac:dyDescent="0.25">
      <c r="A331" s="84"/>
      <c r="B331" s="361" t="s">
        <v>1390</v>
      </c>
      <c r="C331" s="55" t="s">
        <v>8</v>
      </c>
      <c r="D331" s="277">
        <f>ROUND(D330*0.12,2)</f>
        <v>8.23</v>
      </c>
      <c r="E331" s="18"/>
      <c r="F331" s="366">
        <v>3721</v>
      </c>
      <c r="G331" s="18"/>
      <c r="H331" s="2">
        <f>ROUND(D331*F331,2)</f>
        <v>30623.83</v>
      </c>
      <c r="I331" s="18">
        <f t="shared" si="22"/>
        <v>30623.83</v>
      </c>
    </row>
    <row r="332" spans="1:12" outlineLevel="1" x14ac:dyDescent="0.25">
      <c r="A332" s="84"/>
      <c r="B332" s="600" t="s">
        <v>230</v>
      </c>
      <c r="C332" s="55" t="s">
        <v>12</v>
      </c>
      <c r="D332" s="277">
        <f>ROUND(D330*12,2)</f>
        <v>823.44</v>
      </c>
      <c r="E332" s="18"/>
      <c r="F332" s="142">
        <v>12</v>
      </c>
      <c r="G332" s="18"/>
      <c r="H332" s="2">
        <f>ROUND(D332*F332,2)</f>
        <v>9881.2800000000007</v>
      </c>
      <c r="I332" s="18">
        <f t="shared" si="22"/>
        <v>9881.2800000000007</v>
      </c>
    </row>
    <row r="333" spans="1:12" ht="19.5" customHeight="1" x14ac:dyDescent="0.25">
      <c r="A333" s="223"/>
      <c r="B333" s="232" t="s">
        <v>57</v>
      </c>
      <c r="C333" s="225"/>
      <c r="D333" s="226"/>
      <c r="E333" s="227"/>
      <c r="F333" s="228"/>
      <c r="G333" s="227">
        <f>SUM(G325:G332)</f>
        <v>487365.3</v>
      </c>
      <c r="H333" s="227">
        <f>SUM(H325:H332)</f>
        <v>586946.34</v>
      </c>
      <c r="I333" s="227">
        <f>SUM(I325:I332)</f>
        <v>1074311.6399999999</v>
      </c>
      <c r="L333" s="133"/>
    </row>
    <row r="334" spans="1:12" ht="17.399999999999999" customHeight="1" x14ac:dyDescent="0.25">
      <c r="A334" s="90"/>
      <c r="B334" s="471" t="s">
        <v>624</v>
      </c>
      <c r="C334" s="472"/>
      <c r="D334" s="473"/>
      <c r="E334" s="474"/>
      <c r="F334" s="475"/>
      <c r="G334" s="10"/>
      <c r="H334" s="10"/>
      <c r="I334" s="31">
        <f>ROUND(I333/1.18*0.18,2)</f>
        <v>163878.04999999999</v>
      </c>
    </row>
    <row r="335" spans="1:12" ht="20.25" customHeight="1" x14ac:dyDescent="0.25">
      <c r="A335" s="109"/>
      <c r="B335" s="771" t="s">
        <v>1206</v>
      </c>
      <c r="C335" s="771"/>
      <c r="D335" s="771"/>
      <c r="E335" s="771"/>
      <c r="F335" s="771"/>
      <c r="G335" s="105"/>
      <c r="H335" s="105"/>
      <c r="I335" s="106"/>
    </row>
    <row r="336" spans="1:12" ht="19.5" customHeight="1" outlineLevel="1" x14ac:dyDescent="0.25">
      <c r="A336" s="84"/>
      <c r="B336" s="191" t="s">
        <v>1074</v>
      </c>
      <c r="C336" s="481"/>
      <c r="D336" s="482"/>
      <c r="E336" s="486"/>
      <c r="F336" s="487"/>
      <c r="G336" s="77"/>
      <c r="H336" s="77"/>
      <c r="I336" s="77"/>
      <c r="K336" s="31"/>
    </row>
    <row r="337" spans="1:11" ht="16.95" customHeight="1" outlineLevel="1" x14ac:dyDescent="0.25">
      <c r="A337" s="107" t="s">
        <v>319</v>
      </c>
      <c r="B337" s="531" t="s">
        <v>1058</v>
      </c>
      <c r="C337" s="31" t="s">
        <v>14</v>
      </c>
      <c r="D337" s="542">
        <f>(97+207.4)/6</f>
        <v>50.733333333333327</v>
      </c>
      <c r="E337" s="256">
        <v>120</v>
      </c>
      <c r="F337" s="60"/>
      <c r="G337" s="2">
        <f>ROUND(E337*D337,2)</f>
        <v>6088</v>
      </c>
      <c r="H337" s="18"/>
      <c r="I337" s="18">
        <f t="shared" ref="I337:I351" si="23">H337+G337</f>
        <v>6088</v>
      </c>
      <c r="K337" s="2"/>
    </row>
    <row r="338" spans="1:11" outlineLevel="1" x14ac:dyDescent="0.25">
      <c r="A338" s="84"/>
      <c r="B338" s="612" t="s">
        <v>1055</v>
      </c>
      <c r="C338" s="21" t="s">
        <v>14</v>
      </c>
      <c r="D338" s="542">
        <f>ROUND(D337*1.1,2)</f>
        <v>55.81</v>
      </c>
      <c r="E338" s="18"/>
      <c r="F338" s="164">
        <f>ROUND(88.7*1.1,2)</f>
        <v>97.57</v>
      </c>
      <c r="G338" s="18"/>
      <c r="H338" s="2">
        <f>ROUND(D338*F338,2)</f>
        <v>5445.38</v>
      </c>
      <c r="I338" s="18">
        <f t="shared" si="23"/>
        <v>5445.38</v>
      </c>
    </row>
    <row r="339" spans="1:11" outlineLevel="1" x14ac:dyDescent="0.25">
      <c r="A339" s="107" t="s">
        <v>320</v>
      </c>
      <c r="B339" s="531" t="s">
        <v>1059</v>
      </c>
      <c r="C339" s="31" t="s">
        <v>14</v>
      </c>
      <c r="D339" s="541">
        <f>(1019.1+97)/6+(89.2+19.8)/4</f>
        <v>213.26666666666665</v>
      </c>
      <c r="E339" s="256">
        <v>100</v>
      </c>
      <c r="F339" s="60"/>
      <c r="G339" s="2">
        <f>ROUND(E339*D339,2)</f>
        <v>21326.67</v>
      </c>
      <c r="H339" s="18"/>
      <c r="I339" s="18">
        <f t="shared" si="23"/>
        <v>21326.67</v>
      </c>
    </row>
    <row r="340" spans="1:11" outlineLevel="1" x14ac:dyDescent="0.25">
      <c r="A340" s="84"/>
      <c r="B340" s="558" t="s">
        <v>1418</v>
      </c>
      <c r="C340" s="21" t="s">
        <v>8</v>
      </c>
      <c r="D340" s="542">
        <f>ROUND(D339*0.1,2)</f>
        <v>21.33</v>
      </c>
      <c r="E340" s="18"/>
      <c r="F340" s="328">
        <v>4460</v>
      </c>
      <c r="G340" s="18"/>
      <c r="H340" s="2">
        <f>ROUND(D340*F340,2)</f>
        <v>95131.8</v>
      </c>
      <c r="I340" s="18">
        <f t="shared" si="23"/>
        <v>95131.8</v>
      </c>
    </row>
    <row r="341" spans="1:11" outlineLevel="1" x14ac:dyDescent="0.25">
      <c r="A341" s="84"/>
      <c r="B341" s="558" t="s">
        <v>1419</v>
      </c>
      <c r="C341" s="21" t="s">
        <v>14</v>
      </c>
      <c r="D341" s="542">
        <f>1019.1/3+89.2/4+19.8/4</f>
        <v>366.95</v>
      </c>
      <c r="E341" s="18"/>
      <c r="F341" s="328"/>
      <c r="G341" s="18"/>
      <c r="H341" s="2"/>
      <c r="I341" s="18"/>
    </row>
    <row r="342" spans="1:11" ht="18.75" customHeight="1" outlineLevel="1" x14ac:dyDescent="0.25">
      <c r="A342" s="107" t="s">
        <v>321</v>
      </c>
      <c r="B342" s="543" t="s">
        <v>1057</v>
      </c>
      <c r="C342" s="31" t="s">
        <v>14</v>
      </c>
      <c r="D342" s="541">
        <f>1019.1/6+97/6+89.2/4+19.8/4+2040.8/6+207.4/6+178.4/4</f>
        <v>632.56666666666672</v>
      </c>
      <c r="E342" s="256">
        <v>280</v>
      </c>
      <c r="F342" s="60"/>
      <c r="G342" s="2">
        <f>ROUND(E342*D342,2)</f>
        <v>177118.67</v>
      </c>
      <c r="H342" s="18"/>
      <c r="I342" s="18">
        <f t="shared" si="23"/>
        <v>177118.67</v>
      </c>
      <c r="K342" s="25" t="e">
        <f>D342+D345+#REF!+#REF!+D348</f>
        <v>#REF!</v>
      </c>
    </row>
    <row r="343" spans="1:11" outlineLevel="1" x14ac:dyDescent="0.25">
      <c r="A343" s="84"/>
      <c r="B343" s="558" t="s">
        <v>47</v>
      </c>
      <c r="C343" s="21" t="s">
        <v>8</v>
      </c>
      <c r="D343" s="542">
        <f>ROUND(D342*0.04,2)</f>
        <v>25.3</v>
      </c>
      <c r="E343" s="282"/>
      <c r="F343" s="11"/>
      <c r="G343" s="18"/>
      <c r="H343" s="2">
        <f>ROUND(D343*F343,2)</f>
        <v>0</v>
      </c>
      <c r="I343" s="18">
        <f t="shared" si="23"/>
        <v>0</v>
      </c>
    </row>
    <row r="344" spans="1:11" outlineLevel="1" x14ac:dyDescent="0.25">
      <c r="A344" s="84"/>
      <c r="B344" s="612" t="s">
        <v>1056</v>
      </c>
      <c r="C344" s="21" t="s">
        <v>14</v>
      </c>
      <c r="D344" s="542">
        <f>D342</f>
        <v>632.56666666666672</v>
      </c>
      <c r="E344" s="282"/>
      <c r="F344" s="361">
        <v>31.34</v>
      </c>
      <c r="G344" s="18"/>
      <c r="H344" s="2">
        <f>ROUND(D344*F344,2)</f>
        <v>19824.64</v>
      </c>
      <c r="I344" s="18">
        <f t="shared" si="23"/>
        <v>19824.64</v>
      </c>
    </row>
    <row r="345" spans="1:11" ht="31.5" customHeight="1" outlineLevel="1" x14ac:dyDescent="0.25">
      <c r="A345" s="107" t="s">
        <v>322</v>
      </c>
      <c r="B345" s="543" t="s">
        <v>1420</v>
      </c>
      <c r="C345" s="31" t="s">
        <v>14</v>
      </c>
      <c r="D345" s="541">
        <f>(9.8+35.7+79.6)/4</f>
        <v>31.274999999999999</v>
      </c>
      <c r="E345" s="256">
        <v>280</v>
      </c>
      <c r="F345" s="60"/>
      <c r="G345" s="2">
        <f>ROUND(E345*D345,2)</f>
        <v>8757</v>
      </c>
      <c r="H345" s="18"/>
      <c r="I345" s="18">
        <f t="shared" si="23"/>
        <v>8757</v>
      </c>
    </row>
    <row r="346" spans="1:11" outlineLevel="1" x14ac:dyDescent="0.25">
      <c r="A346" s="84"/>
      <c r="B346" s="558" t="s">
        <v>47</v>
      </c>
      <c r="C346" s="21" t="s">
        <v>8</v>
      </c>
      <c r="D346" s="542">
        <f>ROUND(D345*0.07,2)</f>
        <v>2.19</v>
      </c>
      <c r="E346" s="282"/>
      <c r="F346" s="11"/>
      <c r="G346" s="18"/>
      <c r="H346" s="2">
        <f>ROUND(D346*F346,2)</f>
        <v>0</v>
      </c>
      <c r="I346" s="18">
        <f t="shared" si="23"/>
        <v>0</v>
      </c>
    </row>
    <row r="347" spans="1:11" outlineLevel="1" x14ac:dyDescent="0.25">
      <c r="A347" s="84"/>
      <c r="B347" s="612" t="s">
        <v>1056</v>
      </c>
      <c r="C347" s="21" t="s">
        <v>14</v>
      </c>
      <c r="D347" s="542">
        <f>D345</f>
        <v>31.274999999999999</v>
      </c>
      <c r="E347" s="282"/>
      <c r="F347" s="361">
        <v>31.34</v>
      </c>
      <c r="G347" s="18"/>
      <c r="H347" s="2">
        <f>ROUND(D347*F347,2)</f>
        <v>980.16</v>
      </c>
      <c r="I347" s="18">
        <f t="shared" si="23"/>
        <v>980.16</v>
      </c>
    </row>
    <row r="348" spans="1:11" ht="31.2" outlineLevel="1" x14ac:dyDescent="0.25">
      <c r="A348" s="107" t="s">
        <v>532</v>
      </c>
      <c r="B348" s="543" t="s">
        <v>407</v>
      </c>
      <c r="C348" s="31" t="s">
        <v>14</v>
      </c>
      <c r="D348" s="256">
        <f>3.5+8.3+8.3+8.3+0.3+1.8+1.5+2.7+1.5+2.9+1.5</f>
        <v>40.6</v>
      </c>
      <c r="E348" s="256">
        <v>350</v>
      </c>
      <c r="F348" s="60"/>
      <c r="G348" s="2">
        <f>ROUND(E348*D348,2)</f>
        <v>14210</v>
      </c>
      <c r="H348" s="18"/>
      <c r="I348" s="18">
        <f t="shared" si="23"/>
        <v>14210</v>
      </c>
    </row>
    <row r="349" spans="1:11" outlineLevel="1" x14ac:dyDescent="0.25">
      <c r="A349" s="84"/>
      <c r="B349" s="558" t="s">
        <v>1061</v>
      </c>
      <c r="C349" s="21" t="s">
        <v>14</v>
      </c>
      <c r="D349" s="282">
        <f>+ROUND(D348*1.1,2)</f>
        <v>44.66</v>
      </c>
      <c r="E349" s="18"/>
      <c r="F349" s="361">
        <v>230</v>
      </c>
      <c r="G349" s="18"/>
      <c r="H349" s="2">
        <f>ROUND(D349*F349,2)</f>
        <v>10271.799999999999</v>
      </c>
      <c r="I349" s="18">
        <f t="shared" si="23"/>
        <v>10271.799999999999</v>
      </c>
    </row>
    <row r="350" spans="1:11" outlineLevel="1" x14ac:dyDescent="0.25">
      <c r="A350" s="84"/>
      <c r="B350" s="558" t="s">
        <v>49</v>
      </c>
      <c r="C350" s="21" t="s">
        <v>15</v>
      </c>
      <c r="D350" s="282">
        <f>+ROUND(D349*6,2)</f>
        <v>267.95999999999998</v>
      </c>
      <c r="E350" s="18"/>
      <c r="F350" s="361">
        <f>+ROUND(7.5*1.1,2)</f>
        <v>8.25</v>
      </c>
      <c r="G350" s="18"/>
      <c r="H350" s="2">
        <f>ROUND(D350*F350,2)</f>
        <v>2210.67</v>
      </c>
      <c r="I350" s="18">
        <f t="shared" si="23"/>
        <v>2210.67</v>
      </c>
    </row>
    <row r="351" spans="1:11" outlineLevel="1" x14ac:dyDescent="0.25">
      <c r="A351" s="84"/>
      <c r="B351" s="558" t="s">
        <v>1060</v>
      </c>
      <c r="C351" s="21" t="s">
        <v>15</v>
      </c>
      <c r="D351" s="282">
        <f>+ROUND(D349*0.19,2)</f>
        <v>8.49</v>
      </c>
      <c r="E351" s="18"/>
      <c r="F351" s="361">
        <v>9</v>
      </c>
      <c r="G351" s="18"/>
      <c r="H351" s="2">
        <f>ROUND(D351*F351,2)</f>
        <v>76.41</v>
      </c>
      <c r="I351" s="18">
        <f t="shared" si="23"/>
        <v>76.41</v>
      </c>
    </row>
    <row r="352" spans="1:11" ht="22.5" customHeight="1" outlineLevel="1" x14ac:dyDescent="0.25">
      <c r="A352" s="84"/>
      <c r="B352" s="10" t="s">
        <v>1073</v>
      </c>
      <c r="C352" s="21"/>
      <c r="D352" s="401"/>
      <c r="E352" s="18"/>
      <c r="F352" s="361"/>
      <c r="G352" s="18"/>
      <c r="H352" s="2"/>
      <c r="I352" s="18"/>
      <c r="K352" s="25">
        <f>D353+D356+D358</f>
        <v>1828.8166666666668</v>
      </c>
    </row>
    <row r="353" spans="1:11" ht="31.2" outlineLevel="1" x14ac:dyDescent="0.25">
      <c r="A353" s="107" t="s">
        <v>324</v>
      </c>
      <c r="B353" s="543" t="s">
        <v>1427</v>
      </c>
      <c r="C353" s="31" t="s">
        <v>14</v>
      </c>
      <c r="D353" s="262">
        <f>D137+D142</f>
        <v>370</v>
      </c>
      <c r="E353" s="256">
        <v>180</v>
      </c>
      <c r="F353" s="60"/>
      <c r="G353" s="2">
        <f>ROUND(E353*D353,2)</f>
        <v>66600</v>
      </c>
      <c r="H353" s="18"/>
      <c r="I353" s="18">
        <f t="shared" ref="I353:I360" si="24">H353+G353</f>
        <v>66600</v>
      </c>
    </row>
    <row r="354" spans="1:11" outlineLevel="1" x14ac:dyDescent="0.25">
      <c r="A354" s="206"/>
      <c r="B354" s="558" t="s">
        <v>1077</v>
      </c>
      <c r="C354" s="21" t="s">
        <v>15</v>
      </c>
      <c r="D354" s="282">
        <f>D353*0.2</f>
        <v>74</v>
      </c>
      <c r="E354" s="18"/>
      <c r="F354" s="361">
        <v>20</v>
      </c>
      <c r="G354" s="18"/>
      <c r="H354" s="2">
        <f>ROUND(D354*F354,2)</f>
        <v>1480</v>
      </c>
      <c r="I354" s="18">
        <f t="shared" si="24"/>
        <v>1480</v>
      </c>
    </row>
    <row r="355" spans="1:11" outlineLevel="1" x14ac:dyDescent="0.25">
      <c r="A355" s="206"/>
      <c r="B355" s="558" t="s">
        <v>715</v>
      </c>
      <c r="C355" s="21" t="s">
        <v>15</v>
      </c>
      <c r="D355" s="637">
        <f>D353*9*2</f>
        <v>6660</v>
      </c>
      <c r="E355" s="18"/>
      <c r="F355" s="361">
        <v>10</v>
      </c>
      <c r="G355" s="18"/>
      <c r="H355" s="2">
        <f>ROUND(D355*F355,2)</f>
        <v>66600</v>
      </c>
      <c r="I355" s="18">
        <f t="shared" si="24"/>
        <v>66600</v>
      </c>
    </row>
    <row r="356" spans="1:11" ht="31.2" outlineLevel="1" x14ac:dyDescent="0.25">
      <c r="A356" s="107" t="s">
        <v>532</v>
      </c>
      <c r="B356" s="543" t="s">
        <v>1428</v>
      </c>
      <c r="C356" s="31" t="s">
        <v>14</v>
      </c>
      <c r="D356" s="256">
        <f>5523.3/6</f>
        <v>920.55000000000007</v>
      </c>
      <c r="E356" s="256">
        <v>170</v>
      </c>
      <c r="F356" s="60"/>
      <c r="G356" s="2">
        <f>ROUND(E356*D356,2)</f>
        <v>156493.5</v>
      </c>
      <c r="H356" s="18"/>
      <c r="I356" s="18">
        <f t="shared" si="24"/>
        <v>156493.5</v>
      </c>
    </row>
    <row r="357" spans="1:11" outlineLevel="1" x14ac:dyDescent="0.25">
      <c r="A357" s="86"/>
      <c r="B357" s="558" t="s">
        <v>1072</v>
      </c>
      <c r="C357" s="21" t="s">
        <v>15</v>
      </c>
      <c r="D357" s="637">
        <f>+ROUND(30*D356,2)</f>
        <v>27616.5</v>
      </c>
      <c r="E357" s="282"/>
      <c r="F357" s="361">
        <v>7</v>
      </c>
      <c r="G357" s="18"/>
      <c r="H357" s="2">
        <f>ROUND(D357*F357,2)</f>
        <v>193315.5</v>
      </c>
      <c r="I357" s="18">
        <f t="shared" si="24"/>
        <v>193315.5</v>
      </c>
    </row>
    <row r="358" spans="1:11" outlineLevel="1" x14ac:dyDescent="0.25">
      <c r="A358" s="107" t="s">
        <v>533</v>
      </c>
      <c r="B358" s="543" t="s">
        <v>1075</v>
      </c>
      <c r="C358" s="31" t="s">
        <v>14</v>
      </c>
      <c r="D358" s="262">
        <f>3229.6/6</f>
        <v>538.26666666666665</v>
      </c>
      <c r="E358" s="256">
        <v>180</v>
      </c>
      <c r="F358" s="60"/>
      <c r="G358" s="2">
        <f>ROUND(E358*D358,2)</f>
        <v>96888</v>
      </c>
      <c r="H358" s="18"/>
      <c r="I358" s="18">
        <f t="shared" si="24"/>
        <v>96888</v>
      </c>
      <c r="J358" s="442">
        <f>310.9+548.6+193.2+1177.8</f>
        <v>2230.5</v>
      </c>
      <c r="K358" s="25" t="s">
        <v>1272</v>
      </c>
    </row>
    <row r="359" spans="1:11" outlineLevel="1" x14ac:dyDescent="0.25">
      <c r="A359" s="86"/>
      <c r="B359" s="558" t="s">
        <v>1077</v>
      </c>
      <c r="C359" s="21" t="s">
        <v>15</v>
      </c>
      <c r="D359" s="282">
        <f>D358*0.2</f>
        <v>107.65333333333334</v>
      </c>
      <c r="E359" s="18"/>
      <c r="F359" s="361">
        <v>20</v>
      </c>
      <c r="G359" s="18"/>
      <c r="H359" s="2">
        <f>ROUND(D359*F359,2)</f>
        <v>2153.0700000000002</v>
      </c>
      <c r="I359" s="18">
        <f t="shared" si="24"/>
        <v>2153.0700000000002</v>
      </c>
    </row>
    <row r="360" spans="1:11" outlineLevel="1" x14ac:dyDescent="0.25">
      <c r="A360" s="86"/>
      <c r="B360" s="558" t="s">
        <v>715</v>
      </c>
      <c r="C360" s="21" t="s">
        <v>15</v>
      </c>
      <c r="D360" s="637">
        <f>D358*9*2</f>
        <v>9688.7999999999993</v>
      </c>
      <c r="E360" s="18"/>
      <c r="F360" s="361">
        <v>10</v>
      </c>
      <c r="G360" s="18"/>
      <c r="H360" s="2">
        <f>ROUND(D360*F360,2)</f>
        <v>96888</v>
      </c>
      <c r="I360" s="18">
        <f t="shared" si="24"/>
        <v>96888</v>
      </c>
    </row>
    <row r="361" spans="1:11" ht="27.6" outlineLevel="1" x14ac:dyDescent="0.25">
      <c r="A361" s="223"/>
      <c r="B361" s="231" t="s">
        <v>56</v>
      </c>
      <c r="C361" s="225"/>
      <c r="D361" s="226"/>
      <c r="E361" s="227"/>
      <c r="F361" s="228"/>
      <c r="G361" s="227">
        <f>SUM(G336:G360)</f>
        <v>547481.84000000008</v>
      </c>
      <c r="H361" s="227">
        <f>SUM(H336:H360)</f>
        <v>494377.43</v>
      </c>
      <c r="I361" s="227">
        <f>SUM(I336:I360)</f>
        <v>1041859.2699999999</v>
      </c>
    </row>
    <row r="362" spans="1:11" outlineLevel="1" x14ac:dyDescent="0.25">
      <c r="A362" s="90"/>
      <c r="B362" s="471" t="s">
        <v>624</v>
      </c>
      <c r="C362" s="472"/>
      <c r="D362" s="473"/>
      <c r="E362" s="474"/>
      <c r="F362" s="475"/>
      <c r="G362" s="474"/>
      <c r="H362" s="474"/>
      <c r="I362" s="31">
        <f>ROUND(I361/1.18*0.18,2)</f>
        <v>158927.69</v>
      </c>
    </row>
    <row r="363" spans="1:11" ht="46.8" outlineLevel="1" x14ac:dyDescent="0.25">
      <c r="A363" s="520"/>
      <c r="B363" s="604" t="s">
        <v>1425</v>
      </c>
      <c r="C363" s="517"/>
      <c r="D363" s="517"/>
      <c r="E363" s="517"/>
      <c r="F363" s="517"/>
      <c r="G363" s="517"/>
      <c r="H363" s="517"/>
      <c r="I363" s="521"/>
    </row>
    <row r="364" spans="1:11" ht="24.75" customHeight="1" outlineLevel="1" x14ac:dyDescent="0.25">
      <c r="A364" s="107" t="s">
        <v>325</v>
      </c>
      <c r="B364" s="543" t="s">
        <v>1409</v>
      </c>
      <c r="C364" s="31" t="s">
        <v>14</v>
      </c>
      <c r="D364" s="545">
        <f>1302.9/6</f>
        <v>217.15</v>
      </c>
      <c r="E364" s="541">
        <v>250</v>
      </c>
      <c r="F364" s="60"/>
      <c r="G364" s="2">
        <f>ROUND(E364*D364,2)</f>
        <v>54287.5</v>
      </c>
      <c r="H364" s="18"/>
      <c r="I364" s="18">
        <f t="shared" ref="I364:I370" si="25">H364+G364</f>
        <v>54287.5</v>
      </c>
    </row>
    <row r="365" spans="1:11" outlineLevel="1" x14ac:dyDescent="0.25">
      <c r="A365" s="84"/>
      <c r="B365" s="612" t="s">
        <v>1410</v>
      </c>
      <c r="C365" s="21" t="s">
        <v>8</v>
      </c>
      <c r="D365" s="542">
        <f>ROUND(D364*0.1,2)</f>
        <v>21.72</v>
      </c>
      <c r="E365" s="18"/>
      <c r="F365" s="164">
        <v>850</v>
      </c>
      <c r="G365" s="18"/>
      <c r="H365" s="18">
        <f>F365*D365</f>
        <v>18462</v>
      </c>
      <c r="I365" s="18">
        <f t="shared" si="25"/>
        <v>18462</v>
      </c>
    </row>
    <row r="366" spans="1:11" ht="18" customHeight="1" outlineLevel="1" x14ac:dyDescent="0.25">
      <c r="A366" s="107" t="s">
        <v>325</v>
      </c>
      <c r="B366" s="543" t="s">
        <v>1414</v>
      </c>
      <c r="C366" s="31" t="s">
        <v>14</v>
      </c>
      <c r="D366" s="264">
        <v>5</v>
      </c>
      <c r="E366" s="256">
        <v>2500</v>
      </c>
      <c r="F366" s="60"/>
      <c r="G366" s="2">
        <f>ROUND(E366*D366,2)</f>
        <v>12500</v>
      </c>
      <c r="H366" s="18"/>
      <c r="I366" s="18">
        <f t="shared" si="25"/>
        <v>12500</v>
      </c>
    </row>
    <row r="367" spans="1:11" outlineLevel="1" x14ac:dyDescent="0.25">
      <c r="A367" s="84"/>
      <c r="B367" s="612" t="s">
        <v>1062</v>
      </c>
      <c r="C367" s="21" t="s">
        <v>8</v>
      </c>
      <c r="D367" s="282">
        <f>ROUND(D366*0.1,2)</f>
        <v>0.5</v>
      </c>
      <c r="E367" s="18"/>
      <c r="F367" s="664">
        <v>3450</v>
      </c>
      <c r="G367" s="18"/>
      <c r="H367" s="18">
        <f>F367*D367</f>
        <v>1725</v>
      </c>
      <c r="I367" s="18">
        <f t="shared" si="25"/>
        <v>1725</v>
      </c>
    </row>
    <row r="368" spans="1:11" outlineLevel="1" x14ac:dyDescent="0.25">
      <c r="A368" s="84"/>
      <c r="B368" s="612" t="s">
        <v>1413</v>
      </c>
      <c r="C368" s="21" t="s">
        <v>8</v>
      </c>
      <c r="D368" s="282">
        <f>ROUND(D367*0.05,2)</f>
        <v>0.03</v>
      </c>
      <c r="E368" s="18"/>
      <c r="F368" s="164">
        <v>850</v>
      </c>
      <c r="G368" s="18"/>
      <c r="H368" s="18">
        <f>F368*D368</f>
        <v>25.5</v>
      </c>
      <c r="I368" s="18">
        <f t="shared" si="25"/>
        <v>25.5</v>
      </c>
    </row>
    <row r="369" spans="1:12" outlineLevel="1" x14ac:dyDescent="0.25">
      <c r="A369" s="107" t="s">
        <v>326</v>
      </c>
      <c r="B369" s="531" t="s">
        <v>1064</v>
      </c>
      <c r="C369" s="31" t="s">
        <v>14</v>
      </c>
      <c r="D369" s="282">
        <v>5</v>
      </c>
      <c r="E369" s="256">
        <v>120</v>
      </c>
      <c r="F369" s="60"/>
      <c r="G369" s="2">
        <f>ROUND(E369*D369,2)</f>
        <v>600</v>
      </c>
      <c r="H369" s="18"/>
      <c r="I369" s="18">
        <f t="shared" si="25"/>
        <v>600</v>
      </c>
    </row>
    <row r="370" spans="1:12" outlineLevel="1" x14ac:dyDescent="0.25">
      <c r="A370" s="84"/>
      <c r="B370" s="612" t="s">
        <v>1063</v>
      </c>
      <c r="C370" s="21" t="s">
        <v>14</v>
      </c>
      <c r="D370" s="282">
        <f>ROUND(D369*1.1*2,2)</f>
        <v>11</v>
      </c>
      <c r="E370" s="18"/>
      <c r="F370" s="164">
        <f>ROUND(88.7*1.1,2)</f>
        <v>97.57</v>
      </c>
      <c r="G370" s="18"/>
      <c r="H370" s="2">
        <f>ROUND(D370*F370,2)</f>
        <v>1073.27</v>
      </c>
      <c r="I370" s="18">
        <f t="shared" si="25"/>
        <v>1073.27</v>
      </c>
    </row>
    <row r="371" spans="1:12" ht="31.2" outlineLevel="1" x14ac:dyDescent="0.25">
      <c r="A371" s="107" t="s">
        <v>536</v>
      </c>
      <c r="B371" s="543" t="s">
        <v>1066</v>
      </c>
      <c r="C371" s="31" t="s">
        <v>14</v>
      </c>
      <c r="D371" s="256">
        <v>4.8</v>
      </c>
      <c r="E371" s="256">
        <v>280</v>
      </c>
      <c r="F371" s="60"/>
      <c r="G371" s="2">
        <f>ROUND(E371*D371,2)</f>
        <v>1344</v>
      </c>
      <c r="H371" s="18"/>
      <c r="I371" s="18">
        <f t="shared" ref="I371:I378" si="26">H371+G371</f>
        <v>1344</v>
      </c>
    </row>
    <row r="372" spans="1:12" outlineLevel="1" x14ac:dyDescent="0.25">
      <c r="A372" s="84"/>
      <c r="B372" s="558" t="s">
        <v>1065</v>
      </c>
      <c r="C372" s="21" t="s">
        <v>8</v>
      </c>
      <c r="D372" s="282">
        <f>D371*0.04</f>
        <v>0.192</v>
      </c>
      <c r="E372" s="18"/>
      <c r="F372" s="11"/>
      <c r="G372" s="18"/>
      <c r="H372" s="2">
        <f>ROUND(D372*F372,2)</f>
        <v>0</v>
      </c>
      <c r="I372" s="18">
        <f t="shared" si="26"/>
        <v>0</v>
      </c>
    </row>
    <row r="373" spans="1:12" outlineLevel="1" x14ac:dyDescent="0.25">
      <c r="A373" s="84"/>
      <c r="B373" s="612" t="s">
        <v>1056</v>
      </c>
      <c r="C373" s="21" t="s">
        <v>14</v>
      </c>
      <c r="D373" s="282">
        <f>D371</f>
        <v>4.8</v>
      </c>
      <c r="E373" s="18"/>
      <c r="F373" s="361">
        <v>31.34</v>
      </c>
      <c r="G373" s="18"/>
      <c r="H373" s="2">
        <f>ROUND(D373*F373,2)</f>
        <v>150.43</v>
      </c>
      <c r="I373" s="18">
        <f t="shared" si="26"/>
        <v>150.43</v>
      </c>
    </row>
    <row r="374" spans="1:12" ht="31.2" outlineLevel="1" x14ac:dyDescent="0.25">
      <c r="A374" s="107" t="s">
        <v>537</v>
      </c>
      <c r="B374" s="543" t="s">
        <v>1421</v>
      </c>
      <c r="C374" s="31" t="s">
        <v>14</v>
      </c>
      <c r="D374" s="256">
        <v>13.6</v>
      </c>
      <c r="E374" s="256">
        <v>170</v>
      </c>
      <c r="F374" s="60"/>
      <c r="G374" s="2">
        <f>ROUND(E374*D374,2)</f>
        <v>2312</v>
      </c>
      <c r="H374" s="18"/>
      <c r="I374" s="18">
        <f t="shared" si="26"/>
        <v>2312</v>
      </c>
    </row>
    <row r="375" spans="1:12" outlineLevel="1" x14ac:dyDescent="0.25">
      <c r="A375" s="84"/>
      <c r="B375" s="558" t="s">
        <v>1072</v>
      </c>
      <c r="C375" s="21" t="s">
        <v>15</v>
      </c>
      <c r="D375" s="637">
        <f>+ROUND(30*D374,2)</f>
        <v>408</v>
      </c>
      <c r="E375" s="282"/>
      <c r="F375" s="361">
        <v>7</v>
      </c>
      <c r="G375" s="18"/>
      <c r="H375" s="2">
        <f>ROUND(D375*F375,2)</f>
        <v>2856</v>
      </c>
      <c r="I375" s="18">
        <f t="shared" si="26"/>
        <v>2856</v>
      </c>
    </row>
    <row r="376" spans="1:12" outlineLevel="1" x14ac:dyDescent="0.25">
      <c r="A376" s="84"/>
      <c r="B376" s="558" t="s">
        <v>41</v>
      </c>
      <c r="C376" s="21" t="s">
        <v>15</v>
      </c>
      <c r="D376" s="282">
        <f>D374*0.2</f>
        <v>2.72</v>
      </c>
      <c r="E376" s="18"/>
      <c r="F376" s="361">
        <v>20</v>
      </c>
      <c r="G376" s="18"/>
      <c r="H376" s="2">
        <f>ROUND(D376*F376,2)</f>
        <v>54.4</v>
      </c>
      <c r="I376" s="18">
        <f t="shared" si="26"/>
        <v>54.4</v>
      </c>
    </row>
    <row r="377" spans="1:12" outlineLevel="1" x14ac:dyDescent="0.25">
      <c r="A377" s="84"/>
      <c r="B377" s="558" t="s">
        <v>715</v>
      </c>
      <c r="C377" s="21" t="s">
        <v>15</v>
      </c>
      <c r="D377" s="637">
        <f>D374*9*2</f>
        <v>244.79999999999998</v>
      </c>
      <c r="E377" s="18"/>
      <c r="F377" s="361">
        <v>10</v>
      </c>
      <c r="G377" s="18"/>
      <c r="H377" s="2">
        <f>ROUND(D377*F377,2)</f>
        <v>2448</v>
      </c>
      <c r="I377" s="18">
        <f t="shared" si="26"/>
        <v>2448</v>
      </c>
    </row>
    <row r="378" spans="1:12" outlineLevel="1" x14ac:dyDescent="0.25">
      <c r="A378" s="84"/>
      <c r="B378" s="612" t="s">
        <v>1071</v>
      </c>
      <c r="C378" s="21" t="s">
        <v>30</v>
      </c>
      <c r="D378" s="540">
        <f>D374*0.4</f>
        <v>5.44</v>
      </c>
      <c r="E378" s="18"/>
      <c r="F378" s="361">
        <v>120</v>
      </c>
      <c r="G378" s="18"/>
      <c r="H378" s="2">
        <f>ROUND(D378*F378,2)</f>
        <v>652.79999999999995</v>
      </c>
      <c r="I378" s="18">
        <f t="shared" si="26"/>
        <v>652.79999999999995</v>
      </c>
    </row>
    <row r="379" spans="1:12" ht="31.2" outlineLevel="1" x14ac:dyDescent="0.25">
      <c r="A379" s="107" t="s">
        <v>538</v>
      </c>
      <c r="B379" s="543" t="s">
        <v>1076</v>
      </c>
      <c r="C379" s="31" t="s">
        <v>14</v>
      </c>
      <c r="D379" s="262">
        <v>5</v>
      </c>
      <c r="E379" s="256">
        <v>180</v>
      </c>
      <c r="F379" s="60"/>
      <c r="G379" s="2">
        <f>ROUND(E379*D379,2)</f>
        <v>900</v>
      </c>
      <c r="H379" s="18"/>
      <c r="I379" s="18">
        <f>H379+G379</f>
        <v>900</v>
      </c>
    </row>
    <row r="380" spans="1:12" outlineLevel="1" x14ac:dyDescent="0.25">
      <c r="A380" s="84"/>
      <c r="B380" s="558" t="s">
        <v>1072</v>
      </c>
      <c r="C380" s="21" t="s">
        <v>15</v>
      </c>
      <c r="D380" s="637">
        <f>+ROUND(30*D379,2)</f>
        <v>150</v>
      </c>
      <c r="E380" s="282"/>
      <c r="F380" s="361">
        <v>7</v>
      </c>
      <c r="G380" s="18"/>
      <c r="H380" s="2">
        <f>ROUND(D380*F380,2)</f>
        <v>1050</v>
      </c>
      <c r="I380" s="18">
        <f>H380+G380</f>
        <v>1050</v>
      </c>
    </row>
    <row r="381" spans="1:12" outlineLevel="1" x14ac:dyDescent="0.25">
      <c r="A381" s="84"/>
      <c r="B381" s="558" t="s">
        <v>1077</v>
      </c>
      <c r="C381" s="21" t="s">
        <v>15</v>
      </c>
      <c r="D381" s="282">
        <f>D379*0.2</f>
        <v>1</v>
      </c>
      <c r="E381" s="18"/>
      <c r="F381" s="361">
        <v>20</v>
      </c>
      <c r="G381" s="18"/>
      <c r="H381" s="2">
        <f>ROUND(D381*F381,2)</f>
        <v>20</v>
      </c>
      <c r="I381" s="18">
        <f>H381+G381</f>
        <v>20</v>
      </c>
    </row>
    <row r="382" spans="1:12" outlineLevel="1" x14ac:dyDescent="0.25">
      <c r="A382" s="84"/>
      <c r="B382" s="558" t="s">
        <v>715</v>
      </c>
      <c r="C382" s="21" t="s">
        <v>15</v>
      </c>
      <c r="D382" s="637">
        <f>D379*9*2</f>
        <v>90</v>
      </c>
      <c r="E382" s="18"/>
      <c r="F382" s="361">
        <v>10</v>
      </c>
      <c r="G382" s="18"/>
      <c r="H382" s="2">
        <f>ROUND(D382*F382,2)</f>
        <v>900</v>
      </c>
      <c r="I382" s="18">
        <f>H382+G382</f>
        <v>900</v>
      </c>
    </row>
    <row r="383" spans="1:12" outlineLevel="1" x14ac:dyDescent="0.25">
      <c r="A383" s="84"/>
      <c r="B383" s="612" t="s">
        <v>1071</v>
      </c>
      <c r="C383" s="21" t="s">
        <v>30</v>
      </c>
      <c r="D383" s="540">
        <f>D379*0.4</f>
        <v>2</v>
      </c>
      <c r="E383" s="18"/>
      <c r="F383" s="361">
        <v>120</v>
      </c>
      <c r="G383" s="18"/>
      <c r="H383" s="2">
        <f>ROUND(D383*F383,2)</f>
        <v>240</v>
      </c>
      <c r="I383" s="18">
        <f>H383+G383</f>
        <v>240</v>
      </c>
    </row>
    <row r="384" spans="1:12" ht="41.4" x14ac:dyDescent="0.25">
      <c r="A384" s="223"/>
      <c r="B384" s="231" t="s">
        <v>1472</v>
      </c>
      <c r="C384" s="225"/>
      <c r="D384" s="226"/>
      <c r="E384" s="227"/>
      <c r="F384" s="228"/>
      <c r="G384" s="227">
        <f>SUM(G364:G383)</f>
        <v>71943.5</v>
      </c>
      <c r="H384" s="227">
        <f>SUM(H364:H383)</f>
        <v>29657.4</v>
      </c>
      <c r="I384" s="227">
        <f>SUM(I364:I383)</f>
        <v>101600.9</v>
      </c>
      <c r="L384" s="133"/>
    </row>
    <row r="385" spans="1:10" ht="18.600000000000001" customHeight="1" x14ac:dyDescent="0.25">
      <c r="A385" s="90"/>
      <c r="B385" s="471" t="s">
        <v>624</v>
      </c>
      <c r="C385" s="472"/>
      <c r="D385" s="473"/>
      <c r="E385" s="474"/>
      <c r="F385" s="475"/>
      <c r="G385" s="474"/>
      <c r="H385" s="474"/>
      <c r="I385" s="473">
        <f>ROUND(I384/1.18*0.18,2)</f>
        <v>15498.44</v>
      </c>
    </row>
    <row r="386" spans="1:10" ht="30" customHeight="1" x14ac:dyDescent="0.25">
      <c r="A386" s="109"/>
      <c r="B386" s="604" t="s">
        <v>1207</v>
      </c>
      <c r="C386" s="477"/>
      <c r="D386" s="477"/>
      <c r="E386" s="478"/>
      <c r="F386" s="479"/>
      <c r="G386" s="480"/>
      <c r="H386" s="480"/>
      <c r="I386" s="483"/>
    </row>
    <row r="387" spans="1:10" ht="20.25" customHeight="1" outlineLevel="1" x14ac:dyDescent="0.25">
      <c r="A387" s="107" t="s">
        <v>154</v>
      </c>
      <c r="B387" s="636" t="s">
        <v>1422</v>
      </c>
      <c r="C387" s="72" t="s">
        <v>14</v>
      </c>
      <c r="D387" s="355">
        <f>5.3+22.1+27.4+37.4+27.4+55.2+27.4</f>
        <v>202.20000000000002</v>
      </c>
      <c r="E387" s="355">
        <v>170</v>
      </c>
      <c r="F387" s="146"/>
      <c r="G387" s="476">
        <f>ROUND(E387*D387,2)</f>
        <v>34374</v>
      </c>
      <c r="H387" s="73"/>
      <c r="I387" s="73">
        <f t="shared" ref="I387:I395" si="27">H387+G387</f>
        <v>34374</v>
      </c>
    </row>
    <row r="388" spans="1:10" outlineLevel="1" x14ac:dyDescent="0.25">
      <c r="A388" s="84"/>
      <c r="B388" s="558" t="s">
        <v>1072</v>
      </c>
      <c r="C388" s="21" t="s">
        <v>15</v>
      </c>
      <c r="D388" s="637">
        <f>+ROUND(30*D387,2)</f>
        <v>6066</v>
      </c>
      <c r="E388" s="282"/>
      <c r="F388" s="361">
        <v>7</v>
      </c>
      <c r="G388" s="18"/>
      <c r="H388" s="2">
        <f>ROUND(D388*F388,2)</f>
        <v>42462</v>
      </c>
      <c r="I388" s="18">
        <f t="shared" si="27"/>
        <v>42462</v>
      </c>
    </row>
    <row r="389" spans="1:10" outlineLevel="1" x14ac:dyDescent="0.25">
      <c r="A389" s="84"/>
      <c r="B389" s="558" t="s">
        <v>1077</v>
      </c>
      <c r="C389" s="21" t="s">
        <v>15</v>
      </c>
      <c r="D389" s="282">
        <f>D388*0.2</f>
        <v>1213.2</v>
      </c>
      <c r="E389" s="18"/>
      <c r="F389" s="361">
        <v>20</v>
      </c>
      <c r="G389" s="18"/>
      <c r="H389" s="2">
        <f>ROUND(D389*F389,2)</f>
        <v>24264</v>
      </c>
      <c r="I389" s="18">
        <f>H389+G389</f>
        <v>24264</v>
      </c>
    </row>
    <row r="390" spans="1:10" outlineLevel="1" x14ac:dyDescent="0.25">
      <c r="A390" s="84"/>
      <c r="B390" s="558" t="s">
        <v>715</v>
      </c>
      <c r="C390" s="21" t="s">
        <v>15</v>
      </c>
      <c r="D390" s="637">
        <f>D387*9*2</f>
        <v>3639.6000000000004</v>
      </c>
      <c r="E390" s="18"/>
      <c r="F390" s="361">
        <v>10</v>
      </c>
      <c r="G390" s="18"/>
      <c r="H390" s="2">
        <f>ROUND(D390*F390,2)</f>
        <v>36396</v>
      </c>
      <c r="I390" s="18">
        <f>H390+G390</f>
        <v>36396</v>
      </c>
    </row>
    <row r="391" spans="1:10" outlineLevel="1" x14ac:dyDescent="0.25">
      <c r="A391" s="84"/>
      <c r="B391" s="612" t="s">
        <v>1423</v>
      </c>
      <c r="C391" s="21" t="s">
        <v>30</v>
      </c>
      <c r="D391" s="540">
        <f>D387*0.4</f>
        <v>80.88000000000001</v>
      </c>
      <c r="E391" s="18"/>
      <c r="F391" s="361">
        <v>120</v>
      </c>
      <c r="G391" s="18"/>
      <c r="H391" s="2">
        <f>ROUND(D391*F391,2)</f>
        <v>9705.6</v>
      </c>
      <c r="I391" s="18">
        <f>H391+G391</f>
        <v>9705.6</v>
      </c>
    </row>
    <row r="392" spans="1:10" ht="31.5" customHeight="1" outlineLevel="1" x14ac:dyDescent="0.25">
      <c r="A392" s="107" t="s">
        <v>157</v>
      </c>
      <c r="B392" s="543" t="s">
        <v>1424</v>
      </c>
      <c r="C392" s="31" t="s">
        <v>14</v>
      </c>
      <c r="D392" s="262">
        <f>5.9</f>
        <v>5.9</v>
      </c>
      <c r="E392" s="256">
        <v>180</v>
      </c>
      <c r="F392" s="60"/>
      <c r="G392" s="2">
        <f>ROUND(E392*D392,2)</f>
        <v>1062</v>
      </c>
      <c r="H392" s="18"/>
      <c r="I392" s="18">
        <f>H392+G392</f>
        <v>1062</v>
      </c>
      <c r="J392" s="25">
        <v>360.48</v>
      </c>
    </row>
    <row r="393" spans="1:10" outlineLevel="1" x14ac:dyDescent="0.25">
      <c r="A393" s="84"/>
      <c r="B393" s="558" t="s">
        <v>1077</v>
      </c>
      <c r="C393" s="21" t="s">
        <v>15</v>
      </c>
      <c r="D393" s="282">
        <f>D392*0.2</f>
        <v>1.1800000000000002</v>
      </c>
      <c r="E393" s="18"/>
      <c r="F393" s="361">
        <v>20</v>
      </c>
      <c r="G393" s="18"/>
      <c r="H393" s="2">
        <f>ROUND(D393*F393,2)</f>
        <v>23.6</v>
      </c>
      <c r="I393" s="18">
        <f t="shared" si="27"/>
        <v>23.6</v>
      </c>
    </row>
    <row r="394" spans="1:10" outlineLevel="1" x14ac:dyDescent="0.25">
      <c r="A394" s="84"/>
      <c r="B394" s="558" t="s">
        <v>715</v>
      </c>
      <c r="C394" s="21" t="s">
        <v>15</v>
      </c>
      <c r="D394" s="637">
        <f>D392*9*2</f>
        <v>106.2</v>
      </c>
      <c r="E394" s="18"/>
      <c r="F394" s="361">
        <v>10</v>
      </c>
      <c r="G394" s="18"/>
      <c r="H394" s="2">
        <f>ROUND(D394*F394,2)</f>
        <v>1062</v>
      </c>
      <c r="I394" s="18">
        <f t="shared" si="27"/>
        <v>1062</v>
      </c>
    </row>
    <row r="395" spans="1:10" outlineLevel="1" x14ac:dyDescent="0.25">
      <c r="A395" s="84"/>
      <c r="B395" s="612" t="s">
        <v>1423</v>
      </c>
      <c r="C395" s="21" t="s">
        <v>30</v>
      </c>
      <c r="D395" s="540">
        <f>D392*0.4</f>
        <v>2.3600000000000003</v>
      </c>
      <c r="E395" s="18"/>
      <c r="F395" s="361">
        <v>120</v>
      </c>
      <c r="G395" s="18"/>
      <c r="H395" s="2">
        <f>ROUND(D395*F395,2)</f>
        <v>283.2</v>
      </c>
      <c r="I395" s="18">
        <f t="shared" si="27"/>
        <v>283.2</v>
      </c>
    </row>
    <row r="396" spans="1:10" ht="30.75" customHeight="1" outlineLevel="1" x14ac:dyDescent="0.25">
      <c r="A396" s="107" t="s">
        <v>158</v>
      </c>
      <c r="B396" s="543" t="s">
        <v>1076</v>
      </c>
      <c r="C396" s="31" t="s">
        <v>14</v>
      </c>
      <c r="D396" s="262">
        <f>2.2+8.9+8+15.1+8+15.1+8</f>
        <v>65.300000000000011</v>
      </c>
      <c r="E396" s="256">
        <v>180</v>
      </c>
      <c r="F396" s="60"/>
      <c r="G396" s="2">
        <f>ROUND(E396*D396,2)</f>
        <v>11754</v>
      </c>
      <c r="H396" s="18"/>
      <c r="I396" s="18">
        <f t="shared" ref="I396:I401" si="28">H396+G396</f>
        <v>11754</v>
      </c>
    </row>
    <row r="397" spans="1:10" ht="17.25" customHeight="1" outlineLevel="1" x14ac:dyDescent="0.25">
      <c r="A397" s="86"/>
      <c r="B397" s="558" t="s">
        <v>1077</v>
      </c>
      <c r="C397" s="21" t="s">
        <v>15</v>
      </c>
      <c r="D397" s="282">
        <f>D396*0.2</f>
        <v>13.060000000000002</v>
      </c>
      <c r="E397" s="18"/>
      <c r="F397" s="361">
        <v>20</v>
      </c>
      <c r="G397" s="18"/>
      <c r="H397" s="2">
        <f>ROUND(D397*F397,2)</f>
        <v>261.2</v>
      </c>
      <c r="I397" s="18">
        <f t="shared" si="28"/>
        <v>261.2</v>
      </c>
    </row>
    <row r="398" spans="1:10" outlineLevel="1" x14ac:dyDescent="0.25">
      <c r="A398" s="86"/>
      <c r="B398" s="558" t="s">
        <v>715</v>
      </c>
      <c r="C398" s="21" t="s">
        <v>15</v>
      </c>
      <c r="D398" s="637">
        <f>D396*9*2</f>
        <v>1175.4000000000001</v>
      </c>
      <c r="E398" s="18"/>
      <c r="F398" s="361">
        <v>10</v>
      </c>
      <c r="G398" s="18"/>
      <c r="H398" s="2">
        <f>ROUND(D398*F398,2)</f>
        <v>11754</v>
      </c>
      <c r="I398" s="18">
        <f t="shared" si="28"/>
        <v>11754</v>
      </c>
    </row>
    <row r="399" spans="1:10" outlineLevel="1" x14ac:dyDescent="0.25">
      <c r="A399" s="86"/>
      <c r="B399" s="612" t="s">
        <v>1071</v>
      </c>
      <c r="C399" s="21" t="s">
        <v>30</v>
      </c>
      <c r="D399" s="540">
        <f>D396*0.4</f>
        <v>26.120000000000005</v>
      </c>
      <c r="E399" s="18"/>
      <c r="F399" s="361">
        <v>120</v>
      </c>
      <c r="G399" s="18"/>
      <c r="H399" s="2">
        <f>ROUND(D399*F399,2)</f>
        <v>3134.4</v>
      </c>
      <c r="I399" s="18">
        <f t="shared" si="28"/>
        <v>3134.4</v>
      </c>
    </row>
    <row r="400" spans="1:10" outlineLevel="1" x14ac:dyDescent="0.25">
      <c r="A400" s="107" t="s">
        <v>1208</v>
      </c>
      <c r="B400" s="543" t="s">
        <v>74</v>
      </c>
      <c r="C400" s="176" t="s">
        <v>12</v>
      </c>
      <c r="D400" s="256">
        <f>D401</f>
        <v>12</v>
      </c>
      <c r="E400" s="256">
        <v>200</v>
      </c>
      <c r="F400" s="11"/>
      <c r="G400" s="2">
        <f>ROUND(E400*D400,2)</f>
        <v>2400</v>
      </c>
      <c r="H400" s="2"/>
      <c r="I400" s="2">
        <f t="shared" si="28"/>
        <v>2400</v>
      </c>
    </row>
    <row r="401" spans="1:12" outlineLevel="1" x14ac:dyDescent="0.25">
      <c r="A401" s="86"/>
      <c r="B401" s="612" t="s">
        <v>75</v>
      </c>
      <c r="C401" s="21" t="s">
        <v>12</v>
      </c>
      <c r="D401" s="282">
        <v>12</v>
      </c>
      <c r="E401" s="2"/>
      <c r="F401" s="361">
        <v>175</v>
      </c>
      <c r="G401" s="2"/>
      <c r="H401" s="2">
        <f>ROUND(D401*F401,2)</f>
        <v>2100</v>
      </c>
      <c r="I401" s="2">
        <f t="shared" si="28"/>
        <v>2100</v>
      </c>
    </row>
    <row r="402" spans="1:12" ht="27.6" x14ac:dyDescent="0.25">
      <c r="A402" s="223"/>
      <c r="B402" s="231" t="s">
        <v>71</v>
      </c>
      <c r="C402" s="225"/>
      <c r="D402" s="226"/>
      <c r="E402" s="227"/>
      <c r="F402" s="228"/>
      <c r="G402" s="227">
        <f>SUM(G387:G401)</f>
        <v>49590</v>
      </c>
      <c r="H402" s="227">
        <f>SUM(H387:H401)</f>
        <v>131446</v>
      </c>
      <c r="I402" s="227">
        <f>SUM(I387:I401)</f>
        <v>181036.00000000003</v>
      </c>
      <c r="L402" s="185"/>
    </row>
    <row r="403" spans="1:12" ht="16.95" customHeight="1" x14ac:dyDescent="0.25">
      <c r="A403" s="90"/>
      <c r="B403" s="471" t="s">
        <v>624</v>
      </c>
      <c r="C403" s="9"/>
      <c r="D403" s="31"/>
      <c r="E403" s="10"/>
      <c r="F403" s="57"/>
      <c r="G403" s="10"/>
      <c r="H403" s="10"/>
      <c r="I403" s="31">
        <f>ROUND(I402/1.18*0.18,2)</f>
        <v>27615.66</v>
      </c>
    </row>
    <row r="404" spans="1:12" ht="24.75" customHeight="1" x14ac:dyDescent="0.25">
      <c r="A404" s="108"/>
      <c r="B404" s="694" t="s">
        <v>1242</v>
      </c>
      <c r="C404" s="105"/>
      <c r="D404" s="105"/>
      <c r="E404" s="105"/>
      <c r="F404" s="138"/>
      <c r="G404" s="105"/>
      <c r="H404" s="105"/>
      <c r="I404" s="106"/>
    </row>
    <row r="405" spans="1:12" s="15" customFormat="1" ht="33" customHeight="1" outlineLevel="1" x14ac:dyDescent="0.25">
      <c r="A405" s="107" t="s">
        <v>76</v>
      </c>
      <c r="B405" s="557" t="s">
        <v>69</v>
      </c>
      <c r="C405" s="31" t="s">
        <v>8</v>
      </c>
      <c r="D405" s="541">
        <f>58.39*0.07*1</f>
        <v>4.0873000000000008</v>
      </c>
      <c r="E405" s="256">
        <v>1000</v>
      </c>
      <c r="F405" s="11"/>
      <c r="G405" s="2">
        <f>ROUND(E405*D405,2)</f>
        <v>4087.3</v>
      </c>
      <c r="H405" s="2"/>
      <c r="I405" s="2">
        <f>H405+G405</f>
        <v>4087.3</v>
      </c>
    </row>
    <row r="406" spans="1:12" s="15" customFormat="1" outlineLevel="1" x14ac:dyDescent="0.25">
      <c r="A406" s="86"/>
      <c r="B406" s="361" t="s">
        <v>240</v>
      </c>
      <c r="C406" s="21" t="s">
        <v>8</v>
      </c>
      <c r="D406" s="282">
        <f>D405*1.1</f>
        <v>4.4960300000000011</v>
      </c>
      <c r="E406" s="282"/>
      <c r="F406" s="361">
        <v>250</v>
      </c>
      <c r="G406" s="2"/>
      <c r="H406" s="2">
        <f>ROUND(D406*F406,2)</f>
        <v>1124.01</v>
      </c>
      <c r="I406" s="2">
        <f>H406+G406</f>
        <v>1124.01</v>
      </c>
    </row>
    <row r="407" spans="1:12" s="15" customFormat="1" outlineLevel="1" x14ac:dyDescent="0.25">
      <c r="A407" s="86"/>
      <c r="B407" s="558" t="s">
        <v>1329</v>
      </c>
      <c r="C407" s="21" t="s">
        <v>8</v>
      </c>
      <c r="D407" s="282">
        <f>1.02*D405</f>
        <v>4.1690460000000007</v>
      </c>
      <c r="E407" s="282"/>
      <c r="F407" s="164">
        <v>4800</v>
      </c>
      <c r="G407" s="2"/>
      <c r="H407" s="2">
        <f>ROUND(D407*F407,2)</f>
        <v>20011.419999999998</v>
      </c>
      <c r="I407" s="2">
        <f>H407+G407</f>
        <v>20011.419999999998</v>
      </c>
    </row>
    <row r="408" spans="1:12" s="15" customFormat="1" hidden="1" outlineLevel="1" x14ac:dyDescent="0.25">
      <c r="A408" s="107" t="s">
        <v>78</v>
      </c>
      <c r="B408" s="344" t="s">
        <v>470</v>
      </c>
      <c r="C408" s="31" t="s">
        <v>8</v>
      </c>
      <c r="D408" s="306">
        <v>0</v>
      </c>
      <c r="E408" s="256">
        <v>1000</v>
      </c>
      <c r="F408" s="11"/>
      <c r="G408" s="2">
        <f>ROUND(E408*D408,2)</f>
        <v>0</v>
      </c>
      <c r="H408" s="2"/>
      <c r="I408" s="2">
        <f>H408+G408</f>
        <v>0</v>
      </c>
    </row>
    <row r="409" spans="1:12" s="15" customFormat="1" hidden="1" outlineLevel="1" x14ac:dyDescent="0.25">
      <c r="A409" s="86"/>
      <c r="B409" s="308" t="s">
        <v>471</v>
      </c>
      <c r="C409" s="2" t="s">
        <v>8</v>
      </c>
      <c r="D409" s="340">
        <f>D408*1.02</f>
        <v>0</v>
      </c>
      <c r="E409" s="2"/>
      <c r="F409" s="361">
        <v>3200</v>
      </c>
      <c r="G409" s="2"/>
      <c r="H409" s="2">
        <f>ROUND(D409*F409,2)</f>
        <v>0</v>
      </c>
      <c r="I409" s="2">
        <f>G409+H409</f>
        <v>0</v>
      </c>
    </row>
    <row r="410" spans="1:12" s="15" customFormat="1" hidden="1" outlineLevel="1" x14ac:dyDescent="0.25">
      <c r="A410" s="86"/>
      <c r="B410" s="308" t="s">
        <v>667</v>
      </c>
      <c r="C410" s="2" t="s">
        <v>9</v>
      </c>
      <c r="D410" s="340">
        <v>0</v>
      </c>
      <c r="E410" s="2"/>
      <c r="F410" s="361">
        <v>42000</v>
      </c>
      <c r="G410" s="2"/>
      <c r="H410" s="2">
        <f>ROUND(D410*F410,2)</f>
        <v>0</v>
      </c>
      <c r="I410" s="2">
        <f>G410+H410</f>
        <v>0</v>
      </c>
    </row>
    <row r="411" spans="1:12" s="15" customFormat="1" hidden="1" outlineLevel="1" x14ac:dyDescent="0.25">
      <c r="A411" s="86"/>
      <c r="B411" s="343" t="s">
        <v>70</v>
      </c>
      <c r="C411" s="21" t="s">
        <v>8</v>
      </c>
      <c r="D411" s="340">
        <v>0</v>
      </c>
      <c r="E411" s="2"/>
      <c r="F411" s="361">
        <v>2950</v>
      </c>
      <c r="G411" s="2"/>
      <c r="H411" s="2">
        <f>ROUND(D411*F411,2)</f>
        <v>0</v>
      </c>
      <c r="I411" s="2">
        <f>H411+G411</f>
        <v>0</v>
      </c>
    </row>
    <row r="412" spans="1:12" s="15" customFormat="1" hidden="1" outlineLevel="1" x14ac:dyDescent="0.25">
      <c r="A412" s="86"/>
      <c r="B412" s="343" t="s">
        <v>240</v>
      </c>
      <c r="C412" s="21" t="s">
        <v>8</v>
      </c>
      <c r="D412" s="340">
        <f>D411</f>
        <v>0</v>
      </c>
      <c r="E412" s="2"/>
      <c r="F412" s="361">
        <v>250</v>
      </c>
      <c r="G412" s="2"/>
      <c r="H412" s="2">
        <f>ROUND(D412*F412,2)</f>
        <v>0</v>
      </c>
      <c r="I412" s="2">
        <f>H412+G412</f>
        <v>0</v>
      </c>
    </row>
    <row r="413" spans="1:12" collapsed="1" x14ac:dyDescent="0.25">
      <c r="A413" s="223"/>
      <c r="B413" s="231" t="s">
        <v>60</v>
      </c>
      <c r="C413" s="225"/>
      <c r="D413" s="226"/>
      <c r="E413" s="227"/>
      <c r="F413" s="228"/>
      <c r="G413" s="227">
        <f>SUM(G405:G412)</f>
        <v>4087.3</v>
      </c>
      <c r="H413" s="227">
        <f>SUM(H405:H412)</f>
        <v>21135.429999999997</v>
      </c>
      <c r="I413" s="227">
        <f>ROUND(SUM(I405:I412),2)</f>
        <v>25222.73</v>
      </c>
    </row>
    <row r="414" spans="1:12" ht="16.2" customHeight="1" x14ac:dyDescent="0.25">
      <c r="A414" s="90"/>
      <c r="B414" s="471" t="s">
        <v>624</v>
      </c>
      <c r="C414" s="472"/>
      <c r="D414" s="473"/>
      <c r="E414" s="10"/>
      <c r="F414" s="57"/>
      <c r="G414" s="10"/>
      <c r="H414" s="10"/>
      <c r="I414" s="31">
        <f>ROUND(I413/1.18*0.18,2)</f>
        <v>3847.54</v>
      </c>
    </row>
    <row r="415" spans="1:12" s="5" customFormat="1" ht="27" customHeight="1" x14ac:dyDescent="0.25">
      <c r="A415" s="109"/>
      <c r="B415" s="771" t="s">
        <v>1209</v>
      </c>
      <c r="C415" s="771"/>
      <c r="D415" s="771"/>
      <c r="E415" s="488"/>
      <c r="F415" s="138"/>
      <c r="G415" s="102"/>
      <c r="H415" s="111"/>
      <c r="I415" s="102"/>
    </row>
    <row r="416" spans="1:12" hidden="1" outlineLevel="1" x14ac:dyDescent="0.25">
      <c r="A416" s="84" t="s">
        <v>319</v>
      </c>
      <c r="B416" s="71" t="s">
        <v>155</v>
      </c>
      <c r="C416" s="72" t="s">
        <v>12</v>
      </c>
      <c r="D416" s="356">
        <v>0</v>
      </c>
      <c r="E416" s="354">
        <v>19000</v>
      </c>
      <c r="F416" s="137"/>
      <c r="G416" s="2">
        <f>ROUND(E416*D416,2)</f>
        <v>0</v>
      </c>
      <c r="H416" s="26"/>
      <c r="I416" s="26">
        <f>G416+H416</f>
        <v>0</v>
      </c>
    </row>
    <row r="417" spans="1:9" hidden="1" outlineLevel="1" x14ac:dyDescent="0.25">
      <c r="A417" s="84"/>
      <c r="B417" s="329" t="s">
        <v>282</v>
      </c>
      <c r="C417" s="21" t="s">
        <v>12</v>
      </c>
      <c r="D417" s="340">
        <v>0</v>
      </c>
      <c r="E417" s="18"/>
      <c r="F417" s="361">
        <v>63000</v>
      </c>
      <c r="G417" s="26"/>
      <c r="H417" s="2">
        <f>ROUND(D417*F417,2)</f>
        <v>0</v>
      </c>
      <c r="I417" s="26">
        <f t="shared" ref="I417:I488" si="29">G417+H417</f>
        <v>0</v>
      </c>
    </row>
    <row r="418" spans="1:9" hidden="1" outlineLevel="1" x14ac:dyDescent="0.25">
      <c r="A418" s="84"/>
      <c r="B418" s="28" t="s">
        <v>176</v>
      </c>
      <c r="C418" s="21" t="s">
        <v>12</v>
      </c>
      <c r="D418" s="2">
        <v>0</v>
      </c>
      <c r="E418" s="18"/>
      <c r="F418" s="361">
        <v>6000</v>
      </c>
      <c r="G418" s="26"/>
      <c r="H418" s="2">
        <f>ROUND(D418*F418,2)</f>
        <v>0</v>
      </c>
      <c r="I418" s="26">
        <f t="shared" si="29"/>
        <v>0</v>
      </c>
    </row>
    <row r="419" spans="1:9" hidden="1" outlineLevel="1" x14ac:dyDescent="0.25">
      <c r="A419" s="84"/>
      <c r="B419" s="329" t="s">
        <v>283</v>
      </c>
      <c r="C419" s="21" t="s">
        <v>12</v>
      </c>
      <c r="D419" s="340">
        <v>0</v>
      </c>
      <c r="E419" s="18"/>
      <c r="F419" s="164">
        <v>380</v>
      </c>
      <c r="G419" s="26"/>
      <c r="H419" s="2">
        <f>ROUND(D419*F419,2)</f>
        <v>0</v>
      </c>
      <c r="I419" s="26">
        <f t="shared" si="29"/>
        <v>0</v>
      </c>
    </row>
    <row r="420" spans="1:9" hidden="1" outlineLevel="1" x14ac:dyDescent="0.25">
      <c r="A420" s="84" t="s">
        <v>320</v>
      </c>
      <c r="B420" s="29" t="s">
        <v>284</v>
      </c>
      <c r="C420" s="31" t="s">
        <v>12</v>
      </c>
      <c r="D420" s="31">
        <v>0</v>
      </c>
      <c r="E420" s="354">
        <v>250</v>
      </c>
      <c r="F420" s="137"/>
      <c r="G420" s="2">
        <f>ROUND(E420*D420,2)</f>
        <v>0</v>
      </c>
      <c r="H420" s="26"/>
      <c r="I420" s="26">
        <f>G420+H420</f>
        <v>0</v>
      </c>
    </row>
    <row r="421" spans="1:9" hidden="1" outlineLevel="1" x14ac:dyDescent="0.25">
      <c r="A421" s="84"/>
      <c r="B421" s="329" t="s">
        <v>285</v>
      </c>
      <c r="C421" s="21" t="s">
        <v>12</v>
      </c>
      <c r="D421" s="340">
        <v>0</v>
      </c>
      <c r="E421" s="18"/>
      <c r="F421" s="164">
        <v>4900</v>
      </c>
      <c r="G421" s="26"/>
      <c r="H421" s="2">
        <f t="shared" ref="H421:H441" si="30">ROUND(D421*F421,2)</f>
        <v>0</v>
      </c>
      <c r="I421" s="26">
        <f>G421+H421</f>
        <v>0</v>
      </c>
    </row>
    <row r="422" spans="1:9" hidden="1" outlineLevel="1" x14ac:dyDescent="0.25">
      <c r="A422" s="84"/>
      <c r="B422" s="329" t="s">
        <v>449</v>
      </c>
      <c r="C422" s="21" t="s">
        <v>12</v>
      </c>
      <c r="D422" s="340">
        <v>0</v>
      </c>
      <c r="E422" s="18"/>
      <c r="F422" s="164">
        <v>4900</v>
      </c>
      <c r="G422" s="26"/>
      <c r="H422" s="2">
        <f t="shared" si="30"/>
        <v>0</v>
      </c>
      <c r="I422" s="26">
        <f>G422+H422</f>
        <v>0</v>
      </c>
    </row>
    <row r="423" spans="1:9" hidden="1" outlineLevel="1" x14ac:dyDescent="0.25">
      <c r="A423" s="84"/>
      <c r="B423" s="329" t="s">
        <v>448</v>
      </c>
      <c r="C423" s="21" t="s">
        <v>12</v>
      </c>
      <c r="D423" s="340">
        <v>0</v>
      </c>
      <c r="E423" s="18"/>
      <c r="F423" s="361">
        <v>1400</v>
      </c>
      <c r="G423" s="26"/>
      <c r="H423" s="2">
        <f t="shared" si="30"/>
        <v>0</v>
      </c>
      <c r="I423" s="26">
        <f>G423+H423</f>
        <v>0</v>
      </c>
    </row>
    <row r="424" spans="1:9" hidden="1" outlineLevel="1" x14ac:dyDescent="0.25">
      <c r="A424" s="84" t="s">
        <v>321</v>
      </c>
      <c r="B424" s="29" t="s">
        <v>156</v>
      </c>
      <c r="C424" s="31" t="s">
        <v>12</v>
      </c>
      <c r="D424" s="31">
        <v>0</v>
      </c>
      <c r="E424" s="354">
        <v>1000</v>
      </c>
      <c r="F424" s="137"/>
      <c r="G424" s="2">
        <f>ROUND(E424*D424,2)</f>
        <v>0</v>
      </c>
      <c r="H424" s="26">
        <f>F424*D424</f>
        <v>0</v>
      </c>
      <c r="I424" s="26">
        <f t="shared" si="29"/>
        <v>0</v>
      </c>
    </row>
    <row r="425" spans="1:9" hidden="1" outlineLevel="1" x14ac:dyDescent="0.25">
      <c r="A425" s="84"/>
      <c r="B425" s="329" t="s">
        <v>674</v>
      </c>
      <c r="C425" s="21" t="s">
        <v>12</v>
      </c>
      <c r="D425" s="340">
        <v>0</v>
      </c>
      <c r="E425" s="18"/>
      <c r="F425" s="309">
        <v>5500</v>
      </c>
      <c r="G425" s="26"/>
      <c r="H425" s="2">
        <f>ROUND(D425*F425,2)</f>
        <v>0</v>
      </c>
      <c r="I425" s="26">
        <f>G425+H425</f>
        <v>0</v>
      </c>
    </row>
    <row r="426" spans="1:9" hidden="1" outlineLevel="1" x14ac:dyDescent="0.25">
      <c r="A426" s="84"/>
      <c r="B426" s="329" t="s">
        <v>675</v>
      </c>
      <c r="C426" s="21" t="s">
        <v>12</v>
      </c>
      <c r="D426" s="340">
        <v>0</v>
      </c>
      <c r="E426" s="18"/>
      <c r="F426" s="309">
        <v>6000</v>
      </c>
      <c r="G426" s="26"/>
      <c r="H426" s="2">
        <f>ROUND(D426*F426,2)</f>
        <v>0</v>
      </c>
      <c r="I426" s="26">
        <f>G426+H426</f>
        <v>0</v>
      </c>
    </row>
    <row r="427" spans="1:9" hidden="1" outlineLevel="1" x14ac:dyDescent="0.25">
      <c r="A427" s="84"/>
      <c r="B427" s="329" t="s">
        <v>453</v>
      </c>
      <c r="C427" s="21" t="s">
        <v>12</v>
      </c>
      <c r="D427" s="340">
        <v>0</v>
      </c>
      <c r="E427" s="18"/>
      <c r="F427" s="60">
        <v>2350</v>
      </c>
      <c r="G427" s="26"/>
      <c r="H427" s="2">
        <f t="shared" si="30"/>
        <v>0</v>
      </c>
      <c r="I427" s="26">
        <f t="shared" si="29"/>
        <v>0</v>
      </c>
    </row>
    <row r="428" spans="1:9" ht="32.4" hidden="1" customHeight="1" outlineLevel="1" x14ac:dyDescent="0.25">
      <c r="A428" s="84"/>
      <c r="B428" s="329" t="s">
        <v>286</v>
      </c>
      <c r="C428" s="21" t="s">
        <v>12</v>
      </c>
      <c r="D428" s="340">
        <v>0</v>
      </c>
      <c r="E428" s="18"/>
      <c r="F428" s="60">
        <v>955</v>
      </c>
      <c r="G428" s="26"/>
      <c r="H428" s="2">
        <f t="shared" si="30"/>
        <v>0</v>
      </c>
      <c r="I428" s="26">
        <f t="shared" si="29"/>
        <v>0</v>
      </c>
    </row>
    <row r="429" spans="1:9" ht="30" hidden="1" customHeight="1" outlineLevel="1" x14ac:dyDescent="0.25">
      <c r="A429" s="84"/>
      <c r="B429" s="329" t="s">
        <v>446</v>
      </c>
      <c r="C429" s="21" t="s">
        <v>12</v>
      </c>
      <c r="D429" s="340">
        <v>0</v>
      </c>
      <c r="E429" s="18"/>
      <c r="F429" s="60">
        <v>130</v>
      </c>
      <c r="G429" s="18"/>
      <c r="H429" s="2">
        <f t="shared" si="30"/>
        <v>0</v>
      </c>
      <c r="I429" s="26">
        <f>G429+H429</f>
        <v>0</v>
      </c>
    </row>
    <row r="430" spans="1:9" ht="20.399999999999999" hidden="1" customHeight="1" outlineLevel="1" x14ac:dyDescent="0.25">
      <c r="A430" s="84"/>
      <c r="B430" s="329" t="s">
        <v>447</v>
      </c>
      <c r="C430" s="21" t="s">
        <v>12</v>
      </c>
      <c r="D430" s="340">
        <v>0</v>
      </c>
      <c r="E430" s="18"/>
      <c r="F430" s="60">
        <v>610</v>
      </c>
      <c r="G430" s="18"/>
      <c r="H430" s="2">
        <f t="shared" si="30"/>
        <v>0</v>
      </c>
      <c r="I430" s="18">
        <f>G430+H430</f>
        <v>0</v>
      </c>
    </row>
    <row r="431" spans="1:9" ht="24.6" hidden="1" customHeight="1" outlineLevel="1" x14ac:dyDescent="0.25">
      <c r="A431" s="84"/>
      <c r="B431" s="329" t="s">
        <v>450</v>
      </c>
      <c r="C431" s="21" t="s">
        <v>12</v>
      </c>
      <c r="D431" s="340">
        <v>0</v>
      </c>
      <c r="E431" s="18"/>
      <c r="F431" s="60">
        <v>303</v>
      </c>
      <c r="G431" s="18"/>
      <c r="H431" s="2">
        <f t="shared" si="30"/>
        <v>0</v>
      </c>
      <c r="I431" s="18">
        <f>G431+H431</f>
        <v>0</v>
      </c>
    </row>
    <row r="432" spans="1:9" ht="27.75" hidden="1" customHeight="1" outlineLevel="1" x14ac:dyDescent="0.25">
      <c r="A432" s="84"/>
      <c r="B432" s="329" t="s">
        <v>454</v>
      </c>
      <c r="C432" s="21" t="s">
        <v>12</v>
      </c>
      <c r="D432" s="340">
        <v>0</v>
      </c>
      <c r="E432" s="18"/>
      <c r="F432" s="60">
        <v>1061</v>
      </c>
      <c r="G432" s="18"/>
      <c r="H432" s="2">
        <f t="shared" si="30"/>
        <v>0</v>
      </c>
      <c r="I432" s="18">
        <f>G432+H432</f>
        <v>0</v>
      </c>
    </row>
    <row r="433" spans="1:10" ht="24.6" hidden="1" customHeight="1" outlineLevel="1" x14ac:dyDescent="0.25">
      <c r="A433" s="84"/>
      <c r="B433" s="329" t="s">
        <v>455</v>
      </c>
      <c r="C433" s="21" t="s">
        <v>12</v>
      </c>
      <c r="D433" s="340">
        <v>0</v>
      </c>
      <c r="E433" s="18"/>
      <c r="F433" s="60">
        <v>386</v>
      </c>
      <c r="G433" s="18"/>
      <c r="H433" s="2">
        <f t="shared" si="30"/>
        <v>0</v>
      </c>
      <c r="I433" s="18">
        <f>G433+H433</f>
        <v>0</v>
      </c>
      <c r="J433" s="5"/>
    </row>
    <row r="434" spans="1:10" hidden="1" outlineLevel="1" x14ac:dyDescent="0.25">
      <c r="A434" s="84" t="s">
        <v>322</v>
      </c>
      <c r="B434" s="29" t="s">
        <v>162</v>
      </c>
      <c r="C434" s="31" t="s">
        <v>12</v>
      </c>
      <c r="D434" s="31">
        <v>0</v>
      </c>
      <c r="E434" s="256">
        <v>500</v>
      </c>
      <c r="F434" s="60"/>
      <c r="G434" s="2">
        <f>ROUND(E434*D434,2)</f>
        <v>0</v>
      </c>
      <c r="H434" s="18">
        <f>F434*D434</f>
        <v>0</v>
      </c>
      <c r="I434" s="18">
        <f t="shared" si="29"/>
        <v>0</v>
      </c>
    </row>
    <row r="435" spans="1:10" hidden="1" outlineLevel="1" x14ac:dyDescent="0.25">
      <c r="A435" s="84"/>
      <c r="B435" s="329" t="s">
        <v>163</v>
      </c>
      <c r="C435" s="21" t="s">
        <v>12</v>
      </c>
      <c r="D435" s="340">
        <v>0</v>
      </c>
      <c r="E435" s="18"/>
      <c r="F435" s="60">
        <f>950*1.1</f>
        <v>1045</v>
      </c>
      <c r="G435" s="18"/>
      <c r="H435" s="2">
        <f t="shared" si="30"/>
        <v>0</v>
      </c>
      <c r="I435" s="18">
        <f t="shared" si="29"/>
        <v>0</v>
      </c>
    </row>
    <row r="436" spans="1:10" hidden="1" outlineLevel="1" x14ac:dyDescent="0.25">
      <c r="A436" s="84" t="s">
        <v>323</v>
      </c>
      <c r="B436" s="29" t="s">
        <v>164</v>
      </c>
      <c r="C436" s="31" t="s">
        <v>12</v>
      </c>
      <c r="D436" s="31">
        <v>0</v>
      </c>
      <c r="E436" s="256">
        <v>250</v>
      </c>
      <c r="F436" s="60"/>
      <c r="G436" s="2">
        <f>ROUND(E436*D436,2)</f>
        <v>0</v>
      </c>
      <c r="H436" s="18">
        <f>F436*D436</f>
        <v>0</v>
      </c>
      <c r="I436" s="18">
        <f t="shared" si="29"/>
        <v>0</v>
      </c>
    </row>
    <row r="437" spans="1:10" hidden="1" outlineLevel="1" x14ac:dyDescent="0.25">
      <c r="A437" s="84"/>
      <c r="B437" s="329" t="s">
        <v>165</v>
      </c>
      <c r="C437" s="21" t="s">
        <v>12</v>
      </c>
      <c r="D437" s="340">
        <v>0</v>
      </c>
      <c r="E437" s="18"/>
      <c r="F437" s="60">
        <v>674.3</v>
      </c>
      <c r="G437" s="18"/>
      <c r="H437" s="2">
        <f t="shared" si="30"/>
        <v>0</v>
      </c>
      <c r="I437" s="18">
        <f t="shared" si="29"/>
        <v>0</v>
      </c>
    </row>
    <row r="438" spans="1:10" hidden="1" outlineLevel="1" x14ac:dyDescent="0.25">
      <c r="A438" s="84"/>
      <c r="B438" s="329" t="s">
        <v>309</v>
      </c>
      <c r="C438" s="21" t="s">
        <v>12</v>
      </c>
      <c r="D438" s="340">
        <v>0</v>
      </c>
      <c r="E438" s="18"/>
      <c r="F438" s="60">
        <v>850</v>
      </c>
      <c r="G438" s="18"/>
      <c r="H438" s="2">
        <f t="shared" si="30"/>
        <v>0</v>
      </c>
      <c r="I438" s="18">
        <f>G438+H438</f>
        <v>0</v>
      </c>
    </row>
    <row r="439" spans="1:10" hidden="1" outlineLevel="1" x14ac:dyDescent="0.25">
      <c r="A439" s="84"/>
      <c r="B439" s="329" t="s">
        <v>345</v>
      </c>
      <c r="C439" s="21" t="s">
        <v>12</v>
      </c>
      <c r="D439" s="340">
        <v>0</v>
      </c>
      <c r="E439" s="18"/>
      <c r="F439" s="60">
        <v>851</v>
      </c>
      <c r="G439" s="18"/>
      <c r="H439" s="2">
        <f>ROUND(D439*F439,2)</f>
        <v>0</v>
      </c>
      <c r="I439" s="18">
        <f>G439+H439</f>
        <v>0</v>
      </c>
    </row>
    <row r="440" spans="1:10" ht="17.25" hidden="1" customHeight="1" outlineLevel="1" x14ac:dyDescent="0.25">
      <c r="A440" s="84"/>
      <c r="B440" s="329" t="s">
        <v>301</v>
      </c>
      <c r="C440" s="21" t="s">
        <v>12</v>
      </c>
      <c r="D440" s="340">
        <v>0</v>
      </c>
      <c r="E440" s="18"/>
      <c r="F440" s="60">
        <v>449</v>
      </c>
      <c r="G440" s="18"/>
      <c r="H440" s="2">
        <f t="shared" si="30"/>
        <v>0</v>
      </c>
      <c r="I440" s="18">
        <f t="shared" si="29"/>
        <v>0</v>
      </c>
    </row>
    <row r="441" spans="1:10" ht="17.25" hidden="1" customHeight="1" outlineLevel="1" x14ac:dyDescent="0.25">
      <c r="A441" s="84"/>
      <c r="B441" s="329" t="s">
        <v>344</v>
      </c>
      <c r="C441" s="21" t="s">
        <v>12</v>
      </c>
      <c r="D441" s="340">
        <v>0</v>
      </c>
      <c r="E441" s="18"/>
      <c r="F441" s="60">
        <v>914</v>
      </c>
      <c r="G441" s="18"/>
      <c r="H441" s="18">
        <f t="shared" si="30"/>
        <v>0</v>
      </c>
      <c r="I441" s="18">
        <f t="shared" si="29"/>
        <v>0</v>
      </c>
    </row>
    <row r="442" spans="1:10" ht="17.25" hidden="1" customHeight="1" outlineLevel="1" x14ac:dyDescent="0.25">
      <c r="A442" s="84"/>
      <c r="B442" s="329" t="s">
        <v>670</v>
      </c>
      <c r="C442" s="21" t="s">
        <v>12</v>
      </c>
      <c r="D442" s="340">
        <v>0</v>
      </c>
      <c r="E442" s="18"/>
      <c r="F442" s="164">
        <v>914</v>
      </c>
      <c r="G442" s="18"/>
      <c r="H442" s="18">
        <f>ROUND(D442*F442,2)</f>
        <v>0</v>
      </c>
      <c r="I442" s="18">
        <f>G442+H442</f>
        <v>0</v>
      </c>
    </row>
    <row r="443" spans="1:10" ht="17.25" hidden="1" customHeight="1" outlineLevel="1" x14ac:dyDescent="0.25">
      <c r="A443" s="84"/>
      <c r="B443" s="329" t="s">
        <v>679</v>
      </c>
      <c r="C443" s="21" t="s">
        <v>12</v>
      </c>
      <c r="D443" s="340">
        <v>0</v>
      </c>
      <c r="E443" s="18"/>
      <c r="F443" s="164">
        <v>100</v>
      </c>
      <c r="G443" s="18"/>
      <c r="H443" s="18">
        <f>ROUND(D443*F443,2)</f>
        <v>0</v>
      </c>
      <c r="I443" s="18">
        <f>G443+H443</f>
        <v>0</v>
      </c>
    </row>
    <row r="444" spans="1:10" ht="17.25" hidden="1" customHeight="1" outlineLevel="1" x14ac:dyDescent="0.25">
      <c r="A444" s="84"/>
      <c r="B444" s="329" t="s">
        <v>680</v>
      </c>
      <c r="C444" s="21" t="s">
        <v>12</v>
      </c>
      <c r="D444" s="340">
        <v>0</v>
      </c>
      <c r="E444" s="18"/>
      <c r="F444" s="164">
        <v>200</v>
      </c>
      <c r="G444" s="18"/>
      <c r="H444" s="18">
        <f>ROUND(D444*F444,2)</f>
        <v>0</v>
      </c>
      <c r="I444" s="18">
        <f>G444+H444</f>
        <v>0</v>
      </c>
    </row>
    <row r="445" spans="1:10" ht="17.25" hidden="1" customHeight="1" outlineLevel="1" x14ac:dyDescent="0.25">
      <c r="A445" s="84"/>
      <c r="B445" s="28"/>
      <c r="C445" s="21"/>
      <c r="D445" s="340"/>
      <c r="E445" s="18"/>
      <c r="F445" s="164"/>
      <c r="G445" s="18"/>
      <c r="H445" s="18"/>
      <c r="I445" s="18"/>
    </row>
    <row r="446" spans="1:10" hidden="1" outlineLevel="1" x14ac:dyDescent="0.25">
      <c r="A446" s="84" t="s">
        <v>324</v>
      </c>
      <c r="B446" s="79" t="s">
        <v>166</v>
      </c>
      <c r="C446" s="31" t="s">
        <v>12</v>
      </c>
      <c r="D446" s="31">
        <v>0</v>
      </c>
      <c r="E446" s="256">
        <v>35</v>
      </c>
      <c r="F446" s="60"/>
      <c r="G446" s="2">
        <f>ROUND(E446*D446,2)</f>
        <v>0</v>
      </c>
      <c r="H446" s="18">
        <f>F446*D446</f>
        <v>0</v>
      </c>
      <c r="I446" s="18">
        <f t="shared" si="29"/>
        <v>0</v>
      </c>
    </row>
    <row r="447" spans="1:10" ht="31.2" hidden="1" outlineLevel="1" x14ac:dyDescent="0.25">
      <c r="A447" s="84"/>
      <c r="B447" s="329" t="s">
        <v>167</v>
      </c>
      <c r="C447" s="21" t="s">
        <v>12</v>
      </c>
      <c r="D447" s="340">
        <v>0</v>
      </c>
      <c r="E447" s="18"/>
      <c r="F447" s="60">
        <v>50</v>
      </c>
      <c r="G447" s="18"/>
      <c r="H447" s="2">
        <f t="shared" ref="H447:H459" si="31">ROUND(D447*F447,2)</f>
        <v>0</v>
      </c>
      <c r="I447" s="18">
        <f t="shared" si="29"/>
        <v>0</v>
      </c>
    </row>
    <row r="448" spans="1:10" ht="46.8" hidden="1" outlineLevel="1" x14ac:dyDescent="0.25">
      <c r="A448" s="84"/>
      <c r="B448" s="329" t="s">
        <v>292</v>
      </c>
      <c r="C448" s="21" t="s">
        <v>12</v>
      </c>
      <c r="D448" s="340">
        <v>0</v>
      </c>
      <c r="E448" s="18"/>
      <c r="F448" s="60">
        <v>30.46</v>
      </c>
      <c r="G448" s="18"/>
      <c r="H448" s="2">
        <f t="shared" si="31"/>
        <v>0</v>
      </c>
      <c r="I448" s="18">
        <f t="shared" si="29"/>
        <v>0</v>
      </c>
    </row>
    <row r="449" spans="1:9" ht="31.2" hidden="1" outlineLevel="1" x14ac:dyDescent="0.25">
      <c r="A449" s="84"/>
      <c r="B449" s="329" t="s">
        <v>293</v>
      </c>
      <c r="C449" s="21" t="s">
        <v>12</v>
      </c>
      <c r="D449" s="340">
        <v>0</v>
      </c>
      <c r="E449" s="18"/>
      <c r="F449" s="60">
        <v>30.46</v>
      </c>
      <c r="G449" s="18"/>
      <c r="H449" s="2">
        <f t="shared" si="31"/>
        <v>0</v>
      </c>
      <c r="I449" s="18">
        <f>G449+H449</f>
        <v>0</v>
      </c>
    </row>
    <row r="450" spans="1:9" ht="31.2" hidden="1" outlineLevel="1" x14ac:dyDescent="0.25">
      <c r="A450" s="84"/>
      <c r="B450" s="329" t="s">
        <v>294</v>
      </c>
      <c r="C450" s="21" t="s">
        <v>12</v>
      </c>
      <c r="D450" s="340">
        <v>0</v>
      </c>
      <c r="E450" s="18"/>
      <c r="F450" s="60">
        <v>41.85</v>
      </c>
      <c r="G450" s="18"/>
      <c r="H450" s="2">
        <f t="shared" si="31"/>
        <v>0</v>
      </c>
      <c r="I450" s="18">
        <f t="shared" si="29"/>
        <v>0</v>
      </c>
    </row>
    <row r="451" spans="1:9" ht="31.2" hidden="1" outlineLevel="1" x14ac:dyDescent="0.25">
      <c r="A451" s="84"/>
      <c r="B451" s="329" t="s">
        <v>289</v>
      </c>
      <c r="C451" s="21" t="s">
        <v>12</v>
      </c>
      <c r="D451" s="340">
        <v>0</v>
      </c>
      <c r="E451" s="18"/>
      <c r="F451" s="60">
        <f>59*1.1</f>
        <v>64.900000000000006</v>
      </c>
      <c r="G451" s="18"/>
      <c r="H451" s="2">
        <f t="shared" si="31"/>
        <v>0</v>
      </c>
      <c r="I451" s="18">
        <f t="shared" si="29"/>
        <v>0</v>
      </c>
    </row>
    <row r="452" spans="1:9" ht="31.2" hidden="1" outlineLevel="1" x14ac:dyDescent="0.25">
      <c r="A452" s="84"/>
      <c r="B452" s="329" t="s">
        <v>288</v>
      </c>
      <c r="C452" s="21" t="s">
        <v>12</v>
      </c>
      <c r="D452" s="340">
        <v>0</v>
      </c>
      <c r="E452" s="18"/>
      <c r="F452" s="60">
        <v>37.25</v>
      </c>
      <c r="G452" s="18"/>
      <c r="H452" s="2">
        <f t="shared" si="31"/>
        <v>0</v>
      </c>
      <c r="I452" s="18">
        <f t="shared" si="29"/>
        <v>0</v>
      </c>
    </row>
    <row r="453" spans="1:9" ht="31.2" hidden="1" outlineLevel="1" x14ac:dyDescent="0.25">
      <c r="A453" s="84"/>
      <c r="B453" s="329" t="s">
        <v>290</v>
      </c>
      <c r="C453" s="21" t="s">
        <v>12</v>
      </c>
      <c r="D453" s="340">
        <v>0</v>
      </c>
      <c r="E453" s="18"/>
      <c r="F453" s="60">
        <v>277</v>
      </c>
      <c r="G453" s="18"/>
      <c r="H453" s="2">
        <f t="shared" si="31"/>
        <v>0</v>
      </c>
      <c r="I453" s="18">
        <f t="shared" si="29"/>
        <v>0</v>
      </c>
    </row>
    <row r="454" spans="1:9" ht="31.2" hidden="1" outlineLevel="1" x14ac:dyDescent="0.25">
      <c r="A454" s="84"/>
      <c r="B454" s="329" t="s">
        <v>291</v>
      </c>
      <c r="C454" s="21" t="s">
        <v>12</v>
      </c>
      <c r="D454" s="340">
        <v>0</v>
      </c>
      <c r="E454" s="18"/>
      <c r="F454" s="60">
        <v>65.900000000000006</v>
      </c>
      <c r="G454" s="18"/>
      <c r="H454" s="2">
        <f t="shared" si="31"/>
        <v>0</v>
      </c>
      <c r="I454" s="18">
        <f t="shared" si="29"/>
        <v>0</v>
      </c>
    </row>
    <row r="455" spans="1:9" hidden="1" outlineLevel="1" x14ac:dyDescent="0.25">
      <c r="A455" s="84"/>
      <c r="B455" s="329" t="s">
        <v>168</v>
      </c>
      <c r="C455" s="21" t="s">
        <v>12</v>
      </c>
      <c r="D455" s="340">
        <v>0</v>
      </c>
      <c r="E455" s="18"/>
      <c r="F455" s="60">
        <v>127</v>
      </c>
      <c r="G455" s="18"/>
      <c r="H455" s="2">
        <f t="shared" si="31"/>
        <v>0</v>
      </c>
      <c r="I455" s="18">
        <f t="shared" si="29"/>
        <v>0</v>
      </c>
    </row>
    <row r="456" spans="1:9" hidden="1" outlineLevel="1" x14ac:dyDescent="0.25">
      <c r="A456" s="84"/>
      <c r="B456" s="329" t="s">
        <v>287</v>
      </c>
      <c r="C456" s="21" t="s">
        <v>12</v>
      </c>
      <c r="D456" s="340">
        <v>0</v>
      </c>
      <c r="E456" s="18"/>
      <c r="F456" s="60">
        <v>20</v>
      </c>
      <c r="G456" s="18"/>
      <c r="H456" s="2">
        <f t="shared" si="31"/>
        <v>0</v>
      </c>
      <c r="I456" s="18">
        <f t="shared" si="29"/>
        <v>0</v>
      </c>
    </row>
    <row r="457" spans="1:9" hidden="1" outlineLevel="1" x14ac:dyDescent="0.25">
      <c r="A457" s="84"/>
      <c r="B457" s="329" t="s">
        <v>677</v>
      </c>
      <c r="C457" s="21" t="s">
        <v>12</v>
      </c>
      <c r="D457" s="340">
        <v>0</v>
      </c>
      <c r="E457" s="18"/>
      <c r="F457" s="60">
        <v>30</v>
      </c>
      <c r="G457" s="18"/>
      <c r="H457" s="2">
        <f t="shared" si="31"/>
        <v>0</v>
      </c>
      <c r="I457" s="18">
        <f>G457+H457</f>
        <v>0</v>
      </c>
    </row>
    <row r="458" spans="1:9" ht="31.2" hidden="1" outlineLevel="1" x14ac:dyDescent="0.25">
      <c r="A458" s="84"/>
      <c r="B458" s="329" t="s">
        <v>442</v>
      </c>
      <c r="C458" s="21" t="s">
        <v>12</v>
      </c>
      <c r="D458" s="340">
        <v>0</v>
      </c>
      <c r="E458" s="18"/>
      <c r="F458" s="60">
        <v>78</v>
      </c>
      <c r="G458" s="18"/>
      <c r="H458" s="2">
        <f t="shared" si="31"/>
        <v>0</v>
      </c>
      <c r="I458" s="18">
        <f>G458+H458</f>
        <v>0</v>
      </c>
    </row>
    <row r="459" spans="1:9" ht="18.75" hidden="1" customHeight="1" outlineLevel="1" x14ac:dyDescent="0.25">
      <c r="A459" s="84"/>
      <c r="B459" s="329" t="s">
        <v>673</v>
      </c>
      <c r="C459" s="21" t="s">
        <v>12</v>
      </c>
      <c r="D459" s="340">
        <v>0</v>
      </c>
      <c r="E459" s="18"/>
      <c r="F459" s="60">
        <v>90</v>
      </c>
      <c r="G459" s="18"/>
      <c r="H459" s="2">
        <f t="shared" si="31"/>
        <v>0</v>
      </c>
      <c r="I459" s="18">
        <f>G459+H459</f>
        <v>0</v>
      </c>
    </row>
    <row r="460" spans="1:9" ht="31.2" hidden="1" outlineLevel="1" x14ac:dyDescent="0.25">
      <c r="A460" s="84"/>
      <c r="B460" s="329" t="s">
        <v>668</v>
      </c>
      <c r="C460" s="21" t="s">
        <v>12</v>
      </c>
      <c r="D460" s="340">
        <v>0</v>
      </c>
      <c r="E460" s="18"/>
      <c r="F460" s="60">
        <v>90</v>
      </c>
      <c r="G460" s="18"/>
      <c r="H460" s="2">
        <f>ROUND(D460*F460,2)</f>
        <v>0</v>
      </c>
      <c r="I460" s="18">
        <f>G460+H460</f>
        <v>0</v>
      </c>
    </row>
    <row r="461" spans="1:9" hidden="1" outlineLevel="1" x14ac:dyDescent="0.25">
      <c r="A461" s="84"/>
      <c r="B461" s="329" t="s">
        <v>678</v>
      </c>
      <c r="C461" s="21" t="s">
        <v>12</v>
      </c>
      <c r="D461" s="340">
        <v>0</v>
      </c>
      <c r="E461" s="18"/>
      <c r="F461" s="164">
        <v>100</v>
      </c>
      <c r="G461" s="18"/>
      <c r="H461" s="2">
        <f>ROUND(D461*F461,2)</f>
        <v>0</v>
      </c>
      <c r="I461" s="18">
        <f>G461+H461</f>
        <v>0</v>
      </c>
    </row>
    <row r="462" spans="1:9" hidden="1" outlineLevel="1" x14ac:dyDescent="0.25">
      <c r="A462" s="84" t="s">
        <v>532</v>
      </c>
      <c r="B462" s="29" t="s">
        <v>489</v>
      </c>
      <c r="C462" s="31" t="s">
        <v>29</v>
      </c>
      <c r="D462" s="31">
        <v>0</v>
      </c>
      <c r="E462" s="256">
        <v>35</v>
      </c>
      <c r="F462" s="60"/>
      <c r="G462" s="2">
        <f>ROUND(E462*D462,2)</f>
        <v>0</v>
      </c>
      <c r="H462" s="18">
        <f>F462*D462</f>
        <v>0</v>
      </c>
      <c r="I462" s="18">
        <f t="shared" si="29"/>
        <v>0</v>
      </c>
    </row>
    <row r="463" spans="1:9" hidden="1" outlineLevel="1" x14ac:dyDescent="0.25">
      <c r="A463" s="84"/>
      <c r="B463" s="329" t="s">
        <v>296</v>
      </c>
      <c r="C463" s="21" t="s">
        <v>29</v>
      </c>
      <c r="D463" s="340">
        <v>0</v>
      </c>
      <c r="E463" s="18"/>
      <c r="F463" s="60">
        <v>31</v>
      </c>
      <c r="G463" s="18"/>
      <c r="H463" s="2">
        <f t="shared" ref="H463:H481" si="32">ROUND(D463*F463,2)</f>
        <v>0</v>
      </c>
      <c r="I463" s="18">
        <f t="shared" si="29"/>
        <v>0</v>
      </c>
    </row>
    <row r="464" spans="1:9" hidden="1" outlineLevel="1" x14ac:dyDescent="0.25">
      <c r="A464" s="84"/>
      <c r="B464" s="329" t="s">
        <v>311</v>
      </c>
      <c r="C464" s="21" t="s">
        <v>29</v>
      </c>
      <c r="D464" s="340">
        <v>0</v>
      </c>
      <c r="E464" s="18"/>
      <c r="F464" s="60">
        <f>459.7*1.1</f>
        <v>505.67</v>
      </c>
      <c r="G464" s="18"/>
      <c r="H464" s="2">
        <f t="shared" si="32"/>
        <v>0</v>
      </c>
      <c r="I464" s="18">
        <f t="shared" si="29"/>
        <v>0</v>
      </c>
    </row>
    <row r="465" spans="1:9" hidden="1" outlineLevel="1" x14ac:dyDescent="0.25">
      <c r="A465" s="84"/>
      <c r="B465" s="329" t="s">
        <v>297</v>
      </c>
      <c r="C465" s="21" t="s">
        <v>29</v>
      </c>
      <c r="D465" s="340">
        <v>0</v>
      </c>
      <c r="E465" s="18"/>
      <c r="F465" s="60">
        <f>10.16*1.1</f>
        <v>11.176000000000002</v>
      </c>
      <c r="G465" s="18"/>
      <c r="H465" s="2">
        <f t="shared" si="32"/>
        <v>0</v>
      </c>
      <c r="I465" s="18">
        <f t="shared" si="29"/>
        <v>0</v>
      </c>
    </row>
    <row r="466" spans="1:9" hidden="1" outlineLevel="1" x14ac:dyDescent="0.25">
      <c r="A466" s="84"/>
      <c r="B466" s="329" t="s">
        <v>299</v>
      </c>
      <c r="C466" s="21" t="s">
        <v>29</v>
      </c>
      <c r="D466" s="340">
        <v>0</v>
      </c>
      <c r="E466" s="18"/>
      <c r="F466" s="60">
        <f>11.4*1.1</f>
        <v>12.540000000000001</v>
      </c>
      <c r="G466" s="18"/>
      <c r="H466" s="2">
        <f t="shared" si="32"/>
        <v>0</v>
      </c>
      <c r="I466" s="18">
        <f>G466+H466</f>
        <v>0</v>
      </c>
    </row>
    <row r="467" spans="1:9" hidden="1" outlineLevel="1" x14ac:dyDescent="0.25">
      <c r="A467" s="84"/>
      <c r="B467" s="329" t="s">
        <v>298</v>
      </c>
      <c r="C467" s="21" t="s">
        <v>29</v>
      </c>
      <c r="D467" s="340">
        <v>0</v>
      </c>
      <c r="E467" s="18"/>
      <c r="F467" s="60">
        <f>19.4*1.1</f>
        <v>21.34</v>
      </c>
      <c r="G467" s="18"/>
      <c r="H467" s="2">
        <f t="shared" si="32"/>
        <v>0</v>
      </c>
      <c r="I467" s="18">
        <f>G467+H467</f>
        <v>0</v>
      </c>
    </row>
    <row r="468" spans="1:9" hidden="1" outlineLevel="1" x14ac:dyDescent="0.25">
      <c r="A468" s="84"/>
      <c r="B468" s="329" t="s">
        <v>171</v>
      </c>
      <c r="C468" s="21" t="s">
        <v>29</v>
      </c>
      <c r="D468" s="340">
        <v>0</v>
      </c>
      <c r="E468" s="18"/>
      <c r="F468" s="60">
        <f>50.41*1.1</f>
        <v>55.451000000000001</v>
      </c>
      <c r="G468" s="18"/>
      <c r="H468" s="2">
        <f t="shared" si="32"/>
        <v>0</v>
      </c>
      <c r="I468" s="18">
        <f t="shared" si="29"/>
        <v>0</v>
      </c>
    </row>
    <row r="469" spans="1:9" hidden="1" outlineLevel="1" x14ac:dyDescent="0.25">
      <c r="A469" s="84"/>
      <c r="B469" s="329" t="s">
        <v>458</v>
      </c>
      <c r="C469" s="21" t="s">
        <v>29</v>
      </c>
      <c r="D469" s="340">
        <v>0</v>
      </c>
      <c r="E469" s="18"/>
      <c r="F469" s="60">
        <v>205</v>
      </c>
      <c r="G469" s="18"/>
      <c r="H469" s="2">
        <f t="shared" si="32"/>
        <v>0</v>
      </c>
      <c r="I469" s="18">
        <f>G469+H469</f>
        <v>0</v>
      </c>
    </row>
    <row r="470" spans="1:9" hidden="1" outlineLevel="1" x14ac:dyDescent="0.25">
      <c r="A470" s="84"/>
      <c r="B470" s="329" t="s">
        <v>169</v>
      </c>
      <c r="C470" s="21" t="s">
        <v>29</v>
      </c>
      <c r="D470" s="340">
        <v>0</v>
      </c>
      <c r="E470" s="18"/>
      <c r="F470" s="60">
        <f>22.48*1.1</f>
        <v>24.728000000000002</v>
      </c>
      <c r="G470" s="18"/>
      <c r="H470" s="2">
        <f t="shared" si="32"/>
        <v>0</v>
      </c>
      <c r="I470" s="18">
        <f t="shared" si="29"/>
        <v>0</v>
      </c>
    </row>
    <row r="471" spans="1:9" hidden="1" outlineLevel="1" x14ac:dyDescent="0.25">
      <c r="A471" s="84"/>
      <c r="B471" s="329" t="s">
        <v>457</v>
      </c>
      <c r="C471" s="21" t="s">
        <v>29</v>
      </c>
      <c r="D471" s="340">
        <v>0</v>
      </c>
      <c r="E471" s="18"/>
      <c r="F471" s="60">
        <f>15.53*1.1</f>
        <v>17.083000000000002</v>
      </c>
      <c r="G471" s="18"/>
      <c r="H471" s="2">
        <f t="shared" si="32"/>
        <v>0</v>
      </c>
      <c r="I471" s="18">
        <f t="shared" si="29"/>
        <v>0</v>
      </c>
    </row>
    <row r="472" spans="1:9" ht="17.25" hidden="1" customHeight="1" outlineLevel="1" x14ac:dyDescent="0.25">
      <c r="A472" s="84"/>
      <c r="B472" s="329" t="s">
        <v>170</v>
      </c>
      <c r="C472" s="21" t="s">
        <v>12</v>
      </c>
      <c r="D472" s="340">
        <v>0</v>
      </c>
      <c r="E472" s="18"/>
      <c r="F472" s="60">
        <v>8</v>
      </c>
      <c r="G472" s="18"/>
      <c r="H472" s="2">
        <f t="shared" si="32"/>
        <v>0</v>
      </c>
      <c r="I472" s="18">
        <f>G472+H472</f>
        <v>0</v>
      </c>
    </row>
    <row r="473" spans="1:9" hidden="1" outlineLevel="1" x14ac:dyDescent="0.25">
      <c r="A473" s="84"/>
      <c r="B473" s="329" t="s">
        <v>302</v>
      </c>
      <c r="C473" s="21" t="s">
        <v>29</v>
      </c>
      <c r="D473" s="340">
        <v>0</v>
      </c>
      <c r="E473" s="18"/>
      <c r="F473" s="60">
        <v>194</v>
      </c>
      <c r="G473" s="18"/>
      <c r="H473" s="2">
        <f t="shared" si="32"/>
        <v>0</v>
      </c>
      <c r="I473" s="18">
        <f t="shared" si="29"/>
        <v>0</v>
      </c>
    </row>
    <row r="474" spans="1:9" hidden="1" outlineLevel="1" x14ac:dyDescent="0.25">
      <c r="A474" s="84"/>
      <c r="B474" s="329" t="s">
        <v>443</v>
      </c>
      <c r="C474" s="21" t="s">
        <v>29</v>
      </c>
      <c r="D474" s="340">
        <v>0</v>
      </c>
      <c r="E474" s="18"/>
      <c r="F474" s="60">
        <v>45</v>
      </c>
      <c r="G474" s="18"/>
      <c r="H474" s="2">
        <f t="shared" si="32"/>
        <v>0</v>
      </c>
      <c r="I474" s="18">
        <f t="shared" si="29"/>
        <v>0</v>
      </c>
    </row>
    <row r="475" spans="1:9" hidden="1" outlineLevel="1" x14ac:dyDescent="0.25">
      <c r="A475" s="84"/>
      <c r="B475" s="329" t="s">
        <v>300</v>
      </c>
      <c r="C475" s="21" t="s">
        <v>29</v>
      </c>
      <c r="D475" s="340">
        <v>0</v>
      </c>
      <c r="E475" s="18"/>
      <c r="F475" s="60">
        <v>78</v>
      </c>
      <c r="G475" s="18"/>
      <c r="H475" s="2">
        <f t="shared" si="32"/>
        <v>0</v>
      </c>
      <c r="I475" s="18">
        <f t="shared" si="29"/>
        <v>0</v>
      </c>
    </row>
    <row r="476" spans="1:9" hidden="1" outlineLevel="1" x14ac:dyDescent="0.25">
      <c r="A476" s="84"/>
      <c r="B476" s="329" t="s">
        <v>91</v>
      </c>
      <c r="C476" s="21" t="s">
        <v>15</v>
      </c>
      <c r="D476" s="340">
        <v>0</v>
      </c>
      <c r="E476" s="18"/>
      <c r="F476" s="164">
        <v>42</v>
      </c>
      <c r="G476" s="18"/>
      <c r="H476" s="2">
        <f>ROUND(D476*F476,2)</f>
        <v>0</v>
      </c>
      <c r="I476" s="18">
        <f t="shared" si="29"/>
        <v>0</v>
      </c>
    </row>
    <row r="477" spans="1:9" hidden="1" outlineLevel="1" x14ac:dyDescent="0.25">
      <c r="A477" s="84"/>
      <c r="B477" s="329" t="s">
        <v>676</v>
      </c>
      <c r="C477" s="21" t="s">
        <v>29</v>
      </c>
      <c r="D477" s="340">
        <v>0</v>
      </c>
      <c r="E477" s="18"/>
      <c r="F477" s="164">
        <v>9.8699999999999992</v>
      </c>
      <c r="G477" s="18"/>
      <c r="H477" s="2">
        <f>ROUND(D477*F477,2)</f>
        <v>0</v>
      </c>
      <c r="I477" s="18">
        <f t="shared" si="29"/>
        <v>0</v>
      </c>
    </row>
    <row r="478" spans="1:9" hidden="1" outlineLevel="1" x14ac:dyDescent="0.25">
      <c r="A478" s="84"/>
      <c r="B478" s="329" t="s">
        <v>669</v>
      </c>
      <c r="C478" s="21" t="s">
        <v>29</v>
      </c>
      <c r="D478" s="340">
        <v>0</v>
      </c>
      <c r="E478" s="18"/>
      <c r="F478" s="164">
        <v>9.8699999999999992</v>
      </c>
      <c r="G478" s="18"/>
      <c r="H478" s="2">
        <f>ROUND(D478*F478,2)</f>
        <v>0</v>
      </c>
      <c r="I478" s="18">
        <f t="shared" si="29"/>
        <v>0</v>
      </c>
    </row>
    <row r="479" spans="1:9" hidden="1" outlineLevel="1" x14ac:dyDescent="0.25">
      <c r="A479" s="84"/>
      <c r="B479" s="329" t="s">
        <v>672</v>
      </c>
      <c r="C479" s="21" t="s">
        <v>29</v>
      </c>
      <c r="D479" s="340">
        <v>0</v>
      </c>
      <c r="E479" s="18"/>
      <c r="F479" s="164">
        <v>9.8699999999999992</v>
      </c>
      <c r="G479" s="18"/>
      <c r="H479" s="2">
        <f>ROUND(D479*F479,2)</f>
        <v>0</v>
      </c>
      <c r="I479" s="18">
        <f t="shared" si="29"/>
        <v>0</v>
      </c>
    </row>
    <row r="480" spans="1:9" hidden="1" outlineLevel="1" x14ac:dyDescent="0.25">
      <c r="A480" s="84"/>
      <c r="B480" s="329" t="s">
        <v>444</v>
      </c>
      <c r="C480" s="21" t="s">
        <v>29</v>
      </c>
      <c r="D480" s="340">
        <v>0</v>
      </c>
      <c r="E480" s="18"/>
      <c r="F480" s="60">
        <v>56</v>
      </c>
      <c r="G480" s="18"/>
      <c r="H480" s="2">
        <f t="shared" si="32"/>
        <v>0</v>
      </c>
      <c r="I480" s="18">
        <f t="shared" si="29"/>
        <v>0</v>
      </c>
    </row>
    <row r="481" spans="1:9" hidden="1" outlineLevel="1" x14ac:dyDescent="0.25">
      <c r="A481" s="84"/>
      <c r="B481" s="329" t="s">
        <v>445</v>
      </c>
      <c r="C481" s="21" t="s">
        <v>29</v>
      </c>
      <c r="D481" s="340">
        <v>0</v>
      </c>
      <c r="E481" s="18"/>
      <c r="F481" s="60">
        <v>70</v>
      </c>
      <c r="G481" s="18"/>
      <c r="H481" s="2">
        <f t="shared" si="32"/>
        <v>0</v>
      </c>
      <c r="I481" s="18">
        <f t="shared" si="29"/>
        <v>0</v>
      </c>
    </row>
    <row r="482" spans="1:9" hidden="1" outlineLevel="1" x14ac:dyDescent="0.25">
      <c r="A482" s="84"/>
      <c r="B482" s="329" t="s">
        <v>671</v>
      </c>
      <c r="C482" s="21" t="s">
        <v>29</v>
      </c>
      <c r="D482" s="340">
        <v>0</v>
      </c>
      <c r="E482" s="18"/>
      <c r="F482" s="164">
        <v>170</v>
      </c>
      <c r="G482" s="18"/>
      <c r="H482" s="2">
        <f>ROUND(D482*F482,2)</f>
        <v>0</v>
      </c>
      <c r="I482" s="18">
        <f t="shared" si="29"/>
        <v>0</v>
      </c>
    </row>
    <row r="483" spans="1:9" hidden="1" outlineLevel="1" x14ac:dyDescent="0.25">
      <c r="A483" s="84" t="s">
        <v>533</v>
      </c>
      <c r="B483" s="29" t="s">
        <v>303</v>
      </c>
      <c r="C483" s="31" t="s">
        <v>12</v>
      </c>
      <c r="D483" s="158"/>
      <c r="E483" s="18"/>
      <c r="F483" s="60"/>
      <c r="G483" s="18">
        <f>E483*D483</f>
        <v>0</v>
      </c>
      <c r="H483" s="18"/>
      <c r="I483" s="18">
        <f t="shared" si="29"/>
        <v>0</v>
      </c>
    </row>
    <row r="484" spans="1:9" hidden="1" outlineLevel="1" x14ac:dyDescent="0.25">
      <c r="A484" s="84"/>
      <c r="B484" s="329" t="s">
        <v>304</v>
      </c>
      <c r="C484" s="21" t="s">
        <v>12</v>
      </c>
      <c r="D484" s="340">
        <v>0</v>
      </c>
      <c r="E484" s="18"/>
      <c r="F484" s="60">
        <v>462</v>
      </c>
      <c r="G484" s="18"/>
      <c r="H484" s="2">
        <f>ROUND(D484*F484,2)</f>
        <v>0</v>
      </c>
      <c r="I484" s="18">
        <f t="shared" si="29"/>
        <v>0</v>
      </c>
    </row>
    <row r="485" spans="1:9" hidden="1" outlineLevel="1" x14ac:dyDescent="0.25">
      <c r="A485" s="84"/>
      <c r="B485" s="329" t="s">
        <v>306</v>
      </c>
      <c r="C485" s="21" t="s">
        <v>12</v>
      </c>
      <c r="D485" s="340">
        <v>0</v>
      </c>
      <c r="E485" s="18"/>
      <c r="F485" s="60">
        <v>216</v>
      </c>
      <c r="G485" s="18"/>
      <c r="H485" s="2">
        <f>ROUND(D485*F485,2)</f>
        <v>0</v>
      </c>
      <c r="I485" s="18">
        <f t="shared" si="29"/>
        <v>0</v>
      </c>
    </row>
    <row r="486" spans="1:9" hidden="1" outlineLevel="1" x14ac:dyDescent="0.25">
      <c r="A486" s="84"/>
      <c r="B486" s="329" t="s">
        <v>305</v>
      </c>
      <c r="C486" s="21" t="s">
        <v>12</v>
      </c>
      <c r="D486" s="340">
        <v>0</v>
      </c>
      <c r="E486" s="18"/>
      <c r="F486" s="60">
        <v>216</v>
      </c>
      <c r="G486" s="18"/>
      <c r="H486" s="2">
        <f>ROUND(D486*F486,2)</f>
        <v>0</v>
      </c>
      <c r="I486" s="18">
        <f t="shared" si="29"/>
        <v>0</v>
      </c>
    </row>
    <row r="487" spans="1:9" hidden="1" outlineLevel="1" x14ac:dyDescent="0.25">
      <c r="A487" s="84"/>
      <c r="B487" s="329" t="s">
        <v>307</v>
      </c>
      <c r="C487" s="21" t="s">
        <v>12</v>
      </c>
      <c r="D487" s="340">
        <v>0</v>
      </c>
      <c r="E487" s="18"/>
      <c r="F487" s="60">
        <v>300</v>
      </c>
      <c r="G487" s="18"/>
      <c r="H487" s="2">
        <f>ROUND(D487*F487,2)</f>
        <v>0</v>
      </c>
      <c r="I487" s="18">
        <f t="shared" si="29"/>
        <v>0</v>
      </c>
    </row>
    <row r="488" spans="1:9" hidden="1" outlineLevel="1" x14ac:dyDescent="0.25">
      <c r="A488" s="84" t="s">
        <v>534</v>
      </c>
      <c r="B488" s="29" t="s">
        <v>310</v>
      </c>
      <c r="C488" s="31" t="s">
        <v>173</v>
      </c>
      <c r="D488" s="31">
        <v>0</v>
      </c>
      <c r="E488" s="18"/>
      <c r="F488" s="60">
        <f>30000</f>
        <v>30000</v>
      </c>
      <c r="G488" s="18"/>
      <c r="H488" s="2">
        <f>ROUND(D488*F488,2)</f>
        <v>0</v>
      </c>
      <c r="I488" s="18">
        <f t="shared" si="29"/>
        <v>0</v>
      </c>
    </row>
    <row r="489" spans="1:9" hidden="1" outlineLevel="1" x14ac:dyDescent="0.25">
      <c r="A489" s="84" t="s">
        <v>611</v>
      </c>
      <c r="B489" s="192" t="s">
        <v>590</v>
      </c>
      <c r="C489" s="31"/>
      <c r="D489" s="18"/>
      <c r="E489" s="256">
        <v>0</v>
      </c>
      <c r="F489" s="60"/>
      <c r="G489" s="18">
        <f>E489</f>
        <v>0</v>
      </c>
      <c r="H489" s="18">
        <v>0</v>
      </c>
      <c r="I489" s="18">
        <f>G489+H489</f>
        <v>0</v>
      </c>
    </row>
    <row r="490" spans="1:9" hidden="1" outlineLevel="1" x14ac:dyDescent="0.25">
      <c r="A490" s="84"/>
      <c r="B490" s="329" t="s">
        <v>591</v>
      </c>
      <c r="C490" s="21" t="s">
        <v>12</v>
      </c>
      <c r="D490" s="340">
        <v>0</v>
      </c>
      <c r="E490" s="18"/>
      <c r="F490" s="60">
        <f>1144.07*1.1</f>
        <v>1258.4770000000001</v>
      </c>
      <c r="G490" s="18"/>
      <c r="H490" s="18">
        <f>F490*D490</f>
        <v>0</v>
      </c>
      <c r="I490" s="18">
        <f>G490+H490</f>
        <v>0</v>
      </c>
    </row>
    <row r="491" spans="1:9" hidden="1" outlineLevel="1" x14ac:dyDescent="0.25">
      <c r="A491" s="84"/>
      <c r="B491" s="329" t="s">
        <v>592</v>
      </c>
      <c r="C491" s="21" t="s">
        <v>12</v>
      </c>
      <c r="D491" s="340">
        <v>0</v>
      </c>
      <c r="E491" s="18"/>
      <c r="F491" s="60">
        <f>1144.07*1.1</f>
        <v>1258.4770000000001</v>
      </c>
      <c r="G491" s="18"/>
      <c r="H491" s="18">
        <f>F491*D491</f>
        <v>0</v>
      </c>
      <c r="I491" s="18">
        <f>G491+H491</f>
        <v>0</v>
      </c>
    </row>
    <row r="492" spans="1:9" hidden="1" outlineLevel="1" x14ac:dyDescent="0.25">
      <c r="A492" s="84"/>
      <c r="B492" s="329" t="s">
        <v>593</v>
      </c>
      <c r="C492" s="21" t="s">
        <v>12</v>
      </c>
      <c r="D492" s="340">
        <v>0</v>
      </c>
      <c r="E492" s="18"/>
      <c r="F492" s="60">
        <f>1144.07*1.1</f>
        <v>1258.4770000000001</v>
      </c>
      <c r="G492" s="18"/>
      <c r="H492" s="18">
        <f>F492*D492</f>
        <v>0</v>
      </c>
      <c r="I492" s="18">
        <f>G492+H492</f>
        <v>0</v>
      </c>
    </row>
    <row r="493" spans="1:9" hidden="1" outlineLevel="1" x14ac:dyDescent="0.25">
      <c r="A493" s="84"/>
      <c r="B493" s="329" t="s">
        <v>594</v>
      </c>
      <c r="C493" s="21" t="s">
        <v>12</v>
      </c>
      <c r="D493" s="340">
        <v>0</v>
      </c>
      <c r="E493" s="18"/>
      <c r="F493" s="60">
        <f>1101.7*1.18</f>
        <v>1300.0060000000001</v>
      </c>
      <c r="G493" s="18"/>
      <c r="H493" s="18">
        <f>F493*D493</f>
        <v>0</v>
      </c>
      <c r="I493" s="18">
        <f>G493+H493</f>
        <v>0</v>
      </c>
    </row>
    <row r="494" spans="1:9" hidden="1" outlineLevel="1" x14ac:dyDescent="0.25">
      <c r="A494" s="84"/>
      <c r="B494" s="308" t="s">
        <v>595</v>
      </c>
      <c r="C494" s="21" t="s">
        <v>12</v>
      </c>
      <c r="D494" s="340">
        <v>0</v>
      </c>
      <c r="E494" s="18"/>
      <c r="F494" s="60">
        <f>120</f>
        <v>120</v>
      </c>
      <c r="G494" s="18"/>
      <c r="H494" s="18">
        <f t="shared" ref="H494:H511" si="33">F494*D494</f>
        <v>0</v>
      </c>
      <c r="I494" s="18">
        <f t="shared" ref="I494:I511" si="34">G494+H494</f>
        <v>0</v>
      </c>
    </row>
    <row r="495" spans="1:9" hidden="1" outlineLevel="1" x14ac:dyDescent="0.25">
      <c r="A495" s="84"/>
      <c r="B495" s="308" t="s">
        <v>596</v>
      </c>
      <c r="C495" s="21" t="s">
        <v>12</v>
      </c>
      <c r="D495" s="340">
        <v>0</v>
      </c>
      <c r="E495" s="18"/>
      <c r="F495" s="60">
        <f>127.12*1.18</f>
        <v>150.0016</v>
      </c>
      <c r="G495" s="18"/>
      <c r="H495" s="18">
        <f t="shared" si="33"/>
        <v>0</v>
      </c>
      <c r="I495" s="18">
        <f t="shared" si="34"/>
        <v>0</v>
      </c>
    </row>
    <row r="496" spans="1:9" hidden="1" outlineLevel="1" x14ac:dyDescent="0.25">
      <c r="A496" s="84"/>
      <c r="B496" s="308" t="s">
        <v>597</v>
      </c>
      <c r="C496" s="21" t="s">
        <v>12</v>
      </c>
      <c r="D496" s="340">
        <v>0</v>
      </c>
      <c r="E496" s="18"/>
      <c r="F496" s="60">
        <f>127.12*1.18</f>
        <v>150.0016</v>
      </c>
      <c r="G496" s="18"/>
      <c r="H496" s="18">
        <f t="shared" si="33"/>
        <v>0</v>
      </c>
      <c r="I496" s="18">
        <f t="shared" si="34"/>
        <v>0</v>
      </c>
    </row>
    <row r="497" spans="1:9" hidden="1" outlineLevel="1" x14ac:dyDescent="0.25">
      <c r="A497" s="84"/>
      <c r="B497" s="308" t="s">
        <v>598</v>
      </c>
      <c r="C497" s="21" t="s">
        <v>12</v>
      </c>
      <c r="D497" s="340">
        <v>0</v>
      </c>
      <c r="E497" s="18"/>
      <c r="F497" s="60">
        <v>50</v>
      </c>
      <c r="G497" s="18"/>
      <c r="H497" s="18">
        <f t="shared" si="33"/>
        <v>0</v>
      </c>
      <c r="I497" s="18">
        <f t="shared" si="34"/>
        <v>0</v>
      </c>
    </row>
    <row r="498" spans="1:9" hidden="1" outlineLevel="1" x14ac:dyDescent="0.25">
      <c r="A498" s="84"/>
      <c r="B498" s="308" t="s">
        <v>599</v>
      </c>
      <c r="C498" s="21" t="s">
        <v>12</v>
      </c>
      <c r="D498" s="340">
        <v>0</v>
      </c>
      <c r="E498" s="18"/>
      <c r="F498" s="60">
        <v>200</v>
      </c>
      <c r="G498" s="18"/>
      <c r="H498" s="18">
        <f t="shared" si="33"/>
        <v>0</v>
      </c>
      <c r="I498" s="18">
        <f t="shared" si="34"/>
        <v>0</v>
      </c>
    </row>
    <row r="499" spans="1:9" hidden="1" outlineLevel="1" x14ac:dyDescent="0.25">
      <c r="A499" s="84"/>
      <c r="B499" s="308" t="s">
        <v>600</v>
      </c>
      <c r="C499" s="21" t="s">
        <v>12</v>
      </c>
      <c r="D499" s="340">
        <v>0</v>
      </c>
      <c r="E499" s="18"/>
      <c r="F499" s="60">
        <v>10</v>
      </c>
      <c r="G499" s="18"/>
      <c r="H499" s="18">
        <f t="shared" si="33"/>
        <v>0</v>
      </c>
      <c r="I499" s="18">
        <f t="shared" si="34"/>
        <v>0</v>
      </c>
    </row>
    <row r="500" spans="1:9" hidden="1" outlineLevel="1" x14ac:dyDescent="0.25">
      <c r="A500" s="84"/>
      <c r="B500" s="308" t="s">
        <v>601</v>
      </c>
      <c r="C500" s="21" t="s">
        <v>12</v>
      </c>
      <c r="D500" s="340">
        <v>0</v>
      </c>
      <c r="E500" s="18"/>
      <c r="F500" s="60">
        <v>18</v>
      </c>
      <c r="G500" s="18"/>
      <c r="H500" s="18">
        <f t="shared" si="33"/>
        <v>0</v>
      </c>
      <c r="I500" s="18">
        <f t="shared" si="34"/>
        <v>0</v>
      </c>
    </row>
    <row r="501" spans="1:9" hidden="1" outlineLevel="1" x14ac:dyDescent="0.25">
      <c r="A501" s="84"/>
      <c r="B501" s="308" t="s">
        <v>602</v>
      </c>
      <c r="C501" s="21" t="s">
        <v>12</v>
      </c>
      <c r="D501" s="340">
        <v>0</v>
      </c>
      <c r="E501" s="18"/>
      <c r="F501" s="60">
        <v>67</v>
      </c>
      <c r="G501" s="18"/>
      <c r="H501" s="18">
        <f t="shared" si="33"/>
        <v>0</v>
      </c>
      <c r="I501" s="18">
        <f t="shared" si="34"/>
        <v>0</v>
      </c>
    </row>
    <row r="502" spans="1:9" hidden="1" outlineLevel="1" x14ac:dyDescent="0.25">
      <c r="A502" s="84"/>
      <c r="B502" s="33" t="s">
        <v>603</v>
      </c>
      <c r="C502" s="21" t="s">
        <v>12</v>
      </c>
      <c r="D502" s="18"/>
      <c r="E502" s="18"/>
      <c r="F502" s="60">
        <v>65</v>
      </c>
      <c r="G502" s="18"/>
      <c r="H502" s="18">
        <f t="shared" si="33"/>
        <v>0</v>
      </c>
      <c r="I502" s="18">
        <f t="shared" si="34"/>
        <v>0</v>
      </c>
    </row>
    <row r="503" spans="1:9" hidden="1" outlineLevel="1" x14ac:dyDescent="0.25">
      <c r="A503" s="84"/>
      <c r="B503" s="308" t="s">
        <v>604</v>
      </c>
      <c r="C503" s="21" t="s">
        <v>12</v>
      </c>
      <c r="D503" s="340">
        <v>0</v>
      </c>
      <c r="E503" s="18"/>
      <c r="F503" s="60">
        <v>150</v>
      </c>
      <c r="G503" s="18"/>
      <c r="H503" s="18">
        <f t="shared" si="33"/>
        <v>0</v>
      </c>
      <c r="I503" s="18">
        <f t="shared" si="34"/>
        <v>0</v>
      </c>
    </row>
    <row r="504" spans="1:9" hidden="1" outlineLevel="1" x14ac:dyDescent="0.25">
      <c r="A504" s="84"/>
      <c r="B504" s="308" t="s">
        <v>605</v>
      </c>
      <c r="C504" s="21" t="s">
        <v>12</v>
      </c>
      <c r="D504" s="340">
        <v>0</v>
      </c>
      <c r="E504" s="18"/>
      <c r="F504" s="60">
        <v>45</v>
      </c>
      <c r="G504" s="18"/>
      <c r="H504" s="18">
        <f t="shared" si="33"/>
        <v>0</v>
      </c>
      <c r="I504" s="18">
        <f t="shared" si="34"/>
        <v>0</v>
      </c>
    </row>
    <row r="505" spans="1:9" hidden="1" outlineLevel="1" x14ac:dyDescent="0.25">
      <c r="A505" s="84"/>
      <c r="B505" s="308" t="s">
        <v>606</v>
      </c>
      <c r="C505" s="21" t="s">
        <v>12</v>
      </c>
      <c r="D505" s="340">
        <v>0</v>
      </c>
      <c r="E505" s="18"/>
      <c r="F505" s="60">
        <v>65</v>
      </c>
      <c r="G505" s="18"/>
      <c r="H505" s="18">
        <f t="shared" si="33"/>
        <v>0</v>
      </c>
      <c r="I505" s="18">
        <f t="shared" si="34"/>
        <v>0</v>
      </c>
    </row>
    <row r="506" spans="1:9" hidden="1" outlineLevel="1" x14ac:dyDescent="0.25">
      <c r="A506" s="84"/>
      <c r="B506" s="308" t="s">
        <v>716</v>
      </c>
      <c r="C506" s="21" t="s">
        <v>12</v>
      </c>
      <c r="D506" s="340">
        <v>0</v>
      </c>
      <c r="E506" s="18"/>
      <c r="F506" s="164">
        <v>100</v>
      </c>
      <c r="G506" s="18"/>
      <c r="H506" s="18">
        <f>F506*D506</f>
        <v>0</v>
      </c>
      <c r="I506" s="18">
        <f>G506+H506</f>
        <v>0</v>
      </c>
    </row>
    <row r="507" spans="1:9" hidden="1" outlineLevel="1" x14ac:dyDescent="0.25">
      <c r="A507" s="84"/>
      <c r="B507" s="308" t="s">
        <v>717</v>
      </c>
      <c r="C507" s="21" t="s">
        <v>12</v>
      </c>
      <c r="D507" s="340">
        <v>0</v>
      </c>
      <c r="E507" s="18"/>
      <c r="F507" s="164">
        <v>100</v>
      </c>
      <c r="G507" s="18"/>
      <c r="H507" s="18">
        <f>F507*D507</f>
        <v>0</v>
      </c>
      <c r="I507" s="18">
        <f>G507+H507</f>
        <v>0</v>
      </c>
    </row>
    <row r="508" spans="1:9" hidden="1" outlineLevel="1" x14ac:dyDescent="0.25">
      <c r="A508" s="84"/>
      <c r="B508" s="308" t="s">
        <v>607</v>
      </c>
      <c r="C508" s="21" t="s">
        <v>29</v>
      </c>
      <c r="D508" s="340">
        <v>0</v>
      </c>
      <c r="E508" s="18"/>
      <c r="F508" s="60">
        <v>50</v>
      </c>
      <c r="G508" s="18"/>
      <c r="H508" s="18">
        <f t="shared" si="33"/>
        <v>0</v>
      </c>
      <c r="I508" s="18">
        <f t="shared" si="34"/>
        <v>0</v>
      </c>
    </row>
    <row r="509" spans="1:9" hidden="1" outlineLevel="1" x14ac:dyDescent="0.25">
      <c r="A509" s="84"/>
      <c r="B509" s="308" t="s">
        <v>608</v>
      </c>
      <c r="C509" s="21" t="s">
        <v>29</v>
      </c>
      <c r="D509" s="340">
        <v>0</v>
      </c>
      <c r="E509" s="18"/>
      <c r="F509" s="60">
        <v>59</v>
      </c>
      <c r="G509" s="18"/>
      <c r="H509" s="18">
        <f t="shared" si="33"/>
        <v>0</v>
      </c>
      <c r="I509" s="18">
        <f t="shared" si="34"/>
        <v>0</v>
      </c>
    </row>
    <row r="510" spans="1:9" hidden="1" outlineLevel="1" x14ac:dyDescent="0.25">
      <c r="A510" s="84"/>
      <c r="B510" s="308" t="s">
        <v>90</v>
      </c>
      <c r="C510" s="2" t="s">
        <v>29</v>
      </c>
      <c r="D510" s="340">
        <v>0</v>
      </c>
      <c r="E510" s="18"/>
      <c r="F510" s="60">
        <v>20</v>
      </c>
      <c r="G510" s="18"/>
      <c r="H510" s="18">
        <f t="shared" si="33"/>
        <v>0</v>
      </c>
      <c r="I510" s="18">
        <f t="shared" si="34"/>
        <v>0</v>
      </c>
    </row>
    <row r="511" spans="1:9" hidden="1" outlineLevel="1" x14ac:dyDescent="0.25">
      <c r="A511" s="84"/>
      <c r="B511" s="308" t="s">
        <v>91</v>
      </c>
      <c r="C511" s="31" t="s">
        <v>15</v>
      </c>
      <c r="D511" s="340">
        <v>0</v>
      </c>
      <c r="E511" s="18"/>
      <c r="F511" s="60">
        <v>42</v>
      </c>
      <c r="G511" s="18"/>
      <c r="H511" s="18">
        <f t="shared" si="33"/>
        <v>0</v>
      </c>
      <c r="I511" s="18">
        <f t="shared" si="34"/>
        <v>0</v>
      </c>
    </row>
    <row r="512" spans="1:9" s="6" customFormat="1" hidden="1" outlineLevel="1" x14ac:dyDescent="0.25">
      <c r="A512" s="84" t="s">
        <v>612</v>
      </c>
      <c r="B512" s="192" t="s">
        <v>609</v>
      </c>
      <c r="C512" s="31"/>
      <c r="D512" s="18"/>
      <c r="E512" s="130"/>
      <c r="F512" s="60"/>
      <c r="G512" s="18"/>
      <c r="H512" s="18"/>
      <c r="I512" s="18"/>
    </row>
    <row r="513" spans="1:9" s="6" customFormat="1" hidden="1" outlineLevel="1" x14ac:dyDescent="0.25">
      <c r="A513" s="84"/>
      <c r="B513" s="308" t="s">
        <v>610</v>
      </c>
      <c r="C513" s="31" t="s">
        <v>12</v>
      </c>
      <c r="D513" s="306">
        <v>0</v>
      </c>
      <c r="E513" s="256">
        <v>0</v>
      </c>
      <c r="F513" s="57">
        <v>350</v>
      </c>
      <c r="G513" s="18">
        <f>E513</f>
        <v>0</v>
      </c>
      <c r="H513" s="18">
        <f>F513*D513</f>
        <v>0</v>
      </c>
      <c r="I513" s="18">
        <f>G513+H513</f>
        <v>0</v>
      </c>
    </row>
    <row r="514" spans="1:9" s="5" customFormat="1" ht="38.4" customHeight="1" collapsed="1" x14ac:dyDescent="0.25">
      <c r="A514" s="223"/>
      <c r="B514" s="233" t="s">
        <v>61</v>
      </c>
      <c r="C514" s="234"/>
      <c r="D514" s="235"/>
      <c r="E514" s="236"/>
      <c r="F514" s="237"/>
      <c r="G514" s="236">
        <f>SUM(G416:G513)</f>
        <v>0</v>
      </c>
      <c r="H514" s="236">
        <f>SUM(H416:H513)</f>
        <v>0</v>
      </c>
      <c r="I514" s="236">
        <f>SUM(I416:I513)</f>
        <v>0</v>
      </c>
    </row>
    <row r="515" spans="1:9" s="5" customFormat="1" ht="18.600000000000001" customHeight="1" x14ac:dyDescent="0.25">
      <c r="A515" s="92"/>
      <c r="B515" s="471" t="s">
        <v>624</v>
      </c>
      <c r="C515" s="9"/>
      <c r="D515" s="31"/>
      <c r="E515" s="10"/>
      <c r="F515" s="57"/>
      <c r="G515" s="10"/>
      <c r="H515" s="10"/>
      <c r="I515" s="31">
        <f>ROUND(I514/1.18*0.18,2)</f>
        <v>0</v>
      </c>
    </row>
    <row r="516" spans="1:9" s="5" customFormat="1" ht="18.75" customHeight="1" x14ac:dyDescent="0.25">
      <c r="A516" s="489"/>
      <c r="B516" s="491" t="s">
        <v>1210</v>
      </c>
      <c r="C516" s="490"/>
      <c r="D516" s="128"/>
      <c r="E516" s="119"/>
      <c r="F516" s="145"/>
      <c r="G516" s="128"/>
      <c r="H516" s="128"/>
      <c r="I516" s="111"/>
    </row>
    <row r="517" spans="1:9" ht="31.2" hidden="1" outlineLevel="1" x14ac:dyDescent="0.25">
      <c r="A517" s="93" t="s">
        <v>325</v>
      </c>
      <c r="B517" s="357" t="s">
        <v>77</v>
      </c>
      <c r="C517" s="72" t="s">
        <v>12</v>
      </c>
      <c r="D517" s="356">
        <v>0</v>
      </c>
      <c r="E517" s="355">
        <v>1500</v>
      </c>
      <c r="F517" s="146"/>
      <c r="G517" s="2">
        <f>ROUND(E517*D517,2)</f>
        <v>0</v>
      </c>
      <c r="H517" s="73"/>
      <c r="I517" s="73">
        <f>G517+H517</f>
        <v>0</v>
      </c>
    </row>
    <row r="518" spans="1:9" hidden="1" outlineLevel="1" x14ac:dyDescent="0.25">
      <c r="A518" s="84"/>
      <c r="B518" s="329" t="s">
        <v>181</v>
      </c>
      <c r="C518" s="21" t="s">
        <v>173</v>
      </c>
      <c r="D518" s="340">
        <v>0</v>
      </c>
      <c r="E518" s="282"/>
      <c r="F518" s="361">
        <v>31000</v>
      </c>
      <c r="G518" s="18"/>
      <c r="H518" s="2">
        <f>ROUND(D518*F518,2)</f>
        <v>0</v>
      </c>
      <c r="I518" s="18">
        <f>G518+H518</f>
        <v>0</v>
      </c>
    </row>
    <row r="519" spans="1:9" hidden="1" outlineLevel="1" x14ac:dyDescent="0.25">
      <c r="A519" s="84" t="s">
        <v>326</v>
      </c>
      <c r="B519" s="9" t="s">
        <v>79</v>
      </c>
      <c r="C519" s="31" t="s">
        <v>80</v>
      </c>
      <c r="D519" s="306">
        <v>0</v>
      </c>
      <c r="E519" s="256">
        <v>75</v>
      </c>
      <c r="F519" s="60"/>
      <c r="G519" s="2">
        <f>ROUND(E519*D519,2)</f>
        <v>0</v>
      </c>
      <c r="H519" s="18"/>
      <c r="I519" s="18">
        <f t="shared" ref="I519:I563" si="35">G519+H519</f>
        <v>0</v>
      </c>
    </row>
    <row r="520" spans="1:9" hidden="1" outlineLevel="1" x14ac:dyDescent="0.25">
      <c r="A520" s="84"/>
      <c r="B520" s="343" t="s">
        <v>81</v>
      </c>
      <c r="C520" s="21" t="s">
        <v>80</v>
      </c>
      <c r="D520" s="340">
        <v>0</v>
      </c>
      <c r="E520" s="18"/>
      <c r="F520" s="361">
        <v>240</v>
      </c>
      <c r="G520" s="18"/>
      <c r="H520" s="2">
        <f>ROUND(D520*F520,2)</f>
        <v>0</v>
      </c>
      <c r="I520" s="18">
        <f t="shared" si="35"/>
        <v>0</v>
      </c>
    </row>
    <row r="521" spans="1:9" hidden="1" outlineLevel="1" x14ac:dyDescent="0.25">
      <c r="A521" s="84" t="s">
        <v>327</v>
      </c>
      <c r="B521" s="9" t="s">
        <v>83</v>
      </c>
      <c r="C521" s="31" t="s">
        <v>12</v>
      </c>
      <c r="D521" s="306">
        <v>0</v>
      </c>
      <c r="E521" s="256">
        <v>600</v>
      </c>
      <c r="F521" s="60"/>
      <c r="G521" s="2">
        <f>ROUND(E521*D521,2)</f>
        <v>0</v>
      </c>
      <c r="H521" s="18"/>
      <c r="I521" s="18">
        <f t="shared" si="35"/>
        <v>0</v>
      </c>
    </row>
    <row r="522" spans="1:9" ht="31.2" hidden="1" outlineLevel="1" x14ac:dyDescent="0.25">
      <c r="A522" s="84"/>
      <c r="B522" s="329" t="s">
        <v>266</v>
      </c>
      <c r="C522" s="21" t="s">
        <v>12</v>
      </c>
      <c r="D522" s="340">
        <v>0</v>
      </c>
      <c r="E522" s="18"/>
      <c r="F522" s="361">
        <v>950</v>
      </c>
      <c r="G522" s="18"/>
      <c r="H522" s="2">
        <f>ROUND(D522*F522,2)</f>
        <v>0</v>
      </c>
      <c r="I522" s="18">
        <f t="shared" si="35"/>
        <v>0</v>
      </c>
    </row>
    <row r="523" spans="1:9" ht="31.2" hidden="1" outlineLevel="1" x14ac:dyDescent="0.25">
      <c r="A523" s="84" t="s">
        <v>536</v>
      </c>
      <c r="B523" s="9" t="s">
        <v>85</v>
      </c>
      <c r="C523" s="31" t="s">
        <v>29</v>
      </c>
      <c r="D523" s="31">
        <v>0</v>
      </c>
      <c r="E523" s="256">
        <v>60</v>
      </c>
      <c r="F523" s="60"/>
      <c r="G523" s="2">
        <f>ROUND(E523*D523,2)</f>
        <v>0</v>
      </c>
      <c r="H523" s="18"/>
      <c r="I523" s="18">
        <f t="shared" si="35"/>
        <v>0</v>
      </c>
    </row>
    <row r="524" spans="1:9" ht="31.2" hidden="1" outlineLevel="1" x14ac:dyDescent="0.25">
      <c r="A524" s="84"/>
      <c r="B524" s="329" t="s">
        <v>412</v>
      </c>
      <c r="C524" s="21" t="s">
        <v>29</v>
      </c>
      <c r="D524" s="340">
        <v>0</v>
      </c>
      <c r="E524" s="18"/>
      <c r="F524" s="60">
        <v>40</v>
      </c>
      <c r="G524" s="18"/>
      <c r="H524" s="2">
        <f t="shared" ref="H524:H530" si="36">ROUND(D524*F524,2)</f>
        <v>0</v>
      </c>
      <c r="I524" s="18">
        <f t="shared" si="35"/>
        <v>0</v>
      </c>
    </row>
    <row r="525" spans="1:9" hidden="1" outlineLevel="1" x14ac:dyDescent="0.25">
      <c r="A525" s="84"/>
      <c r="B525" s="343" t="s">
        <v>86</v>
      </c>
      <c r="C525" s="21" t="s">
        <v>12</v>
      </c>
      <c r="D525" s="340">
        <v>0</v>
      </c>
      <c r="E525" s="18"/>
      <c r="F525" s="60">
        <v>98.64</v>
      </c>
      <c r="G525" s="18"/>
      <c r="H525" s="2">
        <f t="shared" si="36"/>
        <v>0</v>
      </c>
      <c r="I525" s="18">
        <f t="shared" si="35"/>
        <v>0</v>
      </c>
    </row>
    <row r="526" spans="1:9" ht="31.2" hidden="1" outlineLevel="1" x14ac:dyDescent="0.25">
      <c r="A526" s="84"/>
      <c r="B526" s="343" t="s">
        <v>263</v>
      </c>
      <c r="C526" s="21" t="s">
        <v>12</v>
      </c>
      <c r="D526" s="340">
        <v>0</v>
      </c>
      <c r="E526" s="18"/>
      <c r="F526" s="60">
        <v>145.03</v>
      </c>
      <c r="G526" s="18"/>
      <c r="H526" s="2">
        <f t="shared" si="36"/>
        <v>0</v>
      </c>
      <c r="I526" s="18">
        <f t="shared" si="35"/>
        <v>0</v>
      </c>
    </row>
    <row r="527" spans="1:9" ht="31.2" hidden="1" outlineLevel="1" x14ac:dyDescent="0.25">
      <c r="A527" s="84"/>
      <c r="B527" s="329" t="s">
        <v>264</v>
      </c>
      <c r="C527" s="21" t="s">
        <v>12</v>
      </c>
      <c r="D527" s="340">
        <v>0</v>
      </c>
      <c r="E527" s="18"/>
      <c r="F527" s="60">
        <v>450</v>
      </c>
      <c r="G527" s="18"/>
      <c r="H527" s="2">
        <f t="shared" si="36"/>
        <v>0</v>
      </c>
      <c r="I527" s="18">
        <f>G527+H527</f>
        <v>0</v>
      </c>
    </row>
    <row r="528" spans="1:9" ht="31.2" hidden="1" outlineLevel="1" x14ac:dyDescent="0.25">
      <c r="A528" s="84"/>
      <c r="B528" s="329" t="s">
        <v>265</v>
      </c>
      <c r="C528" s="21" t="s">
        <v>12</v>
      </c>
      <c r="D528" s="340">
        <v>0</v>
      </c>
      <c r="E528" s="18"/>
      <c r="F528" s="60">
        <v>450</v>
      </c>
      <c r="G528" s="18"/>
      <c r="H528" s="2">
        <f t="shared" si="36"/>
        <v>0</v>
      </c>
      <c r="I528" s="18">
        <f>G528+H528</f>
        <v>0</v>
      </c>
    </row>
    <row r="529" spans="1:9" hidden="1" outlineLevel="1" x14ac:dyDescent="0.25">
      <c r="A529" s="84"/>
      <c r="B529" s="343" t="s">
        <v>87</v>
      </c>
      <c r="C529" s="21" t="s">
        <v>12</v>
      </c>
      <c r="D529" s="340">
        <v>0</v>
      </c>
      <c r="E529" s="18"/>
      <c r="F529" s="60">
        <v>470</v>
      </c>
      <c r="G529" s="18"/>
      <c r="H529" s="2">
        <f t="shared" si="36"/>
        <v>0</v>
      </c>
      <c r="I529" s="18">
        <f t="shared" si="35"/>
        <v>0</v>
      </c>
    </row>
    <row r="530" spans="1:9" hidden="1" outlineLevel="1" x14ac:dyDescent="0.25">
      <c r="A530" s="84"/>
      <c r="B530" s="343" t="s">
        <v>88</v>
      </c>
      <c r="C530" s="21" t="s">
        <v>12</v>
      </c>
      <c r="D530" s="340">
        <v>0</v>
      </c>
      <c r="E530" s="18"/>
      <c r="F530" s="60">
        <v>1.5</v>
      </c>
      <c r="G530" s="18"/>
      <c r="H530" s="2">
        <f t="shared" si="36"/>
        <v>0</v>
      </c>
      <c r="I530" s="18">
        <f t="shared" si="35"/>
        <v>0</v>
      </c>
    </row>
    <row r="531" spans="1:9" ht="31.2" hidden="1" outlineLevel="1" x14ac:dyDescent="0.25">
      <c r="A531" s="84"/>
      <c r="B531" s="343" t="s">
        <v>681</v>
      </c>
      <c r="C531" s="21" t="s">
        <v>29</v>
      </c>
      <c r="D531" s="340">
        <v>0</v>
      </c>
      <c r="E531" s="18"/>
      <c r="F531" s="164">
        <v>100</v>
      </c>
      <c r="G531" s="18"/>
      <c r="H531" s="2">
        <f>ROUND(D531*F531,2)</f>
        <v>0</v>
      </c>
      <c r="I531" s="18">
        <f>G531+H531</f>
        <v>0</v>
      </c>
    </row>
    <row r="532" spans="1:9" ht="18" hidden="1" customHeight="1" outlineLevel="1" x14ac:dyDescent="0.25">
      <c r="A532" s="84"/>
      <c r="B532" s="343" t="s">
        <v>682</v>
      </c>
      <c r="C532" s="21" t="s">
        <v>12</v>
      </c>
      <c r="D532" s="340">
        <v>0</v>
      </c>
      <c r="E532" s="18"/>
      <c r="F532" s="164">
        <v>100</v>
      </c>
      <c r="G532" s="18"/>
      <c r="H532" s="2">
        <f>ROUND(D532*F532,2)</f>
        <v>0</v>
      </c>
      <c r="I532" s="18">
        <f>G532+H532</f>
        <v>0</v>
      </c>
    </row>
    <row r="533" spans="1:9" ht="31.2" hidden="1" outlineLevel="1" x14ac:dyDescent="0.25">
      <c r="A533" s="84" t="s">
        <v>538</v>
      </c>
      <c r="B533" s="307" t="s">
        <v>267</v>
      </c>
      <c r="C533" s="31" t="s">
        <v>12</v>
      </c>
      <c r="D533" s="306">
        <f>D534</f>
        <v>0</v>
      </c>
      <c r="E533" s="256">
        <v>300</v>
      </c>
      <c r="F533" s="11"/>
      <c r="G533" s="2">
        <f>ROUND(E533*D533,2)</f>
        <v>0</v>
      </c>
      <c r="H533" s="18"/>
      <c r="I533" s="18">
        <f t="shared" si="35"/>
        <v>0</v>
      </c>
    </row>
    <row r="534" spans="1:9" hidden="1" outlineLevel="1" x14ac:dyDescent="0.25">
      <c r="A534" s="84"/>
      <c r="B534" s="308" t="s">
        <v>416</v>
      </c>
      <c r="C534" s="2" t="s">
        <v>12</v>
      </c>
      <c r="D534" s="340">
        <v>0</v>
      </c>
      <c r="E534" s="2"/>
      <c r="F534" s="11">
        <f>2500*1.1</f>
        <v>2750</v>
      </c>
      <c r="G534" s="18"/>
      <c r="H534" s="2">
        <f>ROUND(D534*F534,2)</f>
        <v>0</v>
      </c>
      <c r="I534" s="18">
        <f t="shared" si="35"/>
        <v>0</v>
      </c>
    </row>
    <row r="535" spans="1:9" collapsed="1" x14ac:dyDescent="0.25">
      <c r="A535" s="223"/>
      <c r="B535" s="238" t="s">
        <v>539</v>
      </c>
      <c r="C535" s="234"/>
      <c r="D535" s="235"/>
      <c r="E535" s="236"/>
      <c r="F535" s="237"/>
      <c r="G535" s="236">
        <f>SUM(G516:G534)</f>
        <v>0</v>
      </c>
      <c r="H535" s="236">
        <f>SUM(H516:H534)</f>
        <v>0</v>
      </c>
      <c r="I535" s="236">
        <f>SUM(I517:I534)</f>
        <v>0</v>
      </c>
    </row>
    <row r="536" spans="1:9" s="5" customFormat="1" ht="18.600000000000001" customHeight="1" x14ac:dyDescent="0.25">
      <c r="A536" s="92"/>
      <c r="B536" s="471" t="s">
        <v>624</v>
      </c>
      <c r="C536" s="9"/>
      <c r="D536" s="31"/>
      <c r="E536" s="10"/>
      <c r="F536" s="57"/>
      <c r="G536" s="10"/>
      <c r="H536" s="10"/>
      <c r="I536" s="31">
        <f>ROUND(I535/1.18*0.18,2)</f>
        <v>0</v>
      </c>
    </row>
    <row r="537" spans="1:9" s="6" customFormat="1" x14ac:dyDescent="0.25">
      <c r="A537" s="492"/>
      <c r="B537" s="771" t="s">
        <v>1211</v>
      </c>
      <c r="C537" s="771"/>
      <c r="D537" s="771"/>
      <c r="E537" s="118"/>
      <c r="F537" s="112"/>
      <c r="G537" s="102"/>
      <c r="H537" s="102"/>
      <c r="I537" s="102"/>
    </row>
    <row r="538" spans="1:9" ht="31.2" hidden="1" outlineLevel="1" x14ac:dyDescent="0.25">
      <c r="A538" s="84" t="s">
        <v>154</v>
      </c>
      <c r="B538" s="494" t="s">
        <v>269</v>
      </c>
      <c r="C538" s="192" t="s">
        <v>29</v>
      </c>
      <c r="D538" s="10">
        <f>D539+D540</f>
        <v>0</v>
      </c>
      <c r="E538" s="256">
        <v>150</v>
      </c>
      <c r="F538" s="60"/>
      <c r="G538" s="2">
        <f>ROUND(E538*D538,2)</f>
        <v>0</v>
      </c>
      <c r="H538" s="18"/>
      <c r="I538" s="18">
        <f>G538+H538</f>
        <v>0</v>
      </c>
    </row>
    <row r="539" spans="1:9" ht="31.2" hidden="1" outlineLevel="1" x14ac:dyDescent="0.25">
      <c r="A539" s="84"/>
      <c r="B539" s="308" t="s">
        <v>683</v>
      </c>
      <c r="C539" s="21" t="s">
        <v>29</v>
      </c>
      <c r="D539" s="340">
        <v>0</v>
      </c>
      <c r="E539" s="282"/>
      <c r="F539" s="60">
        <f>(0.2+0.2+0.15+0.15)*500</f>
        <v>350.00000000000006</v>
      </c>
      <c r="G539" s="18"/>
      <c r="H539" s="2">
        <f>ROUND(D539*F539,2)</f>
        <v>0</v>
      </c>
      <c r="I539" s="18">
        <f>G539+H539</f>
        <v>0</v>
      </c>
    </row>
    <row r="540" spans="1:9" ht="31.2" hidden="1" outlineLevel="1" x14ac:dyDescent="0.25">
      <c r="A540" s="84"/>
      <c r="B540" s="308" t="s">
        <v>271</v>
      </c>
      <c r="C540" s="21" t="s">
        <v>29</v>
      </c>
      <c r="D540" s="340">
        <v>0</v>
      </c>
      <c r="E540" s="282"/>
      <c r="F540" s="60">
        <f>0.15*4*500</f>
        <v>300</v>
      </c>
      <c r="G540" s="18"/>
      <c r="H540" s="2">
        <f>ROUND(D540*F540,2)</f>
        <v>0</v>
      </c>
      <c r="I540" s="18">
        <f>G540+H540</f>
        <v>0</v>
      </c>
    </row>
    <row r="541" spans="1:9" ht="31.2" hidden="1" outlineLevel="1" x14ac:dyDescent="0.25">
      <c r="A541" s="84"/>
      <c r="B541" s="308" t="s">
        <v>684</v>
      </c>
      <c r="C541" s="21" t="s">
        <v>29</v>
      </c>
      <c r="D541" s="340">
        <v>0</v>
      </c>
      <c r="E541" s="282"/>
      <c r="F541" s="60">
        <f>0.15*4*500</f>
        <v>300</v>
      </c>
      <c r="G541" s="18"/>
      <c r="H541" s="2">
        <f>ROUND(D541*F541,2)</f>
        <v>0</v>
      </c>
      <c r="I541" s="18">
        <f>G541+H541</f>
        <v>0</v>
      </c>
    </row>
    <row r="542" spans="1:9" hidden="1" outlineLevel="1" x14ac:dyDescent="0.25">
      <c r="A542" s="84" t="s">
        <v>157</v>
      </c>
      <c r="B542" s="9" t="s">
        <v>89</v>
      </c>
      <c r="C542" s="31" t="s">
        <v>12</v>
      </c>
      <c r="D542" s="10">
        <f>D543+D544+D545+D548+D546+D547</f>
        <v>0</v>
      </c>
      <c r="E542" s="256">
        <v>50</v>
      </c>
      <c r="F542" s="60"/>
      <c r="G542" s="2">
        <f>ROUND(E542*D542,2)</f>
        <v>0</v>
      </c>
      <c r="H542" s="18"/>
      <c r="I542" s="18">
        <f t="shared" si="35"/>
        <v>0</v>
      </c>
    </row>
    <row r="543" spans="1:9" hidden="1" outlineLevel="1" x14ac:dyDescent="0.25">
      <c r="A543" s="84"/>
      <c r="B543" s="329" t="s">
        <v>686</v>
      </c>
      <c r="C543" s="21" t="s">
        <v>12</v>
      </c>
      <c r="D543" s="340">
        <v>0</v>
      </c>
      <c r="E543" s="18"/>
      <c r="F543" s="361">
        <v>100</v>
      </c>
      <c r="G543" s="18"/>
      <c r="H543" s="2">
        <f t="shared" ref="H543:H555" si="37">ROUND(D543*F543,2)</f>
        <v>0</v>
      </c>
      <c r="I543" s="18">
        <f t="shared" si="35"/>
        <v>0</v>
      </c>
    </row>
    <row r="544" spans="1:9" hidden="1" outlineLevel="1" x14ac:dyDescent="0.25">
      <c r="A544" s="84"/>
      <c r="B544" s="329" t="s">
        <v>685</v>
      </c>
      <c r="C544" s="21" t="s">
        <v>12</v>
      </c>
      <c r="D544" s="340">
        <v>0</v>
      </c>
      <c r="E544" s="18"/>
      <c r="F544" s="361">
        <v>100</v>
      </c>
      <c r="G544" s="18"/>
      <c r="H544" s="2">
        <f t="shared" si="37"/>
        <v>0</v>
      </c>
      <c r="I544" s="18">
        <f t="shared" si="35"/>
        <v>0</v>
      </c>
    </row>
    <row r="545" spans="1:9" hidden="1" outlineLevel="1" x14ac:dyDescent="0.25">
      <c r="A545" s="84"/>
      <c r="B545" s="329" t="s">
        <v>274</v>
      </c>
      <c r="C545" s="21" t="s">
        <v>12</v>
      </c>
      <c r="D545" s="340">
        <v>0</v>
      </c>
      <c r="E545" s="18"/>
      <c r="F545" s="361">
        <v>150</v>
      </c>
      <c r="G545" s="18"/>
      <c r="H545" s="2">
        <f t="shared" si="37"/>
        <v>0</v>
      </c>
      <c r="I545" s="18">
        <f t="shared" si="35"/>
        <v>0</v>
      </c>
    </row>
    <row r="546" spans="1:9" hidden="1" outlineLevel="1" x14ac:dyDescent="0.25">
      <c r="A546" s="84"/>
      <c r="B546" s="329" t="s">
        <v>687</v>
      </c>
      <c r="C546" s="21" t="s">
        <v>12</v>
      </c>
      <c r="D546" s="340">
        <v>0</v>
      </c>
      <c r="E546" s="18"/>
      <c r="F546" s="361">
        <v>200</v>
      </c>
      <c r="G546" s="18"/>
      <c r="H546" s="2">
        <f t="shared" si="37"/>
        <v>0</v>
      </c>
      <c r="I546" s="18">
        <f t="shared" si="35"/>
        <v>0</v>
      </c>
    </row>
    <row r="547" spans="1:9" ht="31.2" hidden="1" outlineLevel="1" x14ac:dyDescent="0.25">
      <c r="A547" s="84"/>
      <c r="B547" s="329" t="s">
        <v>420</v>
      </c>
      <c r="C547" s="21" t="s">
        <v>12</v>
      </c>
      <c r="D547" s="340">
        <v>0</v>
      </c>
      <c r="E547" s="18"/>
      <c r="F547" s="361">
        <v>100</v>
      </c>
      <c r="G547" s="18"/>
      <c r="H547" s="2">
        <f t="shared" si="37"/>
        <v>0</v>
      </c>
      <c r="I547" s="18">
        <f t="shared" si="35"/>
        <v>0</v>
      </c>
    </row>
    <row r="548" spans="1:9" hidden="1" outlineLevel="1" x14ac:dyDescent="0.25">
      <c r="A548" s="84"/>
      <c r="B548" s="329" t="s">
        <v>275</v>
      </c>
      <c r="C548" s="21" t="s">
        <v>12</v>
      </c>
      <c r="D548" s="340">
        <v>0</v>
      </c>
      <c r="E548" s="18"/>
      <c r="F548" s="361">
        <v>1800</v>
      </c>
      <c r="G548" s="18"/>
      <c r="H548" s="2">
        <f t="shared" si="37"/>
        <v>0</v>
      </c>
      <c r="I548" s="18">
        <f t="shared" si="35"/>
        <v>0</v>
      </c>
    </row>
    <row r="549" spans="1:9" hidden="1" outlineLevel="1" x14ac:dyDescent="0.25">
      <c r="A549" s="84"/>
      <c r="B549" s="329" t="s">
        <v>688</v>
      </c>
      <c r="C549" s="21" t="s">
        <v>12</v>
      </c>
      <c r="D549" s="340">
        <v>0</v>
      </c>
      <c r="E549" s="18"/>
      <c r="F549" s="164">
        <v>2000</v>
      </c>
      <c r="G549" s="18"/>
      <c r="H549" s="2">
        <f>ROUND(D549*F549,2)</f>
        <v>0</v>
      </c>
      <c r="I549" s="18">
        <f>G549+H549</f>
        <v>0</v>
      </c>
    </row>
    <row r="550" spans="1:9" hidden="1" outlineLevel="1" x14ac:dyDescent="0.25">
      <c r="A550" s="84"/>
      <c r="B550" s="329" t="s">
        <v>689</v>
      </c>
      <c r="C550" s="21" t="s">
        <v>12</v>
      </c>
      <c r="D550" s="340">
        <v>0</v>
      </c>
      <c r="E550" s="18"/>
      <c r="F550" s="164">
        <v>2000</v>
      </c>
      <c r="G550" s="18"/>
      <c r="H550" s="2">
        <f>ROUND(D550*F550,2)</f>
        <v>0</v>
      </c>
      <c r="I550" s="18">
        <f>G550+H550</f>
        <v>0</v>
      </c>
    </row>
    <row r="551" spans="1:9" hidden="1" outlineLevel="1" x14ac:dyDescent="0.25">
      <c r="A551" s="84"/>
      <c r="B551" s="9" t="s">
        <v>691</v>
      </c>
      <c r="C551" s="31" t="s">
        <v>12</v>
      </c>
      <c r="D551" s="10">
        <v>0</v>
      </c>
      <c r="E551" s="166">
        <v>300</v>
      </c>
      <c r="F551" s="60"/>
      <c r="G551" s="2">
        <f>ROUND(E551*D551,2)</f>
        <v>0</v>
      </c>
      <c r="H551" s="18"/>
      <c r="I551" s="18">
        <f>G551+H551</f>
        <v>0</v>
      </c>
    </row>
    <row r="552" spans="1:9" hidden="1" outlineLevel="1" x14ac:dyDescent="0.25">
      <c r="A552" s="84"/>
      <c r="B552" s="329" t="s">
        <v>692</v>
      </c>
      <c r="C552" s="21" t="s">
        <v>12</v>
      </c>
      <c r="D552" s="340">
        <v>0</v>
      </c>
      <c r="E552" s="18"/>
      <c r="F552" s="164">
        <v>5000</v>
      </c>
      <c r="G552" s="18"/>
      <c r="H552" s="2">
        <f>ROUND(D552*F552,2)</f>
        <v>0</v>
      </c>
      <c r="I552" s="18">
        <f>G552+H552</f>
        <v>0</v>
      </c>
    </row>
    <row r="553" spans="1:9" hidden="1" outlineLevel="1" x14ac:dyDescent="0.25">
      <c r="A553" s="84"/>
      <c r="B553" s="329" t="s">
        <v>693</v>
      </c>
      <c r="C553" s="21" t="s">
        <v>12</v>
      </c>
      <c r="D553" s="340">
        <v>0</v>
      </c>
      <c r="E553" s="18"/>
      <c r="F553" s="164">
        <v>500</v>
      </c>
      <c r="G553" s="18"/>
      <c r="H553" s="2">
        <f>ROUND(D553*F553,2)</f>
        <v>0</v>
      </c>
      <c r="I553" s="18">
        <f>G553+H553</f>
        <v>0</v>
      </c>
    </row>
    <row r="554" spans="1:9" hidden="1" outlineLevel="1" x14ac:dyDescent="0.25">
      <c r="A554" s="84"/>
      <c r="B554" s="329" t="s">
        <v>695</v>
      </c>
      <c r="C554" s="21" t="s">
        <v>12</v>
      </c>
      <c r="D554" s="340">
        <v>0</v>
      </c>
      <c r="E554" s="18"/>
      <c r="F554" s="164">
        <v>100</v>
      </c>
      <c r="G554" s="18"/>
      <c r="H554" s="2">
        <f t="shared" si="37"/>
        <v>0</v>
      </c>
      <c r="I554" s="18">
        <f t="shared" si="35"/>
        <v>0</v>
      </c>
    </row>
    <row r="555" spans="1:9" ht="31.2" hidden="1" outlineLevel="1" x14ac:dyDescent="0.25">
      <c r="A555" s="84"/>
      <c r="B555" s="329" t="s">
        <v>694</v>
      </c>
      <c r="C555" s="21" t="s">
        <v>12</v>
      </c>
      <c r="D555" s="340">
        <v>0</v>
      </c>
      <c r="E555" s="18"/>
      <c r="F555" s="164">
        <v>100</v>
      </c>
      <c r="G555" s="18"/>
      <c r="H555" s="2">
        <f t="shared" si="37"/>
        <v>0</v>
      </c>
      <c r="I555" s="18">
        <f t="shared" si="35"/>
        <v>0</v>
      </c>
    </row>
    <row r="556" spans="1:9" ht="31.2" hidden="1" outlineLevel="1" x14ac:dyDescent="0.25">
      <c r="A556" s="84"/>
      <c r="B556" s="329" t="s">
        <v>696</v>
      </c>
      <c r="C556" s="21" t="s">
        <v>12</v>
      </c>
      <c r="D556" s="340">
        <v>0</v>
      </c>
      <c r="E556" s="18"/>
      <c r="F556" s="164">
        <v>100</v>
      </c>
      <c r="G556" s="18"/>
      <c r="H556" s="2">
        <f>ROUND(D556*F556,2)</f>
        <v>0</v>
      </c>
      <c r="I556" s="18">
        <f t="shared" si="35"/>
        <v>0</v>
      </c>
    </row>
    <row r="557" spans="1:9" ht="31.2" hidden="1" outlineLevel="1" x14ac:dyDescent="0.25">
      <c r="A557" s="84"/>
      <c r="B557" s="329" t="s">
        <v>697</v>
      </c>
      <c r="C557" s="21" t="s">
        <v>12</v>
      </c>
      <c r="D557" s="340">
        <v>0</v>
      </c>
      <c r="E557" s="18"/>
      <c r="F557" s="164">
        <v>100</v>
      </c>
      <c r="G557" s="18"/>
      <c r="H557" s="2">
        <f>ROUND(D557*F557,2)</f>
        <v>0</v>
      </c>
      <c r="I557" s="18">
        <f t="shared" si="35"/>
        <v>0</v>
      </c>
    </row>
    <row r="558" spans="1:9" ht="31.2" hidden="1" outlineLevel="1" x14ac:dyDescent="0.25">
      <c r="A558" s="84"/>
      <c r="B558" s="329" t="s">
        <v>699</v>
      </c>
      <c r="C558" s="21" t="s">
        <v>12</v>
      </c>
      <c r="D558" s="340">
        <v>0</v>
      </c>
      <c r="E558" s="18"/>
      <c r="F558" s="164">
        <v>200</v>
      </c>
      <c r="G558" s="18"/>
      <c r="H558" s="2">
        <f>ROUND(D558*F558,2)</f>
        <v>0</v>
      </c>
      <c r="I558" s="18">
        <f t="shared" si="35"/>
        <v>0</v>
      </c>
    </row>
    <row r="559" spans="1:9" ht="31.2" hidden="1" outlineLevel="1" x14ac:dyDescent="0.25">
      <c r="A559" s="84"/>
      <c r="B559" s="329" t="s">
        <v>700</v>
      </c>
      <c r="C559" s="21" t="s">
        <v>12</v>
      </c>
      <c r="D559" s="340">
        <v>0</v>
      </c>
      <c r="E559" s="18"/>
      <c r="F559" s="164">
        <v>200</v>
      </c>
      <c r="G559" s="18"/>
      <c r="H559" s="2">
        <f>ROUND(D559*F559,2)</f>
        <v>0</v>
      </c>
      <c r="I559" s="18">
        <f t="shared" si="35"/>
        <v>0</v>
      </c>
    </row>
    <row r="560" spans="1:9" ht="31.2" hidden="1" outlineLevel="1" x14ac:dyDescent="0.25">
      <c r="A560" s="84"/>
      <c r="B560" s="329" t="s">
        <v>698</v>
      </c>
      <c r="C560" s="21" t="s">
        <v>12</v>
      </c>
      <c r="D560" s="340">
        <v>0</v>
      </c>
      <c r="E560" s="18"/>
      <c r="F560" s="164">
        <v>200</v>
      </c>
      <c r="G560" s="18"/>
      <c r="H560" s="2">
        <f>ROUND(D560*F560,2)</f>
        <v>0</v>
      </c>
      <c r="I560" s="18">
        <f t="shared" si="35"/>
        <v>0</v>
      </c>
    </row>
    <row r="561" spans="1:9" hidden="1" outlineLevel="1" x14ac:dyDescent="0.25">
      <c r="A561" s="84" t="s">
        <v>158</v>
      </c>
      <c r="B561" s="9" t="s">
        <v>279</v>
      </c>
      <c r="C561" s="31" t="s">
        <v>14</v>
      </c>
      <c r="D561" s="10">
        <f>D563+D562</f>
        <v>0</v>
      </c>
      <c r="E561" s="256">
        <v>150</v>
      </c>
      <c r="F561" s="60"/>
      <c r="G561" s="2">
        <f>ROUND(E561*D561,2)</f>
        <v>0</v>
      </c>
      <c r="H561" s="18"/>
      <c r="I561" s="18">
        <f t="shared" si="35"/>
        <v>0</v>
      </c>
    </row>
    <row r="562" spans="1:9" hidden="1" outlineLevel="1" x14ac:dyDescent="0.25">
      <c r="A562" s="84"/>
      <c r="B562" s="329" t="s">
        <v>422</v>
      </c>
      <c r="C562" s="21" t="s">
        <v>14</v>
      </c>
      <c r="D562" s="340">
        <v>0</v>
      </c>
      <c r="E562" s="18"/>
      <c r="F562" s="164">
        <v>350</v>
      </c>
      <c r="G562" s="18"/>
      <c r="H562" s="2">
        <f>ROUND(D562*F562,2)</f>
        <v>0</v>
      </c>
      <c r="I562" s="18">
        <f t="shared" si="35"/>
        <v>0</v>
      </c>
    </row>
    <row r="563" spans="1:9" ht="31.2" hidden="1" outlineLevel="1" x14ac:dyDescent="0.25">
      <c r="A563" s="84"/>
      <c r="B563" s="329" t="s">
        <v>690</v>
      </c>
      <c r="C563" s="21" t="s">
        <v>14</v>
      </c>
      <c r="D563" s="340">
        <v>0</v>
      </c>
      <c r="E563" s="18"/>
      <c r="F563" s="164">
        <v>350</v>
      </c>
      <c r="G563" s="18"/>
      <c r="H563" s="2">
        <f>ROUND(D563*F563,2)</f>
        <v>0</v>
      </c>
      <c r="I563" s="18">
        <f t="shared" si="35"/>
        <v>0</v>
      </c>
    </row>
    <row r="564" spans="1:9" s="5" customFormat="1" collapsed="1" x14ac:dyDescent="0.25">
      <c r="A564" s="223"/>
      <c r="B564" s="238" t="s">
        <v>328</v>
      </c>
      <c r="C564" s="234"/>
      <c r="D564" s="235"/>
      <c r="E564" s="236"/>
      <c r="F564" s="237"/>
      <c r="G564" s="236">
        <f>SUM(G537:G563)</f>
        <v>0</v>
      </c>
      <c r="H564" s="236">
        <f>SUM(H537:H563)</f>
        <v>0</v>
      </c>
      <c r="I564" s="236">
        <f>SUM(I537:I563)</f>
        <v>0</v>
      </c>
    </row>
    <row r="565" spans="1:9" s="5" customFormat="1" ht="18.600000000000001" customHeight="1" x14ac:dyDescent="0.25">
      <c r="A565" s="84"/>
      <c r="B565" s="471" t="s">
        <v>624</v>
      </c>
      <c r="C565" s="9"/>
      <c r="D565" s="31"/>
      <c r="E565" s="10"/>
      <c r="F565" s="57"/>
      <c r="G565" s="10"/>
      <c r="H565" s="10"/>
      <c r="I565" s="31">
        <f>ROUND(I564/1.18*0.18,2)</f>
        <v>0</v>
      </c>
    </row>
    <row r="566" spans="1:9" s="5" customFormat="1" ht="18.75" customHeight="1" x14ac:dyDescent="0.25">
      <c r="A566" s="109"/>
      <c r="B566" s="771" t="s">
        <v>1212</v>
      </c>
      <c r="C566" s="771"/>
      <c r="D566" s="771"/>
      <c r="E566" s="105"/>
      <c r="F566" s="138"/>
      <c r="G566" s="105"/>
      <c r="H566" s="105"/>
      <c r="I566" s="106"/>
    </row>
    <row r="567" spans="1:9" s="36" customFormat="1" ht="30" hidden="1" customHeight="1" outlineLevel="1" x14ac:dyDescent="0.25">
      <c r="A567" s="84" t="s">
        <v>76</v>
      </c>
      <c r="B567" s="495" t="s">
        <v>120</v>
      </c>
      <c r="C567" s="2"/>
      <c r="D567" s="2"/>
      <c r="E567" s="117"/>
      <c r="F567" s="11"/>
      <c r="G567" s="18"/>
      <c r="H567" s="18"/>
      <c r="I567" s="18"/>
    </row>
    <row r="568" spans="1:9" ht="31.2" hidden="1" outlineLevel="1" x14ac:dyDescent="0.25">
      <c r="A568" s="84" t="s">
        <v>542</v>
      </c>
      <c r="B568" s="29" t="s">
        <v>95</v>
      </c>
      <c r="C568" s="31" t="s">
        <v>29</v>
      </c>
      <c r="D568" s="10">
        <f>D569+D570+D571+D572+D573</f>
        <v>0</v>
      </c>
      <c r="E568" s="256">
        <v>85</v>
      </c>
      <c r="F568" s="60"/>
      <c r="G568" s="2">
        <f>ROUND(E568*D568,2)</f>
        <v>0</v>
      </c>
      <c r="H568" s="18"/>
      <c r="I568" s="18">
        <f>G568+H568</f>
        <v>0</v>
      </c>
    </row>
    <row r="569" spans="1:9" hidden="1" outlineLevel="1" x14ac:dyDescent="0.25">
      <c r="A569" s="84"/>
      <c r="B569" s="329" t="s">
        <v>96</v>
      </c>
      <c r="C569" s="21" t="s">
        <v>29</v>
      </c>
      <c r="D569" s="340">
        <v>0</v>
      </c>
      <c r="E569" s="18"/>
      <c r="F569" s="60">
        <v>42.23</v>
      </c>
      <c r="G569" s="18"/>
      <c r="H569" s="2">
        <f t="shared" ref="H569:H576" si="38">ROUND(D569*F569,2)</f>
        <v>0</v>
      </c>
      <c r="I569" s="18">
        <f>G569+H569</f>
        <v>0</v>
      </c>
    </row>
    <row r="570" spans="1:9" hidden="1" outlineLevel="1" x14ac:dyDescent="0.25">
      <c r="A570" s="84"/>
      <c r="B570" s="343" t="s">
        <v>98</v>
      </c>
      <c r="C570" s="21" t="s">
        <v>29</v>
      </c>
      <c r="D570" s="340">
        <v>0</v>
      </c>
      <c r="E570" s="18"/>
      <c r="F570" s="60">
        <v>58.9</v>
      </c>
      <c r="G570" s="18"/>
      <c r="H570" s="2">
        <f t="shared" si="38"/>
        <v>0</v>
      </c>
      <c r="I570" s="18">
        <f>G570+H570</f>
        <v>0</v>
      </c>
    </row>
    <row r="571" spans="1:9" hidden="1" outlineLevel="1" x14ac:dyDescent="0.25">
      <c r="A571" s="84"/>
      <c r="B571" s="329" t="s">
        <v>423</v>
      </c>
      <c r="C571" s="21" t="s">
        <v>29</v>
      </c>
      <c r="D571" s="340">
        <v>0</v>
      </c>
      <c r="E571" s="18"/>
      <c r="F571" s="60">
        <v>94.01</v>
      </c>
      <c r="G571" s="18"/>
      <c r="H571" s="2">
        <f t="shared" si="38"/>
        <v>0</v>
      </c>
      <c r="I571" s="18">
        <f>G571+H571</f>
        <v>0</v>
      </c>
    </row>
    <row r="572" spans="1:9" hidden="1" outlineLevel="1" x14ac:dyDescent="0.25">
      <c r="A572" s="84"/>
      <c r="B572" s="329" t="s">
        <v>424</v>
      </c>
      <c r="C572" s="21" t="s">
        <v>29</v>
      </c>
      <c r="D572" s="340">
        <v>0</v>
      </c>
      <c r="E572" s="18"/>
      <c r="F572" s="60">
        <v>135.80000000000001</v>
      </c>
      <c r="G572" s="18"/>
      <c r="H572" s="2">
        <f t="shared" si="38"/>
        <v>0</v>
      </c>
      <c r="I572" s="18">
        <f>G572+H572</f>
        <v>0</v>
      </c>
    </row>
    <row r="573" spans="1:9" hidden="1" outlineLevel="1" x14ac:dyDescent="0.25">
      <c r="A573" s="84"/>
      <c r="B573" s="329" t="s">
        <v>119</v>
      </c>
      <c r="C573" s="21" t="s">
        <v>29</v>
      </c>
      <c r="D573" s="340">
        <v>0</v>
      </c>
      <c r="E573" s="18"/>
      <c r="F573" s="60">
        <v>226</v>
      </c>
      <c r="G573" s="18"/>
      <c r="H573" s="2">
        <f t="shared" si="38"/>
        <v>0</v>
      </c>
      <c r="I573" s="18">
        <f t="shared" ref="I573:I645" si="39">G573+H573</f>
        <v>0</v>
      </c>
    </row>
    <row r="574" spans="1:9" hidden="1" outlineLevel="1" x14ac:dyDescent="0.25">
      <c r="A574" s="84"/>
      <c r="B574" s="329" t="s">
        <v>121</v>
      </c>
      <c r="C574" s="21" t="s">
        <v>12</v>
      </c>
      <c r="D574" s="340">
        <v>0</v>
      </c>
      <c r="E574" s="18"/>
      <c r="F574" s="60">
        <v>77.25</v>
      </c>
      <c r="G574" s="18"/>
      <c r="H574" s="2">
        <f t="shared" si="38"/>
        <v>0</v>
      </c>
      <c r="I574" s="18">
        <f t="shared" si="39"/>
        <v>0</v>
      </c>
    </row>
    <row r="575" spans="1:9" hidden="1" outlineLevel="1" x14ac:dyDescent="0.25">
      <c r="A575" s="84"/>
      <c r="B575" s="329" t="s">
        <v>426</v>
      </c>
      <c r="C575" s="21" t="s">
        <v>12</v>
      </c>
      <c r="D575" s="340">
        <v>0</v>
      </c>
      <c r="E575" s="18"/>
      <c r="F575" s="60">
        <v>77.25</v>
      </c>
      <c r="G575" s="18"/>
      <c r="H575" s="2">
        <f t="shared" si="38"/>
        <v>0</v>
      </c>
      <c r="I575" s="18">
        <f>G575+H575</f>
        <v>0</v>
      </c>
    </row>
    <row r="576" spans="1:9" ht="31.2" hidden="1" outlineLevel="1" x14ac:dyDescent="0.25">
      <c r="A576" s="84"/>
      <c r="B576" s="329" t="s">
        <v>107</v>
      </c>
      <c r="C576" s="21" t="s">
        <v>12</v>
      </c>
      <c r="D576" s="340">
        <v>0</v>
      </c>
      <c r="E576" s="18"/>
      <c r="F576" s="60">
        <v>40</v>
      </c>
      <c r="G576" s="18"/>
      <c r="H576" s="2">
        <f t="shared" si="38"/>
        <v>0</v>
      </c>
      <c r="I576" s="18">
        <f t="shared" si="39"/>
        <v>0</v>
      </c>
    </row>
    <row r="577" spans="1:9" hidden="1" outlineLevel="1" x14ac:dyDescent="0.25">
      <c r="A577" s="84"/>
      <c r="B577" s="329" t="s">
        <v>703</v>
      </c>
      <c r="C577" s="21" t="s">
        <v>14</v>
      </c>
      <c r="D577" s="340">
        <v>0</v>
      </c>
      <c r="E577" s="18"/>
      <c r="F577" s="164">
        <v>100</v>
      </c>
      <c r="G577" s="18"/>
      <c r="H577" s="2">
        <f>ROUND(D577*F577,2)</f>
        <v>0</v>
      </c>
      <c r="I577" s="18">
        <f>G577+H577</f>
        <v>0</v>
      </c>
    </row>
    <row r="578" spans="1:9" hidden="1" outlineLevel="1" x14ac:dyDescent="0.25">
      <c r="A578" s="84" t="s">
        <v>543</v>
      </c>
      <c r="B578" s="358" t="s">
        <v>427</v>
      </c>
      <c r="C578" s="176" t="s">
        <v>12</v>
      </c>
      <c r="D578" s="306">
        <v>0</v>
      </c>
      <c r="E578" s="18"/>
      <c r="F578" s="60"/>
      <c r="G578" s="18"/>
      <c r="H578" s="18"/>
      <c r="I578" s="18"/>
    </row>
    <row r="579" spans="1:9" hidden="1" outlineLevel="1" x14ac:dyDescent="0.25">
      <c r="A579" s="84"/>
      <c r="B579" s="329" t="s">
        <v>702</v>
      </c>
      <c r="C579" s="21" t="s">
        <v>12</v>
      </c>
      <c r="D579" s="340">
        <v>0</v>
      </c>
      <c r="E579" s="18"/>
      <c r="F579" s="60">
        <v>283</v>
      </c>
      <c r="G579" s="18"/>
      <c r="H579" s="2">
        <f>ROUND(D579*F579,2)</f>
        <v>0</v>
      </c>
      <c r="I579" s="18">
        <f t="shared" si="39"/>
        <v>0</v>
      </c>
    </row>
    <row r="580" spans="1:9" hidden="1" outlineLevel="1" x14ac:dyDescent="0.25">
      <c r="A580" s="84"/>
      <c r="B580" s="329" t="s">
        <v>467</v>
      </c>
      <c r="C580" s="21" t="s">
        <v>12</v>
      </c>
      <c r="D580" s="340">
        <v>0</v>
      </c>
      <c r="E580" s="18"/>
      <c r="F580" s="60">
        <v>322.2</v>
      </c>
      <c r="G580" s="18"/>
      <c r="H580" s="2">
        <f>ROUND(D580*F580,2)</f>
        <v>0</v>
      </c>
      <c r="I580" s="18">
        <f t="shared" si="39"/>
        <v>0</v>
      </c>
    </row>
    <row r="581" spans="1:9" hidden="1" outlineLevel="1" x14ac:dyDescent="0.25">
      <c r="A581" s="84" t="s">
        <v>544</v>
      </c>
      <c r="B581" s="307" t="s">
        <v>101</v>
      </c>
      <c r="C581" s="31" t="s">
        <v>29</v>
      </c>
      <c r="D581" s="306">
        <f>D568</f>
        <v>0</v>
      </c>
      <c r="E581" s="256">
        <v>30</v>
      </c>
      <c r="F581" s="60"/>
      <c r="G581" s="2">
        <f>ROUND(E581*D581,2)</f>
        <v>0</v>
      </c>
      <c r="H581" s="18"/>
      <c r="I581" s="18">
        <f t="shared" si="39"/>
        <v>0</v>
      </c>
    </row>
    <row r="582" spans="1:9" hidden="1" outlineLevel="1" x14ac:dyDescent="0.25">
      <c r="A582" s="84"/>
      <c r="B582" s="329" t="s">
        <v>122</v>
      </c>
      <c r="C582" s="21" t="s">
        <v>29</v>
      </c>
      <c r="D582" s="340">
        <v>0</v>
      </c>
      <c r="E582" s="282"/>
      <c r="F582" s="60">
        <v>62</v>
      </c>
      <c r="G582" s="18"/>
      <c r="H582" s="2">
        <f>ROUND(D582*F582,2)</f>
        <v>0</v>
      </c>
      <c r="I582" s="18">
        <f t="shared" si="39"/>
        <v>0</v>
      </c>
    </row>
    <row r="583" spans="1:9" hidden="1" outlineLevel="1" x14ac:dyDescent="0.25">
      <c r="A583" s="84" t="s">
        <v>545</v>
      </c>
      <c r="B583" s="307" t="s">
        <v>123</v>
      </c>
      <c r="C583" s="31" t="s">
        <v>12</v>
      </c>
      <c r="D583" s="306">
        <v>0</v>
      </c>
      <c r="E583" s="256">
        <v>500</v>
      </c>
      <c r="F583" s="60"/>
      <c r="G583" s="2">
        <f>ROUND(E583*D583,2)</f>
        <v>0</v>
      </c>
      <c r="H583" s="18"/>
      <c r="I583" s="18">
        <f t="shared" si="39"/>
        <v>0</v>
      </c>
    </row>
    <row r="584" spans="1:9" hidden="1" outlineLevel="1" x14ac:dyDescent="0.25">
      <c r="A584" s="84"/>
      <c r="B584" s="329" t="s">
        <v>124</v>
      </c>
      <c r="C584" s="21" t="s">
        <v>12</v>
      </c>
      <c r="D584" s="340">
        <v>0</v>
      </c>
      <c r="E584" s="282"/>
      <c r="F584" s="60">
        <v>100</v>
      </c>
      <c r="G584" s="18"/>
      <c r="H584" s="2">
        <f>ROUND(D584*F584,2)</f>
        <v>0</v>
      </c>
      <c r="I584" s="18">
        <f t="shared" si="39"/>
        <v>0</v>
      </c>
    </row>
    <row r="585" spans="1:9" hidden="1" outlineLevel="1" x14ac:dyDescent="0.25">
      <c r="A585" s="84"/>
      <c r="B585" s="343" t="s">
        <v>125</v>
      </c>
      <c r="C585" s="21" t="s">
        <v>12</v>
      </c>
      <c r="D585" s="340">
        <v>0</v>
      </c>
      <c r="E585" s="282"/>
      <c r="F585" s="60">
        <f>30*20</f>
        <v>600</v>
      </c>
      <c r="G585" s="18"/>
      <c r="H585" s="2">
        <f>ROUND(D585*F585,2)</f>
        <v>0</v>
      </c>
      <c r="I585" s="18">
        <f t="shared" si="39"/>
        <v>0</v>
      </c>
    </row>
    <row r="586" spans="1:9" hidden="1" outlineLevel="1" x14ac:dyDescent="0.25">
      <c r="A586" s="84" t="s">
        <v>78</v>
      </c>
      <c r="B586" s="75" t="s">
        <v>126</v>
      </c>
      <c r="C586" s="2"/>
      <c r="D586" s="2"/>
      <c r="E586" s="282"/>
      <c r="F586" s="11"/>
      <c r="G586" s="18"/>
      <c r="H586" s="18"/>
      <c r="I586" s="18">
        <f t="shared" si="39"/>
        <v>0</v>
      </c>
    </row>
    <row r="587" spans="1:9" hidden="1" outlineLevel="1" x14ac:dyDescent="0.25">
      <c r="A587" s="84" t="s">
        <v>546</v>
      </c>
      <c r="B587" s="29" t="s">
        <v>127</v>
      </c>
      <c r="C587" s="31" t="s">
        <v>12</v>
      </c>
      <c r="D587" s="31">
        <v>0</v>
      </c>
      <c r="E587" s="256">
        <v>10000</v>
      </c>
      <c r="F587" s="60"/>
      <c r="G587" s="2">
        <f>ROUND(E587*D587,2)</f>
        <v>0</v>
      </c>
      <c r="H587" s="18"/>
      <c r="I587" s="18">
        <f t="shared" si="39"/>
        <v>0</v>
      </c>
    </row>
    <row r="588" spans="1:9" hidden="1" outlineLevel="1" x14ac:dyDescent="0.25">
      <c r="A588" s="84"/>
      <c r="B588" s="343" t="s">
        <v>128</v>
      </c>
      <c r="C588" s="21" t="s">
        <v>12</v>
      </c>
      <c r="D588" s="340">
        <v>0</v>
      </c>
      <c r="E588" s="18"/>
      <c r="F588" s="60">
        <v>1033.78</v>
      </c>
      <c r="G588" s="18"/>
      <c r="H588" s="2">
        <f t="shared" ref="H588:H598" si="40">ROUND(D588*F588,2)</f>
        <v>0</v>
      </c>
      <c r="I588" s="18">
        <f t="shared" si="39"/>
        <v>0</v>
      </c>
    </row>
    <row r="589" spans="1:9" hidden="1" outlineLevel="1" x14ac:dyDescent="0.25">
      <c r="A589" s="84"/>
      <c r="B589" s="343" t="s">
        <v>129</v>
      </c>
      <c r="C589" s="21" t="s">
        <v>12</v>
      </c>
      <c r="D589" s="340">
        <v>0</v>
      </c>
      <c r="E589" s="18"/>
      <c r="F589" s="60">
        <v>2018.83</v>
      </c>
      <c r="G589" s="18"/>
      <c r="H589" s="2">
        <f t="shared" si="40"/>
        <v>0</v>
      </c>
      <c r="I589" s="18">
        <f t="shared" si="39"/>
        <v>0</v>
      </c>
    </row>
    <row r="590" spans="1:9" hidden="1" outlineLevel="1" x14ac:dyDescent="0.25">
      <c r="A590" s="84"/>
      <c r="B590" s="329" t="s">
        <v>130</v>
      </c>
      <c r="C590" s="21" t="s">
        <v>12</v>
      </c>
      <c r="D590" s="340">
        <v>0</v>
      </c>
      <c r="E590" s="18"/>
      <c r="F590" s="60">
        <v>109.44</v>
      </c>
      <c r="G590" s="18"/>
      <c r="H590" s="2">
        <f t="shared" si="40"/>
        <v>0</v>
      </c>
      <c r="I590" s="18">
        <f t="shared" si="39"/>
        <v>0</v>
      </c>
    </row>
    <row r="591" spans="1:9" hidden="1" outlineLevel="1" x14ac:dyDescent="0.25">
      <c r="A591" s="84"/>
      <c r="B591" s="329" t="s">
        <v>131</v>
      </c>
      <c r="C591" s="21" t="s">
        <v>12</v>
      </c>
      <c r="D591" s="340">
        <v>0</v>
      </c>
      <c r="E591" s="18"/>
      <c r="F591" s="60">
        <v>228.92</v>
      </c>
      <c r="G591" s="18"/>
      <c r="H591" s="2">
        <f t="shared" si="40"/>
        <v>0</v>
      </c>
      <c r="I591" s="18">
        <f t="shared" si="39"/>
        <v>0</v>
      </c>
    </row>
    <row r="592" spans="1:9" hidden="1" outlineLevel="1" x14ac:dyDescent="0.25">
      <c r="A592" s="84"/>
      <c r="B592" s="329" t="s">
        <v>132</v>
      </c>
      <c r="C592" s="21" t="s">
        <v>12</v>
      </c>
      <c r="D592" s="340">
        <v>0</v>
      </c>
      <c r="E592" s="18"/>
      <c r="F592" s="60">
        <v>198</v>
      </c>
      <c r="G592" s="18"/>
      <c r="H592" s="2">
        <f t="shared" si="40"/>
        <v>0</v>
      </c>
      <c r="I592" s="18">
        <f t="shared" si="39"/>
        <v>0</v>
      </c>
    </row>
    <row r="593" spans="1:9" hidden="1" outlineLevel="1" x14ac:dyDescent="0.25">
      <c r="A593" s="84"/>
      <c r="B593" s="329" t="s">
        <v>704</v>
      </c>
      <c r="C593" s="21" t="s">
        <v>12</v>
      </c>
      <c r="D593" s="340">
        <v>0</v>
      </c>
      <c r="E593" s="18"/>
      <c r="F593" s="164">
        <v>100</v>
      </c>
      <c r="G593" s="18"/>
      <c r="H593" s="2">
        <f>ROUND(D593*F593,2)</f>
        <v>0</v>
      </c>
      <c r="I593" s="18">
        <f>G593+H593</f>
        <v>0</v>
      </c>
    </row>
    <row r="594" spans="1:9" ht="19.95" hidden="1" customHeight="1" outlineLevel="1" x14ac:dyDescent="0.25">
      <c r="A594" s="84"/>
      <c r="B594" s="329" t="s">
        <v>706</v>
      </c>
      <c r="C594" s="21" t="s">
        <v>12</v>
      </c>
      <c r="D594" s="340">
        <v>0</v>
      </c>
      <c r="E594" s="18"/>
      <c r="F594" s="60">
        <v>43</v>
      </c>
      <c r="G594" s="18"/>
      <c r="H594" s="2">
        <f t="shared" si="40"/>
        <v>0</v>
      </c>
      <c r="I594" s="18">
        <f t="shared" si="39"/>
        <v>0</v>
      </c>
    </row>
    <row r="595" spans="1:9" ht="31.2" hidden="1" customHeight="1" outlineLevel="1" x14ac:dyDescent="0.25">
      <c r="A595" s="84"/>
      <c r="B595" s="329" t="s">
        <v>707</v>
      </c>
      <c r="C595" s="21" t="s">
        <v>12</v>
      </c>
      <c r="D595" s="340">
        <v>0</v>
      </c>
      <c r="E595" s="18"/>
      <c r="F595" s="60">
        <v>448</v>
      </c>
      <c r="G595" s="18"/>
      <c r="H595" s="2">
        <f t="shared" si="40"/>
        <v>0</v>
      </c>
      <c r="I595" s="18">
        <f t="shared" si="39"/>
        <v>0</v>
      </c>
    </row>
    <row r="596" spans="1:9" hidden="1" outlineLevel="1" x14ac:dyDescent="0.25">
      <c r="A596" s="84"/>
      <c r="B596" s="329" t="s">
        <v>133</v>
      </c>
      <c r="C596" s="21" t="s">
        <v>12</v>
      </c>
      <c r="D596" s="340">
        <v>0</v>
      </c>
      <c r="E596" s="18"/>
      <c r="F596" s="60">
        <v>5922.3</v>
      </c>
      <c r="G596" s="18"/>
      <c r="H596" s="2">
        <f t="shared" si="40"/>
        <v>0</v>
      </c>
      <c r="I596" s="18">
        <f>G596+H596</f>
        <v>0</v>
      </c>
    </row>
    <row r="597" spans="1:9" hidden="1" outlineLevel="1" x14ac:dyDescent="0.25">
      <c r="A597" s="84"/>
      <c r="B597" s="329" t="s">
        <v>705</v>
      </c>
      <c r="C597" s="21" t="s">
        <v>12</v>
      </c>
      <c r="D597" s="340">
        <v>0</v>
      </c>
      <c r="E597" s="18"/>
      <c r="F597" s="60">
        <v>127</v>
      </c>
      <c r="G597" s="18"/>
      <c r="H597" s="2">
        <f t="shared" si="40"/>
        <v>0</v>
      </c>
      <c r="I597" s="18">
        <f t="shared" si="39"/>
        <v>0</v>
      </c>
    </row>
    <row r="598" spans="1:9" hidden="1" outlineLevel="1" x14ac:dyDescent="0.25">
      <c r="A598" s="84"/>
      <c r="B598" s="329" t="s">
        <v>91</v>
      </c>
      <c r="C598" s="21" t="s">
        <v>15</v>
      </c>
      <c r="D598" s="340">
        <v>0</v>
      </c>
      <c r="E598" s="18"/>
      <c r="F598" s="60">
        <f>37500/1000</f>
        <v>37.5</v>
      </c>
      <c r="G598" s="18"/>
      <c r="H598" s="2">
        <f t="shared" si="40"/>
        <v>0</v>
      </c>
      <c r="I598" s="18">
        <f t="shared" si="39"/>
        <v>0</v>
      </c>
    </row>
    <row r="599" spans="1:9" hidden="1" outlineLevel="1" x14ac:dyDescent="0.25">
      <c r="A599" s="84" t="s">
        <v>82</v>
      </c>
      <c r="B599" s="75" t="s">
        <v>134</v>
      </c>
      <c r="C599" s="2"/>
      <c r="D599" s="158"/>
      <c r="E599" s="2"/>
      <c r="F599" s="11"/>
      <c r="G599" s="18"/>
      <c r="H599" s="18"/>
      <c r="I599" s="18">
        <f t="shared" si="39"/>
        <v>0</v>
      </c>
    </row>
    <row r="600" spans="1:9" ht="31.2" hidden="1" outlineLevel="1" x14ac:dyDescent="0.25">
      <c r="A600" s="84" t="s">
        <v>547</v>
      </c>
      <c r="B600" s="307" t="s">
        <v>112</v>
      </c>
      <c r="C600" s="31" t="s">
        <v>29</v>
      </c>
      <c r="D600" s="31">
        <f>D601</f>
        <v>0</v>
      </c>
      <c r="E600" s="256">
        <v>85</v>
      </c>
      <c r="F600" s="60"/>
      <c r="G600" s="2">
        <f>ROUND(E600*D600,2)</f>
        <v>0</v>
      </c>
      <c r="H600" s="18"/>
      <c r="I600" s="18">
        <f t="shared" si="39"/>
        <v>0</v>
      </c>
    </row>
    <row r="601" spans="1:9" hidden="1" outlineLevel="1" x14ac:dyDescent="0.25">
      <c r="A601" s="84"/>
      <c r="B601" s="329" t="s">
        <v>114</v>
      </c>
      <c r="C601" s="21" t="s">
        <v>29</v>
      </c>
      <c r="D601" s="340">
        <v>0</v>
      </c>
      <c r="E601" s="282"/>
      <c r="F601" s="60">
        <f>311.85/3</f>
        <v>103.95</v>
      </c>
      <c r="G601" s="18"/>
      <c r="H601" s="2">
        <f>ROUND(D601*F601,2)</f>
        <v>0</v>
      </c>
      <c r="I601" s="18">
        <f t="shared" si="39"/>
        <v>0</v>
      </c>
    </row>
    <row r="602" spans="1:9" hidden="1" outlineLevel="1" x14ac:dyDescent="0.25">
      <c r="A602" s="84"/>
      <c r="B602" s="329" t="s">
        <v>329</v>
      </c>
      <c r="C602" s="21" t="s">
        <v>12</v>
      </c>
      <c r="D602" s="340">
        <v>0</v>
      </c>
      <c r="E602" s="282"/>
      <c r="F602" s="60">
        <v>200</v>
      </c>
      <c r="G602" s="18"/>
      <c r="H602" s="2">
        <f>ROUND(D602*F602,2)</f>
        <v>0</v>
      </c>
      <c r="I602" s="18">
        <f t="shared" si="39"/>
        <v>0</v>
      </c>
    </row>
    <row r="603" spans="1:9" hidden="1" outlineLevel="1" x14ac:dyDescent="0.25">
      <c r="A603" s="84"/>
      <c r="B603" s="329" t="s">
        <v>135</v>
      </c>
      <c r="C603" s="21" t="s">
        <v>12</v>
      </c>
      <c r="D603" s="340">
        <v>0</v>
      </c>
      <c r="E603" s="282"/>
      <c r="F603" s="60">
        <v>61.27</v>
      </c>
      <c r="G603" s="18"/>
      <c r="H603" s="2">
        <f>ROUND(D603*F603,2)</f>
        <v>0</v>
      </c>
      <c r="I603" s="18">
        <f t="shared" si="39"/>
        <v>0</v>
      </c>
    </row>
    <row r="604" spans="1:9" hidden="1" outlineLevel="1" x14ac:dyDescent="0.25">
      <c r="A604" s="84"/>
      <c r="B604" s="329" t="s">
        <v>433</v>
      </c>
      <c r="C604" s="21" t="s">
        <v>12</v>
      </c>
      <c r="D604" s="340">
        <v>0</v>
      </c>
      <c r="E604" s="282"/>
      <c r="F604" s="60">
        <v>40</v>
      </c>
      <c r="G604" s="18"/>
      <c r="H604" s="2">
        <f>ROUND(D604*F604,2)</f>
        <v>0</v>
      </c>
      <c r="I604" s="18">
        <f>G604+H604</f>
        <v>0</v>
      </c>
    </row>
    <row r="605" spans="1:9" hidden="1" outlineLevel="1" x14ac:dyDescent="0.25">
      <c r="A605" s="84" t="s">
        <v>548</v>
      </c>
      <c r="B605" s="307" t="s">
        <v>136</v>
      </c>
      <c r="C605" s="31" t="s">
        <v>29</v>
      </c>
      <c r="D605" s="306">
        <f>D606</f>
        <v>0</v>
      </c>
      <c r="E605" s="256">
        <v>150</v>
      </c>
      <c r="F605" s="60"/>
      <c r="G605" s="2">
        <f>ROUND(E605*D605,2)</f>
        <v>0</v>
      </c>
      <c r="H605" s="18"/>
      <c r="I605" s="18">
        <f t="shared" si="39"/>
        <v>0</v>
      </c>
    </row>
    <row r="606" spans="1:9" hidden="1" outlineLevel="1" x14ac:dyDescent="0.25">
      <c r="A606" s="84"/>
      <c r="B606" s="329" t="s">
        <v>432</v>
      </c>
      <c r="C606" s="21" t="s">
        <v>29</v>
      </c>
      <c r="D606" s="340">
        <v>0</v>
      </c>
      <c r="E606" s="282"/>
      <c r="F606" s="60">
        <f>107*3</f>
        <v>321</v>
      </c>
      <c r="G606" s="18"/>
      <c r="H606" s="2">
        <f>ROUND(D606*F606,2)</f>
        <v>0</v>
      </c>
      <c r="I606" s="18">
        <f t="shared" si="39"/>
        <v>0</v>
      </c>
    </row>
    <row r="607" spans="1:9" hidden="1" outlineLevel="1" x14ac:dyDescent="0.25">
      <c r="A607" s="84"/>
      <c r="B607" s="329" t="s">
        <v>708</v>
      </c>
      <c r="C607" s="21" t="s">
        <v>12</v>
      </c>
      <c r="D607" s="340">
        <v>0</v>
      </c>
      <c r="E607" s="282"/>
      <c r="F607" s="60">
        <v>205</v>
      </c>
      <c r="G607" s="18"/>
      <c r="H607" s="2">
        <f>ROUND(D607*F607,2)</f>
        <v>0</v>
      </c>
      <c r="I607" s="18">
        <f t="shared" si="39"/>
        <v>0</v>
      </c>
    </row>
    <row r="608" spans="1:9" hidden="1" outlineLevel="1" x14ac:dyDescent="0.25">
      <c r="A608" s="87" t="s">
        <v>549</v>
      </c>
      <c r="B608" s="29" t="s">
        <v>101</v>
      </c>
      <c r="C608" s="31" t="s">
        <v>29</v>
      </c>
      <c r="D608" s="31">
        <f>D600</f>
        <v>0</v>
      </c>
      <c r="E608" s="256">
        <v>150</v>
      </c>
      <c r="F608" s="60"/>
      <c r="G608" s="2">
        <f>ROUND(E608*D608,2)</f>
        <v>0</v>
      </c>
      <c r="H608" s="18"/>
      <c r="I608" s="18">
        <f t="shared" si="39"/>
        <v>0</v>
      </c>
    </row>
    <row r="609" spans="1:10" hidden="1" outlineLevel="1" x14ac:dyDescent="0.25">
      <c r="A609" s="84"/>
      <c r="B609" s="329" t="s">
        <v>174</v>
      </c>
      <c r="C609" s="21" t="s">
        <v>12</v>
      </c>
      <c r="D609" s="340">
        <v>0</v>
      </c>
      <c r="E609" s="282"/>
      <c r="F609" s="60">
        <v>200</v>
      </c>
      <c r="G609" s="18"/>
      <c r="H609" s="2">
        <f>ROUND(D609*F609,2)</f>
        <v>0</v>
      </c>
      <c r="I609" s="18">
        <f t="shared" si="39"/>
        <v>0</v>
      </c>
    </row>
    <row r="610" spans="1:10" hidden="1" outlineLevel="1" x14ac:dyDescent="0.25">
      <c r="A610" s="87" t="s">
        <v>550</v>
      </c>
      <c r="B610" s="307" t="s">
        <v>138</v>
      </c>
      <c r="C610" s="31" t="s">
        <v>12</v>
      </c>
      <c r="D610" s="306">
        <v>0</v>
      </c>
      <c r="E610" s="282"/>
      <c r="F610" s="60"/>
      <c r="G610" s="18"/>
      <c r="H610" s="18"/>
      <c r="I610" s="18">
        <f t="shared" si="39"/>
        <v>0</v>
      </c>
    </row>
    <row r="611" spans="1:10" hidden="1" outlineLevel="1" x14ac:dyDescent="0.25">
      <c r="A611" s="84"/>
      <c r="B611" s="329" t="s">
        <v>709</v>
      </c>
      <c r="C611" s="21" t="s">
        <v>12</v>
      </c>
      <c r="D611" s="340">
        <v>0</v>
      </c>
      <c r="E611" s="282"/>
      <c r="F611" s="60">
        <v>5555</v>
      </c>
      <c r="G611" s="18"/>
      <c r="H611" s="2">
        <f>ROUND(D611*F611,2)</f>
        <v>0</v>
      </c>
      <c r="I611" s="18">
        <f t="shared" si="39"/>
        <v>0</v>
      </c>
    </row>
    <row r="612" spans="1:10" hidden="1" outlineLevel="1" x14ac:dyDescent="0.25">
      <c r="A612" s="84"/>
      <c r="B612" s="329" t="s">
        <v>710</v>
      </c>
      <c r="C612" s="21" t="s">
        <v>12</v>
      </c>
      <c r="D612" s="340">
        <v>0</v>
      </c>
      <c r="E612" s="282"/>
      <c r="F612" s="164">
        <v>300</v>
      </c>
      <c r="G612" s="18"/>
      <c r="H612" s="2">
        <f>ROUND(D612*F612,2)</f>
        <v>0</v>
      </c>
      <c r="I612" s="18">
        <f>G612+H612</f>
        <v>0</v>
      </c>
    </row>
    <row r="613" spans="1:10" ht="31.2" hidden="1" outlineLevel="1" x14ac:dyDescent="0.25">
      <c r="A613" s="87" t="s">
        <v>551</v>
      </c>
      <c r="B613" s="29" t="s">
        <v>434</v>
      </c>
      <c r="C613" s="31" t="s">
        <v>29</v>
      </c>
      <c r="D613" s="31">
        <f>D614</f>
        <v>0</v>
      </c>
      <c r="E613" s="256">
        <v>250</v>
      </c>
      <c r="F613" s="60"/>
      <c r="G613" s="2">
        <f>ROUND(E613*D613,2)</f>
        <v>0</v>
      </c>
      <c r="H613" s="18"/>
      <c r="I613" s="18">
        <f t="shared" si="39"/>
        <v>0</v>
      </c>
    </row>
    <row r="614" spans="1:10" hidden="1" outlineLevel="1" x14ac:dyDescent="0.25">
      <c r="A614" s="84"/>
      <c r="B614" s="329" t="s">
        <v>114</v>
      </c>
      <c r="C614" s="21" t="s">
        <v>29</v>
      </c>
      <c r="D614" s="340">
        <v>0</v>
      </c>
      <c r="E614" s="18"/>
      <c r="F614" s="60">
        <v>103.95</v>
      </c>
      <c r="G614" s="18"/>
      <c r="H614" s="2">
        <f>ROUND(D614*F614,2)</f>
        <v>0</v>
      </c>
      <c r="I614" s="18">
        <f t="shared" si="39"/>
        <v>0</v>
      </c>
    </row>
    <row r="615" spans="1:10" hidden="1" outlineLevel="1" x14ac:dyDescent="0.25">
      <c r="A615" s="84"/>
      <c r="B615" s="329" t="s">
        <v>703</v>
      </c>
      <c r="C615" s="21" t="s">
        <v>14</v>
      </c>
      <c r="D615" s="340">
        <v>0</v>
      </c>
      <c r="E615" s="18"/>
      <c r="F615" s="164">
        <v>100</v>
      </c>
      <c r="G615" s="18"/>
      <c r="H615" s="2">
        <f>ROUND(D615*F615,2)</f>
        <v>0</v>
      </c>
      <c r="I615" s="18">
        <f t="shared" si="39"/>
        <v>0</v>
      </c>
    </row>
    <row r="616" spans="1:10" hidden="1" outlineLevel="1" x14ac:dyDescent="0.25">
      <c r="A616" s="84"/>
      <c r="B616" s="192" t="s">
        <v>140</v>
      </c>
      <c r="C616" s="2"/>
      <c r="D616" s="2"/>
      <c r="E616" s="2"/>
      <c r="F616" s="11"/>
      <c r="G616" s="18"/>
      <c r="H616" s="18"/>
      <c r="I616" s="18">
        <f t="shared" si="39"/>
        <v>0</v>
      </c>
    </row>
    <row r="617" spans="1:10" ht="31.2" hidden="1" outlineLevel="1" x14ac:dyDescent="0.25">
      <c r="A617" s="84"/>
      <c r="B617" s="307" t="s">
        <v>112</v>
      </c>
      <c r="C617" s="2" t="s">
        <v>29</v>
      </c>
      <c r="D617" s="306">
        <f>D618</f>
        <v>0</v>
      </c>
      <c r="E617" s="31">
        <v>250</v>
      </c>
      <c r="F617" s="60"/>
      <c r="G617" s="2">
        <f>ROUND(E617*D617,2)</f>
        <v>0</v>
      </c>
      <c r="H617" s="18"/>
      <c r="I617" s="18">
        <f>G617+H617</f>
        <v>0</v>
      </c>
      <c r="J617" s="780"/>
    </row>
    <row r="618" spans="1:10" hidden="1" outlineLevel="1" x14ac:dyDescent="0.25">
      <c r="A618" s="84"/>
      <c r="B618" s="329" t="s">
        <v>711</v>
      </c>
      <c r="C618" s="21" t="s">
        <v>29</v>
      </c>
      <c r="D618" s="340">
        <v>0</v>
      </c>
      <c r="E618" s="2"/>
      <c r="F618" s="11">
        <v>103.95</v>
      </c>
      <c r="G618" s="158"/>
      <c r="H618" s="2">
        <f t="shared" ref="H618:H628" si="41">ROUND(D618*F618,2)</f>
        <v>0</v>
      </c>
      <c r="I618" s="18">
        <f t="shared" si="39"/>
        <v>0</v>
      </c>
      <c r="J618" s="780"/>
    </row>
    <row r="619" spans="1:10" hidden="1" outlineLevel="1" x14ac:dyDescent="0.25">
      <c r="A619" s="84"/>
      <c r="B619" s="329" t="s">
        <v>91</v>
      </c>
      <c r="C619" s="21" t="s">
        <v>15</v>
      </c>
      <c r="D619" s="340">
        <v>0</v>
      </c>
      <c r="E619" s="2"/>
      <c r="F619" s="11">
        <v>42</v>
      </c>
      <c r="G619" s="158"/>
      <c r="H619" s="2">
        <f t="shared" si="41"/>
        <v>0</v>
      </c>
      <c r="I619" s="18">
        <f t="shared" si="39"/>
        <v>0</v>
      </c>
      <c r="J619" s="780"/>
    </row>
    <row r="620" spans="1:10" hidden="1" outlineLevel="1" x14ac:dyDescent="0.25">
      <c r="A620" s="84"/>
      <c r="B620" s="307" t="s">
        <v>141</v>
      </c>
      <c r="C620" s="2" t="s">
        <v>12</v>
      </c>
      <c r="D620" s="340">
        <v>0</v>
      </c>
      <c r="E620" s="2"/>
      <c r="F620" s="11"/>
      <c r="G620" s="158"/>
      <c r="H620" s="2">
        <f t="shared" si="41"/>
        <v>0</v>
      </c>
      <c r="I620" s="18">
        <f t="shared" si="39"/>
        <v>0</v>
      </c>
      <c r="J620" s="780"/>
    </row>
    <row r="621" spans="1:10" hidden="1" outlineLevel="1" x14ac:dyDescent="0.25">
      <c r="A621" s="84"/>
      <c r="B621" s="329" t="s">
        <v>142</v>
      </c>
      <c r="C621" s="21" t="s">
        <v>12</v>
      </c>
      <c r="D621" s="340">
        <v>0</v>
      </c>
      <c r="E621" s="2"/>
      <c r="F621" s="11">
        <v>586.74</v>
      </c>
      <c r="G621" s="158"/>
      <c r="H621" s="2">
        <f t="shared" si="41"/>
        <v>0</v>
      </c>
      <c r="I621" s="18">
        <f t="shared" si="39"/>
        <v>0</v>
      </c>
      <c r="J621" s="780"/>
    </row>
    <row r="622" spans="1:10" hidden="1" outlineLevel="1" x14ac:dyDescent="0.25">
      <c r="A622" s="84"/>
      <c r="B622" s="329" t="s">
        <v>143</v>
      </c>
      <c r="C622" s="21" t="s">
        <v>12</v>
      </c>
      <c r="D622" s="340">
        <v>0</v>
      </c>
      <c r="E622" s="2"/>
      <c r="F622" s="11">
        <v>429</v>
      </c>
      <c r="G622" s="158"/>
      <c r="H622" s="2">
        <f t="shared" si="41"/>
        <v>0</v>
      </c>
      <c r="I622" s="18">
        <f t="shared" si="39"/>
        <v>0</v>
      </c>
      <c r="J622" s="780"/>
    </row>
    <row r="623" spans="1:10" hidden="1" outlineLevel="1" x14ac:dyDescent="0.25">
      <c r="A623" s="84"/>
      <c r="B623" s="329" t="s">
        <v>712</v>
      </c>
      <c r="C623" s="21" t="s">
        <v>12</v>
      </c>
      <c r="D623" s="340">
        <v>0</v>
      </c>
      <c r="E623" s="18"/>
      <c r="F623" s="164">
        <v>100</v>
      </c>
      <c r="G623" s="18"/>
      <c r="H623" s="2">
        <f t="shared" si="41"/>
        <v>0</v>
      </c>
      <c r="I623" s="18">
        <f t="shared" si="39"/>
        <v>0</v>
      </c>
      <c r="J623" s="780"/>
    </row>
    <row r="624" spans="1:10" hidden="1" outlineLevel="1" x14ac:dyDescent="0.25">
      <c r="A624" s="84"/>
      <c r="B624" s="329" t="s">
        <v>713</v>
      </c>
      <c r="C624" s="21" t="s">
        <v>12</v>
      </c>
      <c r="D624" s="340">
        <v>0</v>
      </c>
      <c r="E624" s="282"/>
      <c r="F624" s="164">
        <v>40</v>
      </c>
      <c r="G624" s="18"/>
      <c r="H624" s="2">
        <f>ROUND(D624*F624,2)</f>
        <v>0</v>
      </c>
      <c r="I624" s="18">
        <f>G624+H624</f>
        <v>0</v>
      </c>
      <c r="J624" s="780"/>
    </row>
    <row r="625" spans="1:10" hidden="1" outlineLevel="1" x14ac:dyDescent="0.25">
      <c r="A625" s="84"/>
      <c r="B625" s="307" t="s">
        <v>101</v>
      </c>
      <c r="C625" s="2" t="s">
        <v>29</v>
      </c>
      <c r="D625" s="340">
        <f>D617</f>
        <v>0</v>
      </c>
      <c r="E625" s="2"/>
      <c r="F625" s="11"/>
      <c r="G625" s="158"/>
      <c r="H625" s="2">
        <f t="shared" si="41"/>
        <v>0</v>
      </c>
      <c r="I625" s="18">
        <f t="shared" si="39"/>
        <v>0</v>
      </c>
      <c r="J625" s="780"/>
    </row>
    <row r="626" spans="1:10" hidden="1" outlineLevel="1" x14ac:dyDescent="0.25">
      <c r="A626" s="84"/>
      <c r="B626" s="329" t="s">
        <v>137</v>
      </c>
      <c r="C626" s="21" t="s">
        <v>12</v>
      </c>
      <c r="D626" s="340">
        <v>0</v>
      </c>
      <c r="E626" s="2"/>
      <c r="F626" s="11">
        <v>200</v>
      </c>
      <c r="G626" s="158"/>
      <c r="H626" s="2">
        <f t="shared" si="41"/>
        <v>0</v>
      </c>
      <c r="I626" s="18">
        <f t="shared" si="39"/>
        <v>0</v>
      </c>
      <c r="J626" s="780"/>
    </row>
    <row r="627" spans="1:10" hidden="1" outlineLevel="1" x14ac:dyDescent="0.25">
      <c r="A627" s="84"/>
      <c r="B627" s="329" t="s">
        <v>703</v>
      </c>
      <c r="C627" s="21" t="s">
        <v>14</v>
      </c>
      <c r="D627" s="340">
        <v>0</v>
      </c>
      <c r="E627" s="18"/>
      <c r="F627" s="164">
        <v>100</v>
      </c>
      <c r="G627" s="18"/>
      <c r="H627" s="2">
        <f t="shared" si="41"/>
        <v>0</v>
      </c>
      <c r="I627" s="18">
        <f>G627+H627</f>
        <v>0</v>
      </c>
      <c r="J627" s="359"/>
    </row>
    <row r="628" spans="1:10" hidden="1" outlineLevel="1" x14ac:dyDescent="0.25">
      <c r="A628" s="84" t="s">
        <v>84</v>
      </c>
      <c r="B628" s="75" t="s">
        <v>144</v>
      </c>
      <c r="C628" s="2"/>
      <c r="D628" s="2"/>
      <c r="E628" s="2"/>
      <c r="F628" s="11"/>
      <c r="G628" s="18"/>
      <c r="H628" s="2">
        <f t="shared" si="41"/>
        <v>0</v>
      </c>
      <c r="I628" s="18">
        <f t="shared" si="39"/>
        <v>0</v>
      </c>
    </row>
    <row r="629" spans="1:10" ht="31.2" hidden="1" outlineLevel="1" x14ac:dyDescent="0.25">
      <c r="A629" s="84" t="s">
        <v>552</v>
      </c>
      <c r="B629" s="177" t="s">
        <v>145</v>
      </c>
      <c r="C629" s="31" t="s">
        <v>29</v>
      </c>
      <c r="D629" s="31">
        <v>0</v>
      </c>
      <c r="E629" s="256">
        <v>30</v>
      </c>
      <c r="F629" s="60"/>
      <c r="G629" s="2"/>
      <c r="H629" s="18"/>
      <c r="I629" s="18"/>
    </row>
    <row r="630" spans="1:10" hidden="1" outlineLevel="1" x14ac:dyDescent="0.25">
      <c r="A630" s="84"/>
      <c r="B630" s="173" t="s">
        <v>146</v>
      </c>
      <c r="C630" s="21" t="s">
        <v>12</v>
      </c>
      <c r="D630" s="184">
        <v>0</v>
      </c>
      <c r="E630" s="18"/>
      <c r="F630" s="60">
        <v>9275</v>
      </c>
      <c r="G630" s="18"/>
      <c r="H630" s="2"/>
      <c r="I630" s="18"/>
    </row>
    <row r="631" spans="1:10" hidden="1" outlineLevel="1" x14ac:dyDescent="0.25">
      <c r="A631" s="84"/>
      <c r="B631" s="173" t="s">
        <v>147</v>
      </c>
      <c r="C631" s="21" t="s">
        <v>29</v>
      </c>
      <c r="D631" s="2">
        <f>D629</f>
        <v>0</v>
      </c>
      <c r="E631" s="18"/>
      <c r="F631" s="60">
        <v>3</v>
      </c>
      <c r="G631" s="18"/>
      <c r="H631" s="2"/>
      <c r="I631" s="18"/>
    </row>
    <row r="632" spans="1:10" ht="31.2" hidden="1" outlineLevel="1" x14ac:dyDescent="0.25">
      <c r="A632" s="84" t="s">
        <v>331</v>
      </c>
      <c r="B632" s="75" t="s">
        <v>148</v>
      </c>
      <c r="C632" s="2"/>
      <c r="D632" s="2"/>
      <c r="E632" s="2"/>
      <c r="F632" s="11"/>
      <c r="G632" s="18"/>
      <c r="H632" s="18"/>
      <c r="I632" s="18">
        <f t="shared" si="39"/>
        <v>0</v>
      </c>
    </row>
    <row r="633" spans="1:10" hidden="1" outlineLevel="1" x14ac:dyDescent="0.25">
      <c r="A633" s="84"/>
      <c r="B633" s="177" t="s">
        <v>149</v>
      </c>
      <c r="C633" s="158" t="s">
        <v>12</v>
      </c>
      <c r="D633" s="158">
        <v>0</v>
      </c>
      <c r="E633" s="158"/>
      <c r="F633" s="164"/>
      <c r="G633" s="158"/>
      <c r="H633" s="158"/>
      <c r="I633" s="158"/>
      <c r="J633" s="780" t="s">
        <v>625</v>
      </c>
    </row>
    <row r="634" spans="1:10" ht="31.2" hidden="1" outlineLevel="1" x14ac:dyDescent="0.25">
      <c r="A634" s="84"/>
      <c r="B634" s="173" t="s">
        <v>150</v>
      </c>
      <c r="C634" s="171" t="s">
        <v>12</v>
      </c>
      <c r="D634" s="158">
        <v>0</v>
      </c>
      <c r="E634" s="158"/>
      <c r="F634" s="164">
        <f>2352*1.18</f>
        <v>2775.3599999999997</v>
      </c>
      <c r="G634" s="158"/>
      <c r="H634" s="158"/>
      <c r="I634" s="158"/>
      <c r="J634" s="780"/>
    </row>
    <row r="635" spans="1:10" hidden="1" outlineLevel="1" x14ac:dyDescent="0.25">
      <c r="A635" s="84" t="s">
        <v>553</v>
      </c>
      <c r="B635" s="307" t="s">
        <v>151</v>
      </c>
      <c r="C635" s="31" t="s">
        <v>29</v>
      </c>
      <c r="D635" s="306">
        <f>D636</f>
        <v>0</v>
      </c>
      <c r="E635" s="256">
        <v>100</v>
      </c>
      <c r="F635" s="60"/>
      <c r="G635" s="2">
        <f>ROUND(E635*D635,2)</f>
        <v>0</v>
      </c>
      <c r="H635" s="18"/>
      <c r="I635" s="18">
        <f t="shared" si="39"/>
        <v>0</v>
      </c>
    </row>
    <row r="636" spans="1:10" hidden="1" outlineLevel="1" x14ac:dyDescent="0.25">
      <c r="A636" s="84"/>
      <c r="B636" s="329" t="s">
        <v>701</v>
      </c>
      <c r="C636" s="21" t="s">
        <v>29</v>
      </c>
      <c r="D636" s="340">
        <v>0</v>
      </c>
      <c r="E636" s="18"/>
      <c r="F636" s="60">
        <f>2779*1.18</f>
        <v>3279.22</v>
      </c>
      <c r="G636" s="18"/>
      <c r="H636" s="2">
        <f>ROUND(D636*F636,2)</f>
        <v>0</v>
      </c>
      <c r="I636" s="18">
        <f t="shared" si="39"/>
        <v>0</v>
      </c>
    </row>
    <row r="637" spans="1:10" ht="31.2" hidden="1" outlineLevel="1" x14ac:dyDescent="0.25">
      <c r="A637" s="84" t="s">
        <v>554</v>
      </c>
      <c r="B637" s="307" t="s">
        <v>152</v>
      </c>
      <c r="C637" s="31" t="s">
        <v>29</v>
      </c>
      <c r="D637" s="306">
        <f>D638</f>
        <v>0</v>
      </c>
      <c r="E637" s="256">
        <v>85</v>
      </c>
      <c r="F637" s="60"/>
      <c r="G637" s="2">
        <f>ROUND(E637*D637,2)</f>
        <v>0</v>
      </c>
      <c r="H637" s="18"/>
      <c r="I637" s="18">
        <f t="shared" si="39"/>
        <v>0</v>
      </c>
    </row>
    <row r="638" spans="1:10" hidden="1" outlineLevel="1" x14ac:dyDescent="0.25">
      <c r="A638" s="84"/>
      <c r="B638" s="329" t="s">
        <v>438</v>
      </c>
      <c r="C638" s="21" t="s">
        <v>29</v>
      </c>
      <c r="D638" s="340">
        <v>0</v>
      </c>
      <c r="E638" s="18"/>
      <c r="F638" s="60">
        <f>1626.1/5.5</f>
        <v>295.65454545454543</v>
      </c>
      <c r="G638" s="18"/>
      <c r="H638" s="2">
        <f>ROUND(D638*F638,2)</f>
        <v>0</v>
      </c>
      <c r="I638" s="18">
        <f t="shared" si="39"/>
        <v>0</v>
      </c>
    </row>
    <row r="639" spans="1:10" s="6" customFormat="1" hidden="1" outlineLevel="1" x14ac:dyDescent="0.25">
      <c r="A639" s="84" t="s">
        <v>555</v>
      </c>
      <c r="B639" s="307" t="s">
        <v>153</v>
      </c>
      <c r="C639" s="31" t="s">
        <v>12</v>
      </c>
      <c r="D639" s="306">
        <v>0</v>
      </c>
      <c r="E639" s="5"/>
      <c r="F639" s="60"/>
      <c r="G639" s="18"/>
      <c r="H639" s="18"/>
      <c r="I639" s="18">
        <f t="shared" si="39"/>
        <v>0</v>
      </c>
    </row>
    <row r="640" spans="1:10" hidden="1" outlineLevel="1" x14ac:dyDescent="0.25">
      <c r="A640" s="84"/>
      <c r="B640" s="329" t="s">
        <v>436</v>
      </c>
      <c r="C640" s="21" t="s">
        <v>12</v>
      </c>
      <c r="D640" s="340">
        <v>0</v>
      </c>
      <c r="E640" s="18"/>
      <c r="F640" s="60">
        <v>480.3</v>
      </c>
      <c r="G640" s="18"/>
      <c r="H640" s="2">
        <f>ROUND(D640*F640,2)</f>
        <v>0</v>
      </c>
      <c r="I640" s="18">
        <f t="shared" si="39"/>
        <v>0</v>
      </c>
    </row>
    <row r="641" spans="1:9" hidden="1" outlineLevel="1" x14ac:dyDescent="0.25">
      <c r="A641" s="84"/>
      <c r="B641" s="329" t="s">
        <v>435</v>
      </c>
      <c r="C641" s="21" t="s">
        <v>12</v>
      </c>
      <c r="D641" s="340">
        <v>0</v>
      </c>
      <c r="E641" s="18"/>
      <c r="F641" s="60">
        <v>322.2</v>
      </c>
      <c r="G641" s="18"/>
      <c r="H641" s="2">
        <f>ROUND(D641*F641,2)</f>
        <v>0</v>
      </c>
      <c r="I641" s="18">
        <f t="shared" si="39"/>
        <v>0</v>
      </c>
    </row>
    <row r="642" spans="1:9" hidden="1" outlineLevel="1" x14ac:dyDescent="0.25">
      <c r="A642" s="84" t="s">
        <v>556</v>
      </c>
      <c r="B642" s="75" t="s">
        <v>92</v>
      </c>
      <c r="C642" s="2"/>
      <c r="D642" s="2"/>
      <c r="E642" s="2"/>
      <c r="F642" s="11"/>
      <c r="G642" s="18"/>
      <c r="H642" s="18"/>
      <c r="I642" s="18">
        <f t="shared" si="39"/>
        <v>0</v>
      </c>
    </row>
    <row r="643" spans="1:9" ht="31.2" hidden="1" outlineLevel="1" x14ac:dyDescent="0.25">
      <c r="A643" s="84" t="s">
        <v>557</v>
      </c>
      <c r="B643" s="9" t="s">
        <v>93</v>
      </c>
      <c r="C643" s="31" t="s">
        <v>29</v>
      </c>
      <c r="D643" s="31">
        <v>0</v>
      </c>
      <c r="E643" s="256">
        <v>150</v>
      </c>
      <c r="F643" s="60"/>
      <c r="G643" s="2">
        <f>ROUND(E643*D643,2)</f>
        <v>0</v>
      </c>
      <c r="H643" s="18"/>
      <c r="I643" s="18">
        <f t="shared" si="39"/>
        <v>0</v>
      </c>
    </row>
    <row r="644" spans="1:9" hidden="1" outlineLevel="1" x14ac:dyDescent="0.25">
      <c r="A644" s="84"/>
      <c r="B644" s="343" t="s">
        <v>94</v>
      </c>
      <c r="C644" s="21" t="s">
        <v>29</v>
      </c>
      <c r="D644" s="340">
        <v>0</v>
      </c>
      <c r="E644" s="282"/>
      <c r="F644" s="60">
        <v>64.900000000000006</v>
      </c>
      <c r="G644" s="18"/>
      <c r="H644" s="2">
        <f>ROUND(D644*F644,2)</f>
        <v>0</v>
      </c>
      <c r="I644" s="18">
        <f t="shared" si="39"/>
        <v>0</v>
      </c>
    </row>
    <row r="645" spans="1:9" ht="31.2" hidden="1" outlineLevel="1" x14ac:dyDescent="0.25">
      <c r="A645" s="84" t="s">
        <v>558</v>
      </c>
      <c r="B645" s="29" t="s">
        <v>95</v>
      </c>
      <c r="C645" s="31" t="s">
        <v>29</v>
      </c>
      <c r="D645" s="31">
        <f>D646+D647+D648+D649</f>
        <v>0</v>
      </c>
      <c r="E645" s="256">
        <v>85</v>
      </c>
      <c r="F645" s="60"/>
      <c r="G645" s="2">
        <f>ROUND(E645*D645,2)</f>
        <v>0</v>
      </c>
      <c r="H645" s="18"/>
      <c r="I645" s="18">
        <f t="shared" si="39"/>
        <v>0</v>
      </c>
    </row>
    <row r="646" spans="1:9" hidden="1" outlineLevel="1" x14ac:dyDescent="0.25">
      <c r="A646" s="84"/>
      <c r="B646" s="343" t="s">
        <v>96</v>
      </c>
      <c r="C646" s="21" t="s">
        <v>29</v>
      </c>
      <c r="D646" s="340">
        <v>0</v>
      </c>
      <c r="E646" s="282"/>
      <c r="F646" s="60">
        <v>22.07</v>
      </c>
      <c r="G646" s="18"/>
      <c r="H646" s="2">
        <f t="shared" ref="H646:H653" si="42">ROUND(D646*F646,2)</f>
        <v>0</v>
      </c>
      <c r="I646" s="18">
        <f t="shared" ref="I646:I676" si="43">G646+H646</f>
        <v>0</v>
      </c>
    </row>
    <row r="647" spans="1:9" hidden="1" outlineLevel="1" x14ac:dyDescent="0.25">
      <c r="A647" s="84"/>
      <c r="B647" s="343" t="s">
        <v>97</v>
      </c>
      <c r="C647" s="21" t="s">
        <v>29</v>
      </c>
      <c r="D647" s="340">
        <v>0</v>
      </c>
      <c r="E647" s="282"/>
      <c r="F647" s="60">
        <v>25.75</v>
      </c>
      <c r="G647" s="18"/>
      <c r="H647" s="2">
        <f t="shared" si="42"/>
        <v>0</v>
      </c>
      <c r="I647" s="18">
        <f t="shared" si="43"/>
        <v>0</v>
      </c>
    </row>
    <row r="648" spans="1:9" hidden="1" outlineLevel="1" x14ac:dyDescent="0.25">
      <c r="A648" s="84"/>
      <c r="B648" s="343" t="s">
        <v>98</v>
      </c>
      <c r="C648" s="21" t="s">
        <v>29</v>
      </c>
      <c r="D648" s="340">
        <v>0</v>
      </c>
      <c r="E648" s="282"/>
      <c r="F648" s="60">
        <v>58.9</v>
      </c>
      <c r="G648" s="18"/>
      <c r="H648" s="2">
        <f t="shared" si="42"/>
        <v>0</v>
      </c>
      <c r="I648" s="18">
        <f t="shared" si="43"/>
        <v>0</v>
      </c>
    </row>
    <row r="649" spans="1:9" hidden="1" outlineLevel="1" x14ac:dyDescent="0.25">
      <c r="A649" s="84"/>
      <c r="B649" s="343" t="s">
        <v>241</v>
      </c>
      <c r="C649" s="21" t="s">
        <v>29</v>
      </c>
      <c r="D649" s="340">
        <v>0</v>
      </c>
      <c r="E649" s="282"/>
      <c r="F649" s="60">
        <v>75</v>
      </c>
      <c r="G649" s="18"/>
      <c r="H649" s="2">
        <f t="shared" si="42"/>
        <v>0</v>
      </c>
      <c r="I649" s="18">
        <f>G649+H649</f>
        <v>0</v>
      </c>
    </row>
    <row r="650" spans="1:9" hidden="1" outlineLevel="1" x14ac:dyDescent="0.25">
      <c r="A650" s="84"/>
      <c r="B650" s="329" t="s">
        <v>99</v>
      </c>
      <c r="C650" s="21" t="s">
        <v>12</v>
      </c>
      <c r="D650" s="340">
        <v>0</v>
      </c>
      <c r="E650" s="282"/>
      <c r="F650" s="60">
        <v>198</v>
      </c>
      <c r="G650" s="18"/>
      <c r="H650" s="2">
        <f t="shared" si="42"/>
        <v>0</v>
      </c>
      <c r="I650" s="18">
        <f t="shared" si="43"/>
        <v>0</v>
      </c>
    </row>
    <row r="651" spans="1:9" hidden="1" outlineLevel="1" x14ac:dyDescent="0.25">
      <c r="A651" s="84"/>
      <c r="B651" s="329" t="s">
        <v>100</v>
      </c>
      <c r="C651" s="21" t="s">
        <v>12</v>
      </c>
      <c r="D651" s="340">
        <v>0</v>
      </c>
      <c r="E651" s="282"/>
      <c r="F651" s="60">
        <v>198</v>
      </c>
      <c r="G651" s="18"/>
      <c r="H651" s="2">
        <f t="shared" si="42"/>
        <v>0</v>
      </c>
      <c r="I651" s="18">
        <f t="shared" si="43"/>
        <v>0</v>
      </c>
    </row>
    <row r="652" spans="1:9" ht="31.2" hidden="1" outlineLevel="1" x14ac:dyDescent="0.25">
      <c r="A652" s="84"/>
      <c r="B652" s="329" t="s">
        <v>107</v>
      </c>
      <c r="C652" s="21" t="s">
        <v>12</v>
      </c>
      <c r="D652" s="360">
        <v>0</v>
      </c>
      <c r="E652" s="282"/>
      <c r="F652" s="361">
        <v>70</v>
      </c>
      <c r="G652" s="18"/>
      <c r="H652" s="2">
        <f t="shared" si="42"/>
        <v>0</v>
      </c>
      <c r="I652" s="18">
        <f t="shared" si="43"/>
        <v>0</v>
      </c>
    </row>
    <row r="653" spans="1:9" ht="31.2" hidden="1" outlineLevel="1" x14ac:dyDescent="0.25">
      <c r="A653" s="84"/>
      <c r="B653" s="329" t="s">
        <v>242</v>
      </c>
      <c r="C653" s="21" t="s">
        <v>29</v>
      </c>
      <c r="D653" s="340">
        <v>0</v>
      </c>
      <c r="E653" s="282"/>
      <c r="F653" s="60">
        <v>35</v>
      </c>
      <c r="G653" s="18"/>
      <c r="H653" s="2">
        <f t="shared" si="42"/>
        <v>0</v>
      </c>
      <c r="I653" s="18">
        <f>G653+H653</f>
        <v>0</v>
      </c>
    </row>
    <row r="654" spans="1:9" hidden="1" outlineLevel="1" x14ac:dyDescent="0.25">
      <c r="A654" s="84" t="s">
        <v>559</v>
      </c>
      <c r="B654" s="29" t="s">
        <v>101</v>
      </c>
      <c r="C654" s="31" t="s">
        <v>29</v>
      </c>
      <c r="D654" s="306">
        <f>D655</f>
        <v>0</v>
      </c>
      <c r="E654" s="256">
        <v>30</v>
      </c>
      <c r="F654" s="60"/>
      <c r="G654" s="2">
        <f>ROUND(E654*D654,2)</f>
        <v>0</v>
      </c>
      <c r="H654" s="18"/>
      <c r="I654" s="18">
        <f t="shared" si="43"/>
        <v>0</v>
      </c>
    </row>
    <row r="655" spans="1:9" hidden="1" outlineLevel="1" x14ac:dyDescent="0.25">
      <c r="A655" s="84"/>
      <c r="B655" s="329" t="s">
        <v>175</v>
      </c>
      <c r="C655" s="21" t="s">
        <v>29</v>
      </c>
      <c r="D655" s="340">
        <v>0</v>
      </c>
      <c r="E655" s="18"/>
      <c r="F655" s="164">
        <v>74</v>
      </c>
      <c r="G655" s="18"/>
      <c r="H655" s="2">
        <f>ROUND(D655*F655,2)</f>
        <v>0</v>
      </c>
      <c r="I655" s="18">
        <f t="shared" si="43"/>
        <v>0</v>
      </c>
    </row>
    <row r="656" spans="1:9" hidden="1" outlineLevel="1" x14ac:dyDescent="0.25">
      <c r="A656" s="84" t="s">
        <v>560</v>
      </c>
      <c r="B656" s="29" t="s">
        <v>102</v>
      </c>
      <c r="C656" s="31" t="s">
        <v>12</v>
      </c>
      <c r="D656" s="306">
        <f>D657</f>
        <v>0</v>
      </c>
      <c r="E656" s="256">
        <v>500</v>
      </c>
      <c r="F656" s="60"/>
      <c r="G656" s="2">
        <f>ROUND(E656*D656,2)</f>
        <v>0</v>
      </c>
      <c r="H656" s="18"/>
      <c r="I656" s="18">
        <f t="shared" si="43"/>
        <v>0</v>
      </c>
    </row>
    <row r="657" spans="1:9" hidden="1" outlineLevel="1" x14ac:dyDescent="0.25">
      <c r="A657" s="84"/>
      <c r="B657" s="343" t="s">
        <v>103</v>
      </c>
      <c r="C657" s="21" t="s">
        <v>12</v>
      </c>
      <c r="D657" s="340">
        <v>0</v>
      </c>
      <c r="E657" s="282"/>
      <c r="F657" s="60">
        <v>400</v>
      </c>
      <c r="G657" s="18"/>
      <c r="H657" s="2">
        <f>ROUND(D657*F657,2)</f>
        <v>0</v>
      </c>
      <c r="I657" s="18">
        <f t="shared" si="43"/>
        <v>0</v>
      </c>
    </row>
    <row r="658" spans="1:9" hidden="1" outlineLevel="1" x14ac:dyDescent="0.25">
      <c r="A658" s="84"/>
      <c r="B658" s="343" t="s">
        <v>104</v>
      </c>
      <c r="C658" s="21" t="s">
        <v>12</v>
      </c>
      <c r="D658" s="340">
        <f>D657</f>
        <v>0</v>
      </c>
      <c r="E658" s="282"/>
      <c r="F658" s="60">
        <v>210.8</v>
      </c>
      <c r="G658" s="18"/>
      <c r="H658" s="2">
        <f>ROUND(D658*F658,2)</f>
        <v>0</v>
      </c>
      <c r="I658" s="18">
        <f t="shared" si="43"/>
        <v>0</v>
      </c>
    </row>
    <row r="659" spans="1:9" hidden="1" outlineLevel="1" x14ac:dyDescent="0.25">
      <c r="A659" s="84" t="s">
        <v>561</v>
      </c>
      <c r="B659" s="29" t="s">
        <v>105</v>
      </c>
      <c r="C659" s="31" t="s">
        <v>12</v>
      </c>
      <c r="D659" s="306">
        <f>D658</f>
        <v>0</v>
      </c>
      <c r="E659" s="256">
        <v>520</v>
      </c>
      <c r="F659" s="60"/>
      <c r="G659" s="2">
        <f>ROUND(E659*D659,2)</f>
        <v>0</v>
      </c>
      <c r="H659" s="18"/>
      <c r="I659" s="18">
        <f t="shared" si="43"/>
        <v>0</v>
      </c>
    </row>
    <row r="660" spans="1:9" ht="31.2" hidden="1" outlineLevel="1" x14ac:dyDescent="0.25">
      <c r="A660" s="84"/>
      <c r="B660" s="343" t="s">
        <v>106</v>
      </c>
      <c r="C660" s="21" t="s">
        <v>12</v>
      </c>
      <c r="D660" s="340">
        <f>D659</f>
        <v>0</v>
      </c>
      <c r="E660" s="282"/>
      <c r="F660" s="60">
        <v>900</v>
      </c>
      <c r="G660" s="18"/>
      <c r="H660" s="2">
        <f>ROUND(D660*F660,2)</f>
        <v>0</v>
      </c>
      <c r="I660" s="18">
        <f t="shared" si="43"/>
        <v>0</v>
      </c>
    </row>
    <row r="661" spans="1:9" hidden="1" outlineLevel="1" x14ac:dyDescent="0.25">
      <c r="A661" s="84" t="s">
        <v>562</v>
      </c>
      <c r="B661" s="75" t="s">
        <v>108</v>
      </c>
      <c r="C661" s="2"/>
      <c r="D661" s="158"/>
      <c r="E661" s="282"/>
      <c r="F661" s="11"/>
      <c r="G661" s="18"/>
      <c r="H661" s="18"/>
      <c r="I661" s="18">
        <f t="shared" si="43"/>
        <v>0</v>
      </c>
    </row>
    <row r="662" spans="1:9" ht="31.2" hidden="1" outlineLevel="1" x14ac:dyDescent="0.25">
      <c r="A662" s="84" t="s">
        <v>563</v>
      </c>
      <c r="B662" s="29" t="s">
        <v>110</v>
      </c>
      <c r="C662" s="31" t="s">
        <v>29</v>
      </c>
      <c r="D662" s="31">
        <f>D663</f>
        <v>0</v>
      </c>
      <c r="E662" s="256">
        <v>85</v>
      </c>
      <c r="F662" s="60"/>
      <c r="G662" s="2">
        <f>ROUND(E662*D662,2)</f>
        <v>0</v>
      </c>
      <c r="H662" s="18">
        <f>D662*F662</f>
        <v>0</v>
      </c>
      <c r="I662" s="18">
        <f t="shared" si="43"/>
        <v>0</v>
      </c>
    </row>
    <row r="663" spans="1:9" ht="31.2" hidden="1" outlineLevel="1" x14ac:dyDescent="0.25">
      <c r="A663" s="84"/>
      <c r="B663" s="343" t="s">
        <v>109</v>
      </c>
      <c r="C663" s="21" t="s">
        <v>29</v>
      </c>
      <c r="D663" s="340">
        <v>0</v>
      </c>
      <c r="E663" s="18"/>
      <c r="F663" s="361">
        <v>170</v>
      </c>
      <c r="G663" s="18"/>
      <c r="H663" s="2">
        <f>ROUND(D663*F663,2)</f>
        <v>0</v>
      </c>
      <c r="I663" s="18">
        <f t="shared" si="43"/>
        <v>0</v>
      </c>
    </row>
    <row r="664" spans="1:9" hidden="1" outlineLevel="1" x14ac:dyDescent="0.25">
      <c r="A664" s="84"/>
      <c r="B664" s="329" t="s">
        <v>100</v>
      </c>
      <c r="C664" s="21" t="s">
        <v>12</v>
      </c>
      <c r="D664" s="340">
        <v>0</v>
      </c>
      <c r="E664" s="18"/>
      <c r="F664" s="361">
        <v>198</v>
      </c>
      <c r="G664" s="18"/>
      <c r="H664" s="2">
        <f>ROUND(D664*F664,2)</f>
        <v>0</v>
      </c>
      <c r="I664" s="18">
        <f t="shared" si="43"/>
        <v>0</v>
      </c>
    </row>
    <row r="665" spans="1:9" ht="31.2" hidden="1" outlineLevel="1" x14ac:dyDescent="0.25">
      <c r="A665" s="84"/>
      <c r="B665" s="329" t="s">
        <v>107</v>
      </c>
      <c r="C665" s="21" t="s">
        <v>12</v>
      </c>
      <c r="D665" s="340">
        <v>0</v>
      </c>
      <c r="E665" s="18"/>
      <c r="F665" s="361">
        <v>120</v>
      </c>
      <c r="G665" s="18"/>
      <c r="H665" s="2">
        <f>ROUND(D665*F665,2)</f>
        <v>0</v>
      </c>
      <c r="I665" s="18">
        <f t="shared" si="43"/>
        <v>0</v>
      </c>
    </row>
    <row r="666" spans="1:9" ht="31.2" hidden="1" outlineLevel="1" x14ac:dyDescent="0.25">
      <c r="A666" s="84"/>
      <c r="B666" s="329" t="s">
        <v>439</v>
      </c>
      <c r="C666" s="21" t="s">
        <v>29</v>
      </c>
      <c r="D666" s="340">
        <v>0</v>
      </c>
      <c r="E666" s="18"/>
      <c r="F666" s="60">
        <v>35</v>
      </c>
      <c r="G666" s="18"/>
      <c r="H666" s="2">
        <f>ROUND(D666*F666,2)</f>
        <v>0</v>
      </c>
      <c r="I666" s="18">
        <f>G666+H666</f>
        <v>0</v>
      </c>
    </row>
    <row r="667" spans="1:9" hidden="1" outlineLevel="1" x14ac:dyDescent="0.25">
      <c r="A667" s="84" t="s">
        <v>564</v>
      </c>
      <c r="B667" s="75" t="s">
        <v>111</v>
      </c>
      <c r="C667" s="2"/>
      <c r="D667" s="158"/>
      <c r="E667" s="2"/>
      <c r="F667" s="11"/>
      <c r="G667" s="18"/>
      <c r="H667" s="18"/>
      <c r="I667" s="18">
        <f t="shared" si="43"/>
        <v>0</v>
      </c>
    </row>
    <row r="668" spans="1:9" ht="31.2" hidden="1" outlineLevel="1" x14ac:dyDescent="0.25">
      <c r="A668" s="84" t="s">
        <v>565</v>
      </c>
      <c r="B668" s="29" t="s">
        <v>112</v>
      </c>
      <c r="C668" s="31" t="s">
        <v>29</v>
      </c>
      <c r="D668" s="31">
        <f>D669+D670+D671</f>
        <v>0</v>
      </c>
      <c r="E668" s="256">
        <v>85</v>
      </c>
      <c r="F668" s="60"/>
      <c r="G668" s="2">
        <f>ROUND(E668*D668,2)</f>
        <v>0</v>
      </c>
      <c r="H668" s="18"/>
      <c r="I668" s="18">
        <f t="shared" si="43"/>
        <v>0</v>
      </c>
    </row>
    <row r="669" spans="1:9" hidden="1" outlineLevel="1" x14ac:dyDescent="0.25">
      <c r="A669" s="84"/>
      <c r="B669" s="329" t="s">
        <v>113</v>
      </c>
      <c r="C669" s="21" t="s">
        <v>29</v>
      </c>
      <c r="D669" s="340">
        <v>0</v>
      </c>
      <c r="E669" s="18"/>
      <c r="F669" s="60">
        <v>63.8</v>
      </c>
      <c r="G669" s="18"/>
      <c r="H669" s="2">
        <f t="shared" ref="H669:H675" si="44">ROUND(D669*F669,2)</f>
        <v>0</v>
      </c>
      <c r="I669" s="18">
        <f t="shared" si="43"/>
        <v>0</v>
      </c>
    </row>
    <row r="670" spans="1:9" hidden="1" outlineLevel="1" x14ac:dyDescent="0.25">
      <c r="A670" s="84"/>
      <c r="B670" s="329" t="s">
        <v>440</v>
      </c>
      <c r="C670" s="21" t="s">
        <v>29</v>
      </c>
      <c r="D670" s="340">
        <v>0</v>
      </c>
      <c r="E670" s="18"/>
      <c r="F670" s="11">
        <v>55</v>
      </c>
      <c r="G670" s="18"/>
      <c r="H670" s="2">
        <f t="shared" si="44"/>
        <v>0</v>
      </c>
      <c r="I670" s="18">
        <f>G670+H670</f>
        <v>0</v>
      </c>
    </row>
    <row r="671" spans="1:9" hidden="1" outlineLevel="1" x14ac:dyDescent="0.25">
      <c r="A671" s="84"/>
      <c r="B671" s="329" t="s">
        <v>114</v>
      </c>
      <c r="C671" s="21" t="s">
        <v>29</v>
      </c>
      <c r="D671" s="340">
        <v>0</v>
      </c>
      <c r="E671" s="18"/>
      <c r="F671" s="60">
        <v>103.95</v>
      </c>
      <c r="G671" s="18"/>
      <c r="H671" s="2">
        <f t="shared" si="44"/>
        <v>0</v>
      </c>
      <c r="I671" s="18">
        <f>G671+H671</f>
        <v>0</v>
      </c>
    </row>
    <row r="672" spans="1:9" hidden="1" outlineLevel="1" x14ac:dyDescent="0.25">
      <c r="A672" s="84"/>
      <c r="B672" s="329" t="s">
        <v>115</v>
      </c>
      <c r="C672" s="21" t="s">
        <v>12</v>
      </c>
      <c r="D672" s="340">
        <v>0</v>
      </c>
      <c r="E672" s="18"/>
      <c r="F672" s="60">
        <v>61.27</v>
      </c>
      <c r="G672" s="18"/>
      <c r="H672" s="2">
        <f t="shared" si="44"/>
        <v>0</v>
      </c>
      <c r="I672" s="18">
        <f t="shared" si="43"/>
        <v>0</v>
      </c>
    </row>
    <row r="673" spans="1:10" hidden="1" outlineLevel="1" x14ac:dyDescent="0.25">
      <c r="A673" s="84"/>
      <c r="B673" s="343" t="s">
        <v>91</v>
      </c>
      <c r="C673" s="21" t="s">
        <v>15</v>
      </c>
      <c r="D673" s="340">
        <v>0</v>
      </c>
      <c r="E673" s="18"/>
      <c r="F673" s="60">
        <f>37500/1000</f>
        <v>37.5</v>
      </c>
      <c r="G673" s="18"/>
      <c r="H673" s="2">
        <f t="shared" si="44"/>
        <v>0</v>
      </c>
      <c r="I673" s="18">
        <f t="shared" si="43"/>
        <v>0</v>
      </c>
    </row>
    <row r="674" spans="1:10" hidden="1" outlineLevel="1" x14ac:dyDescent="0.25">
      <c r="A674" s="84"/>
      <c r="B674" s="329" t="s">
        <v>116</v>
      </c>
      <c r="C674" s="21" t="s">
        <v>12</v>
      </c>
      <c r="D674" s="340">
        <v>0</v>
      </c>
      <c r="E674" s="18"/>
      <c r="F674" s="60">
        <v>320</v>
      </c>
      <c r="G674" s="18"/>
      <c r="H674" s="2">
        <f t="shared" si="44"/>
        <v>0</v>
      </c>
      <c r="I674" s="18">
        <f t="shared" si="43"/>
        <v>0</v>
      </c>
    </row>
    <row r="675" spans="1:10" hidden="1" outlineLevel="1" x14ac:dyDescent="0.25">
      <c r="A675" s="84"/>
      <c r="B675" s="329" t="s">
        <v>441</v>
      </c>
      <c r="C675" s="21" t="s">
        <v>12</v>
      </c>
      <c r="D675" s="340">
        <v>0</v>
      </c>
      <c r="E675" s="18"/>
      <c r="F675" s="60">
        <v>1250</v>
      </c>
      <c r="G675" s="18"/>
      <c r="H675" s="2">
        <f t="shared" si="44"/>
        <v>0</v>
      </c>
      <c r="I675" s="18">
        <f>G675+H675</f>
        <v>0</v>
      </c>
    </row>
    <row r="676" spans="1:10" hidden="1" outlineLevel="1" x14ac:dyDescent="0.25">
      <c r="A676" s="84"/>
      <c r="B676" s="75" t="s">
        <v>117</v>
      </c>
      <c r="C676" s="2"/>
      <c r="D676" s="158"/>
      <c r="E676" s="2"/>
      <c r="F676" s="11"/>
      <c r="G676" s="18"/>
      <c r="H676" s="18"/>
      <c r="I676" s="18">
        <f t="shared" si="43"/>
        <v>0</v>
      </c>
    </row>
    <row r="677" spans="1:10" ht="31.2" hidden="1" outlineLevel="1" x14ac:dyDescent="0.25">
      <c r="A677" s="87"/>
      <c r="B677" s="307" t="s">
        <v>112</v>
      </c>
      <c r="C677" s="2" t="s">
        <v>29</v>
      </c>
      <c r="D677" s="306">
        <f>D678</f>
        <v>0</v>
      </c>
      <c r="E677" s="256">
        <v>85</v>
      </c>
      <c r="F677" s="60"/>
      <c r="G677" s="2">
        <f>ROUND(E677*D677,2)</f>
        <v>0</v>
      </c>
      <c r="H677" s="18"/>
      <c r="I677" s="18">
        <f>G677+H677</f>
        <v>0</v>
      </c>
      <c r="J677" s="780" t="s">
        <v>625</v>
      </c>
    </row>
    <row r="678" spans="1:10" hidden="1" outlineLevel="1" x14ac:dyDescent="0.25">
      <c r="A678" s="84"/>
      <c r="B678" s="329" t="s">
        <v>114</v>
      </c>
      <c r="C678" s="21" t="s">
        <v>29</v>
      </c>
      <c r="D678" s="340">
        <v>0</v>
      </c>
      <c r="E678" s="158"/>
      <c r="F678" s="60">
        <v>103.95</v>
      </c>
      <c r="G678" s="158"/>
      <c r="H678" s="2">
        <f t="shared" ref="H678:H683" si="45">ROUND(D678*F678,2)</f>
        <v>0</v>
      </c>
      <c r="I678" s="18">
        <f t="shared" ref="I678:I683" si="46">G678+H678</f>
        <v>0</v>
      </c>
      <c r="J678" s="780"/>
    </row>
    <row r="679" spans="1:10" hidden="1" outlineLevel="1" x14ac:dyDescent="0.25">
      <c r="A679" s="84"/>
      <c r="B679" s="329" t="s">
        <v>115</v>
      </c>
      <c r="C679" s="21" t="s">
        <v>12</v>
      </c>
      <c r="D679" s="340">
        <v>0</v>
      </c>
      <c r="E679" s="158"/>
      <c r="F679" s="60">
        <v>61.27</v>
      </c>
      <c r="G679" s="158"/>
      <c r="H679" s="2">
        <f t="shared" si="45"/>
        <v>0</v>
      </c>
      <c r="I679" s="18">
        <f t="shared" si="46"/>
        <v>0</v>
      </c>
      <c r="J679" s="780"/>
    </row>
    <row r="680" spans="1:10" hidden="1" outlineLevel="1" x14ac:dyDescent="0.25">
      <c r="A680" s="84"/>
      <c r="B680" s="343" t="s">
        <v>91</v>
      </c>
      <c r="C680" s="21" t="s">
        <v>15</v>
      </c>
      <c r="D680" s="340">
        <v>0</v>
      </c>
      <c r="E680" s="158"/>
      <c r="F680" s="11">
        <f>37500/1000</f>
        <v>37.5</v>
      </c>
      <c r="G680" s="158"/>
      <c r="H680" s="2">
        <f t="shared" si="45"/>
        <v>0</v>
      </c>
      <c r="I680" s="18">
        <f t="shared" si="46"/>
        <v>0</v>
      </c>
      <c r="J680" s="780"/>
    </row>
    <row r="681" spans="1:10" hidden="1" outlineLevel="1" x14ac:dyDescent="0.25">
      <c r="A681" s="84"/>
      <c r="B681" s="329" t="s">
        <v>116</v>
      </c>
      <c r="C681" s="21" t="s">
        <v>12</v>
      </c>
      <c r="D681" s="340">
        <v>0</v>
      </c>
      <c r="E681" s="158"/>
      <c r="F681" s="11">
        <v>320</v>
      </c>
      <c r="G681" s="158"/>
      <c r="H681" s="2">
        <f t="shared" si="45"/>
        <v>0</v>
      </c>
      <c r="I681" s="18">
        <f t="shared" si="46"/>
        <v>0</v>
      </c>
      <c r="J681" s="780"/>
    </row>
    <row r="682" spans="1:10" hidden="1" outlineLevel="1" x14ac:dyDescent="0.25">
      <c r="A682" s="84"/>
      <c r="B682" s="329" t="s">
        <v>118</v>
      </c>
      <c r="C682" s="21" t="s">
        <v>12</v>
      </c>
      <c r="D682" s="340">
        <v>0</v>
      </c>
      <c r="E682" s="158"/>
      <c r="F682" s="164">
        <v>2435.6</v>
      </c>
      <c r="G682" s="158"/>
      <c r="H682" s="2">
        <f>ROUND(D682*F682,2)</f>
        <v>0</v>
      </c>
      <c r="I682" s="18">
        <f>G682+H682</f>
        <v>0</v>
      </c>
      <c r="J682" s="780"/>
    </row>
    <row r="683" spans="1:10" hidden="1" outlineLevel="1" x14ac:dyDescent="0.25">
      <c r="A683" s="84"/>
      <c r="B683" s="329" t="s">
        <v>714</v>
      </c>
      <c r="C683" s="21" t="s">
        <v>12</v>
      </c>
      <c r="D683" s="340">
        <v>0</v>
      </c>
      <c r="E683" s="158"/>
      <c r="F683" s="164">
        <v>100</v>
      </c>
      <c r="G683" s="158"/>
      <c r="H683" s="2">
        <f t="shared" si="45"/>
        <v>0</v>
      </c>
      <c r="I683" s="18">
        <f t="shared" si="46"/>
        <v>0</v>
      </c>
      <c r="J683" s="780"/>
    </row>
    <row r="684" spans="1:10" s="5" customFormat="1" ht="26.4" customHeight="1" collapsed="1" x14ac:dyDescent="0.25">
      <c r="A684" s="223"/>
      <c r="B684" s="233" t="s">
        <v>62</v>
      </c>
      <c r="C684" s="234"/>
      <c r="D684" s="235"/>
      <c r="E684" s="236"/>
      <c r="F684" s="237"/>
      <c r="G684" s="236">
        <f>SUM(G568:G683)</f>
        <v>0</v>
      </c>
      <c r="H684" s="236">
        <f>SUM(H567:H683)</f>
        <v>0</v>
      </c>
      <c r="I684" s="236">
        <f>SUM(I568:I683)</f>
        <v>0</v>
      </c>
    </row>
    <row r="685" spans="1:10" s="5" customFormat="1" x14ac:dyDescent="0.25">
      <c r="A685" s="84"/>
      <c r="B685" s="471" t="s">
        <v>624</v>
      </c>
      <c r="C685" s="9"/>
      <c r="D685" s="31"/>
      <c r="E685" s="10"/>
      <c r="F685" s="57"/>
      <c r="G685" s="10"/>
      <c r="H685" s="10"/>
      <c r="I685" s="31">
        <f>ROUND(I684/1.18*0.18,2)</f>
        <v>0</v>
      </c>
    </row>
    <row r="686" spans="1:10" s="5" customFormat="1" ht="18.75" customHeight="1" x14ac:dyDescent="0.25">
      <c r="A686" s="109"/>
      <c r="B686" s="771" t="s">
        <v>1213</v>
      </c>
      <c r="C686" s="771"/>
      <c r="D686" s="771"/>
      <c r="E686" s="105"/>
      <c r="F686" s="138"/>
      <c r="G686" s="105"/>
      <c r="H686" s="105"/>
      <c r="I686" s="106"/>
    </row>
    <row r="687" spans="1:10" hidden="1" outlineLevel="1" x14ac:dyDescent="0.25">
      <c r="A687" s="90"/>
      <c r="B687" s="496" t="s">
        <v>177</v>
      </c>
      <c r="C687" s="13"/>
      <c r="D687" s="2"/>
      <c r="E687" s="130">
        <f>H721*0.5</f>
        <v>0</v>
      </c>
      <c r="F687" s="147"/>
      <c r="G687" s="516">
        <f>E687</f>
        <v>0</v>
      </c>
      <c r="H687" s="26"/>
      <c r="I687" s="516">
        <f>G687+H687</f>
        <v>0</v>
      </c>
    </row>
    <row r="688" spans="1:10" hidden="1" outlineLevel="1" x14ac:dyDescent="0.25">
      <c r="A688" s="87" t="s">
        <v>338</v>
      </c>
      <c r="B688" s="29" t="s">
        <v>178</v>
      </c>
      <c r="C688" s="2" t="s">
        <v>12</v>
      </c>
      <c r="D688" s="340">
        <v>0</v>
      </c>
      <c r="E688" s="18"/>
      <c r="F688" s="60"/>
      <c r="G688" s="18"/>
      <c r="H688" s="18"/>
      <c r="I688" s="18">
        <f>G688+H688</f>
        <v>0</v>
      </c>
    </row>
    <row r="689" spans="1:12" hidden="1" outlineLevel="1" x14ac:dyDescent="0.25">
      <c r="A689" s="84"/>
      <c r="B689" s="28" t="s">
        <v>243</v>
      </c>
      <c r="C689" s="21" t="s">
        <v>12</v>
      </c>
      <c r="D689" s="340">
        <v>0</v>
      </c>
      <c r="E689" s="18"/>
      <c r="F689" s="60">
        <v>1530</v>
      </c>
      <c r="G689" s="18"/>
      <c r="H689" s="2">
        <f>ROUND(D689*F689,2)</f>
        <v>0</v>
      </c>
      <c r="I689" s="18">
        <f t="shared" ref="I689:I715" si="47">G689+H689</f>
        <v>0</v>
      </c>
    </row>
    <row r="690" spans="1:12" s="6" customFormat="1" hidden="1" outlineLevel="1" x14ac:dyDescent="0.25">
      <c r="A690" s="87" t="s">
        <v>567</v>
      </c>
      <c r="B690" s="63" t="s">
        <v>179</v>
      </c>
      <c r="C690" s="2" t="s">
        <v>173</v>
      </c>
      <c r="D690" s="340">
        <v>0</v>
      </c>
      <c r="E690" s="2"/>
      <c r="F690" s="11"/>
      <c r="G690" s="18"/>
      <c r="H690" s="18"/>
      <c r="I690" s="18">
        <f t="shared" si="47"/>
        <v>0</v>
      </c>
    </row>
    <row r="691" spans="1:12" hidden="1" outlineLevel="1" x14ac:dyDescent="0.25">
      <c r="A691" s="84"/>
      <c r="B691" s="60" t="s">
        <v>180</v>
      </c>
      <c r="C691" s="2" t="s">
        <v>12</v>
      </c>
      <c r="D691" s="340">
        <v>0</v>
      </c>
      <c r="E691" s="2"/>
      <c r="F691" s="11">
        <v>4200</v>
      </c>
      <c r="G691" s="18"/>
      <c r="H691" s="2">
        <f>ROUND(D691*F691,2)</f>
        <v>0</v>
      </c>
      <c r="I691" s="18">
        <f t="shared" si="47"/>
        <v>0</v>
      </c>
    </row>
    <row r="692" spans="1:12" hidden="1" outlineLevel="1" x14ac:dyDescent="0.25">
      <c r="A692" s="84"/>
      <c r="B692" s="60" t="s">
        <v>244</v>
      </c>
      <c r="C692" s="2" t="s">
        <v>12</v>
      </c>
      <c r="D692" s="340">
        <v>0</v>
      </c>
      <c r="E692" s="2"/>
      <c r="F692" s="11">
        <v>380</v>
      </c>
      <c r="G692" s="18"/>
      <c r="H692" s="2">
        <f>ROUND(D692*F692,2)</f>
        <v>0</v>
      </c>
      <c r="I692" s="18">
        <f>G692+H692</f>
        <v>0</v>
      </c>
    </row>
    <row r="693" spans="1:12" ht="31.2" hidden="1" outlineLevel="1" x14ac:dyDescent="0.25">
      <c r="A693" s="84" t="s">
        <v>568</v>
      </c>
      <c r="B693" s="63" t="s">
        <v>262</v>
      </c>
      <c r="C693" s="2" t="s">
        <v>173</v>
      </c>
      <c r="D693" s="2">
        <v>0</v>
      </c>
      <c r="E693" s="2"/>
      <c r="F693" s="11"/>
      <c r="G693" s="18"/>
      <c r="H693" s="18"/>
      <c r="I693" s="18">
        <f>G693+H693</f>
        <v>0</v>
      </c>
    </row>
    <row r="694" spans="1:12" ht="25.2" hidden="1" customHeight="1" outlineLevel="1" x14ac:dyDescent="0.25">
      <c r="A694" s="84"/>
      <c r="B694" s="152" t="s">
        <v>353</v>
      </c>
      <c r="C694" s="150" t="s">
        <v>12</v>
      </c>
      <c r="D694" s="150">
        <f>D693</f>
        <v>0</v>
      </c>
      <c r="E694" s="150"/>
      <c r="F694" s="151">
        <f>185000/3</f>
        <v>61666.666666666664</v>
      </c>
      <c r="G694" s="149"/>
      <c r="H694" s="150">
        <f>ROUND(D694*F694,2)</f>
        <v>0</v>
      </c>
      <c r="I694" s="149">
        <f>G694+H694</f>
        <v>0</v>
      </c>
      <c r="K694" s="781" t="s">
        <v>466</v>
      </c>
      <c r="L694" s="782"/>
    </row>
    <row r="695" spans="1:12" hidden="1" outlineLevel="1" x14ac:dyDescent="0.25">
      <c r="A695" s="84" t="s">
        <v>569</v>
      </c>
      <c r="B695" s="62" t="s">
        <v>245</v>
      </c>
      <c r="C695" s="2" t="s">
        <v>29</v>
      </c>
      <c r="D695" s="2">
        <f>D697+D698+D699+D700+D696</f>
        <v>0</v>
      </c>
      <c r="E695" s="2"/>
      <c r="F695" s="11"/>
      <c r="G695" s="18"/>
      <c r="H695" s="18">
        <f>E695*D695</f>
        <v>0</v>
      </c>
      <c r="I695" s="18">
        <f t="shared" si="47"/>
        <v>0</v>
      </c>
    </row>
    <row r="696" spans="1:12" hidden="1" outlineLevel="1" x14ac:dyDescent="0.25">
      <c r="A696" s="84"/>
      <c r="B696" s="74" t="s">
        <v>460</v>
      </c>
      <c r="C696" s="2" t="s">
        <v>29</v>
      </c>
      <c r="D696" s="2">
        <v>0</v>
      </c>
      <c r="E696" s="2"/>
      <c r="F696" s="11">
        <v>252.4</v>
      </c>
      <c r="G696" s="18"/>
      <c r="H696" s="2">
        <f t="shared" ref="H696:H715" si="48">ROUND(D696*F696,2)</f>
        <v>0</v>
      </c>
      <c r="I696" s="18">
        <f>G696+H696</f>
        <v>0</v>
      </c>
    </row>
    <row r="697" spans="1:12" hidden="1" outlineLevel="1" x14ac:dyDescent="0.25">
      <c r="A697" s="84"/>
      <c r="B697" s="74" t="s">
        <v>246</v>
      </c>
      <c r="C697" s="2" t="s">
        <v>29</v>
      </c>
      <c r="D697" s="2">
        <v>0</v>
      </c>
      <c r="E697" s="2"/>
      <c r="F697" s="11">
        <v>145.19999999999999</v>
      </c>
      <c r="G697" s="18"/>
      <c r="H697" s="2">
        <f t="shared" si="48"/>
        <v>0</v>
      </c>
      <c r="I697" s="18">
        <f t="shared" si="47"/>
        <v>0</v>
      </c>
    </row>
    <row r="698" spans="1:12" hidden="1" outlineLevel="1" x14ac:dyDescent="0.25">
      <c r="A698" s="84"/>
      <c r="B698" s="74" t="s">
        <v>247</v>
      </c>
      <c r="C698" s="2" t="s">
        <v>29</v>
      </c>
      <c r="D698" s="2">
        <v>0</v>
      </c>
      <c r="E698" s="2"/>
      <c r="F698" s="11">
        <f>2.91*42</f>
        <v>122.22</v>
      </c>
      <c r="G698" s="18"/>
      <c r="H698" s="2">
        <f t="shared" si="48"/>
        <v>0</v>
      </c>
      <c r="I698" s="18">
        <f t="shared" si="47"/>
        <v>0</v>
      </c>
    </row>
    <row r="699" spans="1:12" hidden="1" outlineLevel="1" x14ac:dyDescent="0.25">
      <c r="A699" s="84"/>
      <c r="B699" s="74" t="s">
        <v>248</v>
      </c>
      <c r="C699" s="2" t="s">
        <v>29</v>
      </c>
      <c r="D699" s="2">
        <v>0</v>
      </c>
      <c r="E699" s="2"/>
      <c r="F699" s="11">
        <f>2.12*42</f>
        <v>89.04</v>
      </c>
      <c r="G699" s="18"/>
      <c r="H699" s="2">
        <f t="shared" si="48"/>
        <v>0</v>
      </c>
      <c r="I699" s="18">
        <f t="shared" si="47"/>
        <v>0</v>
      </c>
    </row>
    <row r="700" spans="1:12" hidden="1" outlineLevel="1" x14ac:dyDescent="0.25">
      <c r="A700" s="84"/>
      <c r="B700" s="74" t="s">
        <v>249</v>
      </c>
      <c r="C700" s="2" t="s">
        <v>29</v>
      </c>
      <c r="D700" s="2">
        <v>0</v>
      </c>
      <c r="E700" s="2"/>
      <c r="F700" s="11">
        <v>70.900000000000006</v>
      </c>
      <c r="G700" s="18"/>
      <c r="H700" s="2">
        <f t="shared" si="48"/>
        <v>0</v>
      </c>
      <c r="I700" s="18">
        <f t="shared" si="47"/>
        <v>0</v>
      </c>
    </row>
    <row r="701" spans="1:12" hidden="1" outlineLevel="1" x14ac:dyDescent="0.25">
      <c r="A701" s="84"/>
      <c r="B701" s="74" t="s">
        <v>465</v>
      </c>
      <c r="C701" s="2" t="s">
        <v>29</v>
      </c>
      <c r="D701" s="2">
        <v>0</v>
      </c>
      <c r="E701" s="2"/>
      <c r="F701" s="11">
        <v>232</v>
      </c>
      <c r="G701" s="18"/>
      <c r="H701" s="2">
        <f t="shared" si="48"/>
        <v>0</v>
      </c>
      <c r="I701" s="18">
        <f t="shared" si="47"/>
        <v>0</v>
      </c>
    </row>
    <row r="702" spans="1:12" hidden="1" outlineLevel="1" x14ac:dyDescent="0.25">
      <c r="A702" s="84"/>
      <c r="B702" s="74" t="s">
        <v>254</v>
      </c>
      <c r="C702" s="2" t="s">
        <v>29</v>
      </c>
      <c r="D702" s="2">
        <v>0</v>
      </c>
      <c r="E702" s="2"/>
      <c r="F702" s="11">
        <v>158</v>
      </c>
      <c r="G702" s="18"/>
      <c r="H702" s="2">
        <f t="shared" si="48"/>
        <v>0</v>
      </c>
      <c r="I702" s="18">
        <f t="shared" si="47"/>
        <v>0</v>
      </c>
    </row>
    <row r="703" spans="1:12" hidden="1" outlineLevel="1" x14ac:dyDescent="0.25">
      <c r="A703" s="84"/>
      <c r="B703" s="74" t="s">
        <v>463</v>
      </c>
      <c r="C703" s="2" t="s">
        <v>15</v>
      </c>
      <c r="D703" s="2">
        <v>0</v>
      </c>
      <c r="E703" s="2"/>
      <c r="F703" s="11">
        <v>45</v>
      </c>
      <c r="G703" s="18"/>
      <c r="H703" s="18">
        <f t="shared" si="48"/>
        <v>0</v>
      </c>
      <c r="I703" s="18">
        <f t="shared" si="47"/>
        <v>0</v>
      </c>
    </row>
    <row r="704" spans="1:12" hidden="1" outlineLevel="1" x14ac:dyDescent="0.25">
      <c r="A704" s="84" t="s">
        <v>570</v>
      </c>
      <c r="B704" s="63" t="s">
        <v>250</v>
      </c>
      <c r="C704" s="2" t="s">
        <v>12</v>
      </c>
      <c r="D704" s="2">
        <f>D705+D706+D707+D709+D708+D710</f>
        <v>0</v>
      </c>
      <c r="E704" s="2"/>
      <c r="F704" s="11"/>
      <c r="G704" s="18"/>
      <c r="H704" s="18"/>
      <c r="I704" s="18">
        <f t="shared" si="47"/>
        <v>0</v>
      </c>
    </row>
    <row r="705" spans="1:9" hidden="1" outlineLevel="1" x14ac:dyDescent="0.25">
      <c r="A705" s="84"/>
      <c r="B705" s="28" t="s">
        <v>251</v>
      </c>
      <c r="C705" s="21" t="s">
        <v>12</v>
      </c>
      <c r="D705" s="2">
        <v>0</v>
      </c>
      <c r="E705" s="18"/>
      <c r="F705" s="60">
        <v>278</v>
      </c>
      <c r="G705" s="18"/>
      <c r="H705" s="18">
        <f t="shared" si="48"/>
        <v>0</v>
      </c>
      <c r="I705" s="18">
        <f t="shared" si="47"/>
        <v>0</v>
      </c>
    </row>
    <row r="706" spans="1:9" hidden="1" outlineLevel="1" x14ac:dyDescent="0.25">
      <c r="A706" s="84"/>
      <c r="B706" s="28" t="s">
        <v>252</v>
      </c>
      <c r="C706" s="21" t="s">
        <v>12</v>
      </c>
      <c r="D706" s="2">
        <v>0</v>
      </c>
      <c r="E706" s="18"/>
      <c r="F706" s="60">
        <v>143</v>
      </c>
      <c r="G706" s="18"/>
      <c r="H706" s="18">
        <f t="shared" si="48"/>
        <v>0</v>
      </c>
      <c r="I706" s="18">
        <f t="shared" si="47"/>
        <v>0</v>
      </c>
    </row>
    <row r="707" spans="1:9" hidden="1" outlineLevel="1" x14ac:dyDescent="0.25">
      <c r="A707" s="84"/>
      <c r="B707" s="28" t="s">
        <v>253</v>
      </c>
      <c r="C707" s="21" t="s">
        <v>12</v>
      </c>
      <c r="D707" s="2">
        <v>0</v>
      </c>
      <c r="E707" s="18"/>
      <c r="F707" s="60">
        <v>89.7</v>
      </c>
      <c r="G707" s="18"/>
      <c r="H707" s="18">
        <f t="shared" si="48"/>
        <v>0</v>
      </c>
      <c r="I707" s="18">
        <f t="shared" si="47"/>
        <v>0</v>
      </c>
    </row>
    <row r="708" spans="1:9" hidden="1" outlineLevel="1" x14ac:dyDescent="0.25">
      <c r="A708" s="84"/>
      <c r="B708" s="74" t="s">
        <v>488</v>
      </c>
      <c r="C708" s="2" t="s">
        <v>12</v>
      </c>
      <c r="D708" s="2">
        <v>0</v>
      </c>
      <c r="E708" s="2"/>
      <c r="F708" s="60">
        <v>1320</v>
      </c>
      <c r="G708" s="18"/>
      <c r="H708" s="18">
        <f t="shared" si="48"/>
        <v>0</v>
      </c>
      <c r="I708" s="18">
        <f t="shared" si="47"/>
        <v>0</v>
      </c>
    </row>
    <row r="709" spans="1:9" hidden="1" outlineLevel="1" x14ac:dyDescent="0.25">
      <c r="A709" s="84"/>
      <c r="B709" s="74" t="s">
        <v>487</v>
      </c>
      <c r="C709" s="2" t="s">
        <v>12</v>
      </c>
      <c r="D709" s="2">
        <v>0</v>
      </c>
      <c r="E709" s="2"/>
      <c r="F709" s="60">
        <v>1200</v>
      </c>
      <c r="G709" s="18"/>
      <c r="H709" s="18">
        <f t="shared" si="48"/>
        <v>0</v>
      </c>
      <c r="I709" s="18">
        <f t="shared" si="47"/>
        <v>0</v>
      </c>
    </row>
    <row r="710" spans="1:9" hidden="1" outlineLevel="1" x14ac:dyDescent="0.25">
      <c r="A710" s="84"/>
      <c r="B710" s="28" t="s">
        <v>459</v>
      </c>
      <c r="C710" s="21" t="s">
        <v>12</v>
      </c>
      <c r="D710" s="2">
        <v>0</v>
      </c>
      <c r="E710" s="2"/>
      <c r="F710" s="60">
        <v>490</v>
      </c>
      <c r="G710" s="18"/>
      <c r="H710" s="18">
        <f t="shared" si="48"/>
        <v>0</v>
      </c>
      <c r="I710" s="18">
        <f t="shared" si="47"/>
        <v>0</v>
      </c>
    </row>
    <row r="711" spans="1:9" hidden="1" outlineLevel="1" x14ac:dyDescent="0.25">
      <c r="A711" s="84"/>
      <c r="B711" s="74" t="s">
        <v>255</v>
      </c>
      <c r="C711" s="2" t="s">
        <v>12</v>
      </c>
      <c r="D711" s="2">
        <v>0</v>
      </c>
      <c r="E711" s="2"/>
      <c r="F711" s="11">
        <v>22.22</v>
      </c>
      <c r="G711" s="18"/>
      <c r="H711" s="18">
        <f t="shared" si="48"/>
        <v>0</v>
      </c>
      <c r="I711" s="18">
        <f t="shared" si="47"/>
        <v>0</v>
      </c>
    </row>
    <row r="712" spans="1:9" hidden="1" outlineLevel="1" x14ac:dyDescent="0.25">
      <c r="A712" s="84"/>
      <c r="B712" s="74" t="s">
        <v>256</v>
      </c>
      <c r="C712" s="2" t="s">
        <v>12</v>
      </c>
      <c r="D712" s="2">
        <v>0</v>
      </c>
      <c r="E712" s="2"/>
      <c r="F712" s="11">
        <v>16.760000000000002</v>
      </c>
      <c r="G712" s="18"/>
      <c r="H712" s="18">
        <f t="shared" si="48"/>
        <v>0</v>
      </c>
      <c r="I712" s="18">
        <f t="shared" si="47"/>
        <v>0</v>
      </c>
    </row>
    <row r="713" spans="1:9" hidden="1" outlineLevel="1" x14ac:dyDescent="0.25">
      <c r="A713" s="84"/>
      <c r="B713" s="74" t="s">
        <v>461</v>
      </c>
      <c r="C713" s="2" t="s">
        <v>12</v>
      </c>
      <c r="D713" s="2">
        <v>0</v>
      </c>
      <c r="E713" s="2"/>
      <c r="F713" s="11">
        <v>54.92</v>
      </c>
      <c r="G713" s="18"/>
      <c r="H713" s="18">
        <f t="shared" si="48"/>
        <v>0</v>
      </c>
      <c r="I713" s="18">
        <f t="shared" si="47"/>
        <v>0</v>
      </c>
    </row>
    <row r="714" spans="1:9" hidden="1" outlineLevel="1" x14ac:dyDescent="0.25">
      <c r="A714" s="84"/>
      <c r="B714" s="74" t="s">
        <v>257</v>
      </c>
      <c r="C714" s="2" t="s">
        <v>12</v>
      </c>
      <c r="D714" s="2">
        <v>0</v>
      </c>
      <c r="E714" s="2"/>
      <c r="F714" s="11">
        <v>19.12</v>
      </c>
      <c r="G714" s="18"/>
      <c r="H714" s="18">
        <f t="shared" si="48"/>
        <v>0</v>
      </c>
      <c r="I714" s="18">
        <f t="shared" si="47"/>
        <v>0</v>
      </c>
    </row>
    <row r="715" spans="1:9" hidden="1" outlineLevel="1" x14ac:dyDescent="0.25">
      <c r="A715" s="84"/>
      <c r="B715" s="74" t="s">
        <v>258</v>
      </c>
      <c r="C715" s="2" t="s">
        <v>12</v>
      </c>
      <c r="D715" s="2">
        <v>0</v>
      </c>
      <c r="E715" s="2"/>
      <c r="F715" s="11">
        <v>19.13</v>
      </c>
      <c r="G715" s="18"/>
      <c r="H715" s="18">
        <f t="shared" si="48"/>
        <v>0</v>
      </c>
      <c r="I715" s="18">
        <f t="shared" si="47"/>
        <v>0</v>
      </c>
    </row>
    <row r="716" spans="1:9" hidden="1" outlineLevel="1" x14ac:dyDescent="0.25">
      <c r="A716" s="84"/>
      <c r="B716" s="74" t="s">
        <v>462</v>
      </c>
      <c r="C716" s="2" t="s">
        <v>12</v>
      </c>
      <c r="D716" s="2">
        <v>0</v>
      </c>
      <c r="E716" s="2"/>
      <c r="F716" s="11">
        <v>32.700000000000003</v>
      </c>
      <c r="G716" s="18"/>
      <c r="H716" s="18">
        <f>ROUND(D716*F716,2)</f>
        <v>0</v>
      </c>
      <c r="I716" s="18">
        <f>G716+H716</f>
        <v>0</v>
      </c>
    </row>
    <row r="717" spans="1:9" hidden="1" outlineLevel="1" x14ac:dyDescent="0.25">
      <c r="A717" s="84" t="s">
        <v>571</v>
      </c>
      <c r="B717" s="62" t="s">
        <v>259</v>
      </c>
      <c r="C717" s="2" t="s">
        <v>14</v>
      </c>
      <c r="D717" s="2">
        <v>0</v>
      </c>
      <c r="E717" s="2"/>
      <c r="F717" s="11"/>
      <c r="G717" s="18"/>
      <c r="H717" s="18"/>
      <c r="I717" s="18"/>
    </row>
    <row r="718" spans="1:9" hidden="1" outlineLevel="1" x14ac:dyDescent="0.25">
      <c r="A718" s="84"/>
      <c r="B718" s="28" t="s">
        <v>260</v>
      </c>
      <c r="C718" s="21" t="s">
        <v>15</v>
      </c>
      <c r="D718" s="2">
        <f>D717*0.2</f>
        <v>0</v>
      </c>
      <c r="E718" s="18"/>
      <c r="F718" s="60">
        <v>100</v>
      </c>
      <c r="G718" s="18"/>
      <c r="H718" s="18">
        <f>ROUND(D718*F718,2)</f>
        <v>0</v>
      </c>
      <c r="I718" s="18">
        <f>H718+G718</f>
        <v>0</v>
      </c>
    </row>
    <row r="719" spans="1:9" hidden="1" outlineLevel="1" x14ac:dyDescent="0.25">
      <c r="A719" s="84"/>
      <c r="B719" s="28" t="s">
        <v>261</v>
      </c>
      <c r="C719" s="21" t="s">
        <v>15</v>
      </c>
      <c r="D719" s="2">
        <f>D717*0.4</f>
        <v>0</v>
      </c>
      <c r="E719" s="18"/>
      <c r="F719" s="60">
        <v>200</v>
      </c>
      <c r="G719" s="18"/>
      <c r="H719" s="18">
        <f>ROUND(D719*F719,2)</f>
        <v>0</v>
      </c>
      <c r="I719" s="18">
        <f>H719+G719</f>
        <v>0</v>
      </c>
    </row>
    <row r="720" spans="1:9" hidden="1" outlineLevel="1" x14ac:dyDescent="0.25">
      <c r="A720" s="84" t="s">
        <v>572</v>
      </c>
      <c r="B720" s="183" t="s">
        <v>464</v>
      </c>
      <c r="C720" s="178" t="s">
        <v>29</v>
      </c>
      <c r="D720" s="179">
        <f>D695</f>
        <v>0</v>
      </c>
      <c r="E720" s="180"/>
      <c r="F720" s="181"/>
      <c r="G720" s="182"/>
      <c r="H720" s="18"/>
      <c r="I720" s="18"/>
    </row>
    <row r="721" spans="1:12" s="5" customFormat="1" collapsed="1" x14ac:dyDescent="0.25">
      <c r="A721" s="223"/>
      <c r="B721" s="233" t="s">
        <v>63</v>
      </c>
      <c r="C721" s="234"/>
      <c r="D721" s="235"/>
      <c r="E721" s="236"/>
      <c r="F721" s="237"/>
      <c r="G721" s="236">
        <f>SUM(G687:G719)</f>
        <v>0</v>
      </c>
      <c r="H721" s="236">
        <f>SUM(H687:H719)</f>
        <v>0</v>
      </c>
      <c r="I721" s="236">
        <f>SUM(I687:I719)</f>
        <v>0</v>
      </c>
    </row>
    <row r="722" spans="1:12" s="5" customFormat="1" ht="18.600000000000001" customHeight="1" x14ac:dyDescent="0.25">
      <c r="A722" s="84"/>
      <c r="B722" s="471" t="s">
        <v>624</v>
      </c>
      <c r="C722" s="9"/>
      <c r="D722" s="31"/>
      <c r="E722" s="10"/>
      <c r="F722" s="57"/>
      <c r="G722" s="10"/>
      <c r="H722" s="10"/>
      <c r="I722" s="31">
        <f>ROUND(I721/1.18*0.18,2)</f>
        <v>0</v>
      </c>
    </row>
    <row r="723" spans="1:12" s="5" customFormat="1" ht="24" customHeight="1" x14ac:dyDescent="0.25">
      <c r="A723" s="492"/>
      <c r="B723" s="771" t="s">
        <v>1214</v>
      </c>
      <c r="C723" s="771"/>
      <c r="D723" s="771"/>
      <c r="E723" s="111"/>
      <c r="F723" s="145"/>
      <c r="G723" s="111"/>
      <c r="H723" s="111"/>
      <c r="I723" s="111"/>
      <c r="K723" s="129"/>
      <c r="L723" s="197"/>
    </row>
    <row r="724" spans="1:12" s="5" customFormat="1" outlineLevel="1" x14ac:dyDescent="0.25">
      <c r="A724" s="87" t="s">
        <v>1225</v>
      </c>
      <c r="B724" s="498" t="s">
        <v>341</v>
      </c>
      <c r="C724" s="176" t="s">
        <v>340</v>
      </c>
      <c r="D724" s="166">
        <v>0</v>
      </c>
      <c r="E724" s="10">
        <v>1320</v>
      </c>
      <c r="F724" s="57"/>
      <c r="G724" s="26">
        <f>E724*D724</f>
        <v>0</v>
      </c>
      <c r="H724" s="26"/>
      <c r="I724" s="26">
        <f>G724+H724</f>
        <v>0</v>
      </c>
      <c r="K724" s="129"/>
      <c r="L724" s="129"/>
    </row>
    <row r="725" spans="1:12" s="5" customFormat="1" x14ac:dyDescent="0.25">
      <c r="A725" s="223"/>
      <c r="B725" s="238" t="s">
        <v>308</v>
      </c>
      <c r="C725" s="234"/>
      <c r="D725" s="235"/>
      <c r="E725" s="236"/>
      <c r="F725" s="237"/>
      <c r="G725" s="236">
        <f>SUM(G724:G724)</f>
        <v>0</v>
      </c>
      <c r="H725" s="236">
        <f>SUM(H724:H724)</f>
        <v>0</v>
      </c>
      <c r="I725" s="236">
        <f>SUM(I724:I724)</f>
        <v>0</v>
      </c>
      <c r="K725" s="162"/>
      <c r="L725" s="129"/>
    </row>
    <row r="726" spans="1:12" s="5" customFormat="1" ht="16.95" customHeight="1" x14ac:dyDescent="0.25">
      <c r="A726" s="84"/>
      <c r="B726" s="58" t="s">
        <v>624</v>
      </c>
      <c r="C726" s="9"/>
      <c r="D726" s="31"/>
      <c r="E726" s="10"/>
      <c r="F726" s="57"/>
      <c r="G726" s="10"/>
      <c r="H726" s="10"/>
      <c r="I726" s="31">
        <f>ROUND(I725/1.18*0.18,2)</f>
        <v>0</v>
      </c>
    </row>
    <row r="727" spans="1:12" s="5" customFormat="1" ht="25.5" customHeight="1" x14ac:dyDescent="0.25">
      <c r="A727" s="241"/>
      <c r="B727" s="242" t="s">
        <v>24</v>
      </c>
      <c r="C727" s="243"/>
      <c r="D727" s="244"/>
      <c r="E727" s="243"/>
      <c r="F727" s="242"/>
      <c r="G727" s="243">
        <f>G40+G101+G151+G299+G305+G322+G333+G384+G402+G413+G514+G564+G684+G721+G725+G535+G361+G252+G169+G186</f>
        <v>2978538.6511400002</v>
      </c>
      <c r="H727" s="243">
        <f>H40+H101+H151+H299+H305+H322+H333+H384+H402+H413+H514+H564+H684+H721+H725+H535+H361+H252+H186+H169</f>
        <v>5668596.161291399</v>
      </c>
      <c r="I727" s="243">
        <f>I725+I721+I684+I564+I535+I514+I413+I402+I384+I333+I322+I305+I299+I151+I101+I50+I169+I186+I252+I361</f>
        <v>10193792.915899998</v>
      </c>
      <c r="J727" s="5">
        <f>I413+I402+I384+I361+I333+I322+I305+I299+I252+I186+I169+I151+I101+I50</f>
        <v>10193792.915900001</v>
      </c>
    </row>
    <row r="728" spans="1:12" s="101" customFormat="1" ht="21" customHeight="1" x14ac:dyDescent="0.25">
      <c r="A728" s="245"/>
      <c r="B728" s="246" t="s">
        <v>26</v>
      </c>
      <c r="C728" s="247"/>
      <c r="D728" s="247"/>
      <c r="E728" s="247"/>
      <c r="F728" s="246"/>
      <c r="G728" s="247"/>
      <c r="H728" s="247"/>
      <c r="I728" s="247">
        <f>I727/1.18*18/100</f>
        <v>1554985.3600525421</v>
      </c>
    </row>
    <row r="729" spans="1:12" ht="25.5" customHeight="1" x14ac:dyDescent="0.25">
      <c r="A729" s="98"/>
      <c r="B729" s="99" t="s">
        <v>342</v>
      </c>
      <c r="C729" s="100"/>
      <c r="D729" s="100"/>
      <c r="E729" s="100"/>
      <c r="F729" s="99"/>
      <c r="G729" s="100">
        <f>G727/C10</f>
        <v>4907.7914831767994</v>
      </c>
      <c r="H729" s="100">
        <f>H727/C10</f>
        <v>9340.2474234493293</v>
      </c>
      <c r="I729" s="100">
        <f>I727/C10</f>
        <v>16796.495165430872</v>
      </c>
    </row>
  </sheetData>
  <mergeCells count="24">
    <mergeCell ref="B15:E15"/>
    <mergeCell ref="B51:F51"/>
    <mergeCell ref="B335:F335"/>
    <mergeCell ref="B415:D415"/>
    <mergeCell ref="B7:H7"/>
    <mergeCell ref="B8:H8"/>
    <mergeCell ref="G9:H9"/>
    <mergeCell ref="A10:B10"/>
    <mergeCell ref="F10:H10"/>
    <mergeCell ref="A13:A14"/>
    <mergeCell ref="G13:H13"/>
    <mergeCell ref="I13:I14"/>
    <mergeCell ref="B13:B14"/>
    <mergeCell ref="C13:C14"/>
    <mergeCell ref="D13:D14"/>
    <mergeCell ref="E13:F13"/>
    <mergeCell ref="B537:D537"/>
    <mergeCell ref="B566:D566"/>
    <mergeCell ref="B686:D686"/>
    <mergeCell ref="B723:D723"/>
    <mergeCell ref="J677:J683"/>
    <mergeCell ref="K694:L694"/>
    <mergeCell ref="J617:J626"/>
    <mergeCell ref="J633:J6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R761"/>
  <sheetViews>
    <sheetView topLeftCell="A131" workbookViewId="0">
      <selection activeCell="B49" sqref="B49"/>
    </sheetView>
  </sheetViews>
  <sheetFormatPr defaultColWidth="9" defaultRowHeight="15.6" outlineLevelRow="1" x14ac:dyDescent="0.25"/>
  <cols>
    <col min="1" max="1" width="5.21875" style="81" customWidth="1"/>
    <col min="2" max="2" width="44.44140625" style="25" customWidth="1"/>
    <col min="3" max="3" width="11.6640625" style="550" customWidth="1"/>
    <col min="4" max="4" width="12.33203125" style="550" customWidth="1"/>
    <col min="5" max="5" width="13.109375" style="550" customWidth="1"/>
    <col min="6" max="6" width="13" style="148" customWidth="1"/>
    <col min="7" max="7" width="15.33203125" style="550" customWidth="1"/>
    <col min="8" max="8" width="16.44140625" style="550" customWidth="1"/>
    <col min="9" max="9" width="16.33203125" style="550" customWidth="1"/>
    <col min="10" max="10" width="14.44140625" style="25" bestFit="1" customWidth="1"/>
    <col min="11" max="11" width="17.109375" style="25" customWidth="1"/>
    <col min="12" max="12" width="16.33203125" style="25" customWidth="1"/>
    <col min="13" max="13" width="10.6640625" style="25" customWidth="1"/>
    <col min="14" max="14" width="7" style="25" customWidth="1"/>
    <col min="15" max="15" width="26.21875" style="25" customWidth="1"/>
    <col min="16" max="16" width="17.33203125" style="25" customWidth="1"/>
    <col min="17" max="16384" width="9" style="25"/>
  </cols>
  <sheetData>
    <row r="1" spans="1:13" s="251" customFormat="1" ht="14.4" x14ac:dyDescent="0.25">
      <c r="A1" s="249"/>
      <c r="B1" s="249"/>
      <c r="C1" s="249"/>
      <c r="D1" s="249"/>
      <c r="E1" s="249"/>
      <c r="F1" s="249"/>
      <c r="G1" s="250"/>
      <c r="H1" s="250"/>
      <c r="I1" s="250"/>
    </row>
    <row r="2" spans="1:13" s="251" customFormat="1" ht="27.75" customHeight="1" x14ac:dyDescent="0.25">
      <c r="A2" s="249"/>
      <c r="B2" s="252" t="s">
        <v>626</v>
      </c>
      <c r="C2" s="249"/>
      <c r="D2" s="249"/>
      <c r="E2" s="249"/>
      <c r="F2" s="249"/>
      <c r="G2" s="253" t="s">
        <v>627</v>
      </c>
      <c r="H2" s="250"/>
      <c r="I2" s="250"/>
    </row>
    <row r="3" spans="1:13" s="251" customFormat="1" ht="14.4" x14ac:dyDescent="0.25">
      <c r="A3" s="249"/>
      <c r="B3" s="249"/>
      <c r="C3" s="249"/>
      <c r="D3" s="249"/>
      <c r="E3" s="249"/>
      <c r="F3" s="249"/>
      <c r="G3" s="250"/>
      <c r="H3" s="250" t="s">
        <v>628</v>
      </c>
      <c r="I3" s="250"/>
      <c r="L3" s="593">
        <v>41.3</v>
      </c>
      <c r="M3" s="251">
        <v>30.1</v>
      </c>
    </row>
    <row r="4" spans="1:13" s="251" customFormat="1" ht="14.4" x14ac:dyDescent="0.25">
      <c r="A4" s="249"/>
      <c r="B4" s="249"/>
      <c r="C4" s="249"/>
      <c r="D4" s="249"/>
      <c r="E4" s="249"/>
      <c r="F4" s="249"/>
      <c r="G4" s="250"/>
      <c r="H4" s="250"/>
      <c r="I4" s="250"/>
      <c r="L4" s="251">
        <v>30.1</v>
      </c>
      <c r="M4" s="251">
        <v>30.1</v>
      </c>
    </row>
    <row r="5" spans="1:13" s="251" customFormat="1" ht="14.4" x14ac:dyDescent="0.25">
      <c r="A5" s="249"/>
      <c r="B5" s="254"/>
      <c r="C5" s="249"/>
      <c r="D5" s="249"/>
      <c r="E5" s="255"/>
      <c r="F5" s="249" t="s">
        <v>629</v>
      </c>
      <c r="G5" s="250"/>
      <c r="H5" s="250"/>
      <c r="I5" s="250"/>
      <c r="L5" s="251">
        <v>30.1</v>
      </c>
      <c r="M5" s="251">
        <v>26.7</v>
      </c>
    </row>
    <row r="6" spans="1:13" s="251" customFormat="1" ht="14.4" x14ac:dyDescent="0.25">
      <c r="A6" s="249"/>
      <c r="B6" s="249"/>
      <c r="C6" s="249"/>
      <c r="D6" s="249"/>
      <c r="E6" s="249"/>
      <c r="F6" s="249"/>
      <c r="G6" s="250"/>
      <c r="H6" s="250" t="s">
        <v>630</v>
      </c>
      <c r="I6" s="250"/>
      <c r="L6" s="251">
        <v>26.7</v>
      </c>
    </row>
    <row r="7" spans="1:13" s="251" customFormat="1" ht="14.4" x14ac:dyDescent="0.25">
      <c r="A7" s="249"/>
      <c r="B7" s="772" t="s">
        <v>631</v>
      </c>
      <c r="C7" s="773"/>
      <c r="D7" s="773"/>
      <c r="E7" s="773"/>
      <c r="F7" s="773"/>
      <c r="G7" s="773"/>
      <c r="H7" s="773"/>
      <c r="I7" s="250"/>
      <c r="L7" s="251">
        <v>27.4</v>
      </c>
      <c r="M7" s="251">
        <v>27.4</v>
      </c>
    </row>
    <row r="8" spans="1:13" s="251" customFormat="1" ht="29.25" customHeight="1" x14ac:dyDescent="0.25">
      <c r="A8" s="249"/>
      <c r="B8" s="774" t="s">
        <v>1325</v>
      </c>
      <c r="C8" s="775"/>
      <c r="D8" s="775"/>
      <c r="E8" s="775"/>
      <c r="F8" s="775"/>
      <c r="G8" s="775"/>
      <c r="H8" s="775"/>
      <c r="I8" s="250"/>
      <c r="L8" s="251">
        <v>48.1</v>
      </c>
      <c r="M8" s="251">
        <v>48.1</v>
      </c>
    </row>
    <row r="9" spans="1:13" s="7" customFormat="1" ht="15.75" customHeight="1" x14ac:dyDescent="0.25">
      <c r="A9" s="82"/>
      <c r="B9" s="4"/>
      <c r="C9" s="4"/>
      <c r="D9" s="4"/>
      <c r="E9" s="4"/>
      <c r="F9" s="134"/>
      <c r="G9" s="776" t="s">
        <v>342</v>
      </c>
      <c r="H9" s="776"/>
      <c r="I9" s="94">
        <f>I10/C10</f>
        <v>16099.63488853003</v>
      </c>
      <c r="L9" s="7">
        <v>48.1</v>
      </c>
      <c r="M9" s="7">
        <v>48.1</v>
      </c>
    </row>
    <row r="10" spans="1:13" s="7" customFormat="1" ht="15.75" customHeight="1" x14ac:dyDescent="0.25">
      <c r="A10" s="777" t="s">
        <v>227</v>
      </c>
      <c r="B10" s="777"/>
      <c r="C10" s="594">
        <f>L13+M14*2</f>
        <v>1145.5999999999999</v>
      </c>
      <c r="D10" s="59" t="s">
        <v>343</v>
      </c>
      <c r="E10" s="595">
        <v>30</v>
      </c>
      <c r="F10" s="778" t="s">
        <v>17</v>
      </c>
      <c r="G10" s="778"/>
      <c r="H10" s="778"/>
      <c r="I10" s="8">
        <f>I759*1</f>
        <v>18443741.728300001</v>
      </c>
      <c r="L10" s="7">
        <v>41.5</v>
      </c>
      <c r="M10" s="7">
        <v>41.5</v>
      </c>
    </row>
    <row r="11" spans="1:13" s="7" customFormat="1" ht="15.75" customHeight="1" x14ac:dyDescent="0.25">
      <c r="A11" s="325"/>
      <c r="B11" s="325"/>
      <c r="C11" s="122"/>
      <c r="D11" s="59"/>
      <c r="E11" s="123"/>
      <c r="F11" s="548"/>
      <c r="G11" s="548"/>
      <c r="H11" s="548"/>
      <c r="I11" s="8"/>
      <c r="L11" s="7">
        <v>39.799999999999997</v>
      </c>
      <c r="M11" s="7">
        <v>39.799999999999997</v>
      </c>
    </row>
    <row r="12" spans="1:13" s="7" customFormat="1" ht="15.75" customHeight="1" x14ac:dyDescent="0.25">
      <c r="A12" s="325"/>
      <c r="B12" s="325"/>
      <c r="C12" s="122"/>
      <c r="D12" s="59"/>
      <c r="E12" s="123"/>
      <c r="F12" s="548"/>
      <c r="G12" s="548"/>
      <c r="H12" s="548"/>
      <c r="I12" s="8"/>
      <c r="L12" s="7">
        <v>39.9</v>
      </c>
      <c r="M12" s="7">
        <v>38.5</v>
      </c>
    </row>
    <row r="13" spans="1:13" ht="25.5" customHeight="1" x14ac:dyDescent="0.25">
      <c r="A13" s="779" t="s">
        <v>0</v>
      </c>
      <c r="B13" s="783" t="s">
        <v>1</v>
      </c>
      <c r="C13" s="783" t="s">
        <v>2</v>
      </c>
      <c r="D13" s="783" t="s">
        <v>3</v>
      </c>
      <c r="E13" s="783" t="s">
        <v>4</v>
      </c>
      <c r="F13" s="783"/>
      <c r="G13" s="783" t="s">
        <v>5</v>
      </c>
      <c r="H13" s="783"/>
      <c r="I13" s="783" t="s">
        <v>6</v>
      </c>
      <c r="L13" s="185">
        <f>SUM(L3:L12)</f>
        <v>372.99999999999994</v>
      </c>
      <c r="M13" s="25">
        <v>56</v>
      </c>
    </row>
    <row r="14" spans="1:13" x14ac:dyDescent="0.25">
      <c r="A14" s="779"/>
      <c r="B14" s="783"/>
      <c r="C14" s="783"/>
      <c r="D14" s="783"/>
      <c r="E14" s="546" t="s">
        <v>7</v>
      </c>
      <c r="F14" s="135" t="s">
        <v>475</v>
      </c>
      <c r="G14" s="546" t="s">
        <v>7</v>
      </c>
      <c r="H14" s="546" t="s">
        <v>339</v>
      </c>
      <c r="I14" s="783"/>
      <c r="M14" s="185">
        <f>SUM(M3:M13)</f>
        <v>386.3</v>
      </c>
    </row>
    <row r="15" spans="1:13" s="5" customFormat="1" ht="24" customHeight="1" x14ac:dyDescent="0.25">
      <c r="A15" s="104"/>
      <c r="B15" s="771" t="s">
        <v>1538</v>
      </c>
      <c r="C15" s="771"/>
      <c r="D15" s="771"/>
      <c r="E15" s="771"/>
      <c r="F15" s="138"/>
      <c r="G15" s="105"/>
      <c r="H15" s="105"/>
      <c r="I15" s="106"/>
      <c r="J15" s="5" t="s">
        <v>792</v>
      </c>
    </row>
    <row r="16" spans="1:13" s="6" customFormat="1" ht="21.75" customHeight="1" outlineLevel="1" x14ac:dyDescent="0.25">
      <c r="A16" s="107" t="s">
        <v>492</v>
      </c>
      <c r="B16" s="531" t="s">
        <v>1539</v>
      </c>
      <c r="C16" s="31" t="s">
        <v>8</v>
      </c>
      <c r="D16" s="166">
        <f>355.76*0.1</f>
        <v>35.576000000000001</v>
      </c>
      <c r="E16" s="256">
        <v>1600</v>
      </c>
      <c r="F16" s="60"/>
      <c r="G16" s="2">
        <f>ROUND(E16*D16,2)</f>
        <v>56921.599999999999</v>
      </c>
      <c r="H16" s="18"/>
      <c r="I16" s="27">
        <f t="shared" ref="I16:I42" si="0">G16+H16</f>
        <v>56921.599999999999</v>
      </c>
      <c r="J16" s="541">
        <v>35.49</v>
      </c>
      <c r="K16" s="351"/>
      <c r="L16" s="161"/>
      <c r="M16" s="161"/>
    </row>
    <row r="17" spans="1:252" outlineLevel="1" x14ac:dyDescent="0.25">
      <c r="A17" s="84"/>
      <c r="B17" s="377" t="s">
        <v>486</v>
      </c>
      <c r="C17" s="31" t="s">
        <v>8</v>
      </c>
      <c r="D17" s="158">
        <f>D16*1.015</f>
        <v>36.109639999999999</v>
      </c>
      <c r="E17" s="18"/>
      <c r="F17" s="664">
        <v>3450</v>
      </c>
      <c r="G17" s="18"/>
      <c r="H17" s="18">
        <f>ROUND(D17*F17,2)</f>
        <v>124578.26</v>
      </c>
      <c r="I17" s="27">
        <f t="shared" si="0"/>
        <v>124578.26</v>
      </c>
      <c r="K17" s="161"/>
      <c r="L17" s="161"/>
      <c r="M17" s="161"/>
    </row>
    <row r="18" spans="1:252" s="6" customFormat="1" ht="18" customHeight="1" outlineLevel="1" x14ac:dyDescent="0.25">
      <c r="A18" s="107" t="s">
        <v>210</v>
      </c>
      <c r="B18" s="531" t="s">
        <v>1540</v>
      </c>
      <c r="C18" s="31" t="s">
        <v>8</v>
      </c>
      <c r="D18" s="166">
        <f>326.03*0.35</f>
        <v>114.11049999999999</v>
      </c>
      <c r="E18" s="256">
        <v>2500</v>
      </c>
      <c r="F18" s="60"/>
      <c r="G18" s="2">
        <f>ROUND(E18*D18,2)</f>
        <v>285276.25</v>
      </c>
      <c r="H18" s="18"/>
      <c r="I18" s="663">
        <f t="shared" si="0"/>
        <v>285276.25</v>
      </c>
      <c r="J18" s="256">
        <v>115.9</v>
      </c>
      <c r="K18" s="161"/>
      <c r="L18" s="161"/>
      <c r="M18" s="161"/>
      <c r="O18" s="6" t="s">
        <v>633</v>
      </c>
    </row>
    <row r="19" spans="1:252" s="38" customFormat="1" outlineLevel="1" x14ac:dyDescent="0.25">
      <c r="A19" s="83"/>
      <c r="B19" s="361" t="s">
        <v>1332</v>
      </c>
      <c r="C19" s="2" t="s">
        <v>8</v>
      </c>
      <c r="D19" s="158">
        <f>D18*1.015</f>
        <v>115.82215749999997</v>
      </c>
      <c r="E19" s="2"/>
      <c r="F19" s="664">
        <v>4500</v>
      </c>
      <c r="G19" s="2"/>
      <c r="H19" s="2">
        <f>ROUND(D19*F19,2)</f>
        <v>521199.71</v>
      </c>
      <c r="I19" s="27">
        <f t="shared" si="0"/>
        <v>521199.71</v>
      </c>
      <c r="J19" s="15"/>
      <c r="K19" s="161"/>
      <c r="L19" s="161"/>
      <c r="M19" s="161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</row>
    <row r="20" spans="1:252" s="38" customFormat="1" ht="22.2" customHeight="1" outlineLevel="1" x14ac:dyDescent="0.25">
      <c r="A20" s="83"/>
      <c r="B20" s="377" t="s">
        <v>358</v>
      </c>
      <c r="C20" s="2" t="s">
        <v>9</v>
      </c>
      <c r="D20" s="257">
        <f>11804.6/1000</f>
        <v>11.804600000000001</v>
      </c>
      <c r="E20" s="2"/>
      <c r="F20" s="361">
        <v>34000</v>
      </c>
      <c r="G20" s="2"/>
      <c r="H20" s="2">
        <f>ROUND(D20*F20,2)</f>
        <v>401356.4</v>
      </c>
      <c r="I20" s="27">
        <f t="shared" si="0"/>
        <v>401356.4</v>
      </c>
      <c r="J20" s="15"/>
      <c r="K20" s="407"/>
      <c r="L20" s="161"/>
      <c r="M20" s="161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</row>
    <row r="21" spans="1:252" s="38" customFormat="1" outlineLevel="1" x14ac:dyDescent="0.25">
      <c r="A21" s="83"/>
      <c r="B21" s="361" t="s">
        <v>11</v>
      </c>
      <c r="C21" s="2" t="s">
        <v>8</v>
      </c>
      <c r="D21" s="282">
        <f>0.0061*D18</f>
        <v>0.69607405</v>
      </c>
      <c r="E21" s="2"/>
      <c r="F21" s="361">
        <v>7500</v>
      </c>
      <c r="G21" s="2"/>
      <c r="H21" s="2">
        <f>ROUND(D21*F21,2)</f>
        <v>5220.5600000000004</v>
      </c>
      <c r="I21" s="27">
        <f t="shared" si="0"/>
        <v>5220.5600000000004</v>
      </c>
      <c r="J21" s="15"/>
      <c r="K21" s="161"/>
      <c r="L21" s="161"/>
      <c r="M21" s="161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</row>
    <row r="22" spans="1:252" s="5" customFormat="1" ht="23.25" customHeight="1" outlineLevel="1" x14ac:dyDescent="0.25">
      <c r="A22" s="107" t="s">
        <v>211</v>
      </c>
      <c r="B22" s="543" t="s">
        <v>22</v>
      </c>
      <c r="C22" s="31" t="s">
        <v>14</v>
      </c>
      <c r="D22" s="690">
        <f>312.02*0.35</f>
        <v>109.20699999999999</v>
      </c>
      <c r="E22" s="256">
        <v>150</v>
      </c>
      <c r="F22" s="11"/>
      <c r="G22" s="2">
        <f>ROUND(E22*D22,2)</f>
        <v>16381.05</v>
      </c>
      <c r="H22" s="18"/>
      <c r="I22" s="27">
        <f t="shared" si="0"/>
        <v>16381.05</v>
      </c>
      <c r="J22" s="544">
        <f>237.71*0.35</f>
        <v>83.198499999999996</v>
      </c>
      <c r="L22" s="161"/>
      <c r="M22" s="161"/>
    </row>
    <row r="23" spans="1:252" outlineLevel="1" x14ac:dyDescent="0.25">
      <c r="A23" s="84"/>
      <c r="B23" s="361" t="s">
        <v>1311</v>
      </c>
      <c r="C23" s="2" t="s">
        <v>15</v>
      </c>
      <c r="D23" s="158">
        <f>2.5*D22</f>
        <v>273.01749999999998</v>
      </c>
      <c r="E23" s="2"/>
      <c r="F23" s="361">
        <v>55</v>
      </c>
      <c r="G23" s="18"/>
      <c r="H23" s="2">
        <f>ROUND(D23*F23,2)</f>
        <v>15015.96</v>
      </c>
      <c r="I23" s="663">
        <f t="shared" si="0"/>
        <v>15015.96</v>
      </c>
      <c r="K23" s="161"/>
      <c r="L23" s="161"/>
      <c r="M23" s="161"/>
    </row>
    <row r="24" spans="1:252" ht="16.2" customHeight="1" outlineLevel="1" x14ac:dyDescent="0.25">
      <c r="A24" s="84"/>
      <c r="B24" s="361" t="s">
        <v>1312</v>
      </c>
      <c r="C24" s="2" t="s">
        <v>30</v>
      </c>
      <c r="D24" s="158">
        <f>0.35*D22</f>
        <v>38.222449999999995</v>
      </c>
      <c r="E24" s="2"/>
      <c r="F24" s="361">
        <v>44</v>
      </c>
      <c r="G24" s="18"/>
      <c r="H24" s="2">
        <f>ROUND(D24*F24,2)</f>
        <v>1681.79</v>
      </c>
      <c r="I24" s="663">
        <f t="shared" si="0"/>
        <v>1681.79</v>
      </c>
      <c r="K24" s="161"/>
      <c r="L24" s="161"/>
      <c r="M24" s="161"/>
    </row>
    <row r="25" spans="1:252" ht="16.2" customHeight="1" outlineLevel="1" x14ac:dyDescent="0.25">
      <c r="A25" s="107" t="s">
        <v>212</v>
      </c>
      <c r="B25" s="543" t="s">
        <v>1243</v>
      </c>
      <c r="C25" s="31" t="s">
        <v>8</v>
      </c>
      <c r="D25" s="350">
        <f>326.03*0.02</f>
        <v>6.5206</v>
      </c>
      <c r="E25" s="264">
        <v>250</v>
      </c>
      <c r="F25" s="140"/>
      <c r="G25" s="51">
        <f>E25*D25</f>
        <v>1630.15</v>
      </c>
      <c r="H25" s="51"/>
      <c r="I25" s="669">
        <f>H25+G25</f>
        <v>1630.15</v>
      </c>
      <c r="J25" s="683">
        <v>6.6227999999999998</v>
      </c>
      <c r="K25" s="161"/>
      <c r="L25" s="161"/>
      <c r="M25" s="161"/>
    </row>
    <row r="26" spans="1:252" ht="16.2" customHeight="1" outlineLevel="1" x14ac:dyDescent="0.25">
      <c r="A26" s="84"/>
      <c r="B26" s="377" t="s">
        <v>1244</v>
      </c>
      <c r="C26" s="2" t="s">
        <v>8</v>
      </c>
      <c r="D26" s="158">
        <f>ROUND(D25*1.015,2)</f>
        <v>6.62</v>
      </c>
      <c r="E26" s="2"/>
      <c r="F26" s="164">
        <f>ROUND(4100*1.1,2)</f>
        <v>4510</v>
      </c>
      <c r="G26" s="2"/>
      <c r="H26" s="2">
        <f>ROUND(D26*F26,2)</f>
        <v>29856.2</v>
      </c>
      <c r="I26" s="27">
        <f>G26+H26</f>
        <v>29856.2</v>
      </c>
      <c r="K26" s="161"/>
      <c r="L26" s="161"/>
      <c r="M26" s="161"/>
    </row>
    <row r="27" spans="1:252" ht="26.25" customHeight="1" outlineLevel="1" x14ac:dyDescent="0.25">
      <c r="A27" s="107" t="s">
        <v>213</v>
      </c>
      <c r="B27" s="531" t="s">
        <v>731</v>
      </c>
      <c r="C27" s="31" t="s">
        <v>12</v>
      </c>
      <c r="D27" s="256">
        <f>D30+D29+D28+D31</f>
        <v>320</v>
      </c>
      <c r="E27" s="256">
        <v>550</v>
      </c>
      <c r="F27" s="60"/>
      <c r="G27" s="2">
        <f>ROUND(E27*D27,2)</f>
        <v>176000</v>
      </c>
      <c r="H27" s="18"/>
      <c r="I27" s="663">
        <f t="shared" si="0"/>
        <v>176000</v>
      </c>
      <c r="K27" s="351" t="e">
        <f>K30+#REF!+K29+K28+K31</f>
        <v>#REF!</v>
      </c>
      <c r="L27" s="161"/>
      <c r="M27" s="161"/>
    </row>
    <row r="28" spans="1:252" ht="15.75" customHeight="1" outlineLevel="1" x14ac:dyDescent="0.25">
      <c r="A28" s="84"/>
      <c r="B28" s="377" t="s">
        <v>732</v>
      </c>
      <c r="C28" s="2" t="s">
        <v>12</v>
      </c>
      <c r="D28" s="282">
        <v>112</v>
      </c>
      <c r="E28" s="31"/>
      <c r="F28" s="664">
        <v>1935.11</v>
      </c>
      <c r="G28" s="2"/>
      <c r="H28" s="2">
        <f t="shared" ref="H28:H33" si="1">ROUND(D28*F28,2)</f>
        <v>216732.32</v>
      </c>
      <c r="I28" s="663">
        <f t="shared" si="0"/>
        <v>216732.32</v>
      </c>
      <c r="K28" s="401">
        <f>109+85</f>
        <v>194</v>
      </c>
      <c r="L28" s="161"/>
      <c r="M28" s="161"/>
    </row>
    <row r="29" spans="1:252" ht="15.75" customHeight="1" outlineLevel="1" x14ac:dyDescent="0.25">
      <c r="A29" s="84"/>
      <c r="B29" s="377" t="s">
        <v>733</v>
      </c>
      <c r="C29" s="2" t="s">
        <v>12</v>
      </c>
      <c r="D29" s="282">
        <v>48</v>
      </c>
      <c r="E29" s="31"/>
      <c r="F29" s="664">
        <v>944.39</v>
      </c>
      <c r="G29" s="2"/>
      <c r="H29" s="2">
        <f t="shared" si="1"/>
        <v>45330.720000000001</v>
      </c>
      <c r="I29" s="663">
        <f t="shared" si="0"/>
        <v>45330.720000000001</v>
      </c>
      <c r="K29" s="401">
        <f>37+34</f>
        <v>71</v>
      </c>
      <c r="L29" s="161"/>
      <c r="M29" s="161"/>
    </row>
    <row r="30" spans="1:252" ht="15.75" customHeight="1" outlineLevel="1" x14ac:dyDescent="0.25">
      <c r="A30" s="84"/>
      <c r="B30" s="377" t="s">
        <v>735</v>
      </c>
      <c r="C30" s="2" t="s">
        <v>12</v>
      </c>
      <c r="D30" s="282">
        <v>146</v>
      </c>
      <c r="E30" s="18"/>
      <c r="F30" s="664">
        <v>694.93</v>
      </c>
      <c r="G30" s="18"/>
      <c r="H30" s="2">
        <f t="shared" si="1"/>
        <v>101459.78</v>
      </c>
      <c r="I30" s="663">
        <f t="shared" si="0"/>
        <v>101459.78</v>
      </c>
      <c r="K30" s="401">
        <f>71+89</f>
        <v>160</v>
      </c>
      <c r="L30" s="161"/>
      <c r="M30" s="161"/>
    </row>
    <row r="31" spans="1:252" ht="15.75" customHeight="1" outlineLevel="1" x14ac:dyDescent="0.25">
      <c r="A31" s="84"/>
      <c r="B31" s="377" t="s">
        <v>1302</v>
      </c>
      <c r="C31" s="2" t="s">
        <v>12</v>
      </c>
      <c r="D31" s="282">
        <v>14</v>
      </c>
      <c r="E31" s="18"/>
      <c r="F31" s="164">
        <v>900</v>
      </c>
      <c r="G31" s="18"/>
      <c r="H31" s="2">
        <f t="shared" si="1"/>
        <v>12600</v>
      </c>
      <c r="I31" s="663">
        <f>G31+H31</f>
        <v>12600</v>
      </c>
      <c r="K31" s="401">
        <f>158+117</f>
        <v>275</v>
      </c>
      <c r="L31" s="161"/>
      <c r="M31" s="161"/>
    </row>
    <row r="32" spans="1:252" outlineLevel="1" x14ac:dyDescent="0.25">
      <c r="A32" s="84"/>
      <c r="B32" s="361" t="s">
        <v>72</v>
      </c>
      <c r="C32" s="2" t="s">
        <v>8</v>
      </c>
      <c r="D32" s="282">
        <f>D27*0.05</f>
        <v>16</v>
      </c>
      <c r="E32" s="18"/>
      <c r="F32" s="361">
        <v>2600</v>
      </c>
      <c r="G32" s="18"/>
      <c r="H32" s="2">
        <f t="shared" si="1"/>
        <v>41600</v>
      </c>
      <c r="I32" s="663">
        <f t="shared" si="0"/>
        <v>41600</v>
      </c>
      <c r="K32" s="161"/>
      <c r="L32" s="161"/>
      <c r="M32" s="161"/>
    </row>
    <row r="33" spans="1:13" outlineLevel="1" x14ac:dyDescent="0.25">
      <c r="A33" s="92"/>
      <c r="B33" s="533" t="s">
        <v>1494</v>
      </c>
      <c r="C33" s="41" t="s">
        <v>15</v>
      </c>
      <c r="D33" s="277">
        <f>[1]арматура!M64</f>
        <v>183.35</v>
      </c>
      <c r="E33" s="2"/>
      <c r="F33" s="364">
        <v>42</v>
      </c>
      <c r="G33" s="10"/>
      <c r="H33" s="2">
        <f t="shared" si="1"/>
        <v>7700.7</v>
      </c>
      <c r="I33" s="27">
        <f t="shared" si="0"/>
        <v>7700.7</v>
      </c>
      <c r="K33" s="404">
        <f>187.3+211</f>
        <v>398.3</v>
      </c>
      <c r="L33" s="161"/>
      <c r="M33" s="161"/>
    </row>
    <row r="34" spans="1:13" ht="31.2" outlineLevel="1" x14ac:dyDescent="0.25">
      <c r="A34" s="107" t="s">
        <v>493</v>
      </c>
      <c r="B34" s="531" t="s">
        <v>1245</v>
      </c>
      <c r="C34" s="41" t="s">
        <v>8</v>
      </c>
      <c r="D34" s="277">
        <v>5.7</v>
      </c>
      <c r="E34" s="256">
        <v>800</v>
      </c>
      <c r="F34" s="60"/>
      <c r="G34" s="2">
        <f>ROUND(E34*D34,2)</f>
        <v>4560</v>
      </c>
      <c r="H34" s="18"/>
      <c r="I34" s="27">
        <f t="shared" si="0"/>
        <v>4560</v>
      </c>
      <c r="K34" s="404"/>
      <c r="L34" s="161"/>
      <c r="M34" s="161"/>
    </row>
    <row r="35" spans="1:13" outlineLevel="1" x14ac:dyDescent="0.25">
      <c r="A35" s="92"/>
      <c r="B35" s="361" t="s">
        <v>738</v>
      </c>
      <c r="C35" s="2" t="s">
        <v>8</v>
      </c>
      <c r="D35" s="282">
        <f>D34*1.015</f>
        <v>5.7854999999999999</v>
      </c>
      <c r="E35" s="2"/>
      <c r="F35" s="664">
        <v>4200</v>
      </c>
      <c r="G35" s="2"/>
      <c r="H35" s="2">
        <f>ROUND(D35*F35,2)</f>
        <v>24299.1</v>
      </c>
      <c r="I35" s="27">
        <f t="shared" si="0"/>
        <v>24299.1</v>
      </c>
      <c r="K35" s="404"/>
      <c r="L35" s="161"/>
      <c r="M35" s="161"/>
    </row>
    <row r="36" spans="1:13" outlineLevel="1" x14ac:dyDescent="0.25">
      <c r="A36" s="107" t="s">
        <v>1246</v>
      </c>
      <c r="B36" s="531" t="s">
        <v>1508</v>
      </c>
      <c r="C36" s="31" t="s">
        <v>8</v>
      </c>
      <c r="D36" s="256">
        <v>22.9</v>
      </c>
      <c r="E36" s="256">
        <v>2600</v>
      </c>
      <c r="F36" s="60"/>
      <c r="G36" s="2">
        <f>ROUND(E36*D36,2)</f>
        <v>59540</v>
      </c>
      <c r="H36" s="18"/>
      <c r="I36" s="663">
        <f t="shared" si="0"/>
        <v>59540</v>
      </c>
      <c r="K36" s="256">
        <f>18.55+30+18.4</f>
        <v>66.949999999999989</v>
      </c>
      <c r="L36" s="161"/>
      <c r="M36" s="161"/>
    </row>
    <row r="37" spans="1:13" outlineLevel="1" x14ac:dyDescent="0.25">
      <c r="A37" s="83"/>
      <c r="B37" s="361" t="s">
        <v>738</v>
      </c>
      <c r="C37" s="2" t="s">
        <v>8</v>
      </c>
      <c r="D37" s="282">
        <f>D36*1.015</f>
        <v>23.243499999999997</v>
      </c>
      <c r="E37" s="2"/>
      <c r="F37" s="664">
        <v>4200</v>
      </c>
      <c r="G37" s="2"/>
      <c r="H37" s="2">
        <f>ROUND(D37*F37,2)</f>
        <v>97622.7</v>
      </c>
      <c r="I37" s="27">
        <f t="shared" si="0"/>
        <v>97622.7</v>
      </c>
      <c r="K37" s="161"/>
      <c r="L37" s="161"/>
      <c r="M37" s="161"/>
    </row>
    <row r="38" spans="1:13" outlineLevel="1" x14ac:dyDescent="0.25">
      <c r="A38" s="83"/>
      <c r="B38" s="377" t="s">
        <v>358</v>
      </c>
      <c r="C38" s="2" t="s">
        <v>9</v>
      </c>
      <c r="D38" s="257">
        <f>493.8/1000</f>
        <v>0.49380000000000002</v>
      </c>
      <c r="E38" s="2"/>
      <c r="F38" s="361">
        <v>34000</v>
      </c>
      <c r="G38" s="2"/>
      <c r="H38" s="2">
        <f>ROUND(D38*F38,2)</f>
        <v>16789.2</v>
      </c>
      <c r="I38" s="27">
        <f t="shared" si="0"/>
        <v>16789.2</v>
      </c>
      <c r="K38" s="407">
        <f>(1174.2+732.63+738.63)/1000</f>
        <v>2.6454599999999999</v>
      </c>
      <c r="L38" s="161"/>
      <c r="M38" s="161"/>
    </row>
    <row r="39" spans="1:13" outlineLevel="1" x14ac:dyDescent="0.25">
      <c r="A39" s="83"/>
      <c r="B39" s="361" t="s">
        <v>11</v>
      </c>
      <c r="C39" s="2" t="s">
        <v>8</v>
      </c>
      <c r="D39" s="282">
        <f>0.0061*D36</f>
        <v>0.13969000000000001</v>
      </c>
      <c r="E39" s="2"/>
      <c r="F39" s="361">
        <v>7500</v>
      </c>
      <c r="G39" s="2"/>
      <c r="H39" s="2">
        <f>ROUND(D39*F39,2)</f>
        <v>1047.68</v>
      </c>
      <c r="I39" s="27">
        <f t="shared" si="0"/>
        <v>1047.68</v>
      </c>
      <c r="K39" s="161"/>
      <c r="L39" s="161"/>
      <c r="M39" s="161"/>
    </row>
    <row r="40" spans="1:13" s="36" customFormat="1" ht="33" customHeight="1" x14ac:dyDescent="0.25">
      <c r="A40" s="107" t="s">
        <v>1247</v>
      </c>
      <c r="B40" s="543" t="s">
        <v>1509</v>
      </c>
      <c r="C40" s="31" t="s">
        <v>14</v>
      </c>
      <c r="D40" s="690">
        <f>365.38*0.6+375.38*0.31</f>
        <v>335.5958</v>
      </c>
      <c r="E40" s="256">
        <v>150</v>
      </c>
      <c r="F40" s="11"/>
      <c r="G40" s="2">
        <f>ROUND(E40*D40,2)</f>
        <v>50339.37</v>
      </c>
      <c r="H40" s="18"/>
      <c r="I40" s="27">
        <f t="shared" si="0"/>
        <v>50339.37</v>
      </c>
      <c r="K40" s="162"/>
      <c r="L40" s="162"/>
      <c r="M40" s="162"/>
    </row>
    <row r="41" spans="1:13" s="36" customFormat="1" x14ac:dyDescent="0.25">
      <c r="A41" s="84"/>
      <c r="B41" s="361" t="s">
        <v>1311</v>
      </c>
      <c r="C41" s="2" t="s">
        <v>15</v>
      </c>
      <c r="D41" s="158">
        <f>2.5*D40</f>
        <v>838.98950000000002</v>
      </c>
      <c r="E41" s="2"/>
      <c r="F41" s="361">
        <v>55</v>
      </c>
      <c r="G41" s="18"/>
      <c r="H41" s="2">
        <f>ROUND(D41*F41,2)</f>
        <v>46144.42</v>
      </c>
      <c r="I41" s="663">
        <f t="shared" si="0"/>
        <v>46144.42</v>
      </c>
      <c r="K41" s="162"/>
      <c r="L41" s="162"/>
      <c r="M41" s="162"/>
    </row>
    <row r="42" spans="1:13" s="36" customFormat="1" x14ac:dyDescent="0.25">
      <c r="A42" s="84"/>
      <c r="B42" s="361" t="s">
        <v>1312</v>
      </c>
      <c r="C42" s="2" t="s">
        <v>30</v>
      </c>
      <c r="D42" s="158">
        <f>0.35*D40</f>
        <v>117.45853</v>
      </c>
      <c r="E42" s="2"/>
      <c r="F42" s="361">
        <v>44</v>
      </c>
      <c r="G42" s="18"/>
      <c r="H42" s="2">
        <f>ROUND(D42*F42,2)</f>
        <v>5168.18</v>
      </c>
      <c r="I42" s="663">
        <f t="shared" si="0"/>
        <v>5168.18</v>
      </c>
      <c r="K42" s="162"/>
      <c r="L42" s="162"/>
      <c r="M42" s="162"/>
    </row>
    <row r="43" spans="1:13" s="36" customFormat="1" x14ac:dyDescent="0.25">
      <c r="A43" s="107" t="s">
        <v>1496</v>
      </c>
      <c r="B43" s="543" t="s">
        <v>1510</v>
      </c>
      <c r="C43" s="31" t="s">
        <v>14</v>
      </c>
      <c r="D43" s="350">
        <f>80.92-3.6-2.29</f>
        <v>75.03</v>
      </c>
      <c r="E43" s="264">
        <v>250</v>
      </c>
      <c r="F43" s="140"/>
      <c r="G43" s="51">
        <f>E43*D43</f>
        <v>18757.5</v>
      </c>
      <c r="H43" s="51"/>
      <c r="I43" s="140">
        <f>H43+G43</f>
        <v>18757.5</v>
      </c>
      <c r="K43" s="162"/>
      <c r="L43" s="162"/>
      <c r="M43" s="162"/>
    </row>
    <row r="44" spans="1:13" s="36" customFormat="1" x14ac:dyDescent="0.25">
      <c r="A44" s="553"/>
      <c r="B44" s="377" t="s">
        <v>1318</v>
      </c>
      <c r="C44" s="2" t="s">
        <v>14</v>
      </c>
      <c r="D44" s="158">
        <f>ROUND(D43*2,2)</f>
        <v>150.06</v>
      </c>
      <c r="E44" s="2"/>
      <c r="F44" s="665">
        <v>86.8</v>
      </c>
      <c r="G44" s="2"/>
      <c r="H44" s="2">
        <f>ROUND(D44*F44,2)</f>
        <v>13025.21</v>
      </c>
      <c r="I44" s="11">
        <f>G44+H44</f>
        <v>13025.21</v>
      </c>
      <c r="K44" s="162"/>
      <c r="L44" s="162"/>
      <c r="M44" s="162"/>
    </row>
    <row r="45" spans="1:13" s="36" customFormat="1" x14ac:dyDescent="0.25">
      <c r="A45" s="107" t="s">
        <v>1497</v>
      </c>
      <c r="B45" s="531" t="s">
        <v>1500</v>
      </c>
      <c r="C45" s="2" t="s">
        <v>8</v>
      </c>
      <c r="D45" s="256">
        <v>0.44</v>
      </c>
      <c r="E45" s="256">
        <v>1500</v>
      </c>
      <c r="F45" s="164"/>
      <c r="G45" s="2">
        <f>ROUND(E45*D45,2)</f>
        <v>660</v>
      </c>
      <c r="H45" s="2"/>
      <c r="I45" s="11">
        <f>G45+H45</f>
        <v>660</v>
      </c>
      <c r="K45" s="162"/>
      <c r="L45" s="162"/>
      <c r="M45" s="162"/>
    </row>
    <row r="46" spans="1:13" s="36" customFormat="1" x14ac:dyDescent="0.25">
      <c r="A46" s="84"/>
      <c r="B46" s="361" t="s">
        <v>738</v>
      </c>
      <c r="C46" s="2" t="s">
        <v>8</v>
      </c>
      <c r="D46" s="282">
        <f>D45*1.02</f>
        <v>0.44880000000000003</v>
      </c>
      <c r="E46" s="2"/>
      <c r="F46" s="664">
        <v>4200</v>
      </c>
      <c r="G46" s="2"/>
      <c r="H46" s="2">
        <f>ROUND(D46*F46,2)</f>
        <v>1884.96</v>
      </c>
      <c r="I46" s="60">
        <f>G46+H46</f>
        <v>1884.96</v>
      </c>
      <c r="K46" s="162"/>
      <c r="L46" s="162"/>
      <c r="M46" s="162"/>
    </row>
    <row r="47" spans="1:13" s="36" customFormat="1" x14ac:dyDescent="0.25">
      <c r="A47" s="84"/>
      <c r="B47" s="361" t="s">
        <v>737</v>
      </c>
      <c r="C47" s="41" t="s">
        <v>15</v>
      </c>
      <c r="D47" s="277">
        <f>2*13.64+14*0.07</f>
        <v>28.26</v>
      </c>
      <c r="E47" s="2"/>
      <c r="F47" s="364">
        <v>42</v>
      </c>
      <c r="G47" s="10"/>
      <c r="H47" s="2">
        <f>ROUND(D47*F47,2)</f>
        <v>1186.92</v>
      </c>
      <c r="I47" s="11">
        <f>G47+H47</f>
        <v>1186.92</v>
      </c>
      <c r="K47" s="162"/>
      <c r="L47" s="162"/>
      <c r="M47" s="162"/>
    </row>
    <row r="48" spans="1:13" s="36" customFormat="1" ht="46.8" x14ac:dyDescent="0.25">
      <c r="A48" s="212"/>
      <c r="B48" s="213" t="s">
        <v>1541</v>
      </c>
      <c r="C48" s="222"/>
      <c r="D48" s="215"/>
      <c r="E48" s="216"/>
      <c r="F48" s="217"/>
      <c r="G48" s="216">
        <f>SUM(G16:G47)</f>
        <v>670065.92000000004</v>
      </c>
      <c r="H48" s="216">
        <f>SUM(H16:H47)</f>
        <v>1731500.7699999996</v>
      </c>
      <c r="I48" s="215">
        <f>SUM(I16:I47)</f>
        <v>2401566.6900000009</v>
      </c>
      <c r="K48" s="162"/>
      <c r="L48" s="162"/>
      <c r="M48" s="162"/>
    </row>
    <row r="49" spans="1:14" s="36" customFormat="1" x14ac:dyDescent="0.25">
      <c r="A49" s="85"/>
      <c r="B49" s="58" t="s">
        <v>624</v>
      </c>
      <c r="C49" s="9"/>
      <c r="D49" s="31"/>
      <c r="E49" s="10"/>
      <c r="F49" s="57"/>
      <c r="G49" s="10"/>
      <c r="H49" s="10"/>
      <c r="I49" s="31">
        <f>ROUND(I48/1.18*0.18,2)</f>
        <v>366340.68</v>
      </c>
      <c r="K49" s="162"/>
      <c r="L49" s="162"/>
      <c r="M49" s="162"/>
    </row>
    <row r="50" spans="1:14" ht="18.75" customHeight="1" x14ac:dyDescent="0.25">
      <c r="A50" s="104"/>
      <c r="B50" s="771" t="s">
        <v>494</v>
      </c>
      <c r="C50" s="771"/>
      <c r="D50" s="771"/>
      <c r="E50" s="771"/>
      <c r="F50" s="771"/>
      <c r="G50" s="105"/>
      <c r="H50" s="105"/>
      <c r="I50" s="106"/>
      <c r="K50" s="129"/>
      <c r="L50" s="133"/>
      <c r="M50" s="133"/>
    </row>
    <row r="51" spans="1:14" ht="20.25" customHeight="1" outlineLevel="1" x14ac:dyDescent="0.25">
      <c r="A51" s="107" t="s">
        <v>204</v>
      </c>
      <c r="B51" s="531" t="s">
        <v>755</v>
      </c>
      <c r="C51" s="31" t="s">
        <v>8</v>
      </c>
      <c r="D51" s="256">
        <f>(2.4-1.33)*(7.25-2.24)*0.25</f>
        <v>1.3401749999999997</v>
      </c>
      <c r="E51" s="256">
        <v>500</v>
      </c>
      <c r="F51" s="11"/>
      <c r="G51" s="2">
        <f>ROUND(E51*D51,2)</f>
        <v>670.09</v>
      </c>
      <c r="H51" s="2"/>
      <c r="I51" s="11">
        <f>G51+H51</f>
        <v>670.09</v>
      </c>
      <c r="K51" s="161"/>
      <c r="L51" s="161"/>
      <c r="M51" s="161"/>
    </row>
    <row r="52" spans="1:14" ht="31.2" outlineLevel="1" x14ac:dyDescent="0.25">
      <c r="A52" s="84"/>
      <c r="B52" s="361" t="s">
        <v>764</v>
      </c>
      <c r="C52" s="2" t="s">
        <v>12</v>
      </c>
      <c r="D52" s="540">
        <f>D51*400</f>
        <v>536.06999999999982</v>
      </c>
      <c r="E52" s="2"/>
      <c r="F52" s="664">
        <v>10.75</v>
      </c>
      <c r="G52" s="2"/>
      <c r="H52" s="2">
        <f>ROUND(D52*F52,2)</f>
        <v>5762.75</v>
      </c>
      <c r="I52" s="11">
        <f>G52+H52</f>
        <v>5762.75</v>
      </c>
      <c r="K52" s="161"/>
      <c r="L52" s="161"/>
      <c r="M52" s="161"/>
    </row>
    <row r="53" spans="1:14" outlineLevel="1" x14ac:dyDescent="0.25">
      <c r="A53" s="84"/>
      <c r="B53" s="361" t="s">
        <v>756</v>
      </c>
      <c r="C53" s="2" t="s">
        <v>8</v>
      </c>
      <c r="D53" s="540">
        <f>ROUND(0.23*D51,2)</f>
        <v>0.31</v>
      </c>
      <c r="E53" s="2"/>
      <c r="F53" s="361">
        <v>2600</v>
      </c>
      <c r="G53" s="2"/>
      <c r="H53" s="2">
        <f>ROUND(D53*F53,2)</f>
        <v>806</v>
      </c>
      <c r="I53" s="11">
        <f>G53+H53</f>
        <v>806</v>
      </c>
      <c r="K53" s="161"/>
      <c r="L53" s="161"/>
      <c r="M53" s="161"/>
    </row>
    <row r="54" spans="1:14" outlineLevel="1" x14ac:dyDescent="0.25">
      <c r="A54" s="107" t="s">
        <v>205</v>
      </c>
      <c r="B54" s="539" t="s">
        <v>16</v>
      </c>
      <c r="C54" s="31" t="s">
        <v>12</v>
      </c>
      <c r="D54" s="268">
        <f>D55</f>
        <v>1</v>
      </c>
      <c r="E54" s="256">
        <v>100</v>
      </c>
      <c r="F54" s="11"/>
      <c r="G54" s="2">
        <f>ROUND(E54*D54,2)</f>
        <v>100</v>
      </c>
      <c r="H54" s="2"/>
      <c r="I54" s="11">
        <f t="shared" ref="I54:I77" si="2">G54+H54</f>
        <v>100</v>
      </c>
      <c r="K54" s="163"/>
      <c r="L54" s="163"/>
      <c r="M54" s="163"/>
      <c r="N54" s="5"/>
    </row>
    <row r="55" spans="1:14" outlineLevel="1" x14ac:dyDescent="0.25">
      <c r="A55" s="84"/>
      <c r="B55" s="377" t="s">
        <v>754</v>
      </c>
      <c r="C55" s="2" t="s">
        <v>12</v>
      </c>
      <c r="D55" s="540">
        <v>1</v>
      </c>
      <c r="E55" s="2"/>
      <c r="F55" s="664">
        <v>203</v>
      </c>
      <c r="G55" s="2"/>
      <c r="H55" s="2">
        <f>ROUND(D55*F55,2)</f>
        <v>203</v>
      </c>
      <c r="I55" s="11">
        <f t="shared" si="2"/>
        <v>203</v>
      </c>
      <c r="K55" s="163"/>
      <c r="L55" s="163"/>
      <c r="M55" s="163"/>
      <c r="N55" s="5"/>
    </row>
    <row r="56" spans="1:14" outlineLevel="1" x14ac:dyDescent="0.25">
      <c r="A56" s="84"/>
      <c r="B56" s="361" t="s">
        <v>72</v>
      </c>
      <c r="C56" s="2" t="s">
        <v>8</v>
      </c>
      <c r="D56" s="540">
        <f>ROUND(0.23*D54,2)</f>
        <v>0.23</v>
      </c>
      <c r="E56" s="2"/>
      <c r="F56" s="361">
        <v>2600</v>
      </c>
      <c r="G56" s="2"/>
      <c r="H56" s="2">
        <f>ROUND(D56*F56,2)</f>
        <v>598</v>
      </c>
      <c r="I56" s="11">
        <f t="shared" si="2"/>
        <v>598</v>
      </c>
      <c r="K56" s="163"/>
      <c r="L56" s="163"/>
      <c r="M56" s="163"/>
      <c r="N56" s="5"/>
    </row>
    <row r="57" spans="1:14" outlineLevel="1" x14ac:dyDescent="0.25">
      <c r="A57" s="107" t="s">
        <v>207</v>
      </c>
      <c r="B57" s="555" t="s">
        <v>784</v>
      </c>
      <c r="C57" s="46" t="s">
        <v>12</v>
      </c>
      <c r="D57" s="275">
        <v>2</v>
      </c>
      <c r="E57" s="166">
        <v>1000</v>
      </c>
      <c r="F57" s="43"/>
      <c r="G57" s="2">
        <f>ROUND(E57*D57,2)</f>
        <v>2000</v>
      </c>
      <c r="H57" s="11">
        <f>D57*F57</f>
        <v>0</v>
      </c>
      <c r="I57" s="11">
        <f t="shared" si="2"/>
        <v>2000</v>
      </c>
      <c r="K57" s="163"/>
      <c r="L57" s="163"/>
      <c r="M57" s="163"/>
      <c r="N57" s="5"/>
    </row>
    <row r="58" spans="1:14" outlineLevel="1" x14ac:dyDescent="0.25">
      <c r="A58" s="84"/>
      <c r="B58" s="361" t="s">
        <v>785</v>
      </c>
      <c r="C58" s="2" t="s">
        <v>12</v>
      </c>
      <c r="D58" s="540">
        <v>6</v>
      </c>
      <c r="E58" s="2"/>
      <c r="F58" s="164">
        <v>1300</v>
      </c>
      <c r="G58" s="2"/>
      <c r="H58" s="2">
        <f t="shared" ref="H58:H64" si="3">ROUND(D58*F58,2)</f>
        <v>7800</v>
      </c>
      <c r="I58" s="11">
        <f t="shared" si="2"/>
        <v>7800</v>
      </c>
      <c r="K58" s="163"/>
      <c r="L58" s="163"/>
      <c r="M58" s="163"/>
      <c r="N58" s="5"/>
    </row>
    <row r="59" spans="1:14" outlineLevel="1" x14ac:dyDescent="0.25">
      <c r="A59" s="84"/>
      <c r="B59" s="361" t="s">
        <v>1326</v>
      </c>
      <c r="C59" s="2" t="s">
        <v>12</v>
      </c>
      <c r="D59" s="540">
        <v>1</v>
      </c>
      <c r="E59" s="2"/>
      <c r="F59" s="164">
        <v>1300</v>
      </c>
      <c r="G59" s="2"/>
      <c r="H59" s="2">
        <f t="shared" si="3"/>
        <v>1300</v>
      </c>
      <c r="I59" s="11">
        <f t="shared" si="2"/>
        <v>1300</v>
      </c>
      <c r="K59" s="163"/>
      <c r="L59" s="163"/>
      <c r="M59" s="163"/>
      <c r="N59" s="5"/>
    </row>
    <row r="60" spans="1:14" outlineLevel="1" x14ac:dyDescent="0.25">
      <c r="A60" s="84"/>
      <c r="B60" s="361" t="s">
        <v>786</v>
      </c>
      <c r="C60" s="2" t="s">
        <v>12</v>
      </c>
      <c r="D60" s="540">
        <f>7+6</f>
        <v>13</v>
      </c>
      <c r="E60" s="2"/>
      <c r="F60" s="164">
        <v>1300</v>
      </c>
      <c r="G60" s="2"/>
      <c r="H60" s="2">
        <f t="shared" si="3"/>
        <v>16900</v>
      </c>
      <c r="I60" s="11">
        <f t="shared" si="2"/>
        <v>16900</v>
      </c>
      <c r="K60" s="163"/>
      <c r="L60" s="163"/>
      <c r="M60" s="163"/>
      <c r="N60" s="5"/>
    </row>
    <row r="61" spans="1:14" outlineLevel="1" x14ac:dyDescent="0.25">
      <c r="A61" s="84"/>
      <c r="B61" s="361" t="s">
        <v>1327</v>
      </c>
      <c r="C61" s="2" t="s">
        <v>12</v>
      </c>
      <c r="D61" s="540">
        <f>1+1</f>
        <v>2</v>
      </c>
      <c r="E61" s="2"/>
      <c r="F61" s="164">
        <v>1300</v>
      </c>
      <c r="G61" s="2"/>
      <c r="H61" s="2">
        <f t="shared" si="3"/>
        <v>2600</v>
      </c>
      <c r="I61" s="11">
        <f t="shared" si="2"/>
        <v>2600</v>
      </c>
      <c r="K61" s="163"/>
      <c r="L61" s="163"/>
      <c r="M61" s="163"/>
      <c r="N61" s="5"/>
    </row>
    <row r="62" spans="1:14" outlineLevel="1" x14ac:dyDescent="0.25">
      <c r="A62" s="84"/>
      <c r="B62" s="361" t="s">
        <v>1518</v>
      </c>
      <c r="C62" s="2" t="s">
        <v>12</v>
      </c>
      <c r="D62" s="540">
        <v>1</v>
      </c>
      <c r="E62" s="2"/>
      <c r="F62" s="164">
        <v>1300</v>
      </c>
      <c r="G62" s="2"/>
      <c r="H62" s="2">
        <f t="shared" si="3"/>
        <v>1300</v>
      </c>
      <c r="I62" s="11">
        <f t="shared" si="2"/>
        <v>1300</v>
      </c>
      <c r="K62" s="163"/>
      <c r="L62" s="163"/>
      <c r="M62" s="163"/>
      <c r="N62" s="5"/>
    </row>
    <row r="63" spans="1:14" outlineLevel="1" x14ac:dyDescent="0.25">
      <c r="A63" s="84"/>
      <c r="B63" s="361" t="s">
        <v>738</v>
      </c>
      <c r="C63" s="2" t="s">
        <v>8</v>
      </c>
      <c r="D63" s="282">
        <v>0.05</v>
      </c>
      <c r="E63" s="2"/>
      <c r="F63" s="664">
        <v>4200</v>
      </c>
      <c r="G63" s="2"/>
      <c r="H63" s="2">
        <f>ROUND(D63*F63,2)</f>
        <v>210</v>
      </c>
      <c r="I63" s="11">
        <f>G63+H63</f>
        <v>210</v>
      </c>
      <c r="K63" s="163"/>
      <c r="L63" s="163"/>
      <c r="M63" s="163"/>
      <c r="N63" s="5"/>
    </row>
    <row r="64" spans="1:14" outlineLevel="1" x14ac:dyDescent="0.25">
      <c r="A64" s="84"/>
      <c r="B64" s="361" t="s">
        <v>763</v>
      </c>
      <c r="C64" s="2" t="s">
        <v>1323</v>
      </c>
      <c r="D64" s="540">
        <f>10.8*2</f>
        <v>21.6</v>
      </c>
      <c r="E64" s="2"/>
      <c r="F64" s="164">
        <v>300</v>
      </c>
      <c r="G64" s="2"/>
      <c r="H64" s="2">
        <f t="shared" si="3"/>
        <v>6480</v>
      </c>
      <c r="I64" s="11">
        <f t="shared" si="2"/>
        <v>6480</v>
      </c>
      <c r="K64" s="163"/>
      <c r="L64" s="163"/>
      <c r="M64" s="163"/>
      <c r="N64" s="5"/>
    </row>
    <row r="65" spans="1:14" outlineLevel="1" x14ac:dyDescent="0.25">
      <c r="A65" s="84"/>
      <c r="B65" s="361" t="s">
        <v>767</v>
      </c>
      <c r="C65" s="2" t="s">
        <v>15</v>
      </c>
      <c r="D65" s="540">
        <f>135+70</f>
        <v>205</v>
      </c>
      <c r="E65" s="2"/>
      <c r="F65" s="361">
        <v>40</v>
      </c>
      <c r="G65" s="2"/>
      <c r="H65" s="2">
        <f t="shared" ref="H65:H71" si="4">ROUND(D65*F65,2)</f>
        <v>8200</v>
      </c>
      <c r="I65" s="11">
        <f t="shared" si="2"/>
        <v>8200</v>
      </c>
      <c r="K65" s="163"/>
      <c r="L65" s="163"/>
      <c r="M65" s="163"/>
      <c r="N65" s="5"/>
    </row>
    <row r="66" spans="1:14" outlineLevel="1" x14ac:dyDescent="0.25">
      <c r="A66" s="84"/>
      <c r="B66" s="361" t="s">
        <v>768</v>
      </c>
      <c r="C66" s="2" t="s">
        <v>15</v>
      </c>
      <c r="D66" s="540">
        <f>350+120</f>
        <v>470</v>
      </c>
      <c r="E66" s="2"/>
      <c r="F66" s="361">
        <v>40</v>
      </c>
      <c r="G66" s="2"/>
      <c r="H66" s="2">
        <f t="shared" si="4"/>
        <v>18800</v>
      </c>
      <c r="I66" s="11">
        <f t="shared" si="2"/>
        <v>18800</v>
      </c>
      <c r="K66" s="163"/>
      <c r="L66" s="163"/>
      <c r="M66" s="163"/>
      <c r="N66" s="5"/>
    </row>
    <row r="67" spans="1:14" outlineLevel="1" x14ac:dyDescent="0.25">
      <c r="A67" s="84"/>
      <c r="B67" s="361" t="s">
        <v>770</v>
      </c>
      <c r="C67" s="2" t="s">
        <v>15</v>
      </c>
      <c r="D67" s="540">
        <f>5+3</f>
        <v>8</v>
      </c>
      <c r="E67" s="2"/>
      <c r="F67" s="361">
        <v>36</v>
      </c>
      <c r="G67" s="2"/>
      <c r="H67" s="2">
        <f t="shared" si="4"/>
        <v>288</v>
      </c>
      <c r="I67" s="11">
        <f t="shared" si="2"/>
        <v>288</v>
      </c>
      <c r="K67" s="163"/>
      <c r="L67" s="163"/>
      <c r="M67" s="163"/>
      <c r="N67" s="5"/>
    </row>
    <row r="68" spans="1:14" outlineLevel="1" x14ac:dyDescent="0.25">
      <c r="A68" s="84"/>
      <c r="B68" s="361" t="s">
        <v>1331</v>
      </c>
      <c r="C68" s="2" t="s">
        <v>15</v>
      </c>
      <c r="D68" s="540">
        <f>97</f>
        <v>97</v>
      </c>
      <c r="E68" s="2"/>
      <c r="F68" s="361">
        <v>36</v>
      </c>
      <c r="G68" s="2"/>
      <c r="H68" s="2">
        <f t="shared" si="4"/>
        <v>3492</v>
      </c>
      <c r="I68" s="11">
        <f t="shared" si="2"/>
        <v>3492</v>
      </c>
      <c r="K68" s="163"/>
      <c r="L68" s="163"/>
      <c r="M68" s="163"/>
      <c r="N68" s="5"/>
    </row>
    <row r="69" spans="1:14" outlineLevel="1" x14ac:dyDescent="0.25">
      <c r="A69" s="84"/>
      <c r="B69" s="361" t="s">
        <v>771</v>
      </c>
      <c r="C69" s="2" t="s">
        <v>15</v>
      </c>
      <c r="D69" s="540">
        <v>40</v>
      </c>
      <c r="E69" s="2"/>
      <c r="F69" s="361">
        <v>36</v>
      </c>
      <c r="G69" s="2"/>
      <c r="H69" s="2">
        <f>ROUND(D69*F69,2)</f>
        <v>1440</v>
      </c>
      <c r="I69" s="11">
        <f>G69+H69</f>
        <v>1440</v>
      </c>
      <c r="K69" s="163"/>
      <c r="L69" s="163"/>
      <c r="M69" s="163"/>
      <c r="N69" s="5"/>
    </row>
    <row r="70" spans="1:14" outlineLevel="1" x14ac:dyDescent="0.25">
      <c r="A70" s="84"/>
      <c r="B70" s="361" t="s">
        <v>772</v>
      </c>
      <c r="C70" s="2" t="s">
        <v>15</v>
      </c>
      <c r="D70" s="540">
        <f>25+40</f>
        <v>65</v>
      </c>
      <c r="E70" s="2"/>
      <c r="F70" s="361">
        <v>33</v>
      </c>
      <c r="G70" s="2"/>
      <c r="H70" s="2">
        <f t="shared" si="4"/>
        <v>2145</v>
      </c>
      <c r="I70" s="11">
        <f t="shared" si="2"/>
        <v>2145</v>
      </c>
      <c r="K70" s="163"/>
      <c r="L70" s="163"/>
      <c r="M70" s="163"/>
      <c r="N70" s="5"/>
    </row>
    <row r="71" spans="1:14" outlineLevel="1" x14ac:dyDescent="0.25">
      <c r="A71" s="84"/>
      <c r="B71" s="361" t="s">
        <v>773</v>
      </c>
      <c r="C71" s="2" t="s">
        <v>15</v>
      </c>
      <c r="D71" s="540">
        <f>40+62</f>
        <v>102</v>
      </c>
      <c r="E71" s="2"/>
      <c r="F71" s="361">
        <v>33</v>
      </c>
      <c r="G71" s="2"/>
      <c r="H71" s="2">
        <f t="shared" si="4"/>
        <v>3366</v>
      </c>
      <c r="I71" s="11">
        <f t="shared" si="2"/>
        <v>3366</v>
      </c>
      <c r="K71" s="163"/>
      <c r="L71" s="163"/>
      <c r="M71" s="163"/>
      <c r="N71" s="5"/>
    </row>
    <row r="72" spans="1:14" outlineLevel="1" x14ac:dyDescent="0.25">
      <c r="A72" s="107" t="s">
        <v>66</v>
      </c>
      <c r="B72" s="538" t="s">
        <v>807</v>
      </c>
      <c r="C72" s="41" t="s">
        <v>14</v>
      </c>
      <c r="D72" s="282">
        <f>SUM(D64:D71)*27/1000</f>
        <v>27.232200000000002</v>
      </c>
      <c r="E72" s="353">
        <v>150</v>
      </c>
      <c r="F72" s="363"/>
      <c r="G72" s="2">
        <f>D72*E72</f>
        <v>4084.8300000000004</v>
      </c>
      <c r="H72" s="2"/>
      <c r="I72" s="11">
        <f>G72</f>
        <v>4084.8300000000004</v>
      </c>
      <c r="K72" s="163"/>
      <c r="L72" s="163"/>
      <c r="M72" s="163"/>
      <c r="N72" s="5"/>
    </row>
    <row r="73" spans="1:14" outlineLevel="1" x14ac:dyDescent="0.25">
      <c r="A73" s="84"/>
      <c r="B73" s="533" t="s">
        <v>908</v>
      </c>
      <c r="C73" s="41" t="s">
        <v>15</v>
      </c>
      <c r="D73" s="282">
        <f>D72*0.2</f>
        <v>5.4464400000000008</v>
      </c>
      <c r="E73" s="390"/>
      <c r="F73" s="362">
        <v>85</v>
      </c>
      <c r="G73" s="2"/>
      <c r="H73" s="2">
        <f>F73*D73</f>
        <v>462.94740000000007</v>
      </c>
      <c r="I73" s="11">
        <f>H73</f>
        <v>462.94740000000007</v>
      </c>
      <c r="K73" s="163"/>
      <c r="L73" s="163"/>
      <c r="M73" s="163"/>
      <c r="N73" s="5"/>
    </row>
    <row r="74" spans="1:14" outlineLevel="1" x14ac:dyDescent="0.25">
      <c r="A74" s="84"/>
      <c r="B74" s="533" t="s">
        <v>809</v>
      </c>
      <c r="C74" s="41" t="s">
        <v>15</v>
      </c>
      <c r="D74" s="282">
        <f>D72*0.3</f>
        <v>8.1696600000000004</v>
      </c>
      <c r="E74" s="390"/>
      <c r="F74" s="362">
        <v>115</v>
      </c>
      <c r="G74" s="2"/>
      <c r="H74" s="2">
        <f>F74*D74</f>
        <v>939.51089999999999</v>
      </c>
      <c r="I74" s="11">
        <f>H74</f>
        <v>939.51089999999999</v>
      </c>
      <c r="K74" s="163"/>
      <c r="L74" s="163"/>
      <c r="M74" s="163"/>
      <c r="N74" s="5"/>
    </row>
    <row r="75" spans="1:14" outlineLevel="1" x14ac:dyDescent="0.25">
      <c r="A75" s="107" t="s">
        <v>349</v>
      </c>
      <c r="B75" s="531" t="s">
        <v>787</v>
      </c>
      <c r="C75" s="31" t="s">
        <v>8</v>
      </c>
      <c r="D75" s="256">
        <f>0.92+0.12</f>
        <v>1.04</v>
      </c>
      <c r="E75" s="256">
        <v>800</v>
      </c>
      <c r="F75" s="11"/>
      <c r="G75" s="2">
        <f>ROUND(E75*D75,2)</f>
        <v>832</v>
      </c>
      <c r="H75" s="2"/>
      <c r="I75" s="11">
        <f t="shared" si="2"/>
        <v>832</v>
      </c>
      <c r="K75" s="163"/>
      <c r="L75" s="163"/>
      <c r="M75" s="163"/>
      <c r="N75" s="5"/>
    </row>
    <row r="76" spans="1:14" outlineLevel="1" x14ac:dyDescent="0.25">
      <c r="A76" s="84"/>
      <c r="B76" s="361" t="s">
        <v>738</v>
      </c>
      <c r="C76" s="2" t="s">
        <v>8</v>
      </c>
      <c r="D76" s="282">
        <f>D75*1.02</f>
        <v>1.0608</v>
      </c>
      <c r="E76" s="2"/>
      <c r="F76" s="664">
        <v>4200</v>
      </c>
      <c r="G76" s="2"/>
      <c r="H76" s="2">
        <f>ROUND(D76*F76,2)</f>
        <v>4455.3599999999997</v>
      </c>
      <c r="I76" s="11">
        <f t="shared" si="2"/>
        <v>4455.3599999999997</v>
      </c>
      <c r="K76" s="163"/>
      <c r="L76" s="163"/>
      <c r="M76" s="163"/>
      <c r="N76" s="5"/>
    </row>
    <row r="77" spans="1:14" outlineLevel="1" x14ac:dyDescent="0.25">
      <c r="A77" s="84"/>
      <c r="B77" s="533" t="s">
        <v>1339</v>
      </c>
      <c r="C77" s="41" t="s">
        <v>15</v>
      </c>
      <c r="D77" s="277">
        <f>18*0.61+57*0.54+14*0.33+20*0.22+6*0.1</f>
        <v>51.38</v>
      </c>
      <c r="E77" s="2"/>
      <c r="F77" s="364">
        <v>42</v>
      </c>
      <c r="G77" s="10"/>
      <c r="H77" s="2">
        <f>ROUND(D77*F77,2)</f>
        <v>2157.96</v>
      </c>
      <c r="I77" s="11">
        <f t="shared" si="2"/>
        <v>2157.96</v>
      </c>
      <c r="K77" s="163"/>
      <c r="L77" s="163"/>
      <c r="M77" s="163"/>
      <c r="N77" s="5"/>
    </row>
    <row r="78" spans="1:14" ht="17.25" customHeight="1" outlineLevel="1" x14ac:dyDescent="0.25">
      <c r="A78" s="107" t="s">
        <v>495</v>
      </c>
      <c r="B78" s="531" t="s">
        <v>1305</v>
      </c>
      <c r="C78" s="2" t="s">
        <v>8</v>
      </c>
      <c r="D78" s="256">
        <v>0.44</v>
      </c>
      <c r="E78" s="256">
        <v>1500</v>
      </c>
      <c r="F78" s="164"/>
      <c r="G78" s="2">
        <f>ROUND(E78*D78,2)</f>
        <v>660</v>
      </c>
      <c r="H78" s="2"/>
      <c r="I78" s="11">
        <f t="shared" ref="I78:I83" si="5">G78+H78</f>
        <v>660</v>
      </c>
      <c r="K78" s="161"/>
      <c r="L78" s="161"/>
      <c r="M78" s="161"/>
      <c r="N78" s="5"/>
    </row>
    <row r="79" spans="1:14" outlineLevel="1" x14ac:dyDescent="0.25">
      <c r="A79" s="84"/>
      <c r="B79" s="361" t="s">
        <v>738</v>
      </c>
      <c r="C79" s="2" t="s">
        <v>8</v>
      </c>
      <c r="D79" s="282">
        <f>D78*1.02</f>
        <v>0.44880000000000003</v>
      </c>
      <c r="E79" s="2"/>
      <c r="F79" s="664">
        <v>4200</v>
      </c>
      <c r="G79" s="2"/>
      <c r="H79" s="2">
        <f>ROUND(D79*F79,2)</f>
        <v>1884.96</v>
      </c>
      <c r="I79" s="60">
        <f t="shared" si="5"/>
        <v>1884.96</v>
      </c>
      <c r="K79" s="161"/>
      <c r="L79" s="161"/>
      <c r="M79" s="161"/>
      <c r="N79" s="5"/>
    </row>
    <row r="80" spans="1:14" outlineLevel="1" x14ac:dyDescent="0.25">
      <c r="A80" s="84"/>
      <c r="B80" s="361" t="s">
        <v>737</v>
      </c>
      <c r="C80" s="41" t="s">
        <v>15</v>
      </c>
      <c r="D80" s="277">
        <f>2*13.64+14*0.07</f>
        <v>28.26</v>
      </c>
      <c r="E80" s="2"/>
      <c r="F80" s="364">
        <v>42</v>
      </c>
      <c r="G80" s="10"/>
      <c r="H80" s="2">
        <f>ROUND(D80*F80,2)</f>
        <v>1186.92</v>
      </c>
      <c r="I80" s="11">
        <f t="shared" si="5"/>
        <v>1186.92</v>
      </c>
      <c r="K80" s="161"/>
      <c r="L80" s="161"/>
      <c r="M80" s="161"/>
      <c r="N80" s="5"/>
    </row>
    <row r="81" spans="1:14" outlineLevel="1" x14ac:dyDescent="0.25">
      <c r="A81" s="107" t="s">
        <v>496</v>
      </c>
      <c r="B81" s="536" t="s">
        <v>740</v>
      </c>
      <c r="C81" s="46" t="s">
        <v>12</v>
      </c>
      <c r="D81" s="275">
        <f>SUM(D82:D89)</f>
        <v>62</v>
      </c>
      <c r="E81" s="275">
        <v>600</v>
      </c>
      <c r="F81" s="43"/>
      <c r="G81" s="2">
        <f>ROUND(E81*D81,2)</f>
        <v>37200</v>
      </c>
      <c r="H81" s="11"/>
      <c r="I81" s="11">
        <f t="shared" si="5"/>
        <v>37200</v>
      </c>
      <c r="K81" s="161"/>
      <c r="L81" s="161"/>
      <c r="M81" s="161"/>
      <c r="N81" s="5"/>
    </row>
    <row r="82" spans="1:14" outlineLevel="1" x14ac:dyDescent="0.25">
      <c r="A82" s="84"/>
      <c r="B82" s="533" t="s">
        <v>751</v>
      </c>
      <c r="C82" s="2" t="s">
        <v>12</v>
      </c>
      <c r="D82" s="282">
        <v>19</v>
      </c>
      <c r="E82" s="31"/>
      <c r="F82" s="363">
        <v>15000</v>
      </c>
      <c r="G82" s="2"/>
      <c r="H82" s="2">
        <f>ROUND(D82*F82,2)</f>
        <v>285000</v>
      </c>
      <c r="I82" s="60">
        <f t="shared" si="5"/>
        <v>285000</v>
      </c>
      <c r="K82" s="161"/>
      <c r="L82" s="161"/>
      <c r="M82" s="161"/>
      <c r="N82" s="5"/>
    </row>
    <row r="83" spans="1:14" outlineLevel="1" x14ac:dyDescent="0.25">
      <c r="A83" s="84"/>
      <c r="B83" s="533" t="s">
        <v>887</v>
      </c>
      <c r="C83" s="2" t="s">
        <v>12</v>
      </c>
      <c r="D83" s="282">
        <v>5</v>
      </c>
      <c r="E83" s="31"/>
      <c r="F83" s="363">
        <v>15000</v>
      </c>
      <c r="G83" s="2"/>
      <c r="H83" s="2">
        <f>ROUND(D83*F83,2)</f>
        <v>75000</v>
      </c>
      <c r="I83" s="60">
        <f t="shared" si="5"/>
        <v>75000</v>
      </c>
      <c r="K83" s="161"/>
      <c r="L83" s="161"/>
      <c r="M83" s="161"/>
      <c r="N83" s="5"/>
    </row>
    <row r="84" spans="1:14" outlineLevel="1" x14ac:dyDescent="0.25">
      <c r="A84" s="84"/>
      <c r="B84" s="533" t="s">
        <v>743</v>
      </c>
      <c r="C84" s="2" t="s">
        <v>12</v>
      </c>
      <c r="D84" s="282">
        <v>21</v>
      </c>
      <c r="E84" s="31"/>
      <c r="F84" s="362">
        <v>9631</v>
      </c>
      <c r="G84" s="2"/>
      <c r="H84" s="2">
        <f t="shared" ref="H84:H89" si="6">ROUND(D84*F84,2)</f>
        <v>202251</v>
      </c>
      <c r="I84" s="60">
        <f t="shared" ref="I84:I95" si="7">G84+H84</f>
        <v>202251</v>
      </c>
      <c r="K84" s="161"/>
      <c r="L84" s="161"/>
      <c r="M84" s="161"/>
      <c r="N84" s="5"/>
    </row>
    <row r="85" spans="1:14" outlineLevel="1" x14ac:dyDescent="0.25">
      <c r="A85" s="84"/>
      <c r="B85" s="533" t="s">
        <v>744</v>
      </c>
      <c r="C85" s="2" t="s">
        <v>12</v>
      </c>
      <c r="D85" s="282">
        <v>5</v>
      </c>
      <c r="E85" s="31"/>
      <c r="F85" s="362">
        <v>11987</v>
      </c>
      <c r="G85" s="2"/>
      <c r="H85" s="2">
        <f t="shared" si="6"/>
        <v>59935</v>
      </c>
      <c r="I85" s="60">
        <f t="shared" si="7"/>
        <v>59935</v>
      </c>
      <c r="K85" s="161"/>
      <c r="L85" s="161"/>
      <c r="M85" s="161"/>
      <c r="N85" s="5"/>
    </row>
    <row r="86" spans="1:14" outlineLevel="1" x14ac:dyDescent="0.25">
      <c r="A86" s="84"/>
      <c r="B86" s="533" t="s">
        <v>1337</v>
      </c>
      <c r="C86" s="2" t="s">
        <v>12</v>
      </c>
      <c r="D86" s="282">
        <v>2</v>
      </c>
      <c r="E86" s="31"/>
      <c r="F86" s="362">
        <v>4100</v>
      </c>
      <c r="G86" s="2"/>
      <c r="H86" s="2">
        <f t="shared" si="6"/>
        <v>8200</v>
      </c>
      <c r="I86" s="60">
        <f t="shared" si="7"/>
        <v>8200</v>
      </c>
      <c r="K86" s="161"/>
      <c r="L86" s="161"/>
      <c r="M86" s="161"/>
      <c r="N86" s="5"/>
    </row>
    <row r="87" spans="1:14" outlineLevel="1" x14ac:dyDescent="0.25">
      <c r="A87" s="84"/>
      <c r="B87" s="533" t="s">
        <v>1338</v>
      </c>
      <c r="C87" s="2" t="s">
        <v>12</v>
      </c>
      <c r="D87" s="282">
        <v>2</v>
      </c>
      <c r="E87" s="31"/>
      <c r="F87" s="363">
        <v>12000</v>
      </c>
      <c r="G87" s="2"/>
      <c r="H87" s="2">
        <f t="shared" si="6"/>
        <v>24000</v>
      </c>
      <c r="I87" s="60">
        <f t="shared" si="7"/>
        <v>24000</v>
      </c>
      <c r="K87" s="161"/>
      <c r="L87" s="161"/>
      <c r="M87" s="161"/>
      <c r="N87" s="5"/>
    </row>
    <row r="88" spans="1:14" outlineLevel="1" x14ac:dyDescent="0.25">
      <c r="A88" s="84"/>
      <c r="B88" s="533" t="s">
        <v>1319</v>
      </c>
      <c r="C88" s="2" t="s">
        <v>12</v>
      </c>
      <c r="D88" s="282">
        <f>2</f>
        <v>2</v>
      </c>
      <c r="E88" s="31"/>
      <c r="F88" s="363">
        <v>15000</v>
      </c>
      <c r="G88" s="2"/>
      <c r="H88" s="2">
        <f t="shared" si="6"/>
        <v>30000</v>
      </c>
      <c r="I88" s="60">
        <f t="shared" si="7"/>
        <v>30000</v>
      </c>
      <c r="K88" s="161"/>
      <c r="L88" s="161"/>
      <c r="M88" s="161"/>
      <c r="N88" s="5"/>
    </row>
    <row r="89" spans="1:14" outlineLevel="1" x14ac:dyDescent="0.25">
      <c r="A89" s="84"/>
      <c r="B89" s="533" t="s">
        <v>1307</v>
      </c>
      <c r="C89" s="2" t="s">
        <v>12</v>
      </c>
      <c r="D89" s="282">
        <v>6</v>
      </c>
      <c r="E89" s="31"/>
      <c r="F89" s="362">
        <v>18060</v>
      </c>
      <c r="G89" s="2"/>
      <c r="H89" s="2">
        <f t="shared" si="6"/>
        <v>108360</v>
      </c>
      <c r="I89" s="60">
        <f t="shared" si="7"/>
        <v>108360</v>
      </c>
      <c r="K89" s="161"/>
      <c r="L89" s="161"/>
      <c r="M89" s="161"/>
      <c r="N89" s="5"/>
    </row>
    <row r="90" spans="1:14" outlineLevel="1" x14ac:dyDescent="0.25">
      <c r="A90" s="84"/>
      <c r="B90" s="535" t="s">
        <v>480</v>
      </c>
      <c r="C90" s="41" t="s">
        <v>9</v>
      </c>
      <c r="D90" s="534">
        <f>МЭ!O7/1000</f>
        <v>0.12459000000000001</v>
      </c>
      <c r="E90" s="43"/>
      <c r="F90" s="364">
        <v>40000</v>
      </c>
      <c r="G90" s="18"/>
      <c r="H90" s="2">
        <f>ROUND(D90*F90,2)</f>
        <v>4983.6000000000004</v>
      </c>
      <c r="I90" s="11">
        <f t="shared" si="7"/>
        <v>4983.6000000000004</v>
      </c>
      <c r="K90" s="161"/>
      <c r="L90" s="161"/>
      <c r="M90" s="161"/>
      <c r="N90" s="5"/>
    </row>
    <row r="91" spans="1:14" outlineLevel="1" x14ac:dyDescent="0.25">
      <c r="A91" s="84"/>
      <c r="B91" s="45" t="s">
        <v>198</v>
      </c>
      <c r="C91" s="41" t="s">
        <v>9</v>
      </c>
      <c r="D91" s="42">
        <f>0.11/334.51*D80</f>
        <v>9.2929957250904322E-3</v>
      </c>
      <c r="E91" s="43"/>
      <c r="F91" s="364">
        <f>65*1.1*1000</f>
        <v>71500</v>
      </c>
      <c r="G91" s="2"/>
      <c r="H91" s="2">
        <f>ROUND(D91*F91,2)</f>
        <v>664.45</v>
      </c>
      <c r="I91" s="11">
        <f t="shared" si="7"/>
        <v>664.45</v>
      </c>
      <c r="K91" s="161"/>
      <c r="L91" s="161"/>
      <c r="M91" s="161"/>
      <c r="N91" s="5"/>
    </row>
    <row r="92" spans="1:14" outlineLevel="1" x14ac:dyDescent="0.25">
      <c r="A92" s="107" t="s">
        <v>621</v>
      </c>
      <c r="B92" s="538" t="s">
        <v>788</v>
      </c>
      <c r="C92" s="203" t="s">
        <v>8</v>
      </c>
      <c r="D92" s="537">
        <v>2.1</v>
      </c>
      <c r="E92" s="353">
        <v>800</v>
      </c>
      <c r="F92" s="139"/>
      <c r="G92" s="2">
        <f>ROUND(E92*D92,2)</f>
        <v>1680</v>
      </c>
      <c r="H92" s="26"/>
      <c r="I92" s="11">
        <f t="shared" si="7"/>
        <v>1680</v>
      </c>
      <c r="K92" s="161"/>
      <c r="L92" s="161"/>
      <c r="M92" s="161"/>
      <c r="N92" s="5"/>
    </row>
    <row r="93" spans="1:14" outlineLevel="1" x14ac:dyDescent="0.25">
      <c r="A93" s="84"/>
      <c r="B93" s="533" t="s">
        <v>366</v>
      </c>
      <c r="C93" s="41" t="s">
        <v>15</v>
      </c>
      <c r="D93" s="277">
        <f>МЭ!O17</f>
        <v>271.62</v>
      </c>
      <c r="E93" s="2"/>
      <c r="F93" s="364">
        <v>34</v>
      </c>
      <c r="G93" s="10"/>
      <c r="H93" s="2">
        <f>ROUND(D93*F93,2)</f>
        <v>9235.08</v>
      </c>
      <c r="I93" s="11">
        <f t="shared" si="7"/>
        <v>9235.08</v>
      </c>
      <c r="K93" s="161"/>
      <c r="L93" s="161"/>
      <c r="M93" s="161"/>
      <c r="N93" s="5"/>
    </row>
    <row r="94" spans="1:14" outlineLevel="1" x14ac:dyDescent="0.25">
      <c r="A94" s="84"/>
      <c r="B94" s="533" t="s">
        <v>1308</v>
      </c>
      <c r="C94" s="41" t="s">
        <v>15</v>
      </c>
      <c r="D94" s="277">
        <f>МЭ!O21</f>
        <v>4.82</v>
      </c>
      <c r="E94" s="2"/>
      <c r="F94" s="364">
        <v>42</v>
      </c>
      <c r="G94" s="10"/>
      <c r="H94" s="2">
        <f>ROUND(D94*F94,2)</f>
        <v>202.44</v>
      </c>
      <c r="I94" s="11">
        <f t="shared" si="7"/>
        <v>202.44</v>
      </c>
      <c r="K94" s="161"/>
      <c r="L94" s="161"/>
      <c r="M94" s="161"/>
      <c r="N94" s="5"/>
    </row>
    <row r="95" spans="1:14" outlineLevel="1" x14ac:dyDescent="0.25">
      <c r="A95" s="84"/>
      <c r="B95" s="533" t="s">
        <v>1309</v>
      </c>
      <c r="C95" s="41" t="s">
        <v>8</v>
      </c>
      <c r="D95" s="277">
        <f>D92*1.015</f>
        <v>2.1315</v>
      </c>
      <c r="E95" s="2"/>
      <c r="F95" s="664">
        <v>4200</v>
      </c>
      <c r="G95" s="31"/>
      <c r="H95" s="2">
        <f>ROUND(D95*F95,2)</f>
        <v>8952.2999999999993</v>
      </c>
      <c r="I95" s="11">
        <f t="shared" si="7"/>
        <v>8952.2999999999993</v>
      </c>
      <c r="K95" s="161"/>
      <c r="L95" s="161"/>
      <c r="M95" s="161"/>
      <c r="N95" s="5"/>
    </row>
    <row r="96" spans="1:14" hidden="1" outlineLevel="1" x14ac:dyDescent="0.25">
      <c r="A96" s="84"/>
      <c r="B96" s="309"/>
      <c r="C96" s="2"/>
      <c r="D96" s="340"/>
      <c r="E96" s="2"/>
      <c r="F96" s="164"/>
      <c r="G96" s="2"/>
      <c r="H96" s="2"/>
      <c r="I96" s="60"/>
      <c r="K96" s="161"/>
      <c r="L96" s="161"/>
      <c r="M96" s="161"/>
      <c r="N96" s="5"/>
    </row>
    <row r="97" spans="1:252" s="6" customFormat="1" hidden="1" outlineLevel="1" x14ac:dyDescent="0.25">
      <c r="A97" s="269" t="s">
        <v>496</v>
      </c>
      <c r="B97" s="313" t="s">
        <v>27</v>
      </c>
      <c r="C97" s="31" t="s">
        <v>14</v>
      </c>
      <c r="D97" s="306">
        <v>0</v>
      </c>
      <c r="E97" s="256">
        <v>100</v>
      </c>
      <c r="F97" s="11"/>
      <c r="G97" s="2">
        <f>ROUND(E97*D97,2)</f>
        <v>0</v>
      </c>
      <c r="H97" s="2"/>
      <c r="I97" s="11">
        <f>G97+H97</f>
        <v>0</v>
      </c>
      <c r="K97" s="161"/>
      <c r="L97" s="161"/>
      <c r="M97" s="161"/>
      <c r="N97" s="5"/>
    </row>
    <row r="98" spans="1:252" ht="31.2" hidden="1" outlineLevel="1" x14ac:dyDescent="0.25">
      <c r="A98" s="86"/>
      <c r="B98" s="309" t="s">
        <v>28</v>
      </c>
      <c r="C98" s="2" t="s">
        <v>8</v>
      </c>
      <c r="D98" s="340">
        <f>ROUND(D97*0.1*1.03,2)</f>
        <v>0</v>
      </c>
      <c r="E98" s="2"/>
      <c r="F98" s="164">
        <v>4100</v>
      </c>
      <c r="G98" s="2"/>
      <c r="H98" s="2">
        <f>ROUND(D98*F98,2)</f>
        <v>0</v>
      </c>
      <c r="I98" s="11">
        <f>G98+H98</f>
        <v>0</v>
      </c>
      <c r="K98" s="161"/>
      <c r="L98" s="161"/>
      <c r="M98" s="161"/>
      <c r="N98" s="5"/>
    </row>
    <row r="99" spans="1:252" s="36" customFormat="1" ht="36" hidden="1" customHeight="1" outlineLevel="1" x14ac:dyDescent="0.25">
      <c r="A99" s="261" t="s">
        <v>621</v>
      </c>
      <c r="B99" s="307" t="s">
        <v>209</v>
      </c>
      <c r="C99" s="31" t="s">
        <v>14</v>
      </c>
      <c r="D99" s="306">
        <v>0</v>
      </c>
      <c r="E99" s="256">
        <v>150</v>
      </c>
      <c r="F99" s="11"/>
      <c r="G99" s="2">
        <f>ROUND(E99*D99,2)</f>
        <v>0</v>
      </c>
      <c r="H99" s="2"/>
      <c r="I99" s="11">
        <f>G99+H99</f>
        <v>0</v>
      </c>
      <c r="K99" s="161"/>
      <c r="L99" s="161"/>
      <c r="M99" s="161"/>
      <c r="N99" s="5"/>
    </row>
    <row r="100" spans="1:252" hidden="1" outlineLevel="1" x14ac:dyDescent="0.25">
      <c r="A100" s="84"/>
      <c r="B100" s="309" t="s">
        <v>65</v>
      </c>
      <c r="C100" s="2" t="s">
        <v>15</v>
      </c>
      <c r="D100" s="340">
        <f>2.5*D99</f>
        <v>0</v>
      </c>
      <c r="E100" s="2"/>
      <c r="F100" s="361">
        <v>55</v>
      </c>
      <c r="G100" s="2"/>
      <c r="H100" s="2">
        <f>ROUND(D100*F100,2)</f>
        <v>0</v>
      </c>
      <c r="I100" s="11">
        <f>G100+H100</f>
        <v>0</v>
      </c>
      <c r="K100" s="161"/>
      <c r="L100" s="161"/>
      <c r="M100" s="161"/>
      <c r="N100" s="5"/>
    </row>
    <row r="101" spans="1:252" hidden="1" outlineLevel="1" x14ac:dyDescent="0.25">
      <c r="A101" s="84"/>
      <c r="B101" s="309" t="s">
        <v>68</v>
      </c>
      <c r="C101" s="2" t="s">
        <v>30</v>
      </c>
      <c r="D101" s="340">
        <f>0.35*D99</f>
        <v>0</v>
      </c>
      <c r="E101" s="2"/>
      <c r="F101" s="361">
        <v>44</v>
      </c>
      <c r="G101" s="2"/>
      <c r="H101" s="2">
        <f>ROUND(D101*F101,2)</f>
        <v>0</v>
      </c>
      <c r="I101" s="11">
        <f>G101+H101</f>
        <v>0</v>
      </c>
      <c r="K101" s="161"/>
      <c r="L101" s="161"/>
      <c r="M101" s="161"/>
      <c r="N101" s="5"/>
    </row>
    <row r="102" spans="1:252" s="36" customFormat="1" ht="31.2" collapsed="1" x14ac:dyDescent="0.25">
      <c r="A102" s="212"/>
      <c r="B102" s="213" t="s">
        <v>577</v>
      </c>
      <c r="C102" s="222"/>
      <c r="D102" s="215"/>
      <c r="E102" s="216"/>
      <c r="F102" s="217"/>
      <c r="G102" s="216">
        <f>SUM(G51:G101)</f>
        <v>47226.92</v>
      </c>
      <c r="H102" s="216">
        <f>SUM(H51:H101)</f>
        <v>909562.27829999989</v>
      </c>
      <c r="I102" s="215">
        <f>SUM(I51:I101)</f>
        <v>956789.19829999981</v>
      </c>
    </row>
    <row r="103" spans="1:252" s="39" customFormat="1" ht="18.600000000000001" customHeight="1" x14ac:dyDescent="0.25">
      <c r="A103" s="549"/>
      <c r="B103" s="58" t="s">
        <v>624</v>
      </c>
      <c r="C103" s="9"/>
      <c r="D103" s="31"/>
      <c r="E103" s="10"/>
      <c r="F103" s="57"/>
      <c r="G103" s="10"/>
      <c r="H103" s="10"/>
      <c r="I103" s="31">
        <f>ROUND(I102/1.18*0.18,2)</f>
        <v>145950.89000000001</v>
      </c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25"/>
      <c r="IG103" s="25"/>
      <c r="IH103" s="25"/>
      <c r="II103" s="25"/>
      <c r="IJ103" s="25"/>
      <c r="IK103" s="25"/>
      <c r="IL103" s="25"/>
      <c r="IM103" s="25"/>
      <c r="IN103" s="25"/>
      <c r="IO103" s="25"/>
      <c r="IP103" s="25"/>
      <c r="IQ103" s="25"/>
      <c r="IR103" s="25"/>
    </row>
    <row r="104" spans="1:252" ht="18.75" customHeight="1" x14ac:dyDescent="0.25">
      <c r="A104" s="104"/>
      <c r="B104" s="556" t="s">
        <v>789</v>
      </c>
      <c r="C104" s="105"/>
      <c r="D104" s="105"/>
      <c r="E104" s="105"/>
      <c r="F104" s="138"/>
      <c r="G104" s="105"/>
      <c r="H104" s="105"/>
      <c r="I104" s="106"/>
    </row>
    <row r="105" spans="1:252" ht="32.25" customHeight="1" outlineLevel="1" x14ac:dyDescent="0.25">
      <c r="A105" s="107" t="s">
        <v>219</v>
      </c>
      <c r="B105" s="531" t="s">
        <v>1285</v>
      </c>
      <c r="C105" s="30" t="s">
        <v>8</v>
      </c>
      <c r="D105" s="256">
        <f>кладка!J49-окна!Q63-окна!T57</f>
        <v>485.40883100000013</v>
      </c>
      <c r="E105" s="256">
        <v>1600</v>
      </c>
      <c r="F105" s="11"/>
      <c r="G105" s="2">
        <f>ROUND(E105*D105,2)</f>
        <v>776654.13</v>
      </c>
      <c r="H105" s="2"/>
      <c r="I105" s="11">
        <f>G105+H105</f>
        <v>776654.13</v>
      </c>
      <c r="K105" s="280"/>
    </row>
    <row r="106" spans="1:252" ht="17.25" customHeight="1" outlineLevel="1" x14ac:dyDescent="0.25">
      <c r="A106" s="84"/>
      <c r="B106" s="361" t="s">
        <v>796</v>
      </c>
      <c r="C106" s="2" t="s">
        <v>12</v>
      </c>
      <c r="D106" s="282">
        <f>D105*400</f>
        <v>194163.53240000005</v>
      </c>
      <c r="E106" s="158"/>
      <c r="F106" s="664">
        <v>8.27</v>
      </c>
      <c r="G106" s="2"/>
      <c r="H106" s="2">
        <f>ROUND(D106*F106,2)</f>
        <v>1605732.41</v>
      </c>
      <c r="I106" s="11">
        <f>G106+H106</f>
        <v>1605732.41</v>
      </c>
      <c r="K106" s="280"/>
    </row>
    <row r="107" spans="1:252" ht="17.25" customHeight="1" outlineLevel="1" x14ac:dyDescent="0.25">
      <c r="A107" s="84"/>
      <c r="B107" s="361" t="s">
        <v>797</v>
      </c>
      <c r="C107" s="2" t="s">
        <v>8</v>
      </c>
      <c r="D107" s="282">
        <f>ROUND(0.23*D105,2)</f>
        <v>111.64</v>
      </c>
      <c r="E107" s="158"/>
      <c r="F107" s="361">
        <v>2600</v>
      </c>
      <c r="G107" s="2"/>
      <c r="H107" s="2">
        <f>ROUND(D107*F107,2)</f>
        <v>290264</v>
      </c>
      <c r="I107" s="11">
        <f>G107+H107</f>
        <v>290264</v>
      </c>
      <c r="K107" s="280"/>
    </row>
    <row r="108" spans="1:252" ht="15.75" customHeight="1" outlineLevel="1" x14ac:dyDescent="0.25">
      <c r="A108" s="84"/>
      <c r="B108" s="361" t="s">
        <v>862</v>
      </c>
      <c r="C108" s="2" t="s">
        <v>9</v>
      </c>
      <c r="D108" s="282">
        <f>(1.97*3000+2.56*400)/1000</f>
        <v>6.9340000000000002</v>
      </c>
      <c r="E108" s="158"/>
      <c r="F108" s="361">
        <v>42000</v>
      </c>
      <c r="G108" s="2"/>
      <c r="H108" s="2">
        <f>ROUND(D108*F108,2)</f>
        <v>291228</v>
      </c>
      <c r="I108" s="11">
        <f>G108+H108</f>
        <v>291228</v>
      </c>
      <c r="K108" s="280"/>
    </row>
    <row r="109" spans="1:252" ht="18.75" customHeight="1" outlineLevel="1" x14ac:dyDescent="0.25">
      <c r="A109" s="107" t="s">
        <v>498</v>
      </c>
      <c r="B109" s="531" t="s">
        <v>963</v>
      </c>
      <c r="C109" s="30" t="s">
        <v>8</v>
      </c>
      <c r="D109" s="256">
        <f>кладка!N49</f>
        <v>51.461524499999996</v>
      </c>
      <c r="E109" s="256">
        <v>1600</v>
      </c>
      <c r="F109" s="11"/>
      <c r="G109" s="2">
        <f>ROUND(E109*D109,2)</f>
        <v>82338.44</v>
      </c>
      <c r="H109" s="2"/>
      <c r="I109" s="11">
        <f t="shared" ref="I109:I145" si="8">G109+H109</f>
        <v>82338.44</v>
      </c>
      <c r="K109" s="280"/>
    </row>
    <row r="110" spans="1:252" ht="33.75" customHeight="1" outlineLevel="1" x14ac:dyDescent="0.25">
      <c r="A110" s="84"/>
      <c r="B110" s="361" t="s">
        <v>793</v>
      </c>
      <c r="C110" s="2" t="s">
        <v>12</v>
      </c>
      <c r="D110" s="282">
        <f>D109*513</f>
        <v>26399.762068499997</v>
      </c>
      <c r="E110" s="158"/>
      <c r="F110" s="664">
        <v>10.75</v>
      </c>
      <c r="G110" s="2"/>
      <c r="H110" s="2">
        <f>ROUND(D110*F110,2)</f>
        <v>283797.44</v>
      </c>
      <c r="I110" s="11">
        <f t="shared" si="8"/>
        <v>283797.44</v>
      </c>
      <c r="K110" s="280"/>
    </row>
    <row r="111" spans="1:252" ht="15" customHeight="1" outlineLevel="1" x14ac:dyDescent="0.25">
      <c r="A111" s="84"/>
      <c r="B111" s="361" t="s">
        <v>797</v>
      </c>
      <c r="C111" s="2" t="s">
        <v>8</v>
      </c>
      <c r="D111" s="282">
        <f>ROUND(0.23*D109,2)</f>
        <v>11.84</v>
      </c>
      <c r="E111" s="158"/>
      <c r="F111" s="361">
        <v>2600</v>
      </c>
      <c r="G111" s="2"/>
      <c r="H111" s="2">
        <f>ROUND(D111*F111,2)</f>
        <v>30784</v>
      </c>
      <c r="I111" s="11">
        <f t="shared" si="8"/>
        <v>30784</v>
      </c>
      <c r="K111" s="280"/>
    </row>
    <row r="112" spans="1:252" ht="16.5" hidden="1" customHeight="1" outlineLevel="1" x14ac:dyDescent="0.25">
      <c r="A112" s="84"/>
      <c r="B112" s="164" t="s">
        <v>794</v>
      </c>
      <c r="C112" s="2" t="s">
        <v>8</v>
      </c>
      <c r="D112" s="401">
        <v>0</v>
      </c>
      <c r="E112" s="158"/>
      <c r="F112" s="164">
        <v>4100</v>
      </c>
      <c r="G112" s="2"/>
      <c r="H112" s="2">
        <f>ROUND(D112*F112,2)</f>
        <v>0</v>
      </c>
      <c r="I112" s="11">
        <f t="shared" si="8"/>
        <v>0</v>
      </c>
      <c r="K112" s="280"/>
    </row>
    <row r="113" spans="1:12" ht="15" hidden="1" customHeight="1" outlineLevel="1" x14ac:dyDescent="0.25">
      <c r="A113" s="107" t="s">
        <v>501</v>
      </c>
      <c r="B113" s="379" t="s">
        <v>964</v>
      </c>
      <c r="C113" s="30" t="s">
        <v>8</v>
      </c>
      <c r="D113" s="351">
        <v>0</v>
      </c>
      <c r="E113" s="166">
        <v>1500</v>
      </c>
      <c r="F113" s="11"/>
      <c r="G113" s="2">
        <f>ROUND(E113*D113,2)</f>
        <v>0</v>
      </c>
      <c r="H113" s="2"/>
      <c r="I113" s="11">
        <f t="shared" si="8"/>
        <v>0</v>
      </c>
      <c r="K113" s="280"/>
    </row>
    <row r="114" spans="1:12" ht="15" hidden="1" customHeight="1" outlineLevel="1" x14ac:dyDescent="0.25">
      <c r="A114" s="84"/>
      <c r="B114" s="368" t="s">
        <v>796</v>
      </c>
      <c r="C114" s="2" t="s">
        <v>12</v>
      </c>
      <c r="D114" s="401">
        <f>D113*400</f>
        <v>0</v>
      </c>
      <c r="E114" s="158"/>
      <c r="F114" s="361">
        <v>11.7</v>
      </c>
      <c r="G114" s="2"/>
      <c r="H114" s="2">
        <f>ROUND(D114*F114,2)</f>
        <v>0</v>
      </c>
      <c r="I114" s="11">
        <f t="shared" si="8"/>
        <v>0</v>
      </c>
      <c r="K114" s="280"/>
    </row>
    <row r="115" spans="1:12" ht="15" hidden="1" customHeight="1" outlineLevel="1" x14ac:dyDescent="0.25">
      <c r="A115" s="84"/>
      <c r="B115" s="368" t="s">
        <v>756</v>
      </c>
      <c r="C115" s="2" t="s">
        <v>8</v>
      </c>
      <c r="D115" s="401">
        <f>ROUND(0.23*D113,2)</f>
        <v>0</v>
      </c>
      <c r="E115" s="158"/>
      <c r="F115" s="361">
        <v>2700</v>
      </c>
      <c r="G115" s="2"/>
      <c r="H115" s="2">
        <f>ROUND(D115*F115,2)</f>
        <v>0</v>
      </c>
      <c r="I115" s="11">
        <f t="shared" si="8"/>
        <v>0</v>
      </c>
      <c r="K115" s="280"/>
    </row>
    <row r="116" spans="1:12" ht="18.899999999999999" hidden="1" customHeight="1" outlineLevel="1" x14ac:dyDescent="0.25">
      <c r="A116" s="107" t="s">
        <v>502</v>
      </c>
      <c r="B116" s="379" t="s">
        <v>795</v>
      </c>
      <c r="C116" s="30" t="s">
        <v>8</v>
      </c>
      <c r="D116" s="351">
        <v>0</v>
      </c>
      <c r="E116" s="166">
        <v>1500</v>
      </c>
      <c r="F116" s="11"/>
      <c r="G116" s="2">
        <f>ROUND(E116*D116,2)</f>
        <v>0</v>
      </c>
      <c r="H116" s="2"/>
      <c r="I116" s="11">
        <f t="shared" si="8"/>
        <v>0</v>
      </c>
      <c r="K116" s="280"/>
    </row>
    <row r="117" spans="1:12" ht="15.75" hidden="1" customHeight="1" outlineLevel="1" x14ac:dyDescent="0.25">
      <c r="A117" s="84"/>
      <c r="B117" s="368" t="s">
        <v>796</v>
      </c>
      <c r="C117" s="2" t="s">
        <v>12</v>
      </c>
      <c r="D117" s="401">
        <f>D116*400</f>
        <v>0</v>
      </c>
      <c r="E117" s="158"/>
      <c r="F117" s="361">
        <v>11.7</v>
      </c>
      <c r="G117" s="2"/>
      <c r="H117" s="2">
        <f>ROUND(D117*F117,2)</f>
        <v>0</v>
      </c>
      <c r="I117" s="11">
        <f t="shared" si="8"/>
        <v>0</v>
      </c>
      <c r="K117" s="280"/>
    </row>
    <row r="118" spans="1:12" ht="15" hidden="1" customHeight="1" outlineLevel="1" x14ac:dyDescent="0.25">
      <c r="A118" s="84"/>
      <c r="B118" s="368" t="s">
        <v>756</v>
      </c>
      <c r="C118" s="2" t="s">
        <v>8</v>
      </c>
      <c r="D118" s="401">
        <f>ROUND(0.23*D116,2)</f>
        <v>0</v>
      </c>
      <c r="E118" s="158"/>
      <c r="F118" s="361">
        <v>2700</v>
      </c>
      <c r="G118" s="2"/>
      <c r="H118" s="2">
        <f>ROUND(D118*F118,2)</f>
        <v>0</v>
      </c>
      <c r="I118" s="11">
        <f t="shared" si="8"/>
        <v>0</v>
      </c>
      <c r="K118" s="280"/>
    </row>
    <row r="119" spans="1:12" ht="31.2" outlineLevel="1" x14ac:dyDescent="0.25">
      <c r="A119" s="107" t="s">
        <v>499</v>
      </c>
      <c r="B119" s="531" t="s">
        <v>798</v>
      </c>
      <c r="C119" s="30" t="s">
        <v>8</v>
      </c>
      <c r="D119" s="541">
        <f>кладка!O70</f>
        <v>22.031257999999987</v>
      </c>
      <c r="E119" s="256">
        <v>1600</v>
      </c>
      <c r="F119" s="11"/>
      <c r="G119" s="2">
        <f>ROUND(E119*D119,2)</f>
        <v>35250.01</v>
      </c>
      <c r="H119" s="2"/>
      <c r="I119" s="11">
        <f t="shared" si="8"/>
        <v>35250.01</v>
      </c>
      <c r="K119" s="5"/>
      <c r="L119" s="132"/>
    </row>
    <row r="120" spans="1:12" s="17" customFormat="1" ht="31.2" outlineLevel="1" x14ac:dyDescent="0.25">
      <c r="A120" s="86"/>
      <c r="B120" s="361" t="s">
        <v>799</v>
      </c>
      <c r="C120" s="2" t="s">
        <v>12</v>
      </c>
      <c r="D120" s="282">
        <f>D119*513</f>
        <v>11302.035353999994</v>
      </c>
      <c r="E120" s="2"/>
      <c r="F120" s="664">
        <v>10.75</v>
      </c>
      <c r="G120" s="2"/>
      <c r="H120" s="2">
        <f>ROUND(D120*F120,2)</f>
        <v>121496.88</v>
      </c>
      <c r="I120" s="11">
        <f t="shared" si="8"/>
        <v>121496.88</v>
      </c>
    </row>
    <row r="121" spans="1:12" s="6" customFormat="1" outlineLevel="1" x14ac:dyDescent="0.25">
      <c r="A121" s="88"/>
      <c r="B121" s="361" t="s">
        <v>800</v>
      </c>
      <c r="C121" s="2" t="s">
        <v>8</v>
      </c>
      <c r="D121" s="282">
        <f>ROUND(0.23*D119,2)</f>
        <v>5.07</v>
      </c>
      <c r="E121" s="2"/>
      <c r="F121" s="361">
        <v>2500</v>
      </c>
      <c r="G121" s="2"/>
      <c r="H121" s="2">
        <f>ROUND(D121*F121,2)</f>
        <v>12675</v>
      </c>
      <c r="I121" s="11">
        <f t="shared" si="8"/>
        <v>12675</v>
      </c>
    </row>
    <row r="122" spans="1:12" s="6" customFormat="1" outlineLevel="1" x14ac:dyDescent="0.25">
      <c r="A122" s="83"/>
      <c r="B122" s="361" t="s">
        <v>794</v>
      </c>
      <c r="C122" s="2" t="s">
        <v>8</v>
      </c>
      <c r="D122" s="542">
        <f>кладка!P70*0.15</f>
        <v>21.192149999999984</v>
      </c>
      <c r="E122" s="2"/>
      <c r="F122" s="664">
        <v>3196</v>
      </c>
      <c r="G122" s="2"/>
      <c r="H122" s="2">
        <f>ROUND(D122*F122,2)</f>
        <v>67730.11</v>
      </c>
      <c r="I122" s="11">
        <f t="shared" si="8"/>
        <v>67730.11</v>
      </c>
    </row>
    <row r="123" spans="1:12" s="6" customFormat="1" outlineLevel="1" x14ac:dyDescent="0.25">
      <c r="A123" s="107" t="s">
        <v>500</v>
      </c>
      <c r="B123" s="539" t="s">
        <v>16</v>
      </c>
      <c r="C123" s="31" t="s">
        <v>12</v>
      </c>
      <c r="D123" s="268">
        <f>SUM(D124:D133)</f>
        <v>169</v>
      </c>
      <c r="E123" s="256">
        <v>100</v>
      </c>
      <c r="F123" s="11"/>
      <c r="G123" s="2">
        <f>ROUND(E123*D123,2)</f>
        <v>16900</v>
      </c>
      <c r="H123" s="2"/>
      <c r="I123" s="11">
        <f t="shared" si="8"/>
        <v>16900</v>
      </c>
    </row>
    <row r="124" spans="1:12" s="6" customFormat="1" outlineLevel="1" x14ac:dyDescent="0.25">
      <c r="A124" s="83"/>
      <c r="B124" s="377" t="s">
        <v>855</v>
      </c>
      <c r="C124" s="2" t="s">
        <v>12</v>
      </c>
      <c r="D124" s="540">
        <f>36</f>
        <v>36</v>
      </c>
      <c r="E124" s="2"/>
      <c r="F124" s="664">
        <v>2147</v>
      </c>
      <c r="G124" s="2"/>
      <c r="H124" s="2">
        <f>ROUND(D124*F124,2)</f>
        <v>77292</v>
      </c>
      <c r="I124" s="11">
        <f t="shared" si="8"/>
        <v>77292</v>
      </c>
    </row>
    <row r="125" spans="1:12" s="6" customFormat="1" outlineLevel="1" x14ac:dyDescent="0.25">
      <c r="A125" s="83"/>
      <c r="B125" s="377" t="s">
        <v>857</v>
      </c>
      <c r="C125" s="2" t="s">
        <v>12</v>
      </c>
      <c r="D125" s="540">
        <f>12</f>
        <v>12</v>
      </c>
      <c r="E125" s="2"/>
      <c r="F125" s="664">
        <v>1415</v>
      </c>
      <c r="G125" s="2"/>
      <c r="H125" s="2">
        <f t="shared" ref="H125:H137" si="9">ROUND(D125*F125,2)</f>
        <v>16980</v>
      </c>
      <c r="I125" s="11">
        <f t="shared" si="8"/>
        <v>16980</v>
      </c>
    </row>
    <row r="126" spans="1:12" s="6" customFormat="1" outlineLevel="1" x14ac:dyDescent="0.25">
      <c r="A126" s="83"/>
      <c r="B126" s="377" t="s">
        <v>871</v>
      </c>
      <c r="C126" s="2" t="s">
        <v>12</v>
      </c>
      <c r="D126" s="540">
        <f>20</f>
        <v>20</v>
      </c>
      <c r="E126" s="2"/>
      <c r="F126" s="164">
        <v>2500</v>
      </c>
      <c r="G126" s="2"/>
      <c r="H126" s="2">
        <f t="shared" si="9"/>
        <v>50000</v>
      </c>
      <c r="I126" s="11">
        <f t="shared" si="8"/>
        <v>50000</v>
      </c>
    </row>
    <row r="127" spans="1:12" s="6" customFormat="1" outlineLevel="1" x14ac:dyDescent="0.25">
      <c r="A127" s="83"/>
      <c r="B127" s="377" t="s">
        <v>858</v>
      </c>
      <c r="C127" s="2" t="s">
        <v>12</v>
      </c>
      <c r="D127" s="540">
        <f>4</f>
        <v>4</v>
      </c>
      <c r="E127" s="2"/>
      <c r="F127" s="164">
        <v>1900</v>
      </c>
      <c r="G127" s="2"/>
      <c r="H127" s="2">
        <f t="shared" si="9"/>
        <v>7600</v>
      </c>
      <c r="I127" s="11">
        <f t="shared" si="8"/>
        <v>7600</v>
      </c>
    </row>
    <row r="128" spans="1:12" s="6" customFormat="1" outlineLevel="1" x14ac:dyDescent="0.25">
      <c r="A128" s="83"/>
      <c r="B128" s="361" t="s">
        <v>872</v>
      </c>
      <c r="C128" s="2" t="s">
        <v>12</v>
      </c>
      <c r="D128" s="277">
        <f>54</f>
        <v>54</v>
      </c>
      <c r="E128" s="2"/>
      <c r="F128" s="664">
        <v>495</v>
      </c>
      <c r="G128" s="2"/>
      <c r="H128" s="2">
        <f t="shared" si="9"/>
        <v>26730</v>
      </c>
      <c r="I128" s="11">
        <f t="shared" si="8"/>
        <v>26730</v>
      </c>
    </row>
    <row r="129" spans="1:11" s="6" customFormat="1" outlineLevel="1" x14ac:dyDescent="0.25">
      <c r="A129" s="83"/>
      <c r="B129" s="535" t="s">
        <v>876</v>
      </c>
      <c r="C129" s="2" t="s">
        <v>12</v>
      </c>
      <c r="D129" s="277">
        <f>21</f>
        <v>21</v>
      </c>
      <c r="E129" s="2"/>
      <c r="F129" s="664">
        <v>631</v>
      </c>
      <c r="G129" s="2"/>
      <c r="H129" s="2">
        <f t="shared" si="9"/>
        <v>13251</v>
      </c>
      <c r="I129" s="11">
        <f t="shared" si="8"/>
        <v>13251</v>
      </c>
    </row>
    <row r="130" spans="1:11" s="6" customFormat="1" outlineLevel="1" x14ac:dyDescent="0.25">
      <c r="A130" s="83"/>
      <c r="B130" s="535" t="s">
        <v>1357</v>
      </c>
      <c r="C130" s="2" t="s">
        <v>12</v>
      </c>
      <c r="D130" s="277">
        <f>5</f>
        <v>5</v>
      </c>
      <c r="E130" s="2"/>
      <c r="F130" s="164">
        <v>2000</v>
      </c>
      <c r="G130" s="2"/>
      <c r="H130" s="2">
        <f t="shared" si="9"/>
        <v>10000</v>
      </c>
      <c r="I130" s="11">
        <f t="shared" si="8"/>
        <v>10000</v>
      </c>
    </row>
    <row r="131" spans="1:11" s="6" customFormat="1" outlineLevel="1" x14ac:dyDescent="0.25">
      <c r="A131" s="83"/>
      <c r="B131" s="535" t="s">
        <v>880</v>
      </c>
      <c r="C131" s="2" t="s">
        <v>12</v>
      </c>
      <c r="D131" s="277">
        <f>6</f>
        <v>6</v>
      </c>
      <c r="E131" s="2"/>
      <c r="F131" s="664">
        <v>386</v>
      </c>
      <c r="G131" s="2"/>
      <c r="H131" s="2">
        <f t="shared" si="9"/>
        <v>2316</v>
      </c>
      <c r="I131" s="11">
        <f t="shared" si="8"/>
        <v>2316</v>
      </c>
    </row>
    <row r="132" spans="1:11" s="6" customFormat="1" outlineLevel="1" x14ac:dyDescent="0.25">
      <c r="A132" s="83"/>
      <c r="B132" s="535" t="s">
        <v>1355</v>
      </c>
      <c r="C132" s="2" t="s">
        <v>12</v>
      </c>
      <c r="D132" s="277">
        <f>3</f>
        <v>3</v>
      </c>
      <c r="E132" s="2"/>
      <c r="F132" s="164">
        <v>1000</v>
      </c>
      <c r="G132" s="2"/>
      <c r="H132" s="2">
        <f>ROUND(D132*F132,2)</f>
        <v>3000</v>
      </c>
      <c r="I132" s="11">
        <f>G132+H132</f>
        <v>3000</v>
      </c>
    </row>
    <row r="133" spans="1:11" s="6" customFormat="1" outlineLevel="1" x14ac:dyDescent="0.25">
      <c r="A133" s="83"/>
      <c r="B133" s="535" t="s">
        <v>882</v>
      </c>
      <c r="C133" s="41" t="s">
        <v>12</v>
      </c>
      <c r="D133" s="277">
        <v>8</v>
      </c>
      <c r="E133" s="2"/>
      <c r="F133" s="361">
        <v>454</v>
      </c>
      <c r="G133" s="2"/>
      <c r="H133" s="2">
        <f t="shared" si="9"/>
        <v>3632</v>
      </c>
      <c r="I133" s="11">
        <f t="shared" si="8"/>
        <v>3632</v>
      </c>
    </row>
    <row r="134" spans="1:11" s="6" customFormat="1" outlineLevel="1" x14ac:dyDescent="0.25">
      <c r="A134" s="83"/>
      <c r="B134" s="535" t="s">
        <v>875</v>
      </c>
      <c r="C134" s="41" t="s">
        <v>15</v>
      </c>
      <c r="D134" s="277">
        <f>34*8.76+4*10.73</f>
        <v>340.76</v>
      </c>
      <c r="E134" s="2"/>
      <c r="F134" s="364">
        <v>36</v>
      </c>
      <c r="G134" s="2"/>
      <c r="H134" s="2">
        <f t="shared" si="9"/>
        <v>12267.36</v>
      </c>
      <c r="I134" s="11">
        <f t="shared" si="8"/>
        <v>12267.36</v>
      </c>
    </row>
    <row r="135" spans="1:11" s="6" customFormat="1" outlineLevel="1" x14ac:dyDescent="0.25">
      <c r="A135" s="83"/>
      <c r="B135" s="535" t="s">
        <v>883</v>
      </c>
      <c r="C135" s="41" t="s">
        <v>15</v>
      </c>
      <c r="D135" s="277">
        <f>54*0.68</f>
        <v>36.720000000000006</v>
      </c>
      <c r="E135" s="2"/>
      <c r="F135" s="364">
        <v>33</v>
      </c>
      <c r="G135" s="2"/>
      <c r="H135" s="2">
        <f t="shared" si="9"/>
        <v>1211.76</v>
      </c>
      <c r="I135" s="11">
        <f t="shared" si="8"/>
        <v>1211.76</v>
      </c>
    </row>
    <row r="136" spans="1:11" s="6" customFormat="1" outlineLevel="1" x14ac:dyDescent="0.25">
      <c r="A136" s="83"/>
      <c r="B136" s="535" t="s">
        <v>884</v>
      </c>
      <c r="C136" s="41" t="s">
        <v>15</v>
      </c>
      <c r="D136" s="275">
        <f>3*1.87</f>
        <v>5.61</v>
      </c>
      <c r="E136" s="351"/>
      <c r="F136" s="364">
        <v>33</v>
      </c>
      <c r="G136" s="2"/>
      <c r="H136" s="2">
        <f t="shared" si="9"/>
        <v>185.13</v>
      </c>
      <c r="I136" s="11">
        <f t="shared" si="8"/>
        <v>185.13</v>
      </c>
      <c r="K136" s="5"/>
    </row>
    <row r="137" spans="1:11" s="6" customFormat="1" outlineLevel="1" x14ac:dyDescent="0.25">
      <c r="A137" s="76"/>
      <c r="B137" s="535" t="s">
        <v>1404</v>
      </c>
      <c r="C137" s="41" t="s">
        <v>15</v>
      </c>
      <c r="D137" s="277">
        <f>32*9.05+9*3.12+4*6.17</f>
        <v>342.36</v>
      </c>
      <c r="E137" s="2"/>
      <c r="F137" s="364">
        <v>33</v>
      </c>
      <c r="G137" s="2"/>
      <c r="H137" s="2">
        <f t="shared" si="9"/>
        <v>11297.88</v>
      </c>
      <c r="I137" s="11">
        <f t="shared" si="8"/>
        <v>11297.88</v>
      </c>
      <c r="K137" s="5"/>
    </row>
    <row r="138" spans="1:11" s="6" customFormat="1" outlineLevel="1" x14ac:dyDescent="0.25">
      <c r="A138" s="107" t="s">
        <v>501</v>
      </c>
      <c r="B138" s="531" t="s">
        <v>965</v>
      </c>
      <c r="C138" s="30" t="s">
        <v>8</v>
      </c>
      <c r="D138" s="256">
        <v>65.400000000000006</v>
      </c>
      <c r="E138" s="256">
        <v>1600</v>
      </c>
      <c r="F138" s="11"/>
      <c r="G138" s="2">
        <f>ROUND(E138*D138,2)</f>
        <v>104640</v>
      </c>
      <c r="H138" s="2"/>
      <c r="I138" s="11">
        <f t="shared" si="8"/>
        <v>104640</v>
      </c>
      <c r="K138" s="5"/>
    </row>
    <row r="139" spans="1:11" s="6" customFormat="1" outlineLevel="1" x14ac:dyDescent="0.25">
      <c r="A139" s="76"/>
      <c r="B139" s="361" t="s">
        <v>966</v>
      </c>
      <c r="C139" s="2" t="s">
        <v>8</v>
      </c>
      <c r="D139" s="540">
        <f>D138*1.05</f>
        <v>68.670000000000016</v>
      </c>
      <c r="E139" s="2"/>
      <c r="F139" s="361">
        <v>3450</v>
      </c>
      <c r="G139" s="2"/>
      <c r="H139" s="2">
        <f>ROUND(D139*F139,2)</f>
        <v>236911.5</v>
      </c>
      <c r="I139" s="11">
        <f t="shared" si="8"/>
        <v>236911.5</v>
      </c>
      <c r="K139" s="5"/>
    </row>
    <row r="140" spans="1:11" s="6" customFormat="1" outlineLevel="1" x14ac:dyDescent="0.25">
      <c r="A140" s="76"/>
      <c r="B140" s="361" t="s">
        <v>756</v>
      </c>
      <c r="C140" s="2" t="s">
        <v>8</v>
      </c>
      <c r="D140" s="282">
        <f>ROUND(0.23*D138,2)</f>
        <v>15.04</v>
      </c>
      <c r="E140" s="2"/>
      <c r="F140" s="361">
        <v>2500</v>
      </c>
      <c r="G140" s="2"/>
      <c r="H140" s="2">
        <f>ROUND(D140*F140,2)</f>
        <v>37600</v>
      </c>
      <c r="I140" s="11">
        <f t="shared" si="8"/>
        <v>37600</v>
      </c>
      <c r="K140" s="5"/>
    </row>
    <row r="141" spans="1:11" s="6" customFormat="1" ht="31.2" outlineLevel="1" x14ac:dyDescent="0.25">
      <c r="A141" s="107" t="s">
        <v>502</v>
      </c>
      <c r="B141" s="531" t="s">
        <v>645</v>
      </c>
      <c r="C141" s="174" t="s">
        <v>14</v>
      </c>
      <c r="D141" s="256">
        <v>506</v>
      </c>
      <c r="E141" s="256">
        <v>500</v>
      </c>
      <c r="F141" s="11"/>
      <c r="G141" s="2">
        <f>ROUND(E141*D141,2)</f>
        <v>253000</v>
      </c>
      <c r="H141" s="2"/>
      <c r="I141" s="11">
        <f t="shared" si="8"/>
        <v>253000</v>
      </c>
    </row>
    <row r="142" spans="1:11" s="6" customFormat="1" ht="31.2" outlineLevel="1" x14ac:dyDescent="0.25">
      <c r="A142" s="76"/>
      <c r="B142" s="361" t="s">
        <v>968</v>
      </c>
      <c r="C142" s="2" t="s">
        <v>14</v>
      </c>
      <c r="D142" s="282">
        <f>D141*1.012</f>
        <v>512.072</v>
      </c>
      <c r="E142" s="2"/>
      <c r="F142" s="664">
        <v>351</v>
      </c>
      <c r="G142" s="2"/>
      <c r="H142" s="2">
        <f>ROUND(D142*F142,2)</f>
        <v>179737.27</v>
      </c>
      <c r="I142" s="11">
        <f t="shared" si="8"/>
        <v>179737.27</v>
      </c>
    </row>
    <row r="143" spans="1:11" s="6" customFormat="1" outlineLevel="1" x14ac:dyDescent="0.25">
      <c r="A143" s="76"/>
      <c r="B143" s="361" t="s">
        <v>642</v>
      </c>
      <c r="C143" s="2" t="s">
        <v>12</v>
      </c>
      <c r="D143" s="282">
        <f>D141*0.75</f>
        <v>379.5</v>
      </c>
      <c r="E143" s="2"/>
      <c r="F143" s="164">
        <v>2.79</v>
      </c>
      <c r="G143" s="2"/>
      <c r="H143" s="2">
        <f>ROUND(D143*F143,2)</f>
        <v>1058.81</v>
      </c>
      <c r="I143" s="11">
        <f t="shared" si="8"/>
        <v>1058.81</v>
      </c>
    </row>
    <row r="144" spans="1:11" s="6" customFormat="1" ht="31.2" outlineLevel="1" x14ac:dyDescent="0.25">
      <c r="A144" s="76"/>
      <c r="B144" s="361" t="s">
        <v>644</v>
      </c>
      <c r="C144" s="2" t="s">
        <v>643</v>
      </c>
      <c r="D144" s="282">
        <f>D141*0.026</f>
        <v>13.155999999999999</v>
      </c>
      <c r="E144" s="2"/>
      <c r="F144" s="164">
        <v>110</v>
      </c>
      <c r="G144" s="2"/>
      <c r="H144" s="2">
        <f>ROUND(D144*F144,2)</f>
        <v>1447.16</v>
      </c>
      <c r="I144" s="11">
        <f t="shared" si="8"/>
        <v>1447.16</v>
      </c>
    </row>
    <row r="145" spans="1:11" s="6" customFormat="1" outlineLevel="1" x14ac:dyDescent="0.25">
      <c r="A145" s="76"/>
      <c r="B145" s="361" t="s">
        <v>967</v>
      </c>
      <c r="C145" s="2" t="s">
        <v>15</v>
      </c>
      <c r="D145" s="282">
        <f>D141*2</f>
        <v>1012</v>
      </c>
      <c r="E145" s="2"/>
      <c r="F145" s="164">
        <v>8.9700000000000006</v>
      </c>
      <c r="G145" s="2"/>
      <c r="H145" s="2">
        <f>ROUND(D145*F145,2)</f>
        <v>9077.64</v>
      </c>
      <c r="I145" s="11">
        <f t="shared" si="8"/>
        <v>9077.64</v>
      </c>
    </row>
    <row r="146" spans="1:11" s="6" customFormat="1" ht="31.2" outlineLevel="1" x14ac:dyDescent="0.25">
      <c r="A146" s="107" t="s">
        <v>503</v>
      </c>
      <c r="B146" s="531" t="s">
        <v>646</v>
      </c>
      <c r="C146" s="174" t="s">
        <v>14</v>
      </c>
      <c r="D146" s="256">
        <v>296</v>
      </c>
      <c r="E146" s="256">
        <v>500</v>
      </c>
      <c r="F146" s="164"/>
      <c r="G146" s="2">
        <f>ROUND(E146*D146,2)</f>
        <v>148000</v>
      </c>
      <c r="H146" s="2"/>
      <c r="I146" s="11">
        <f t="shared" ref="I146:I157" si="10">G146+H146</f>
        <v>148000</v>
      </c>
    </row>
    <row r="147" spans="1:11" s="6" customFormat="1" ht="31.2" outlineLevel="1" x14ac:dyDescent="0.25">
      <c r="A147" s="76"/>
      <c r="B147" s="361" t="s">
        <v>647</v>
      </c>
      <c r="C147" s="2" t="s">
        <v>14</v>
      </c>
      <c r="D147" s="282">
        <f>D146*1.012</f>
        <v>299.55200000000002</v>
      </c>
      <c r="E147" s="2"/>
      <c r="F147" s="664">
        <v>405</v>
      </c>
      <c r="G147" s="2"/>
      <c r="H147" s="2">
        <f>ROUND(D147*F147,2)</f>
        <v>121318.56</v>
      </c>
      <c r="I147" s="11">
        <f t="shared" si="10"/>
        <v>121318.56</v>
      </c>
    </row>
    <row r="148" spans="1:11" s="6" customFormat="1" outlineLevel="1" x14ac:dyDescent="0.25">
      <c r="A148" s="76"/>
      <c r="B148" s="361" t="s">
        <v>642</v>
      </c>
      <c r="C148" s="2" t="s">
        <v>12</v>
      </c>
      <c r="D148" s="282">
        <f>D146*0.75</f>
        <v>222</v>
      </c>
      <c r="E148" s="2"/>
      <c r="F148" s="164">
        <v>2.79</v>
      </c>
      <c r="G148" s="2"/>
      <c r="H148" s="2">
        <f>ROUND(D148*F148,2)</f>
        <v>619.38</v>
      </c>
      <c r="I148" s="11">
        <f t="shared" si="10"/>
        <v>619.38</v>
      </c>
    </row>
    <row r="149" spans="1:11" s="6" customFormat="1" ht="31.2" outlineLevel="1" x14ac:dyDescent="0.25">
      <c r="A149" s="76"/>
      <c r="B149" s="361" t="s">
        <v>644</v>
      </c>
      <c r="C149" s="2" t="s">
        <v>643</v>
      </c>
      <c r="D149" s="282">
        <f>D146*0.026</f>
        <v>7.6959999999999997</v>
      </c>
      <c r="E149" s="2"/>
      <c r="F149" s="164">
        <v>110</v>
      </c>
      <c r="G149" s="2"/>
      <c r="H149" s="2">
        <f>ROUND(D149*F149,2)</f>
        <v>846.56</v>
      </c>
      <c r="I149" s="11">
        <f t="shared" si="10"/>
        <v>846.56</v>
      </c>
    </row>
    <row r="150" spans="1:11" s="6" customFormat="1" outlineLevel="1" x14ac:dyDescent="0.25">
      <c r="A150" s="76"/>
      <c r="B150" s="361" t="s">
        <v>967</v>
      </c>
      <c r="C150" s="2" t="s">
        <v>15</v>
      </c>
      <c r="D150" s="282">
        <f>D146*2</f>
        <v>592</v>
      </c>
      <c r="E150" s="2"/>
      <c r="F150" s="164">
        <v>8.9700000000000006</v>
      </c>
      <c r="G150" s="2"/>
      <c r="H150" s="2">
        <f>ROUND(D150*F150,2)</f>
        <v>5310.24</v>
      </c>
      <c r="I150" s="11">
        <f t="shared" si="10"/>
        <v>5310.24</v>
      </c>
    </row>
    <row r="151" spans="1:11" s="6" customFormat="1" outlineLevel="1" x14ac:dyDescent="0.25">
      <c r="A151" s="261" t="s">
        <v>978</v>
      </c>
      <c r="B151" s="531" t="s">
        <v>367</v>
      </c>
      <c r="C151" s="30" t="s">
        <v>8</v>
      </c>
      <c r="D151" s="256">
        <v>2.42</v>
      </c>
      <c r="E151" s="256">
        <v>1600</v>
      </c>
      <c r="F151" s="11"/>
      <c r="G151" s="2">
        <f>ROUND(E151*D151,2)</f>
        <v>3872</v>
      </c>
      <c r="H151" s="2"/>
      <c r="I151" s="11">
        <f t="shared" si="10"/>
        <v>3872</v>
      </c>
    </row>
    <row r="152" spans="1:11" s="6" customFormat="1" outlineLevel="1" x14ac:dyDescent="0.25">
      <c r="A152" s="76"/>
      <c r="B152" s="361" t="s">
        <v>966</v>
      </c>
      <c r="C152" s="2" t="s">
        <v>8</v>
      </c>
      <c r="D152" s="540">
        <f>D151*1.05</f>
        <v>2.5409999999999999</v>
      </c>
      <c r="E152" s="2"/>
      <c r="F152" s="361">
        <v>3450</v>
      </c>
      <c r="G152" s="2"/>
      <c r="H152" s="2">
        <f>ROUND(D152*F152,2)</f>
        <v>8766.4500000000007</v>
      </c>
      <c r="I152" s="11">
        <f t="shared" si="10"/>
        <v>8766.4500000000007</v>
      </c>
    </row>
    <row r="153" spans="1:11" s="6" customFormat="1" outlineLevel="1" x14ac:dyDescent="0.25">
      <c r="A153" s="76"/>
      <c r="B153" s="361" t="s">
        <v>756</v>
      </c>
      <c r="C153" s="2" t="s">
        <v>8</v>
      </c>
      <c r="D153" s="282">
        <f>ROUND(0.23*D151,2)</f>
        <v>0.56000000000000005</v>
      </c>
      <c r="E153" s="2"/>
      <c r="F153" s="361">
        <v>2500</v>
      </c>
      <c r="G153" s="2"/>
      <c r="H153" s="2">
        <f>ROUND(D153*F153,2)</f>
        <v>1400</v>
      </c>
      <c r="I153" s="11">
        <f t="shared" si="10"/>
        <v>1400</v>
      </c>
    </row>
    <row r="154" spans="1:11" s="6" customFormat="1" hidden="1" outlineLevel="1" x14ac:dyDescent="0.25">
      <c r="A154" s="549" t="s">
        <v>504</v>
      </c>
      <c r="B154" s="330" t="s">
        <v>376</v>
      </c>
      <c r="C154" s="46" t="s">
        <v>9</v>
      </c>
      <c r="D154" s="336">
        <v>0</v>
      </c>
      <c r="E154" s="256">
        <v>15000</v>
      </c>
      <c r="F154" s="56"/>
      <c r="G154" s="2">
        <f>ROUND(E154*D154,2)</f>
        <v>0</v>
      </c>
      <c r="H154" s="11"/>
      <c r="I154" s="11">
        <f t="shared" si="10"/>
        <v>0</v>
      </c>
    </row>
    <row r="155" spans="1:11" s="6" customFormat="1" hidden="1" outlineLevel="1" x14ac:dyDescent="0.25">
      <c r="A155" s="265"/>
      <c r="B155" s="335" t="s">
        <v>377</v>
      </c>
      <c r="C155" s="41" t="s">
        <v>9</v>
      </c>
      <c r="D155" s="324">
        <v>0</v>
      </c>
      <c r="E155" s="31"/>
      <c r="F155" s="164">
        <v>32000</v>
      </c>
      <c r="G155" s="10"/>
      <c r="H155" s="2">
        <f>ROUND(D155*F155,2)</f>
        <v>0</v>
      </c>
      <c r="I155" s="11">
        <f t="shared" si="10"/>
        <v>0</v>
      </c>
    </row>
    <row r="156" spans="1:11" s="6" customFormat="1" hidden="1" outlineLevel="1" x14ac:dyDescent="0.25">
      <c r="A156" s="265"/>
      <c r="B156" s="335" t="s">
        <v>378</v>
      </c>
      <c r="C156" s="41" t="s">
        <v>9</v>
      </c>
      <c r="D156" s="324">
        <v>0</v>
      </c>
      <c r="E156" s="31"/>
      <c r="F156" s="164">
        <v>32000</v>
      </c>
      <c r="G156" s="10"/>
      <c r="H156" s="2">
        <f>ROUND(D156*F156,2)</f>
        <v>0</v>
      </c>
      <c r="I156" s="11">
        <f t="shared" si="10"/>
        <v>0</v>
      </c>
    </row>
    <row r="157" spans="1:11" s="6" customFormat="1" hidden="1" outlineLevel="1" x14ac:dyDescent="0.25">
      <c r="A157" s="265"/>
      <c r="B157" s="335" t="s">
        <v>379</v>
      </c>
      <c r="C157" s="41" t="s">
        <v>9</v>
      </c>
      <c r="D157" s="324">
        <v>0</v>
      </c>
      <c r="E157" s="31"/>
      <c r="F157" s="164">
        <v>32000</v>
      </c>
      <c r="G157" s="10"/>
      <c r="H157" s="2">
        <f>ROUND(D157*F157,2)</f>
        <v>0</v>
      </c>
      <c r="I157" s="11">
        <f t="shared" si="10"/>
        <v>0</v>
      </c>
    </row>
    <row r="158" spans="1:11" ht="24" customHeight="1" collapsed="1" x14ac:dyDescent="0.25">
      <c r="A158" s="223"/>
      <c r="B158" s="224" t="s">
        <v>801</v>
      </c>
      <c r="C158" s="225"/>
      <c r="D158" s="226"/>
      <c r="E158" s="227"/>
      <c r="F158" s="228"/>
      <c r="G158" s="227">
        <f>SUM(G105:G157)</f>
        <v>1420654.58</v>
      </c>
      <c r="H158" s="227">
        <f>SUM(H105:H157)</f>
        <v>3543564.54</v>
      </c>
      <c r="I158" s="230">
        <f>ROUND(SUM(I105:I157),2)</f>
        <v>4964219.12</v>
      </c>
      <c r="K158" s="133"/>
    </row>
    <row r="159" spans="1:11" s="5" customFormat="1" ht="15.6" customHeight="1" x14ac:dyDescent="0.25">
      <c r="A159" s="89"/>
      <c r="B159" s="58" t="s">
        <v>624</v>
      </c>
      <c r="C159" s="9"/>
      <c r="D159" s="31"/>
      <c r="E159" s="10"/>
      <c r="F159" s="57"/>
      <c r="G159" s="10"/>
      <c r="H159" s="10"/>
      <c r="I159" s="31">
        <f>ROUND(I158/1.18*0.18,2)</f>
        <v>757253.76</v>
      </c>
    </row>
    <row r="160" spans="1:11" s="5" customFormat="1" ht="21" customHeight="1" x14ac:dyDescent="0.25">
      <c r="A160" s="108"/>
      <c r="B160" s="556" t="s">
        <v>802</v>
      </c>
      <c r="C160" s="105"/>
      <c r="D160" s="105"/>
      <c r="E160" s="105"/>
      <c r="F160" s="138"/>
      <c r="G160" s="105"/>
      <c r="H160" s="105"/>
      <c r="I160" s="106"/>
    </row>
    <row r="161" spans="1:9" s="5" customFormat="1" ht="15.6" customHeight="1" x14ac:dyDescent="0.25">
      <c r="A161" s="107" t="s">
        <v>223</v>
      </c>
      <c r="B161" s="536" t="s">
        <v>740</v>
      </c>
      <c r="C161" s="46" t="s">
        <v>12</v>
      </c>
      <c r="D161" s="275">
        <f>SUM(D162:D170)</f>
        <v>184</v>
      </c>
      <c r="E161" s="275">
        <v>600</v>
      </c>
      <c r="F161" s="43"/>
      <c r="G161" s="2">
        <f>ROUND(E161*D161,2)</f>
        <v>110400</v>
      </c>
      <c r="H161" s="11"/>
      <c r="I161" s="11">
        <f>G161+H161</f>
        <v>110400</v>
      </c>
    </row>
    <row r="162" spans="1:9" s="5" customFormat="1" ht="15.6" customHeight="1" x14ac:dyDescent="0.25">
      <c r="A162" s="84"/>
      <c r="B162" s="533" t="s">
        <v>886</v>
      </c>
      <c r="C162" s="2" t="s">
        <v>12</v>
      </c>
      <c r="D162" s="277">
        <f>51</f>
        <v>51</v>
      </c>
      <c r="E162" s="31"/>
      <c r="F162" s="363">
        <v>15000</v>
      </c>
      <c r="G162" s="2"/>
      <c r="H162" s="2">
        <f t="shared" ref="H162:H170" si="11">ROUND(D162*F162,2)</f>
        <v>765000</v>
      </c>
      <c r="I162" s="60">
        <f t="shared" ref="I162:I176" si="12">G162+H162</f>
        <v>765000</v>
      </c>
    </row>
    <row r="163" spans="1:9" s="5" customFormat="1" ht="15.6" customHeight="1" x14ac:dyDescent="0.25">
      <c r="A163" s="84"/>
      <c r="B163" s="533" t="s">
        <v>887</v>
      </c>
      <c r="C163" s="2" t="s">
        <v>12</v>
      </c>
      <c r="D163" s="277">
        <f>21</f>
        <v>21</v>
      </c>
      <c r="E163" s="31"/>
      <c r="F163" s="363">
        <v>15000</v>
      </c>
      <c r="G163" s="2"/>
      <c r="H163" s="2">
        <f t="shared" si="11"/>
        <v>315000</v>
      </c>
      <c r="I163" s="60">
        <f t="shared" si="12"/>
        <v>315000</v>
      </c>
    </row>
    <row r="164" spans="1:9" s="5" customFormat="1" ht="15.6" customHeight="1" x14ac:dyDescent="0.25">
      <c r="A164" s="84"/>
      <c r="B164" s="533" t="s">
        <v>889</v>
      </c>
      <c r="C164" s="2" t="s">
        <v>12</v>
      </c>
      <c r="D164" s="277">
        <v>69</v>
      </c>
      <c r="E164" s="31"/>
      <c r="F164" s="362">
        <v>9631</v>
      </c>
      <c r="G164" s="2"/>
      <c r="H164" s="2">
        <f t="shared" si="11"/>
        <v>664539</v>
      </c>
      <c r="I164" s="60">
        <f t="shared" si="12"/>
        <v>664539</v>
      </c>
    </row>
    <row r="165" spans="1:9" s="5" customFormat="1" ht="15.6" customHeight="1" x14ac:dyDescent="0.25">
      <c r="A165" s="84"/>
      <c r="B165" s="533" t="s">
        <v>744</v>
      </c>
      <c r="C165" s="2" t="s">
        <v>12</v>
      </c>
      <c r="D165" s="277">
        <v>12</v>
      </c>
      <c r="E165" s="31"/>
      <c r="F165" s="362">
        <v>11987</v>
      </c>
      <c r="G165" s="2"/>
      <c r="H165" s="2">
        <f t="shared" si="11"/>
        <v>143844</v>
      </c>
      <c r="I165" s="60">
        <f t="shared" si="12"/>
        <v>143844</v>
      </c>
    </row>
    <row r="166" spans="1:9" s="5" customFormat="1" ht="15.6" customHeight="1" x14ac:dyDescent="0.25">
      <c r="A166" s="84"/>
      <c r="B166" s="533" t="s">
        <v>1337</v>
      </c>
      <c r="C166" s="2" t="s">
        <v>12</v>
      </c>
      <c r="D166" s="277">
        <v>7</v>
      </c>
      <c r="E166" s="31"/>
      <c r="F166" s="363">
        <v>4100</v>
      </c>
      <c r="G166" s="2"/>
      <c r="H166" s="2">
        <f t="shared" si="11"/>
        <v>28700</v>
      </c>
      <c r="I166" s="60">
        <f t="shared" si="12"/>
        <v>28700</v>
      </c>
    </row>
    <row r="167" spans="1:9" s="5" customFormat="1" ht="15.6" customHeight="1" x14ac:dyDescent="0.25">
      <c r="A167" s="89"/>
      <c r="B167" s="533" t="s">
        <v>1306</v>
      </c>
      <c r="C167" s="2" t="s">
        <v>12</v>
      </c>
      <c r="D167" s="277">
        <v>4</v>
      </c>
      <c r="E167" s="31"/>
      <c r="F167" s="664">
        <v>5621</v>
      </c>
      <c r="G167" s="2"/>
      <c r="H167" s="2">
        <f t="shared" si="11"/>
        <v>22484</v>
      </c>
      <c r="I167" s="60">
        <f t="shared" si="12"/>
        <v>22484</v>
      </c>
    </row>
    <row r="168" spans="1:9" s="5" customFormat="1" ht="15.6" customHeight="1" x14ac:dyDescent="0.25">
      <c r="A168" s="89"/>
      <c r="B168" s="533" t="s">
        <v>749</v>
      </c>
      <c r="C168" s="2" t="s">
        <v>12</v>
      </c>
      <c r="D168" s="277">
        <v>4</v>
      </c>
      <c r="E168" s="31"/>
      <c r="F168" s="362">
        <v>14953.2</v>
      </c>
      <c r="G168" s="2"/>
      <c r="H168" s="2">
        <f t="shared" si="11"/>
        <v>59812.800000000003</v>
      </c>
      <c r="I168" s="60">
        <f t="shared" si="12"/>
        <v>59812.800000000003</v>
      </c>
    </row>
    <row r="169" spans="1:9" s="5" customFormat="1" ht="15.6" customHeight="1" x14ac:dyDescent="0.25">
      <c r="A169" s="89"/>
      <c r="B169" s="533" t="s">
        <v>750</v>
      </c>
      <c r="C169" s="2" t="s">
        <v>12</v>
      </c>
      <c r="D169" s="277">
        <v>4</v>
      </c>
      <c r="E169" s="31"/>
      <c r="F169" s="362">
        <v>10358.1</v>
      </c>
      <c r="G169" s="2"/>
      <c r="H169" s="2">
        <f t="shared" si="11"/>
        <v>41432.400000000001</v>
      </c>
      <c r="I169" s="60">
        <f t="shared" si="12"/>
        <v>41432.400000000001</v>
      </c>
    </row>
    <row r="170" spans="1:9" s="5" customFormat="1" ht="15.6" customHeight="1" x14ac:dyDescent="0.25">
      <c r="A170" s="89"/>
      <c r="B170" s="533" t="s">
        <v>747</v>
      </c>
      <c r="C170" s="2" t="s">
        <v>12</v>
      </c>
      <c r="D170" s="277">
        <v>12</v>
      </c>
      <c r="E170" s="31"/>
      <c r="F170" s="362">
        <v>10206.120000000001</v>
      </c>
      <c r="G170" s="2"/>
      <c r="H170" s="2">
        <f t="shared" si="11"/>
        <v>122473.44</v>
      </c>
      <c r="I170" s="60">
        <f t="shared" si="12"/>
        <v>122473.44</v>
      </c>
    </row>
    <row r="171" spans="1:9" s="5" customFormat="1" ht="18" customHeight="1" x14ac:dyDescent="0.25">
      <c r="A171" s="89"/>
      <c r="B171" s="533" t="s">
        <v>902</v>
      </c>
      <c r="C171" s="41" t="s">
        <v>9</v>
      </c>
      <c r="D171" s="277">
        <f>МЭ!M30/1000</f>
        <v>1.3158200000000002</v>
      </c>
      <c r="E171" s="43"/>
      <c r="F171" s="364">
        <v>33000</v>
      </c>
      <c r="G171" s="18"/>
      <c r="H171" s="2">
        <f>ROUND(D171*F171,2)</f>
        <v>43422.06</v>
      </c>
      <c r="I171" s="11">
        <f t="shared" si="12"/>
        <v>43422.06</v>
      </c>
    </row>
    <row r="172" spans="1:9" s="5" customFormat="1" ht="15.6" customHeight="1" x14ac:dyDescent="0.25">
      <c r="A172" s="89"/>
      <c r="B172" s="533" t="s">
        <v>901</v>
      </c>
      <c r="C172" s="41" t="s">
        <v>15</v>
      </c>
      <c r="D172" s="277">
        <f>40*1.13</f>
        <v>45.199999999999996</v>
      </c>
      <c r="E172" s="43"/>
      <c r="F172" s="364">
        <v>33</v>
      </c>
      <c r="G172" s="18"/>
      <c r="H172" s="2">
        <f>ROUND(D172*F172,2)</f>
        <v>1491.6</v>
      </c>
      <c r="I172" s="11">
        <f t="shared" si="12"/>
        <v>1491.6</v>
      </c>
    </row>
    <row r="173" spans="1:9" s="5" customFormat="1" ht="15.6" customHeight="1" x14ac:dyDescent="0.25">
      <c r="A173" s="89"/>
      <c r="B173" s="533" t="s">
        <v>875</v>
      </c>
      <c r="C173" s="41" t="s">
        <v>15</v>
      </c>
      <c r="D173" s="277">
        <f>11*1.74</f>
        <v>19.14</v>
      </c>
      <c r="E173" s="43"/>
      <c r="F173" s="364">
        <v>36</v>
      </c>
      <c r="G173" s="18"/>
      <c r="H173" s="2">
        <f>ROUND(D173*F173,2)</f>
        <v>689.04</v>
      </c>
      <c r="I173" s="11">
        <f t="shared" si="12"/>
        <v>689.04</v>
      </c>
    </row>
    <row r="174" spans="1:9" s="5" customFormat="1" ht="15.6" customHeight="1" x14ac:dyDescent="0.25">
      <c r="A174" s="107" t="s">
        <v>224</v>
      </c>
      <c r="B174" s="538" t="s">
        <v>788</v>
      </c>
      <c r="C174" s="203" t="s">
        <v>8</v>
      </c>
      <c r="D174" s="537">
        <f>МУ!E25</f>
        <v>11.89</v>
      </c>
      <c r="E174" s="353">
        <v>800</v>
      </c>
      <c r="F174" s="139"/>
      <c r="G174" s="2">
        <f>ROUND(E174*D174,2)</f>
        <v>9512</v>
      </c>
      <c r="H174" s="26"/>
      <c r="I174" s="11">
        <f t="shared" si="12"/>
        <v>9512</v>
      </c>
    </row>
    <row r="175" spans="1:9" s="5" customFormat="1" ht="15.6" customHeight="1" x14ac:dyDescent="0.25">
      <c r="A175" s="89"/>
      <c r="B175" s="533" t="s">
        <v>366</v>
      </c>
      <c r="C175" s="41" t="s">
        <v>9</v>
      </c>
      <c r="D175" s="277">
        <f>МУ!C25/1000</f>
        <v>2.1809100000000003</v>
      </c>
      <c r="E175" s="2"/>
      <c r="F175" s="364">
        <v>34000</v>
      </c>
      <c r="G175" s="10"/>
      <c r="H175" s="2">
        <f>ROUND(D175*F175,2)</f>
        <v>74150.94</v>
      </c>
      <c r="I175" s="11">
        <f t="shared" si="12"/>
        <v>74150.94</v>
      </c>
    </row>
    <row r="176" spans="1:9" s="5" customFormat="1" ht="15.6" customHeight="1" x14ac:dyDescent="0.25">
      <c r="A176" s="89"/>
      <c r="B176" s="533" t="s">
        <v>483</v>
      </c>
      <c r="C176" s="41" t="s">
        <v>8</v>
      </c>
      <c r="D176" s="277">
        <f>D174*1.015</f>
        <v>12.068349999999999</v>
      </c>
      <c r="E176" s="2"/>
      <c r="F176" s="664">
        <v>4200</v>
      </c>
      <c r="G176" s="31"/>
      <c r="H176" s="2">
        <f>ROUND(D176*F176,2)</f>
        <v>50687.07</v>
      </c>
      <c r="I176" s="11">
        <f t="shared" si="12"/>
        <v>50687.07</v>
      </c>
    </row>
    <row r="177" spans="1:9" s="5" customFormat="1" ht="15.6" customHeight="1" x14ac:dyDescent="0.25">
      <c r="A177" s="89"/>
      <c r="B177" s="384"/>
      <c r="C177" s="385"/>
      <c r="D177" s="386"/>
      <c r="E177" s="387"/>
      <c r="F177" s="388"/>
      <c r="G177" s="387"/>
      <c r="H177" s="387"/>
      <c r="I177" s="389"/>
    </row>
    <row r="178" spans="1:9" s="5" customFormat="1" ht="36" customHeight="1" x14ac:dyDescent="0.25">
      <c r="A178" s="223"/>
      <c r="B178" s="232" t="s">
        <v>803</v>
      </c>
      <c r="C178" s="225"/>
      <c r="D178" s="239"/>
      <c r="E178" s="230"/>
      <c r="F178" s="240"/>
      <c r="G178" s="230">
        <f>SUM(G161:G177)</f>
        <v>119912</v>
      </c>
      <c r="H178" s="230">
        <f>SUM(H161:H177)</f>
        <v>2333726.35</v>
      </c>
      <c r="I178" s="230">
        <f>ROUND(SUM(I161:I177),2)</f>
        <v>2453638.35</v>
      </c>
    </row>
    <row r="179" spans="1:9" s="5" customFormat="1" ht="15.6" customHeight="1" x14ac:dyDescent="0.25">
      <c r="A179" s="90"/>
      <c r="B179" s="58" t="s">
        <v>624</v>
      </c>
      <c r="C179" s="9"/>
      <c r="D179" s="31"/>
      <c r="E179" s="10"/>
      <c r="F179" s="57"/>
      <c r="G179" s="10"/>
      <c r="H179" s="10"/>
      <c r="I179" s="31">
        <f>ROUND(I178/1.18*0.18,2)</f>
        <v>374283.82</v>
      </c>
    </row>
    <row r="180" spans="1:9" s="5" customFormat="1" ht="21" customHeight="1" x14ac:dyDescent="0.25">
      <c r="A180" s="108"/>
      <c r="B180" s="562" t="s">
        <v>810</v>
      </c>
      <c r="C180" s="105"/>
      <c r="D180" s="105"/>
      <c r="E180" s="105"/>
      <c r="F180" s="138"/>
      <c r="G180" s="105"/>
      <c r="H180" s="105"/>
      <c r="I180" s="106"/>
    </row>
    <row r="181" spans="1:9" s="5" customFormat="1" ht="15.6" customHeight="1" x14ac:dyDescent="0.25">
      <c r="A181" s="107" t="s">
        <v>979</v>
      </c>
      <c r="B181" s="538" t="s">
        <v>384</v>
      </c>
      <c r="C181" s="203" t="s">
        <v>12</v>
      </c>
      <c r="D181" s="277">
        <f>D182</f>
        <v>38</v>
      </c>
      <c r="E181" s="353">
        <v>100</v>
      </c>
      <c r="F181" s="139"/>
      <c r="G181" s="2">
        <f>ROUND(E181*D181,2)</f>
        <v>3800</v>
      </c>
      <c r="H181" s="26"/>
      <c r="I181" s="11">
        <f>G181+H181</f>
        <v>3800</v>
      </c>
    </row>
    <row r="182" spans="1:9" s="5" customFormat="1" ht="15.6" customHeight="1" x14ac:dyDescent="0.25">
      <c r="A182" s="391"/>
      <c r="B182" s="533" t="s">
        <v>1375</v>
      </c>
      <c r="C182" s="41" t="s">
        <v>12</v>
      </c>
      <c r="D182" s="277">
        <v>38</v>
      </c>
      <c r="E182" s="282"/>
      <c r="F182" s="668">
        <v>784</v>
      </c>
      <c r="G182" s="10"/>
      <c r="H182" s="2">
        <f>ROUND(D182*F182,2)</f>
        <v>29792</v>
      </c>
      <c r="I182" s="11">
        <f>G182+H182</f>
        <v>29792</v>
      </c>
    </row>
    <row r="183" spans="1:9" s="5" customFormat="1" ht="15.6" customHeight="1" x14ac:dyDescent="0.25">
      <c r="A183" s="107" t="s">
        <v>980</v>
      </c>
      <c r="B183" s="538" t="s">
        <v>824</v>
      </c>
      <c r="C183" s="203" t="s">
        <v>9</v>
      </c>
      <c r="D183" s="610">
        <f>D184</f>
        <v>0.44619999999999993</v>
      </c>
      <c r="E183" s="353">
        <v>30000</v>
      </c>
      <c r="F183" s="139"/>
      <c r="G183" s="2">
        <f>ROUND(E183*D183,2)</f>
        <v>13386</v>
      </c>
      <c r="H183" s="26"/>
      <c r="I183" s="11">
        <f>G183+H183</f>
        <v>13386</v>
      </c>
    </row>
    <row r="184" spans="1:9" s="5" customFormat="1" ht="15.6" customHeight="1" x14ac:dyDescent="0.25">
      <c r="A184" s="391"/>
      <c r="B184" s="533" t="s">
        <v>1376</v>
      </c>
      <c r="C184" s="41" t="s">
        <v>9</v>
      </c>
      <c r="D184" s="277">
        <f>металл!D19/1000</f>
        <v>0.44619999999999993</v>
      </c>
      <c r="E184" s="282"/>
      <c r="F184" s="364">
        <v>34000</v>
      </c>
      <c r="G184" s="10"/>
      <c r="H184" s="2">
        <f>ROUND(D184*F184,2)</f>
        <v>15170.8</v>
      </c>
      <c r="I184" s="11">
        <f>G184+H184</f>
        <v>15170.8</v>
      </c>
    </row>
    <row r="185" spans="1:9" s="5" customFormat="1" ht="15.6" customHeight="1" x14ac:dyDescent="0.3">
      <c r="A185" s="107" t="s">
        <v>981</v>
      </c>
      <c r="B185" s="538" t="s">
        <v>903</v>
      </c>
      <c r="C185" s="41" t="s">
        <v>12</v>
      </c>
      <c r="D185" s="256">
        <v>4</v>
      </c>
      <c r="E185" s="353">
        <v>600</v>
      </c>
      <c r="F185" s="392"/>
      <c r="G185" s="2">
        <f>D185*E185</f>
        <v>2400</v>
      </c>
      <c r="H185" s="2"/>
      <c r="I185" s="11">
        <f>G185+H185</f>
        <v>2400</v>
      </c>
    </row>
    <row r="186" spans="1:9" s="5" customFormat="1" ht="15.6" customHeight="1" x14ac:dyDescent="0.25">
      <c r="A186" s="391"/>
      <c r="B186" s="533" t="s">
        <v>1407</v>
      </c>
      <c r="C186" s="41" t="s">
        <v>9</v>
      </c>
      <c r="D186" s="282">
        <f>4*76.18/1000</f>
        <v>0.30472000000000005</v>
      </c>
      <c r="E186" s="353"/>
      <c r="F186" s="364">
        <v>34000</v>
      </c>
      <c r="G186" s="2"/>
      <c r="H186" s="2">
        <f>D186*F186</f>
        <v>10360.480000000001</v>
      </c>
      <c r="I186" s="11">
        <f>H186</f>
        <v>10360.480000000001</v>
      </c>
    </row>
    <row r="187" spans="1:9" s="5" customFormat="1" ht="15.6" customHeight="1" x14ac:dyDescent="0.25">
      <c r="A187" s="107" t="s">
        <v>982</v>
      </c>
      <c r="B187" s="538" t="s">
        <v>788</v>
      </c>
      <c r="C187" s="41" t="s">
        <v>8</v>
      </c>
      <c r="D187" s="282">
        <f>0.033+0.065</f>
        <v>9.8000000000000004E-2</v>
      </c>
      <c r="E187" s="353">
        <v>500</v>
      </c>
      <c r="F187" s="363"/>
      <c r="G187" s="2">
        <f>E187*D187</f>
        <v>49</v>
      </c>
      <c r="H187" s="2"/>
      <c r="I187" s="11">
        <f>G187</f>
        <v>49</v>
      </c>
    </row>
    <row r="188" spans="1:9" s="5" customFormat="1" ht="15.6" customHeight="1" x14ac:dyDescent="0.25">
      <c r="A188" s="391"/>
      <c r="B188" s="533" t="s">
        <v>804</v>
      </c>
      <c r="C188" s="41" t="s">
        <v>8</v>
      </c>
      <c r="D188" s="277">
        <f>D187*1.015</f>
        <v>9.9469999999999989E-2</v>
      </c>
      <c r="E188" s="353"/>
      <c r="F188" s="664">
        <v>4200</v>
      </c>
      <c r="G188" s="31"/>
      <c r="H188" s="2">
        <f>ROUND(D188*F188,2)</f>
        <v>417.77</v>
      </c>
      <c r="I188" s="11">
        <f>G188+H188</f>
        <v>417.77</v>
      </c>
    </row>
    <row r="189" spans="1:9" s="5" customFormat="1" ht="15.6" customHeight="1" x14ac:dyDescent="0.25">
      <c r="A189" s="391"/>
      <c r="B189" s="533" t="s">
        <v>998</v>
      </c>
      <c r="C189" s="41" t="s">
        <v>15</v>
      </c>
      <c r="D189" s="282">
        <f>4*0.11+2*3.43+8*0.11+2*6.54</f>
        <v>21.26</v>
      </c>
      <c r="E189" s="353"/>
      <c r="F189" s="364">
        <v>34</v>
      </c>
      <c r="G189" s="2"/>
      <c r="H189" s="2">
        <f>F189*D189</f>
        <v>722.84</v>
      </c>
      <c r="I189" s="11">
        <f>H189</f>
        <v>722.84</v>
      </c>
    </row>
    <row r="190" spans="1:9" s="5" customFormat="1" ht="15.6" customHeight="1" x14ac:dyDescent="0.25">
      <c r="A190" s="107" t="s">
        <v>983</v>
      </c>
      <c r="B190" s="538" t="s">
        <v>805</v>
      </c>
      <c r="C190" s="41" t="s">
        <v>12</v>
      </c>
      <c r="D190" s="282">
        <v>5</v>
      </c>
      <c r="E190" s="353">
        <v>3000</v>
      </c>
      <c r="F190" s="363"/>
      <c r="G190" s="2">
        <f>D190*E190</f>
        <v>15000</v>
      </c>
      <c r="H190" s="2"/>
      <c r="I190" s="11">
        <f>G190</f>
        <v>15000</v>
      </c>
    </row>
    <row r="191" spans="1:9" s="5" customFormat="1" ht="15.6" customHeight="1" x14ac:dyDescent="0.25">
      <c r="A191" s="391"/>
      <c r="B191" s="533" t="s">
        <v>904</v>
      </c>
      <c r="C191" s="41" t="s">
        <v>9</v>
      </c>
      <c r="D191" s="282">
        <f>2*38.8/1000</f>
        <v>7.7599999999999988E-2</v>
      </c>
      <c r="E191" s="353"/>
      <c r="F191" s="363">
        <v>32000</v>
      </c>
      <c r="G191" s="2"/>
      <c r="H191" s="2">
        <f>F191*D191</f>
        <v>2483.1999999999998</v>
      </c>
      <c r="I191" s="11">
        <f>H191</f>
        <v>2483.1999999999998</v>
      </c>
    </row>
    <row r="192" spans="1:9" s="5" customFormat="1" ht="15.6" customHeight="1" x14ac:dyDescent="0.25">
      <c r="A192" s="391"/>
      <c r="B192" s="533" t="s">
        <v>1380</v>
      </c>
      <c r="C192" s="41" t="s">
        <v>9</v>
      </c>
      <c r="D192" s="282">
        <f>2*40.1/1000</f>
        <v>8.0200000000000007E-2</v>
      </c>
      <c r="E192" s="353"/>
      <c r="F192" s="363">
        <v>32000</v>
      </c>
      <c r="G192" s="2"/>
      <c r="H192" s="2">
        <f>F192*D192</f>
        <v>2566.4</v>
      </c>
      <c r="I192" s="11">
        <f>H192</f>
        <v>2566.4</v>
      </c>
    </row>
    <row r="193" spans="1:9" s="5" customFormat="1" ht="15.6" customHeight="1" x14ac:dyDescent="0.25">
      <c r="A193" s="391"/>
      <c r="B193" s="533" t="s">
        <v>806</v>
      </c>
      <c r="C193" s="41" t="s">
        <v>9</v>
      </c>
      <c r="D193" s="282">
        <f>1*21.1/1000</f>
        <v>2.1100000000000001E-2</v>
      </c>
      <c r="E193" s="353"/>
      <c r="F193" s="363">
        <v>32000</v>
      </c>
      <c r="G193" s="2"/>
      <c r="H193" s="2">
        <f>F193*D193</f>
        <v>675.2</v>
      </c>
      <c r="I193" s="11">
        <f>H193</f>
        <v>675.2</v>
      </c>
    </row>
    <row r="194" spans="1:9" s="5" customFormat="1" ht="15.6" customHeight="1" x14ac:dyDescent="0.25">
      <c r="A194" s="107" t="s">
        <v>1405</v>
      </c>
      <c r="B194" s="538" t="s">
        <v>1398</v>
      </c>
      <c r="C194" s="41" t="s">
        <v>12</v>
      </c>
      <c r="D194" s="282">
        <v>1</v>
      </c>
      <c r="E194" s="353">
        <v>1500</v>
      </c>
      <c r="F194" s="363"/>
      <c r="G194" s="2">
        <f>E194*D194</f>
        <v>1500</v>
      </c>
      <c r="H194" s="2"/>
      <c r="I194" s="11">
        <f>G194</f>
        <v>1500</v>
      </c>
    </row>
    <row r="195" spans="1:9" s="5" customFormat="1" ht="15.6" customHeight="1" x14ac:dyDescent="0.25">
      <c r="A195" s="391"/>
      <c r="B195" s="533" t="s">
        <v>91</v>
      </c>
      <c r="C195" s="41" t="s">
        <v>9</v>
      </c>
      <c r="D195" s="277">
        <f>1*54/1000</f>
        <v>5.3999999999999999E-2</v>
      </c>
      <c r="E195" s="2"/>
      <c r="F195" s="364">
        <v>40000</v>
      </c>
      <c r="G195" s="10"/>
      <c r="H195" s="2">
        <f>ROUND(D195*F195,2)</f>
        <v>2160</v>
      </c>
      <c r="I195" s="11">
        <f>G195+H195</f>
        <v>2160</v>
      </c>
    </row>
    <row r="196" spans="1:9" s="5" customFormat="1" ht="15.6" customHeight="1" x14ac:dyDescent="0.3">
      <c r="A196" s="107" t="s">
        <v>1406</v>
      </c>
      <c r="B196" s="538" t="s">
        <v>807</v>
      </c>
      <c r="C196" s="41" t="s">
        <v>14</v>
      </c>
      <c r="D196" s="256">
        <f>(D184+D191+D192+D193+D195+D186)*27</f>
        <v>26.563140000000004</v>
      </c>
      <c r="E196" s="256">
        <v>150</v>
      </c>
      <c r="F196" s="484"/>
      <c r="G196" s="2">
        <f>D196*E196</f>
        <v>3984.4710000000005</v>
      </c>
      <c r="H196" s="484"/>
      <c r="I196" s="11">
        <f>G196</f>
        <v>3984.4710000000005</v>
      </c>
    </row>
    <row r="197" spans="1:9" s="5" customFormat="1" ht="15.6" customHeight="1" x14ac:dyDescent="0.3">
      <c r="A197" s="391"/>
      <c r="B197" s="533" t="s">
        <v>1166</v>
      </c>
      <c r="C197" s="41" t="s">
        <v>15</v>
      </c>
      <c r="D197" s="282">
        <f>D196*0.2</f>
        <v>5.312628000000001</v>
      </c>
      <c r="E197" s="484"/>
      <c r="F197" s="362">
        <v>85</v>
      </c>
      <c r="G197" s="484"/>
      <c r="H197" s="2">
        <f>F197*D197</f>
        <v>451.5733800000001</v>
      </c>
      <c r="I197" s="11">
        <f>H197</f>
        <v>451.5733800000001</v>
      </c>
    </row>
    <row r="198" spans="1:9" s="5" customFormat="1" ht="15.6" customHeight="1" x14ac:dyDescent="0.3">
      <c r="A198" s="391"/>
      <c r="B198" s="533" t="s">
        <v>1162</v>
      </c>
      <c r="C198" s="41" t="s">
        <v>15</v>
      </c>
      <c r="D198" s="282">
        <f>D196*0.3</f>
        <v>7.9689420000000011</v>
      </c>
      <c r="E198" s="484"/>
      <c r="F198" s="362">
        <v>115</v>
      </c>
      <c r="G198" s="484"/>
      <c r="H198" s="2">
        <f>F198*D198</f>
        <v>916.42833000000007</v>
      </c>
      <c r="I198" s="11">
        <f>H198</f>
        <v>916.42833000000007</v>
      </c>
    </row>
    <row r="199" spans="1:9" s="5" customFormat="1" ht="15.6" customHeight="1" x14ac:dyDescent="0.25">
      <c r="A199" s="391"/>
      <c r="B199" s="232" t="s">
        <v>811</v>
      </c>
      <c r="C199" s="225"/>
      <c r="D199" s="239"/>
      <c r="E199" s="230"/>
      <c r="F199" s="240"/>
      <c r="G199" s="230">
        <f>SUM(G181:G198)</f>
        <v>40119.470999999998</v>
      </c>
      <c r="H199" s="230">
        <f>SUM(H181:H198)</f>
        <v>65716.691709999999</v>
      </c>
      <c r="I199" s="230">
        <f>ROUND(SUM(I181:I198),2)</f>
        <v>105836.16</v>
      </c>
    </row>
    <row r="200" spans="1:9" s="5" customFormat="1" ht="15.6" customHeight="1" x14ac:dyDescent="0.25">
      <c r="A200" s="391"/>
      <c r="B200" s="58" t="s">
        <v>624</v>
      </c>
      <c r="C200" s="9"/>
      <c r="D200" s="31"/>
      <c r="E200" s="10"/>
      <c r="F200" s="57"/>
      <c r="G200" s="10"/>
      <c r="H200" s="10"/>
      <c r="I200" s="31">
        <f>ROUND(I199/1.18*0.18,2)</f>
        <v>16144.5</v>
      </c>
    </row>
    <row r="201" spans="1:9" s="5" customFormat="1" ht="21" hidden="1" customHeight="1" x14ac:dyDescent="0.25">
      <c r="A201" s="108"/>
      <c r="B201" s="547" t="s">
        <v>812</v>
      </c>
      <c r="C201" s="105"/>
      <c r="D201" s="105"/>
      <c r="E201" s="105"/>
      <c r="F201" s="138"/>
      <c r="G201" s="105"/>
      <c r="H201" s="105"/>
      <c r="I201" s="106"/>
    </row>
    <row r="202" spans="1:9" s="5" customFormat="1" ht="15.6" hidden="1" customHeight="1" x14ac:dyDescent="0.25">
      <c r="A202" s="391"/>
      <c r="B202" s="383" t="s">
        <v>813</v>
      </c>
      <c r="C202" s="41" t="s">
        <v>12</v>
      </c>
      <c r="D202" s="282">
        <v>0</v>
      </c>
      <c r="E202" s="390">
        <v>500</v>
      </c>
      <c r="F202" s="363">
        <v>24000</v>
      </c>
      <c r="G202" s="2">
        <f>D202*E202</f>
        <v>0</v>
      </c>
      <c r="H202" s="2">
        <f>D202*F202</f>
        <v>0</v>
      </c>
      <c r="I202" s="11">
        <f>H202+G202</f>
        <v>0</v>
      </c>
    </row>
    <row r="203" spans="1:9" s="5" customFormat="1" ht="15.6" hidden="1" customHeight="1" x14ac:dyDescent="0.25">
      <c r="A203" s="391"/>
      <c r="B203" s="383" t="s">
        <v>814</v>
      </c>
      <c r="C203" s="41" t="s">
        <v>8</v>
      </c>
      <c r="D203" s="282">
        <v>0</v>
      </c>
      <c r="E203" s="390">
        <v>2500</v>
      </c>
      <c r="F203" s="363"/>
      <c r="G203" s="2">
        <f>D203*E203</f>
        <v>0</v>
      </c>
      <c r="H203" s="2"/>
      <c r="I203" s="11">
        <f>G203</f>
        <v>0</v>
      </c>
    </row>
    <row r="204" spans="1:9" s="5" customFormat="1" ht="15.6" hidden="1" customHeight="1" x14ac:dyDescent="0.3">
      <c r="A204" s="391"/>
      <c r="B204" s="394" t="s">
        <v>815</v>
      </c>
      <c r="C204" s="41" t="s">
        <v>8</v>
      </c>
      <c r="D204" s="282">
        <f>D203*1.05</f>
        <v>0</v>
      </c>
      <c r="E204" s="390"/>
      <c r="F204" s="363">
        <f>F92</f>
        <v>0</v>
      </c>
      <c r="G204" s="2"/>
      <c r="H204" s="2">
        <f>F204*D204</f>
        <v>0</v>
      </c>
      <c r="I204" s="11">
        <f>G204+H204</f>
        <v>0</v>
      </c>
    </row>
    <row r="205" spans="1:9" s="5" customFormat="1" ht="15.6" hidden="1" customHeight="1" x14ac:dyDescent="0.3">
      <c r="A205" s="391"/>
      <c r="B205" s="395" t="s">
        <v>816</v>
      </c>
      <c r="C205" s="41" t="s">
        <v>9</v>
      </c>
      <c r="D205" s="282">
        <v>0</v>
      </c>
      <c r="E205" s="390"/>
      <c r="F205" s="363">
        <v>31000</v>
      </c>
      <c r="G205" s="2"/>
      <c r="H205" s="2">
        <f>F205*D205</f>
        <v>0</v>
      </c>
      <c r="I205" s="11">
        <f>G205+H205</f>
        <v>0</v>
      </c>
    </row>
    <row r="206" spans="1:9" s="5" customFormat="1" ht="15.6" hidden="1" customHeight="1" x14ac:dyDescent="0.3">
      <c r="A206" s="391"/>
      <c r="B206" s="395" t="s">
        <v>817</v>
      </c>
      <c r="C206" s="41" t="s">
        <v>9</v>
      </c>
      <c r="D206" s="282">
        <v>0</v>
      </c>
      <c r="E206" s="390"/>
      <c r="F206" s="363">
        <v>31000</v>
      </c>
      <c r="G206" s="2"/>
      <c r="H206" s="2">
        <f>F206*D206</f>
        <v>0</v>
      </c>
      <c r="I206" s="11">
        <f>G206+H206</f>
        <v>0</v>
      </c>
    </row>
    <row r="207" spans="1:9" s="5" customFormat="1" ht="15.6" hidden="1" customHeight="1" x14ac:dyDescent="0.3">
      <c r="A207" s="391"/>
      <c r="B207" s="396" t="s">
        <v>818</v>
      </c>
      <c r="C207" s="41" t="s">
        <v>9</v>
      </c>
      <c r="D207" s="282">
        <v>0</v>
      </c>
      <c r="E207" s="390"/>
      <c r="F207" s="363">
        <v>31000</v>
      </c>
      <c r="G207" s="2"/>
      <c r="H207" s="2">
        <f>F207*D207</f>
        <v>0</v>
      </c>
      <c r="I207" s="11">
        <f>G207+H207</f>
        <v>0</v>
      </c>
    </row>
    <row r="208" spans="1:9" s="5" customFormat="1" ht="15.6" hidden="1" customHeight="1" x14ac:dyDescent="0.25">
      <c r="A208" s="391"/>
      <c r="B208" s="383" t="s">
        <v>819</v>
      </c>
      <c r="C208" s="41" t="s">
        <v>853</v>
      </c>
      <c r="D208" s="282">
        <v>0</v>
      </c>
      <c r="E208" s="390">
        <v>25000</v>
      </c>
      <c r="F208" s="363"/>
      <c r="G208" s="2">
        <f>D208*E208</f>
        <v>0</v>
      </c>
      <c r="H208" s="2">
        <f>D208*F208</f>
        <v>0</v>
      </c>
      <c r="I208" s="11">
        <f>H208+G208</f>
        <v>0</v>
      </c>
    </row>
    <row r="209" spans="1:9" s="5" customFormat="1" ht="15.6" hidden="1" customHeight="1" x14ac:dyDescent="0.3">
      <c r="A209" s="391"/>
      <c r="B209" s="393" t="s">
        <v>820</v>
      </c>
      <c r="C209" s="41" t="s">
        <v>853</v>
      </c>
      <c r="D209" s="282">
        <v>0</v>
      </c>
      <c r="E209" s="390"/>
      <c r="F209" s="363">
        <v>33000</v>
      </c>
      <c r="G209" s="2"/>
      <c r="H209" s="2">
        <f>D209*F209</f>
        <v>0</v>
      </c>
      <c r="I209" s="11">
        <f>H209</f>
        <v>0</v>
      </c>
    </row>
    <row r="210" spans="1:9" s="5" customFormat="1" ht="15.6" hidden="1" customHeight="1" x14ac:dyDescent="0.3">
      <c r="A210" s="391"/>
      <c r="B210" s="393" t="s">
        <v>821</v>
      </c>
      <c r="C210" s="41" t="s">
        <v>853</v>
      </c>
      <c r="D210" s="282">
        <v>0</v>
      </c>
      <c r="E210" s="390"/>
      <c r="F210" s="363">
        <v>33000</v>
      </c>
      <c r="G210" s="2"/>
      <c r="H210" s="2">
        <f>D210*F210</f>
        <v>0</v>
      </c>
      <c r="I210" s="11">
        <f>H210</f>
        <v>0</v>
      </c>
    </row>
    <row r="211" spans="1:9" s="5" customFormat="1" ht="15.6" hidden="1" customHeight="1" x14ac:dyDescent="0.3">
      <c r="A211" s="391"/>
      <c r="B211" s="393" t="s">
        <v>822</v>
      </c>
      <c r="C211" s="41" t="s">
        <v>14</v>
      </c>
      <c r="D211" s="282">
        <v>0</v>
      </c>
      <c r="E211" s="390"/>
      <c r="F211" s="363">
        <v>250</v>
      </c>
      <c r="G211" s="2"/>
      <c r="H211" s="2">
        <f>D211*F211</f>
        <v>0</v>
      </c>
      <c r="I211" s="11">
        <f>H211</f>
        <v>0</v>
      </c>
    </row>
    <row r="212" spans="1:9" s="5" customFormat="1" ht="15.6" hidden="1" customHeight="1" x14ac:dyDescent="0.3">
      <c r="A212" s="391"/>
      <c r="B212" s="397" t="s">
        <v>823</v>
      </c>
      <c r="C212" s="41"/>
      <c r="D212" s="282"/>
      <c r="E212" s="390"/>
      <c r="F212" s="363"/>
      <c r="G212" s="2"/>
      <c r="H212" s="2"/>
      <c r="I212" s="11"/>
    </row>
    <row r="213" spans="1:9" s="5" customFormat="1" ht="15.6" hidden="1" customHeight="1" x14ac:dyDescent="0.25">
      <c r="A213" s="391"/>
      <c r="B213" s="383" t="s">
        <v>824</v>
      </c>
      <c r="C213" s="41" t="s">
        <v>853</v>
      </c>
      <c r="D213" s="282">
        <v>0</v>
      </c>
      <c r="E213" s="390">
        <v>25000</v>
      </c>
      <c r="F213" s="363"/>
      <c r="G213" s="2">
        <f>D213*E213</f>
        <v>0</v>
      </c>
      <c r="H213" s="2">
        <f t="shared" ref="H213:H222" si="13">D213*F213</f>
        <v>0</v>
      </c>
      <c r="I213" s="11">
        <f>H213+G213</f>
        <v>0</v>
      </c>
    </row>
    <row r="214" spans="1:9" s="5" customFormat="1" ht="15.6" hidden="1" customHeight="1" x14ac:dyDescent="0.3">
      <c r="A214" s="391"/>
      <c r="B214" s="393" t="s">
        <v>825</v>
      </c>
      <c r="C214" s="41" t="s">
        <v>853</v>
      </c>
      <c r="D214" s="282">
        <v>0</v>
      </c>
      <c r="E214" s="390"/>
      <c r="F214" s="363">
        <v>33000</v>
      </c>
      <c r="G214" s="2"/>
      <c r="H214" s="2">
        <f t="shared" si="13"/>
        <v>0</v>
      </c>
      <c r="I214" s="11">
        <f>H214</f>
        <v>0</v>
      </c>
    </row>
    <row r="215" spans="1:9" s="5" customFormat="1" ht="15.6" hidden="1" customHeight="1" x14ac:dyDescent="0.3">
      <c r="A215" s="391"/>
      <c r="B215" s="393" t="s">
        <v>826</v>
      </c>
      <c r="C215" s="41" t="s">
        <v>853</v>
      </c>
      <c r="D215" s="282">
        <v>0</v>
      </c>
      <c r="E215" s="390"/>
      <c r="F215" s="363">
        <v>33000</v>
      </c>
      <c r="G215" s="2"/>
      <c r="H215" s="2">
        <f t="shared" si="13"/>
        <v>0</v>
      </c>
      <c r="I215" s="11">
        <f t="shared" ref="I215:I222" si="14">H215</f>
        <v>0</v>
      </c>
    </row>
    <row r="216" spans="1:9" s="5" customFormat="1" ht="15.6" hidden="1" customHeight="1" x14ac:dyDescent="0.3">
      <c r="A216" s="391"/>
      <c r="B216" s="393" t="s">
        <v>827</v>
      </c>
      <c r="C216" s="41" t="s">
        <v>853</v>
      </c>
      <c r="D216" s="282">
        <v>0</v>
      </c>
      <c r="E216" s="390"/>
      <c r="F216" s="363">
        <v>33000</v>
      </c>
      <c r="G216" s="2"/>
      <c r="H216" s="2">
        <f t="shared" si="13"/>
        <v>0</v>
      </c>
      <c r="I216" s="11">
        <f>H216</f>
        <v>0</v>
      </c>
    </row>
    <row r="217" spans="1:9" s="5" customFormat="1" ht="15.6" hidden="1" customHeight="1" x14ac:dyDescent="0.3">
      <c r="A217" s="391"/>
      <c r="B217" s="393" t="s">
        <v>828</v>
      </c>
      <c r="C217" s="41" t="s">
        <v>853</v>
      </c>
      <c r="D217" s="282">
        <v>0</v>
      </c>
      <c r="E217" s="390"/>
      <c r="F217" s="363">
        <v>33000</v>
      </c>
      <c r="G217" s="2"/>
      <c r="H217" s="2">
        <f t="shared" si="13"/>
        <v>0</v>
      </c>
      <c r="I217" s="11">
        <f t="shared" si="14"/>
        <v>0</v>
      </c>
    </row>
    <row r="218" spans="1:9" s="5" customFormat="1" ht="15.6" hidden="1" customHeight="1" x14ac:dyDescent="0.3">
      <c r="A218" s="391"/>
      <c r="B218" s="393" t="s">
        <v>822</v>
      </c>
      <c r="C218" s="41" t="s">
        <v>14</v>
      </c>
      <c r="D218" s="282">
        <v>0</v>
      </c>
      <c r="E218" s="390"/>
      <c r="F218" s="363">
        <v>250</v>
      </c>
      <c r="G218" s="2"/>
      <c r="H218" s="2">
        <f t="shared" si="13"/>
        <v>0</v>
      </c>
      <c r="I218" s="11">
        <f t="shared" si="14"/>
        <v>0</v>
      </c>
    </row>
    <row r="219" spans="1:9" s="5" customFormat="1" ht="15.6" hidden="1" customHeight="1" x14ac:dyDescent="0.3">
      <c r="A219" s="391"/>
      <c r="B219" s="393" t="s">
        <v>829</v>
      </c>
      <c r="C219" s="41" t="s">
        <v>14</v>
      </c>
      <c r="D219" s="282">
        <v>0</v>
      </c>
      <c r="E219" s="390"/>
      <c r="F219" s="363">
        <v>250</v>
      </c>
      <c r="G219" s="2"/>
      <c r="H219" s="2">
        <f t="shared" si="13"/>
        <v>0</v>
      </c>
      <c r="I219" s="11">
        <f t="shared" si="14"/>
        <v>0</v>
      </c>
    </row>
    <row r="220" spans="1:9" s="5" customFormat="1" ht="15.6" hidden="1" customHeight="1" x14ac:dyDescent="0.3">
      <c r="A220" s="391"/>
      <c r="B220" s="393" t="s">
        <v>830</v>
      </c>
      <c r="C220" s="41" t="s">
        <v>14</v>
      </c>
      <c r="D220" s="282">
        <v>0</v>
      </c>
      <c r="E220" s="390"/>
      <c r="F220" s="363">
        <v>250</v>
      </c>
      <c r="G220" s="2"/>
      <c r="H220" s="2">
        <f t="shared" si="13"/>
        <v>0</v>
      </c>
      <c r="I220" s="11">
        <f t="shared" si="14"/>
        <v>0</v>
      </c>
    </row>
    <row r="221" spans="1:9" s="5" customFormat="1" ht="15.6" hidden="1" customHeight="1" x14ac:dyDescent="0.3">
      <c r="A221" s="391"/>
      <c r="B221" s="393" t="s">
        <v>831</v>
      </c>
      <c r="C221" s="41" t="s">
        <v>12</v>
      </c>
      <c r="D221" s="282">
        <v>0</v>
      </c>
      <c r="E221" s="390"/>
      <c r="F221" s="363">
        <v>250</v>
      </c>
      <c r="G221" s="2"/>
      <c r="H221" s="2">
        <f t="shared" si="13"/>
        <v>0</v>
      </c>
      <c r="I221" s="11">
        <f t="shared" si="14"/>
        <v>0</v>
      </c>
    </row>
    <row r="222" spans="1:9" s="5" customFormat="1" ht="15.6" hidden="1" customHeight="1" x14ac:dyDescent="0.3">
      <c r="A222" s="391"/>
      <c r="B222" s="393" t="s">
        <v>832</v>
      </c>
      <c r="C222" s="41" t="s">
        <v>14</v>
      </c>
      <c r="D222" s="282">
        <v>0</v>
      </c>
      <c r="E222" s="390"/>
      <c r="F222" s="363">
        <v>200</v>
      </c>
      <c r="G222" s="2"/>
      <c r="H222" s="2">
        <f t="shared" si="13"/>
        <v>0</v>
      </c>
      <c r="I222" s="11">
        <f t="shared" si="14"/>
        <v>0</v>
      </c>
    </row>
    <row r="223" spans="1:9" s="5" customFormat="1" ht="15.6" hidden="1" customHeight="1" x14ac:dyDescent="0.25">
      <c r="A223" s="391"/>
      <c r="B223" s="383" t="s">
        <v>807</v>
      </c>
      <c r="C223" s="41" t="s">
        <v>14</v>
      </c>
      <c r="D223" s="282">
        <f>(D208+D213)*27</f>
        <v>0</v>
      </c>
      <c r="E223" s="390">
        <v>150</v>
      </c>
      <c r="F223" s="363"/>
      <c r="G223" s="2">
        <f>D223*E223</f>
        <v>0</v>
      </c>
      <c r="H223" s="2"/>
      <c r="I223" s="11">
        <f>G223</f>
        <v>0</v>
      </c>
    </row>
    <row r="224" spans="1:9" s="5" customFormat="1" ht="15.6" hidden="1" customHeight="1" x14ac:dyDescent="0.3">
      <c r="A224" s="391"/>
      <c r="B224" s="393" t="s">
        <v>808</v>
      </c>
      <c r="C224" s="41" t="s">
        <v>15</v>
      </c>
      <c r="D224" s="282">
        <f>D223*0.2</f>
        <v>0</v>
      </c>
      <c r="E224" s="390"/>
      <c r="F224" s="363">
        <v>85</v>
      </c>
      <c r="G224" s="2"/>
      <c r="H224" s="2">
        <f>F224*D224</f>
        <v>0</v>
      </c>
      <c r="I224" s="11">
        <f>H224</f>
        <v>0</v>
      </c>
    </row>
    <row r="225" spans="1:9" s="5" customFormat="1" ht="15.6" hidden="1" customHeight="1" x14ac:dyDescent="0.3">
      <c r="A225" s="391"/>
      <c r="B225" s="393" t="s">
        <v>809</v>
      </c>
      <c r="C225" s="41" t="s">
        <v>15</v>
      </c>
      <c r="D225" s="282">
        <f>D223*0.3</f>
        <v>0</v>
      </c>
      <c r="E225" s="390"/>
      <c r="F225" s="363">
        <v>115</v>
      </c>
      <c r="G225" s="2"/>
      <c r="H225" s="2">
        <f>F225*D225</f>
        <v>0</v>
      </c>
      <c r="I225" s="11">
        <f>H225</f>
        <v>0</v>
      </c>
    </row>
    <row r="226" spans="1:9" s="5" customFormat="1" ht="15.6" hidden="1" customHeight="1" x14ac:dyDescent="0.3">
      <c r="A226" s="391"/>
      <c r="B226" s="398" t="s">
        <v>833</v>
      </c>
      <c r="C226" s="41"/>
      <c r="D226" s="282"/>
      <c r="E226" s="390"/>
      <c r="F226" s="363"/>
      <c r="G226" s="2"/>
      <c r="H226" s="2"/>
      <c r="I226" s="11"/>
    </row>
    <row r="227" spans="1:9" s="5" customFormat="1" ht="15.6" hidden="1" customHeight="1" x14ac:dyDescent="0.25">
      <c r="A227" s="391"/>
      <c r="B227" s="383" t="s">
        <v>824</v>
      </c>
      <c r="C227" s="41" t="s">
        <v>853</v>
      </c>
      <c r="D227" s="282">
        <v>0</v>
      </c>
      <c r="E227" s="390">
        <v>25000</v>
      </c>
      <c r="F227" s="363"/>
      <c r="G227" s="2">
        <f>D227*E227</f>
        <v>0</v>
      </c>
      <c r="H227" s="2">
        <f t="shared" ref="H227:H240" si="15">D227*F227</f>
        <v>0</v>
      </c>
      <c r="I227" s="11">
        <f t="shared" ref="I227:I241" si="16">H227+G227</f>
        <v>0</v>
      </c>
    </row>
    <row r="228" spans="1:9" s="5" customFormat="1" ht="15.6" hidden="1" customHeight="1" x14ac:dyDescent="0.3">
      <c r="A228" s="391"/>
      <c r="B228" s="399" t="s">
        <v>834</v>
      </c>
      <c r="C228" s="41" t="s">
        <v>853</v>
      </c>
      <c r="D228" s="282">
        <v>0</v>
      </c>
      <c r="E228" s="390"/>
      <c r="F228" s="363">
        <v>33000</v>
      </c>
      <c r="G228" s="2"/>
      <c r="H228" s="2">
        <f t="shared" si="15"/>
        <v>0</v>
      </c>
      <c r="I228" s="11">
        <f t="shared" si="16"/>
        <v>0</v>
      </c>
    </row>
    <row r="229" spans="1:9" s="5" customFormat="1" ht="15.6" hidden="1" customHeight="1" x14ac:dyDescent="0.3">
      <c r="A229" s="391"/>
      <c r="B229" s="400" t="s">
        <v>835</v>
      </c>
      <c r="C229" s="41" t="s">
        <v>853</v>
      </c>
      <c r="D229" s="282">
        <v>0</v>
      </c>
      <c r="E229" s="390"/>
      <c r="F229" s="363">
        <v>33000</v>
      </c>
      <c r="G229" s="2"/>
      <c r="H229" s="2">
        <f t="shared" si="15"/>
        <v>0</v>
      </c>
      <c r="I229" s="11">
        <f t="shared" si="16"/>
        <v>0</v>
      </c>
    </row>
    <row r="230" spans="1:9" s="5" customFormat="1" ht="15.6" hidden="1" customHeight="1" x14ac:dyDescent="0.3">
      <c r="A230" s="391"/>
      <c r="B230" s="400" t="s">
        <v>836</v>
      </c>
      <c r="C230" s="41" t="s">
        <v>853</v>
      </c>
      <c r="D230" s="282">
        <v>0</v>
      </c>
      <c r="E230" s="390"/>
      <c r="F230" s="363">
        <v>33000</v>
      </c>
      <c r="G230" s="2"/>
      <c r="H230" s="2">
        <f t="shared" si="15"/>
        <v>0</v>
      </c>
      <c r="I230" s="11">
        <f t="shared" si="16"/>
        <v>0</v>
      </c>
    </row>
    <row r="231" spans="1:9" s="5" customFormat="1" ht="15.6" hidden="1" customHeight="1" x14ac:dyDescent="0.3">
      <c r="A231" s="391"/>
      <c r="B231" s="400" t="s">
        <v>837</v>
      </c>
      <c r="C231" s="41" t="s">
        <v>853</v>
      </c>
      <c r="D231" s="282">
        <v>0</v>
      </c>
      <c r="E231" s="390"/>
      <c r="F231" s="363">
        <v>33000</v>
      </c>
      <c r="G231" s="2"/>
      <c r="H231" s="2">
        <f t="shared" si="15"/>
        <v>0</v>
      </c>
      <c r="I231" s="11">
        <f t="shared" si="16"/>
        <v>0</v>
      </c>
    </row>
    <row r="232" spans="1:9" s="5" customFormat="1" ht="15.6" hidden="1" customHeight="1" x14ac:dyDescent="0.3">
      <c r="A232" s="391"/>
      <c r="B232" s="400" t="s">
        <v>838</v>
      </c>
      <c r="C232" s="41" t="s">
        <v>853</v>
      </c>
      <c r="D232" s="282">
        <v>0</v>
      </c>
      <c r="E232" s="390"/>
      <c r="F232" s="363">
        <v>33000</v>
      </c>
      <c r="G232" s="2"/>
      <c r="H232" s="2">
        <f t="shared" si="15"/>
        <v>0</v>
      </c>
      <c r="I232" s="11">
        <f t="shared" si="16"/>
        <v>0</v>
      </c>
    </row>
    <row r="233" spans="1:9" s="5" customFormat="1" ht="15.6" hidden="1" customHeight="1" x14ac:dyDescent="0.3">
      <c r="A233" s="391"/>
      <c r="B233" s="400" t="s">
        <v>839</v>
      </c>
      <c r="C233" s="41" t="s">
        <v>853</v>
      </c>
      <c r="D233" s="282">
        <v>0</v>
      </c>
      <c r="E233" s="390"/>
      <c r="F233" s="363">
        <v>33000</v>
      </c>
      <c r="G233" s="2"/>
      <c r="H233" s="2">
        <f t="shared" si="15"/>
        <v>0</v>
      </c>
      <c r="I233" s="11">
        <f t="shared" si="16"/>
        <v>0</v>
      </c>
    </row>
    <row r="234" spans="1:9" s="5" customFormat="1" ht="15.6" hidden="1" customHeight="1" x14ac:dyDescent="0.3">
      <c r="A234" s="391"/>
      <c r="B234" s="400" t="s">
        <v>840</v>
      </c>
      <c r="C234" s="41" t="s">
        <v>853</v>
      </c>
      <c r="D234" s="282">
        <v>0</v>
      </c>
      <c r="E234" s="390"/>
      <c r="F234" s="363">
        <v>33000</v>
      </c>
      <c r="G234" s="2"/>
      <c r="H234" s="2">
        <f t="shared" si="15"/>
        <v>0</v>
      </c>
      <c r="I234" s="11">
        <f t="shared" si="16"/>
        <v>0</v>
      </c>
    </row>
    <row r="235" spans="1:9" s="5" customFormat="1" ht="15.6" hidden="1" customHeight="1" x14ac:dyDescent="0.3">
      <c r="A235" s="391"/>
      <c r="B235" s="400" t="s">
        <v>841</v>
      </c>
      <c r="C235" s="41" t="s">
        <v>853</v>
      </c>
      <c r="D235" s="282">
        <v>0</v>
      </c>
      <c r="E235" s="390"/>
      <c r="F235" s="363">
        <v>33000</v>
      </c>
      <c r="G235" s="2"/>
      <c r="H235" s="2">
        <f t="shared" si="15"/>
        <v>0</v>
      </c>
      <c r="I235" s="11">
        <f t="shared" si="16"/>
        <v>0</v>
      </c>
    </row>
    <row r="236" spans="1:9" s="5" customFormat="1" ht="15.6" hidden="1" customHeight="1" x14ac:dyDescent="0.3">
      <c r="A236" s="391"/>
      <c r="B236" s="400" t="s">
        <v>842</v>
      </c>
      <c r="C236" s="41" t="s">
        <v>853</v>
      </c>
      <c r="D236" s="282">
        <v>0</v>
      </c>
      <c r="E236" s="390"/>
      <c r="F236" s="363">
        <v>33000</v>
      </c>
      <c r="G236" s="2"/>
      <c r="H236" s="2">
        <f t="shared" si="15"/>
        <v>0</v>
      </c>
      <c r="I236" s="11">
        <f t="shared" si="16"/>
        <v>0</v>
      </c>
    </row>
    <row r="237" spans="1:9" s="5" customFormat="1" ht="15.6" hidden="1" customHeight="1" x14ac:dyDescent="0.3">
      <c r="A237" s="391"/>
      <c r="B237" s="400" t="s">
        <v>843</v>
      </c>
      <c r="C237" s="41" t="s">
        <v>853</v>
      </c>
      <c r="D237" s="282">
        <v>0</v>
      </c>
      <c r="E237" s="390"/>
      <c r="F237" s="363">
        <v>31000</v>
      </c>
      <c r="G237" s="2"/>
      <c r="H237" s="2">
        <f t="shared" si="15"/>
        <v>0</v>
      </c>
      <c r="I237" s="11">
        <f t="shared" si="16"/>
        <v>0</v>
      </c>
    </row>
    <row r="238" spans="1:9" s="5" customFormat="1" ht="15.6" hidden="1" customHeight="1" x14ac:dyDescent="0.3">
      <c r="A238" s="391"/>
      <c r="B238" s="400" t="s">
        <v>844</v>
      </c>
      <c r="C238" s="41" t="s">
        <v>853</v>
      </c>
      <c r="D238" s="282">
        <v>0</v>
      </c>
      <c r="E238" s="390"/>
      <c r="F238" s="363">
        <v>33000</v>
      </c>
      <c r="G238" s="2"/>
      <c r="H238" s="2">
        <f t="shared" si="15"/>
        <v>0</v>
      </c>
      <c r="I238" s="11">
        <f t="shared" si="16"/>
        <v>0</v>
      </c>
    </row>
    <row r="239" spans="1:9" s="5" customFormat="1" ht="15.6" hidden="1" customHeight="1" x14ac:dyDescent="0.3">
      <c r="A239" s="391"/>
      <c r="B239" s="393" t="s">
        <v>845</v>
      </c>
      <c r="C239" s="41" t="s">
        <v>14</v>
      </c>
      <c r="D239" s="282">
        <v>0</v>
      </c>
      <c r="E239" s="390"/>
      <c r="F239" s="363">
        <v>250</v>
      </c>
      <c r="G239" s="2"/>
      <c r="H239" s="2">
        <f t="shared" si="15"/>
        <v>0</v>
      </c>
      <c r="I239" s="11">
        <f t="shared" si="16"/>
        <v>0</v>
      </c>
    </row>
    <row r="240" spans="1:9" s="5" customFormat="1" ht="15.6" hidden="1" customHeight="1" x14ac:dyDescent="0.3">
      <c r="A240" s="391"/>
      <c r="B240" s="393" t="s">
        <v>846</v>
      </c>
      <c r="C240" s="41" t="s">
        <v>14</v>
      </c>
      <c r="D240" s="282">
        <v>0</v>
      </c>
      <c r="E240" s="390"/>
      <c r="F240" s="363">
        <v>250</v>
      </c>
      <c r="G240" s="2"/>
      <c r="H240" s="2">
        <f t="shared" si="15"/>
        <v>0</v>
      </c>
      <c r="I240" s="11">
        <f t="shared" si="16"/>
        <v>0</v>
      </c>
    </row>
    <row r="241" spans="1:9" s="5" customFormat="1" ht="15.6" hidden="1" customHeight="1" x14ac:dyDescent="0.3">
      <c r="A241" s="391"/>
      <c r="B241" s="393" t="s">
        <v>847</v>
      </c>
      <c r="C241" s="41"/>
      <c r="D241" s="282"/>
      <c r="E241" s="390"/>
      <c r="F241" s="363"/>
      <c r="G241" s="2"/>
      <c r="H241" s="2">
        <v>0</v>
      </c>
      <c r="I241" s="11">
        <f t="shared" si="16"/>
        <v>0</v>
      </c>
    </row>
    <row r="242" spans="1:9" s="5" customFormat="1" ht="15.6" hidden="1" customHeight="1" x14ac:dyDescent="0.25">
      <c r="A242" s="391"/>
      <c r="B242" s="383" t="s">
        <v>848</v>
      </c>
      <c r="C242" s="41" t="s">
        <v>8</v>
      </c>
      <c r="D242" s="282">
        <v>0</v>
      </c>
      <c r="E242" s="390">
        <v>2500</v>
      </c>
      <c r="F242" s="363"/>
      <c r="G242" s="2">
        <f>D242*E242</f>
        <v>0</v>
      </c>
      <c r="H242" s="2"/>
      <c r="I242" s="11">
        <f>G242</f>
        <v>0</v>
      </c>
    </row>
    <row r="243" spans="1:9" s="5" customFormat="1" ht="15.6" hidden="1" customHeight="1" x14ac:dyDescent="0.3">
      <c r="A243" s="391"/>
      <c r="B243" s="393" t="s">
        <v>849</v>
      </c>
      <c r="C243" s="41" t="s">
        <v>8</v>
      </c>
      <c r="D243" s="282">
        <v>0</v>
      </c>
      <c r="E243" s="390"/>
      <c r="F243" s="363">
        <v>4975</v>
      </c>
      <c r="G243" s="2"/>
      <c r="H243" s="2">
        <f>F243*D243</f>
        <v>0</v>
      </c>
      <c r="I243" s="11">
        <f>H243</f>
        <v>0</v>
      </c>
    </row>
    <row r="244" spans="1:9" s="5" customFormat="1" ht="15.6" hidden="1" customHeight="1" x14ac:dyDescent="0.3">
      <c r="A244" s="391"/>
      <c r="B244" s="393" t="s">
        <v>850</v>
      </c>
      <c r="C244" s="41" t="s">
        <v>8</v>
      </c>
      <c r="D244" s="282">
        <v>0</v>
      </c>
      <c r="E244" s="390"/>
      <c r="F244" s="363">
        <f>F165</f>
        <v>11987</v>
      </c>
      <c r="G244" s="2"/>
      <c r="H244" s="2">
        <f>F244*D244</f>
        <v>0</v>
      </c>
      <c r="I244" s="11">
        <f>H244</f>
        <v>0</v>
      </c>
    </row>
    <row r="245" spans="1:9" s="5" customFormat="1" ht="15.6" hidden="1" customHeight="1" x14ac:dyDescent="0.3">
      <c r="A245" s="391"/>
      <c r="B245" s="393" t="s">
        <v>851</v>
      </c>
      <c r="C245" s="41" t="s">
        <v>853</v>
      </c>
      <c r="D245" s="282">
        <v>0</v>
      </c>
      <c r="E245" s="390"/>
      <c r="F245" s="363">
        <v>42000</v>
      </c>
      <c r="G245" s="2"/>
      <c r="H245" s="2">
        <f>F245*D245</f>
        <v>0</v>
      </c>
      <c r="I245" s="11">
        <f>H245</f>
        <v>0</v>
      </c>
    </row>
    <row r="246" spans="1:9" s="5" customFormat="1" ht="15.6" hidden="1" customHeight="1" x14ac:dyDescent="0.3">
      <c r="A246" s="391"/>
      <c r="B246" s="393" t="s">
        <v>852</v>
      </c>
      <c r="C246" s="41" t="s">
        <v>853</v>
      </c>
      <c r="D246" s="282">
        <v>0</v>
      </c>
      <c r="E246" s="390"/>
      <c r="F246" s="363">
        <v>35000</v>
      </c>
      <c r="G246" s="2"/>
      <c r="H246" s="2">
        <f>F246*D246</f>
        <v>0</v>
      </c>
      <c r="I246" s="11">
        <f>H246</f>
        <v>0</v>
      </c>
    </row>
    <row r="247" spans="1:9" s="5" customFormat="1" ht="15.6" hidden="1" customHeight="1" x14ac:dyDescent="0.25">
      <c r="A247" s="391"/>
      <c r="B247" s="383" t="s">
        <v>807</v>
      </c>
      <c r="C247" s="41" t="s">
        <v>14</v>
      </c>
      <c r="D247" s="282">
        <f>D227*27</f>
        <v>0</v>
      </c>
      <c r="E247" s="390">
        <v>150</v>
      </c>
      <c r="F247" s="363"/>
      <c r="G247" s="2">
        <f>D247*E247</f>
        <v>0</v>
      </c>
      <c r="H247" s="2"/>
      <c r="I247" s="11">
        <f>G247</f>
        <v>0</v>
      </c>
    </row>
    <row r="248" spans="1:9" s="5" customFormat="1" ht="15.6" hidden="1" customHeight="1" x14ac:dyDescent="0.3">
      <c r="A248" s="391"/>
      <c r="B248" s="393" t="s">
        <v>808</v>
      </c>
      <c r="C248" s="41" t="s">
        <v>15</v>
      </c>
      <c r="D248" s="282">
        <f>D247*0.2</f>
        <v>0</v>
      </c>
      <c r="E248" s="390"/>
      <c r="F248" s="363">
        <v>85</v>
      </c>
      <c r="G248" s="2"/>
      <c r="H248" s="2">
        <f>F248*D248</f>
        <v>0</v>
      </c>
      <c r="I248" s="11">
        <f>H248</f>
        <v>0</v>
      </c>
    </row>
    <row r="249" spans="1:9" s="5" customFormat="1" ht="15.6" hidden="1" customHeight="1" x14ac:dyDescent="0.3">
      <c r="A249" s="391"/>
      <c r="B249" s="393" t="s">
        <v>809</v>
      </c>
      <c r="C249" s="41" t="s">
        <v>15</v>
      </c>
      <c r="D249" s="282">
        <f>D247*0.3</f>
        <v>0</v>
      </c>
      <c r="E249" s="390"/>
      <c r="F249" s="363">
        <v>115</v>
      </c>
      <c r="G249" s="2"/>
      <c r="H249" s="2">
        <f>F249*D249</f>
        <v>0</v>
      </c>
      <c r="I249" s="11">
        <f>H249</f>
        <v>0</v>
      </c>
    </row>
    <row r="250" spans="1:9" s="5" customFormat="1" ht="15.6" hidden="1" customHeight="1" x14ac:dyDescent="0.25">
      <c r="A250" s="391"/>
      <c r="B250" s="232" t="s">
        <v>854</v>
      </c>
      <c r="C250" s="225"/>
      <c r="D250" s="239"/>
      <c r="E250" s="230"/>
      <c r="F250" s="240"/>
      <c r="G250" s="230">
        <f>SUM(G202:G249)</f>
        <v>0</v>
      </c>
      <c r="H250" s="230">
        <f>SUM(H202:H249)</f>
        <v>0</v>
      </c>
      <c r="I250" s="230">
        <f>ROUND(SUM(I202:I249),2)</f>
        <v>0</v>
      </c>
    </row>
    <row r="251" spans="1:9" s="5" customFormat="1" ht="15.6" hidden="1" customHeight="1" x14ac:dyDescent="0.25">
      <c r="A251" s="391"/>
      <c r="B251" s="58" t="s">
        <v>624</v>
      </c>
      <c r="C251" s="9"/>
      <c r="D251" s="31"/>
      <c r="E251" s="10"/>
      <c r="F251" s="57"/>
      <c r="G251" s="10"/>
      <c r="H251" s="10"/>
      <c r="I251" s="31">
        <f>ROUND(I250/1.18*0.18,2)</f>
        <v>0</v>
      </c>
    </row>
    <row r="252" spans="1:9" s="5" customFormat="1" ht="23.25" customHeight="1" x14ac:dyDescent="0.25">
      <c r="A252" s="547"/>
      <c r="B252" s="562" t="s">
        <v>812</v>
      </c>
      <c r="C252" s="547"/>
      <c r="D252" s="547"/>
      <c r="E252" s="547"/>
      <c r="F252" s="547"/>
      <c r="G252" s="547"/>
      <c r="H252" s="547"/>
      <c r="I252" s="547"/>
    </row>
    <row r="253" spans="1:9" s="5" customFormat="1" ht="15.6" customHeight="1" x14ac:dyDescent="0.25">
      <c r="A253" s="107" t="s">
        <v>313</v>
      </c>
      <c r="B253" s="538" t="s">
        <v>1163</v>
      </c>
      <c r="C253" s="46" t="s">
        <v>9</v>
      </c>
      <c r="D253" s="256">
        <f>D254</f>
        <v>4.9156799999999992</v>
      </c>
      <c r="E253" s="256">
        <v>30000</v>
      </c>
      <c r="F253" s="56"/>
      <c r="G253" s="2">
        <f>ROUND(E253*D253,2)</f>
        <v>147470.39999999999</v>
      </c>
      <c r="H253" s="11"/>
      <c r="I253" s="11">
        <f>G253+H253</f>
        <v>147470.39999999999</v>
      </c>
    </row>
    <row r="254" spans="1:9" s="5" customFormat="1" ht="15.6" customHeight="1" x14ac:dyDescent="0.25">
      <c r="A254" s="90"/>
      <c r="B254" s="652" t="s">
        <v>1443</v>
      </c>
      <c r="C254" s="41" t="s">
        <v>9</v>
      </c>
      <c r="D254" s="282">
        <f>балконы!I6/1000</f>
        <v>4.9156799999999992</v>
      </c>
      <c r="E254" s="166"/>
      <c r="F254" s="362">
        <v>33000</v>
      </c>
      <c r="G254" s="2"/>
      <c r="H254" s="2">
        <f>F254*D254</f>
        <v>162217.43999999997</v>
      </c>
      <c r="I254" s="11">
        <f>H254</f>
        <v>162217.43999999997</v>
      </c>
    </row>
    <row r="255" spans="1:9" s="5" customFormat="1" ht="15.6" customHeight="1" x14ac:dyDescent="0.25">
      <c r="A255" s="90"/>
      <c r="B255" s="533" t="s">
        <v>1161</v>
      </c>
      <c r="C255" s="41" t="s">
        <v>14</v>
      </c>
      <c r="D255" s="282">
        <f>балконы!I7</f>
        <v>182.76000000000002</v>
      </c>
      <c r="E255" s="166"/>
      <c r="F255" s="362">
        <v>280</v>
      </c>
      <c r="G255" s="2"/>
      <c r="H255" s="2">
        <f>F255*D255</f>
        <v>51172.800000000003</v>
      </c>
      <c r="I255" s="11">
        <f>H255</f>
        <v>51172.800000000003</v>
      </c>
    </row>
    <row r="256" spans="1:9" s="5" customFormat="1" ht="15.6" customHeight="1" x14ac:dyDescent="0.25">
      <c r="A256" s="107" t="s">
        <v>314</v>
      </c>
      <c r="B256" s="538" t="s">
        <v>1176</v>
      </c>
      <c r="C256" s="46" t="s">
        <v>9</v>
      </c>
      <c r="D256" s="256">
        <f>D257</f>
        <v>0.75631999999999988</v>
      </c>
      <c r="E256" s="256">
        <v>40000</v>
      </c>
      <c r="F256" s="56"/>
      <c r="G256" s="2">
        <f>ROUND(E256*D256,2)</f>
        <v>30252.799999999999</v>
      </c>
      <c r="H256" s="11"/>
      <c r="I256" s="11">
        <f>G256+H256</f>
        <v>30252.799999999999</v>
      </c>
    </row>
    <row r="257" spans="1:9" s="5" customFormat="1" ht="15.6" customHeight="1" x14ac:dyDescent="0.25">
      <c r="A257" s="90"/>
      <c r="B257" s="652" t="s">
        <v>1443</v>
      </c>
      <c r="C257" s="41" t="s">
        <v>9</v>
      </c>
      <c r="D257" s="282">
        <f>балконы!I2/1000</f>
        <v>0.75631999999999988</v>
      </c>
      <c r="E257" s="166"/>
      <c r="F257" s="362">
        <v>33000</v>
      </c>
      <c r="G257" s="2"/>
      <c r="H257" s="2">
        <f>F257*D257</f>
        <v>24958.559999999998</v>
      </c>
      <c r="I257" s="11">
        <f>H257</f>
        <v>24958.559999999998</v>
      </c>
    </row>
    <row r="258" spans="1:9" s="5" customFormat="1" ht="15.6" customHeight="1" x14ac:dyDescent="0.25">
      <c r="A258" s="107" t="s">
        <v>347</v>
      </c>
      <c r="B258" s="538" t="s">
        <v>1444</v>
      </c>
      <c r="C258" s="46" t="s">
        <v>12</v>
      </c>
      <c r="D258" s="256">
        <v>14</v>
      </c>
      <c r="E258" s="256">
        <v>4000</v>
      </c>
      <c r="F258" s="56"/>
      <c r="G258" s="2">
        <f>ROUND(E258*D258,2)</f>
        <v>56000</v>
      </c>
      <c r="H258" s="11"/>
      <c r="I258" s="11">
        <f>G258+H258</f>
        <v>56000</v>
      </c>
    </row>
    <row r="259" spans="1:9" s="5" customFormat="1" ht="15.6" customHeight="1" x14ac:dyDescent="0.25">
      <c r="A259" s="90"/>
      <c r="B259" s="533" t="s">
        <v>1451</v>
      </c>
      <c r="C259" s="41" t="s">
        <v>14</v>
      </c>
      <c r="D259" s="282">
        <f>балконы!I3</f>
        <v>88.579999999999984</v>
      </c>
      <c r="E259" s="166"/>
      <c r="F259" s="362">
        <v>280</v>
      </c>
      <c r="G259" s="2"/>
      <c r="H259" s="2">
        <f>F259*D259</f>
        <v>24802.399999999994</v>
      </c>
      <c r="I259" s="11">
        <f>H259</f>
        <v>24802.399999999994</v>
      </c>
    </row>
    <row r="260" spans="1:9" s="5" customFormat="1" ht="15.6" customHeight="1" x14ac:dyDescent="0.25">
      <c r="A260" s="90"/>
      <c r="B260" s="533" t="s">
        <v>1117</v>
      </c>
      <c r="C260" s="41" t="s">
        <v>12</v>
      </c>
      <c r="D260" s="282">
        <f>балконы!I5</f>
        <v>10</v>
      </c>
      <c r="E260" s="10"/>
      <c r="F260" s="362">
        <v>1200</v>
      </c>
      <c r="G260" s="2"/>
      <c r="H260" s="2">
        <f>F260*D260</f>
        <v>12000</v>
      </c>
      <c r="I260" s="11">
        <f>H260</f>
        <v>12000</v>
      </c>
    </row>
    <row r="261" spans="1:9" s="5" customFormat="1" ht="15.6" customHeight="1" x14ac:dyDescent="0.25">
      <c r="A261" s="90"/>
      <c r="B261" s="533" t="s">
        <v>1118</v>
      </c>
      <c r="C261" s="41" t="s">
        <v>14</v>
      </c>
      <c r="D261" s="282">
        <f>балконы!I4</f>
        <v>12.06</v>
      </c>
      <c r="E261" s="10"/>
      <c r="F261" s="362">
        <v>250</v>
      </c>
      <c r="G261" s="2"/>
      <c r="H261" s="2">
        <f>F261*D261</f>
        <v>3015</v>
      </c>
      <c r="I261" s="11">
        <f>H261</f>
        <v>3015</v>
      </c>
    </row>
    <row r="262" spans="1:9" s="5" customFormat="1" ht="15.6" customHeight="1" x14ac:dyDescent="0.3">
      <c r="A262" s="107" t="s">
        <v>1452</v>
      </c>
      <c r="B262" s="538" t="s">
        <v>807</v>
      </c>
      <c r="C262" s="41" t="s">
        <v>14</v>
      </c>
      <c r="D262" s="282">
        <f>D253*27+D256*27</f>
        <v>153.14399999999998</v>
      </c>
      <c r="E262" s="256">
        <v>150</v>
      </c>
      <c r="F262" s="484"/>
      <c r="G262" s="2">
        <f>D262*E262</f>
        <v>22971.599999999995</v>
      </c>
      <c r="H262" s="484"/>
      <c r="I262" s="11">
        <f>G262</f>
        <v>22971.599999999995</v>
      </c>
    </row>
    <row r="263" spans="1:9" s="5" customFormat="1" ht="15.6" customHeight="1" x14ac:dyDescent="0.3">
      <c r="A263" s="90"/>
      <c r="B263" s="533" t="s">
        <v>1166</v>
      </c>
      <c r="C263" s="41" t="s">
        <v>15</v>
      </c>
      <c r="D263" s="282">
        <f>D262*0.2</f>
        <v>30.628799999999998</v>
      </c>
      <c r="E263" s="484"/>
      <c r="F263" s="362">
        <v>85</v>
      </c>
      <c r="G263" s="484"/>
      <c r="H263" s="2">
        <f>F263*D263</f>
        <v>2603.4479999999999</v>
      </c>
      <c r="I263" s="11">
        <f>H263</f>
        <v>2603.4479999999999</v>
      </c>
    </row>
    <row r="264" spans="1:9" s="5" customFormat="1" ht="15.6" customHeight="1" x14ac:dyDescent="0.3">
      <c r="A264" s="90"/>
      <c r="B264" s="533" t="s">
        <v>1162</v>
      </c>
      <c r="C264" s="41" t="s">
        <v>15</v>
      </c>
      <c r="D264" s="282">
        <f>D262*0.3</f>
        <v>45.94319999999999</v>
      </c>
      <c r="E264" s="484"/>
      <c r="F264" s="362">
        <v>115</v>
      </c>
      <c r="G264" s="484"/>
      <c r="H264" s="2">
        <f>F264*D264</f>
        <v>5283.4679999999989</v>
      </c>
      <c r="I264" s="11">
        <f>H264</f>
        <v>5283.4679999999989</v>
      </c>
    </row>
    <row r="265" spans="1:9" s="5" customFormat="1" ht="15.6" customHeight="1" x14ac:dyDescent="0.25">
      <c r="A265" s="90"/>
      <c r="B265" s="232" t="s">
        <v>854</v>
      </c>
      <c r="C265" s="225"/>
      <c r="D265" s="239"/>
      <c r="E265" s="230"/>
      <c r="F265" s="240"/>
      <c r="G265" s="230">
        <f>SUM(G253:G264)</f>
        <v>256694.8</v>
      </c>
      <c r="H265" s="230">
        <f>SUM(H253:H264)</f>
        <v>286053.11599999992</v>
      </c>
      <c r="I265" s="230">
        <f>ROUND(SUM(I253:I264),2)</f>
        <v>542747.92000000004</v>
      </c>
    </row>
    <row r="266" spans="1:9" s="5" customFormat="1" ht="15.6" customHeight="1" x14ac:dyDescent="0.25">
      <c r="A266" s="90"/>
      <c r="B266" s="58" t="s">
        <v>624</v>
      </c>
      <c r="C266" s="9"/>
      <c r="D266" s="31"/>
      <c r="E266" s="10"/>
      <c r="F266" s="57"/>
      <c r="G266" s="10"/>
      <c r="H266" s="10"/>
      <c r="I266" s="31">
        <f>ROUND(I265/1.18*0.18,2)</f>
        <v>82792.06</v>
      </c>
    </row>
    <row r="267" spans="1:9" ht="21" customHeight="1" x14ac:dyDescent="0.25">
      <c r="A267" s="108"/>
      <c r="B267" s="592" t="s">
        <v>1160</v>
      </c>
      <c r="C267" s="105"/>
      <c r="D267" s="105"/>
      <c r="E267" s="105"/>
      <c r="F267" s="138"/>
      <c r="G267" s="105"/>
      <c r="H267" s="105"/>
      <c r="I267" s="106"/>
    </row>
    <row r="268" spans="1:9" outlineLevel="1" x14ac:dyDescent="0.25">
      <c r="A268" s="107" t="s">
        <v>315</v>
      </c>
      <c r="B268" s="531" t="s">
        <v>473</v>
      </c>
      <c r="C268" s="2" t="s">
        <v>14</v>
      </c>
      <c r="D268" s="264">
        <f>кровля!D16</f>
        <v>470.42119999999994</v>
      </c>
      <c r="E268" s="264">
        <v>550</v>
      </c>
      <c r="F268" s="140"/>
      <c r="G268" s="2">
        <f>ROUND(E268*D268,2)</f>
        <v>258731.66</v>
      </c>
      <c r="H268" s="51"/>
      <c r="I268" s="140">
        <f>H268+G268</f>
        <v>258731.66</v>
      </c>
    </row>
    <row r="269" spans="1:9" ht="15" customHeight="1" outlineLevel="1" x14ac:dyDescent="0.25">
      <c r="A269" s="84"/>
      <c r="B269" s="558" t="s">
        <v>1086</v>
      </c>
      <c r="C269" s="23" t="s">
        <v>14</v>
      </c>
      <c r="D269" s="614">
        <f>ROUND(D268*1.1,2)</f>
        <v>517.46</v>
      </c>
      <c r="E269" s="51"/>
      <c r="F269" s="365">
        <f>ROUND(10.1*1.1,2)</f>
        <v>11.11</v>
      </c>
      <c r="G269" s="51"/>
      <c r="H269" s="2">
        <f t="shared" ref="H269:H275" si="17">ROUND(D269*F269,2)</f>
        <v>5748.98</v>
      </c>
      <c r="I269" s="140">
        <f t="shared" ref="I269:I283" si="18">H269+G269</f>
        <v>5748.98</v>
      </c>
    </row>
    <row r="270" spans="1:9" outlineLevel="1" x14ac:dyDescent="0.25">
      <c r="A270" s="84"/>
      <c r="B270" s="612" t="s">
        <v>32</v>
      </c>
      <c r="C270" s="23" t="s">
        <v>8</v>
      </c>
      <c r="D270" s="614">
        <f>ROUND(D268*0.7*0.12,2)</f>
        <v>39.520000000000003</v>
      </c>
      <c r="E270" s="51"/>
      <c r="F270" s="365">
        <v>1300</v>
      </c>
      <c r="G270" s="51"/>
      <c r="H270" s="2">
        <f t="shared" si="17"/>
        <v>51376</v>
      </c>
      <c r="I270" s="140">
        <f t="shared" si="18"/>
        <v>51376</v>
      </c>
    </row>
    <row r="271" spans="1:9" ht="31.2" outlineLevel="1" x14ac:dyDescent="0.25">
      <c r="A271" s="84"/>
      <c r="B271" s="612" t="s">
        <v>1087</v>
      </c>
      <c r="C271" s="21" t="s">
        <v>8</v>
      </c>
      <c r="D271" s="614">
        <f>ROUND(D268*0.15,2)</f>
        <v>70.56</v>
      </c>
      <c r="E271" s="51"/>
      <c r="F271" s="365">
        <v>4400</v>
      </c>
      <c r="G271" s="51"/>
      <c r="H271" s="2">
        <f t="shared" si="17"/>
        <v>310464</v>
      </c>
      <c r="I271" s="140">
        <f t="shared" si="18"/>
        <v>310464</v>
      </c>
    </row>
    <row r="272" spans="1:9" ht="27.6" outlineLevel="1" x14ac:dyDescent="0.25">
      <c r="A272" s="84"/>
      <c r="B272" s="613" t="s">
        <v>1068</v>
      </c>
      <c r="C272" s="21" t="s">
        <v>14</v>
      </c>
      <c r="D272" s="614">
        <f>ROUND(D268*2*1.03,2)</f>
        <v>969.07</v>
      </c>
      <c r="E272" s="51"/>
      <c r="F272" s="365">
        <v>270</v>
      </c>
      <c r="G272" s="51"/>
      <c r="H272" s="2">
        <f t="shared" si="17"/>
        <v>261648.9</v>
      </c>
      <c r="I272" s="140">
        <f t="shared" si="18"/>
        <v>261648.9</v>
      </c>
    </row>
    <row r="273" spans="1:9" outlineLevel="1" x14ac:dyDescent="0.25">
      <c r="A273" s="84"/>
      <c r="B273" s="612" t="s">
        <v>1088</v>
      </c>
      <c r="C273" s="21" t="s">
        <v>15</v>
      </c>
      <c r="D273" s="614">
        <f>ROUND(D268*1.4,2)</f>
        <v>658.59</v>
      </c>
      <c r="E273" s="51"/>
      <c r="F273" s="361">
        <v>45.4</v>
      </c>
      <c r="G273" s="51"/>
      <c r="H273" s="2">
        <f t="shared" si="17"/>
        <v>29899.99</v>
      </c>
      <c r="I273" s="140">
        <f t="shared" si="18"/>
        <v>29899.99</v>
      </c>
    </row>
    <row r="274" spans="1:9" outlineLevel="1" x14ac:dyDescent="0.25">
      <c r="A274" s="84"/>
      <c r="B274" s="612" t="s">
        <v>400</v>
      </c>
      <c r="C274" s="21" t="s">
        <v>14</v>
      </c>
      <c r="D274" s="614">
        <f>ROUND(D268*1.015,2)</f>
        <v>477.48</v>
      </c>
      <c r="E274" s="51"/>
      <c r="F274" s="365">
        <v>109.41</v>
      </c>
      <c r="G274" s="51"/>
      <c r="H274" s="2">
        <f t="shared" si="17"/>
        <v>52241.09</v>
      </c>
      <c r="I274" s="140">
        <f t="shared" si="18"/>
        <v>52241.09</v>
      </c>
    </row>
    <row r="275" spans="1:9" outlineLevel="1" x14ac:dyDescent="0.25">
      <c r="A275" s="84"/>
      <c r="B275" s="612" t="s">
        <v>401</v>
      </c>
      <c r="C275" s="2" t="s">
        <v>14</v>
      </c>
      <c r="D275" s="614">
        <f>ROUND(D268*1.01,2)</f>
        <v>475.13</v>
      </c>
      <c r="E275" s="51"/>
      <c r="F275" s="365">
        <v>154.75</v>
      </c>
      <c r="G275" s="51"/>
      <c r="H275" s="2">
        <f t="shared" si="17"/>
        <v>73526.37</v>
      </c>
      <c r="I275" s="140">
        <f t="shared" si="18"/>
        <v>73526.37</v>
      </c>
    </row>
    <row r="276" spans="1:9" ht="31.2" outlineLevel="1" x14ac:dyDescent="0.25">
      <c r="A276" s="107" t="s">
        <v>513</v>
      </c>
      <c r="B276" s="531" t="s">
        <v>188</v>
      </c>
      <c r="C276" s="31" t="s">
        <v>14</v>
      </c>
      <c r="D276" s="264">
        <f>кровля!F16</f>
        <v>96.196799999999996</v>
      </c>
      <c r="E276" s="264">
        <v>300</v>
      </c>
      <c r="F276" s="140"/>
      <c r="G276" s="2">
        <f>ROUND(E276*D276,2)</f>
        <v>28859.040000000001</v>
      </c>
      <c r="H276" s="51"/>
      <c r="I276" s="140">
        <f>H276+G276</f>
        <v>28859.040000000001</v>
      </c>
    </row>
    <row r="277" spans="1:9" outlineLevel="1" x14ac:dyDescent="0.25">
      <c r="A277" s="84"/>
      <c r="B277" s="558" t="s">
        <v>400</v>
      </c>
      <c r="C277" s="21" t="s">
        <v>14</v>
      </c>
      <c r="D277" s="614">
        <f>ROUND(D276*1.015,2)</f>
        <v>97.64</v>
      </c>
      <c r="E277" s="51"/>
      <c r="F277" s="365">
        <v>109.41</v>
      </c>
      <c r="G277" s="51"/>
      <c r="H277" s="2">
        <f>ROUND(D277*F277,2)</f>
        <v>10682.79</v>
      </c>
      <c r="I277" s="140">
        <f>H277+G277</f>
        <v>10682.79</v>
      </c>
    </row>
    <row r="278" spans="1:9" outlineLevel="1" x14ac:dyDescent="0.25">
      <c r="A278" s="84"/>
      <c r="B278" s="558" t="s">
        <v>401</v>
      </c>
      <c r="C278" s="2" t="s">
        <v>14</v>
      </c>
      <c r="D278" s="614">
        <f>ROUND(D276*1.01,2)</f>
        <v>97.16</v>
      </c>
      <c r="E278" s="51"/>
      <c r="F278" s="365">
        <v>154.75</v>
      </c>
      <c r="G278" s="51"/>
      <c r="H278" s="2">
        <f>ROUND(D278*F278,2)</f>
        <v>15035.51</v>
      </c>
      <c r="I278" s="140">
        <f>H278+G278</f>
        <v>15035.51</v>
      </c>
    </row>
    <row r="279" spans="1:9" outlineLevel="1" x14ac:dyDescent="0.25">
      <c r="B279" s="558" t="s">
        <v>1384</v>
      </c>
      <c r="C279" s="2" t="s">
        <v>12</v>
      </c>
      <c r="D279" s="615">
        <f>32/3</f>
        <v>10.666666666666666</v>
      </c>
      <c r="E279" s="51"/>
      <c r="F279" s="365">
        <v>650</v>
      </c>
      <c r="G279" s="51"/>
      <c r="H279" s="2">
        <f>ROUND(D279*F279,2)</f>
        <v>6933.33</v>
      </c>
      <c r="I279" s="140">
        <f>H279+G279</f>
        <v>6933.33</v>
      </c>
    </row>
    <row r="280" spans="1:9" outlineLevel="1" x14ac:dyDescent="0.25">
      <c r="A280" s="84"/>
      <c r="B280" s="558" t="s">
        <v>1385</v>
      </c>
      <c r="C280" s="2" t="s">
        <v>12</v>
      </c>
      <c r="D280" s="614">
        <f>54/3</f>
        <v>18</v>
      </c>
      <c r="E280" s="51"/>
      <c r="F280" s="328">
        <v>650</v>
      </c>
      <c r="G280" s="51"/>
      <c r="H280" s="2">
        <f>ROUND(D280*F280,2)</f>
        <v>11700</v>
      </c>
      <c r="I280" s="140">
        <f>H280+G280</f>
        <v>11700</v>
      </c>
    </row>
    <row r="281" spans="1:9" outlineLevel="1" x14ac:dyDescent="0.25">
      <c r="A281" s="107" t="s">
        <v>514</v>
      </c>
      <c r="B281" s="531" t="s">
        <v>1232</v>
      </c>
      <c r="C281" s="2" t="s">
        <v>14</v>
      </c>
      <c r="D281" s="264">
        <f>кровля!E16*0.6</f>
        <v>58.895999999999994</v>
      </c>
      <c r="E281" s="264">
        <v>150</v>
      </c>
      <c r="F281" s="140"/>
      <c r="G281" s="2">
        <f>ROUND(E281*D281,2)</f>
        <v>8834.4</v>
      </c>
      <c r="H281" s="51"/>
      <c r="I281" s="140">
        <f t="shared" si="18"/>
        <v>8834.4</v>
      </c>
    </row>
    <row r="282" spans="1:9" outlineLevel="1" x14ac:dyDescent="0.25">
      <c r="B282" s="558" t="s">
        <v>1386</v>
      </c>
      <c r="C282" s="21" t="s">
        <v>15</v>
      </c>
      <c r="D282" s="614">
        <f>250*6.48/3</f>
        <v>540</v>
      </c>
      <c r="E282" s="51"/>
      <c r="F282" s="328">
        <v>32</v>
      </c>
      <c r="G282" s="51"/>
      <c r="H282" s="2">
        <f>ROUND(D282*F282,2)</f>
        <v>17280</v>
      </c>
      <c r="I282" s="140">
        <f t="shared" si="18"/>
        <v>17280</v>
      </c>
    </row>
    <row r="283" spans="1:9" outlineLevel="1" x14ac:dyDescent="0.25">
      <c r="A283" s="84"/>
      <c r="B283" s="558" t="s">
        <v>1383</v>
      </c>
      <c r="C283" s="2" t="s">
        <v>15</v>
      </c>
      <c r="D283" s="614">
        <f>620*0.82/3</f>
        <v>169.46666666666667</v>
      </c>
      <c r="E283" s="51"/>
      <c r="F283" s="328">
        <v>32</v>
      </c>
      <c r="G283" s="51"/>
      <c r="H283" s="2">
        <f>ROUND(D283*F283,2)</f>
        <v>5422.93</v>
      </c>
      <c r="I283" s="140">
        <f t="shared" si="18"/>
        <v>5422.93</v>
      </c>
    </row>
    <row r="284" spans="1:9" outlineLevel="1" x14ac:dyDescent="0.25">
      <c r="A284" s="84"/>
      <c r="B284" s="558" t="s">
        <v>1387</v>
      </c>
      <c r="C284" s="2" t="s">
        <v>9</v>
      </c>
      <c r="D284" s="614">
        <f>1405*0.92/1000/3</f>
        <v>0.43086666666666673</v>
      </c>
      <c r="E284" s="51"/>
      <c r="F284" s="365">
        <v>42000</v>
      </c>
      <c r="G284" s="51"/>
      <c r="H284" s="2">
        <f>ROUND(D284*F284,2)</f>
        <v>18096.400000000001</v>
      </c>
      <c r="I284" s="140">
        <f>H284+G284</f>
        <v>18096.400000000001</v>
      </c>
    </row>
    <row r="285" spans="1:9" outlineLevel="1" x14ac:dyDescent="0.25">
      <c r="A285" s="107" t="s">
        <v>1196</v>
      </c>
      <c r="B285" s="531" t="s">
        <v>397</v>
      </c>
      <c r="C285" s="31" t="s">
        <v>33</v>
      </c>
      <c r="D285" s="264">
        <f>36.4*2+12.76*2</f>
        <v>98.32</v>
      </c>
      <c r="E285" s="264">
        <v>800</v>
      </c>
      <c r="F285" s="140"/>
      <c r="G285" s="2">
        <f>ROUND(E285*D285,2)</f>
        <v>78656</v>
      </c>
      <c r="H285" s="51"/>
      <c r="I285" s="140">
        <f>H285+G285</f>
        <v>78656</v>
      </c>
    </row>
    <row r="286" spans="1:9" outlineLevel="1" x14ac:dyDescent="0.25">
      <c r="A286" s="84"/>
      <c r="B286" s="533" t="s">
        <v>1226</v>
      </c>
      <c r="C286" s="21" t="s">
        <v>9</v>
      </c>
      <c r="D286" s="614">
        <f>(273*1.39+545*1.39)/1000/3</f>
        <v>0.37900666666666666</v>
      </c>
      <c r="E286" s="51"/>
      <c r="F286" s="365">
        <v>32000</v>
      </c>
      <c r="G286" s="51"/>
      <c r="H286" s="2">
        <f>ROUND(D286*F286,2)</f>
        <v>12128.21</v>
      </c>
      <c r="I286" s="140">
        <f>H286+G286</f>
        <v>12128.21</v>
      </c>
    </row>
    <row r="287" spans="1:9" outlineLevel="1" x14ac:dyDescent="0.25">
      <c r="A287" s="107" t="s">
        <v>1197</v>
      </c>
      <c r="B287" s="538" t="s">
        <v>1389</v>
      </c>
      <c r="C287" s="41" t="s">
        <v>12</v>
      </c>
      <c r="D287" s="282">
        <v>1</v>
      </c>
      <c r="E287" s="390">
        <v>1500</v>
      </c>
      <c r="F287" s="363"/>
      <c r="G287" s="2">
        <f>E287*D287</f>
        <v>1500</v>
      </c>
      <c r="H287" s="2"/>
      <c r="I287" s="11">
        <f>G287</f>
        <v>1500</v>
      </c>
    </row>
    <row r="288" spans="1:9" outlineLevel="1" x14ac:dyDescent="0.25">
      <c r="B288" s="533" t="s">
        <v>91</v>
      </c>
      <c r="C288" s="41" t="s">
        <v>15</v>
      </c>
      <c r="D288" s="277">
        <v>138.69</v>
      </c>
      <c r="E288" s="2"/>
      <c r="F288" s="364">
        <v>40</v>
      </c>
      <c r="G288" s="10"/>
      <c r="H288" s="2">
        <f>ROUND(D288*F288,2)</f>
        <v>5547.6</v>
      </c>
      <c r="I288" s="11">
        <f>G288+H288</f>
        <v>5547.6</v>
      </c>
    </row>
    <row r="289" spans="1:9" outlineLevel="1" x14ac:dyDescent="0.25">
      <c r="A289" s="107" t="s">
        <v>1198</v>
      </c>
      <c r="B289" s="531" t="s">
        <v>1227</v>
      </c>
      <c r="C289" s="21" t="s">
        <v>12</v>
      </c>
      <c r="D289" s="614">
        <v>1</v>
      </c>
      <c r="E289" s="390">
        <v>1500</v>
      </c>
      <c r="F289" s="363"/>
      <c r="G289" s="2">
        <f>D289*E289</f>
        <v>1500</v>
      </c>
      <c r="H289" s="2"/>
      <c r="I289" s="11">
        <f>G289</f>
        <v>1500</v>
      </c>
    </row>
    <row r="290" spans="1:9" outlineLevel="1" x14ac:dyDescent="0.25">
      <c r="A290" s="84"/>
      <c r="B290" s="533" t="s">
        <v>1228</v>
      </c>
      <c r="C290" s="21" t="s">
        <v>12</v>
      </c>
      <c r="D290" s="614">
        <v>3</v>
      </c>
      <c r="E290" s="51"/>
      <c r="F290" s="363">
        <v>10000</v>
      </c>
      <c r="G290" s="2"/>
      <c r="H290" s="2">
        <f>D290*F290</f>
        <v>30000</v>
      </c>
      <c r="I290" s="11">
        <f>H290</f>
        <v>30000</v>
      </c>
    </row>
    <row r="291" spans="1:9" outlineLevel="1" x14ac:dyDescent="0.25">
      <c r="A291" s="84"/>
      <c r="B291" s="533" t="s">
        <v>875</v>
      </c>
      <c r="C291" s="21" t="s">
        <v>15</v>
      </c>
      <c r="D291" s="614">
        <f>5.8*2</f>
        <v>11.6</v>
      </c>
      <c r="E291" s="51"/>
      <c r="F291" s="365"/>
      <c r="G291" s="51"/>
      <c r="H291" s="2"/>
      <c r="I291" s="140"/>
    </row>
    <row r="292" spans="1:9" ht="31.2" outlineLevel="1" x14ac:dyDescent="0.25">
      <c r="A292" s="107" t="s">
        <v>1199</v>
      </c>
      <c r="B292" s="531" t="s">
        <v>1236</v>
      </c>
      <c r="C292" s="203" t="s">
        <v>8</v>
      </c>
      <c r="D292" s="659">
        <v>0.9</v>
      </c>
      <c r="E292" s="390">
        <v>700</v>
      </c>
      <c r="F292" s="139"/>
      <c r="G292" s="2">
        <f>ROUND(E292*D292,2)</f>
        <v>630</v>
      </c>
      <c r="H292" s="26"/>
      <c r="I292" s="11">
        <f>G292+H292</f>
        <v>630</v>
      </c>
    </row>
    <row r="293" spans="1:9" outlineLevel="1" x14ac:dyDescent="0.25">
      <c r="A293" s="84"/>
      <c r="B293" s="558" t="s">
        <v>1237</v>
      </c>
      <c r="C293" s="41" t="s">
        <v>15</v>
      </c>
      <c r="D293" s="656">
        <v>1187.2</v>
      </c>
      <c r="E293" s="2"/>
      <c r="F293" s="364">
        <v>46</v>
      </c>
      <c r="G293" s="10"/>
      <c r="H293" s="2">
        <f>ROUND(D293*F293,2)</f>
        <v>54611.199999999997</v>
      </c>
      <c r="I293" s="11">
        <f>G293+H293</f>
        <v>54611.199999999997</v>
      </c>
    </row>
    <row r="294" spans="1:9" outlineLevel="1" x14ac:dyDescent="0.25">
      <c r="A294" s="84"/>
      <c r="B294" s="533" t="s">
        <v>1175</v>
      </c>
      <c r="C294" s="41" t="s">
        <v>15</v>
      </c>
      <c r="D294" s="656">
        <v>55.54</v>
      </c>
      <c r="E294" s="2"/>
      <c r="F294" s="361">
        <v>42</v>
      </c>
      <c r="G294" s="31"/>
      <c r="H294" s="2">
        <f>ROUND(D294*F294,2)</f>
        <v>2332.6799999999998</v>
      </c>
      <c r="I294" s="11">
        <f>G294+H294</f>
        <v>2332.6799999999998</v>
      </c>
    </row>
    <row r="295" spans="1:9" outlineLevel="1" x14ac:dyDescent="0.25">
      <c r="A295" s="84"/>
      <c r="B295" s="533" t="s">
        <v>1238</v>
      </c>
      <c r="C295" s="21" t="s">
        <v>15</v>
      </c>
      <c r="D295" s="635">
        <v>5.56</v>
      </c>
      <c r="E295" s="51"/>
      <c r="F295" s="361">
        <v>42</v>
      </c>
      <c r="G295" s="51"/>
      <c r="H295" s="2">
        <f>ROUND(D295*F295,2)</f>
        <v>233.52</v>
      </c>
      <c r="I295" s="11">
        <f>G295+H295</f>
        <v>233.52</v>
      </c>
    </row>
    <row r="296" spans="1:9" outlineLevel="1" x14ac:dyDescent="0.25">
      <c r="A296" s="84"/>
      <c r="B296" s="533" t="s">
        <v>997</v>
      </c>
      <c r="C296" s="41" t="s">
        <v>8</v>
      </c>
      <c r="D296" s="656">
        <f>D292*1.015</f>
        <v>0.91349999999999998</v>
      </c>
      <c r="E296" s="2"/>
      <c r="F296" s="164">
        <v>5000</v>
      </c>
      <c r="G296" s="31"/>
      <c r="H296" s="2">
        <f>ROUND(D296*F296,2)</f>
        <v>4567.5</v>
      </c>
      <c r="I296" s="11">
        <f>G296+H296</f>
        <v>4567.5</v>
      </c>
    </row>
    <row r="297" spans="1:9" s="6" customFormat="1" outlineLevel="1" x14ac:dyDescent="0.25">
      <c r="A297" s="84"/>
      <c r="B297" s="655" t="s">
        <v>1174</v>
      </c>
      <c r="C297" s="31"/>
      <c r="D297" s="350"/>
      <c r="E297" s="54"/>
      <c r="F297" s="141"/>
      <c r="G297" s="54"/>
      <c r="H297" s="54"/>
      <c r="I297" s="141"/>
    </row>
    <row r="298" spans="1:9" outlineLevel="1" x14ac:dyDescent="0.25">
      <c r="A298" s="107" t="s">
        <v>1200</v>
      </c>
      <c r="B298" s="538" t="s">
        <v>1170</v>
      </c>
      <c r="C298" s="41" t="s">
        <v>8</v>
      </c>
      <c r="D298" s="542">
        <v>14.399999999999999</v>
      </c>
      <c r="E298" s="353">
        <v>2800</v>
      </c>
      <c r="F298" s="363"/>
      <c r="G298" s="2">
        <f>E298*D298</f>
        <v>40319.999999999993</v>
      </c>
      <c r="H298" s="2"/>
      <c r="I298" s="11">
        <f>G298</f>
        <v>40319.999999999993</v>
      </c>
    </row>
    <row r="299" spans="1:9" outlineLevel="1" x14ac:dyDescent="0.25">
      <c r="A299" s="84"/>
      <c r="B299" s="533" t="s">
        <v>1144</v>
      </c>
      <c r="C299" s="41" t="s">
        <v>8</v>
      </c>
      <c r="D299" s="656">
        <v>14.615999999999998</v>
      </c>
      <c r="E299" s="390"/>
      <c r="F299" s="361">
        <v>3450</v>
      </c>
      <c r="G299" s="31"/>
      <c r="H299" s="2">
        <f>ROUND(D299*F299,2)</f>
        <v>50425.2</v>
      </c>
      <c r="I299" s="11">
        <f>G299+H299</f>
        <v>50425.2</v>
      </c>
    </row>
    <row r="300" spans="1:9" outlineLevel="1" x14ac:dyDescent="0.25">
      <c r="A300" s="84"/>
      <c r="B300" s="533" t="s">
        <v>850</v>
      </c>
      <c r="C300" s="41" t="s">
        <v>8</v>
      </c>
      <c r="D300" s="542">
        <v>5.04</v>
      </c>
      <c r="E300" s="390"/>
      <c r="F300" s="361">
        <v>2800</v>
      </c>
      <c r="G300" s="2"/>
      <c r="H300" s="2">
        <f>F300*D300</f>
        <v>14112</v>
      </c>
      <c r="I300" s="11">
        <f>H300</f>
        <v>14112</v>
      </c>
    </row>
    <row r="301" spans="1:9" outlineLevel="1" x14ac:dyDescent="0.25">
      <c r="A301" s="84"/>
      <c r="B301" s="533" t="s">
        <v>1171</v>
      </c>
      <c r="C301" s="41" t="s">
        <v>15</v>
      </c>
      <c r="D301" s="542">
        <v>142.56</v>
      </c>
      <c r="E301" s="51"/>
      <c r="F301" s="365">
        <v>31</v>
      </c>
      <c r="G301" s="51"/>
      <c r="H301" s="2">
        <f>ROUND(D301*F301,2)</f>
        <v>4419.3599999999997</v>
      </c>
      <c r="I301" s="140">
        <f>H301+G301</f>
        <v>4419.3599999999997</v>
      </c>
    </row>
    <row r="302" spans="1:9" outlineLevel="1" x14ac:dyDescent="0.25">
      <c r="A302" s="84"/>
      <c r="B302" s="533" t="s">
        <v>1172</v>
      </c>
      <c r="C302" s="41" t="s">
        <v>15</v>
      </c>
      <c r="D302" s="542">
        <v>37.08</v>
      </c>
      <c r="E302" s="51"/>
      <c r="F302" s="365">
        <v>42</v>
      </c>
      <c r="G302" s="51"/>
      <c r="H302" s="2">
        <f>ROUND(D302*F302,2)</f>
        <v>1557.36</v>
      </c>
      <c r="I302" s="140">
        <f>H302+G302</f>
        <v>1557.36</v>
      </c>
    </row>
    <row r="303" spans="1:9" outlineLevel="1" x14ac:dyDescent="0.25">
      <c r="A303" s="107" t="s">
        <v>1201</v>
      </c>
      <c r="B303" s="538" t="s">
        <v>1454</v>
      </c>
      <c r="C303" s="46" t="s">
        <v>12</v>
      </c>
      <c r="D303" s="658">
        <v>1</v>
      </c>
      <c r="E303" s="373">
        <v>700</v>
      </c>
      <c r="F303" s="43"/>
      <c r="G303" s="2">
        <f>ROUND(E303*D303,2)</f>
        <v>700</v>
      </c>
      <c r="H303" s="11"/>
      <c r="I303" s="11">
        <f>G303+H303</f>
        <v>700</v>
      </c>
    </row>
    <row r="304" spans="1:9" outlineLevel="1" x14ac:dyDescent="0.25">
      <c r="A304" s="84"/>
      <c r="B304" s="533" t="s">
        <v>1461</v>
      </c>
      <c r="C304" s="41" t="s">
        <v>15</v>
      </c>
      <c r="D304" s="542">
        <f>балконы!D151</f>
        <v>41.43</v>
      </c>
      <c r="E304" s="51"/>
      <c r="F304" s="365">
        <v>42</v>
      </c>
      <c r="G304" s="51"/>
      <c r="H304" s="2">
        <f>ROUND(D304*F304,2)</f>
        <v>1740.06</v>
      </c>
      <c r="I304" s="140">
        <f>H304+G304</f>
        <v>1740.06</v>
      </c>
    </row>
    <row r="305" spans="1:9" outlineLevel="1" x14ac:dyDescent="0.25">
      <c r="A305" s="107" t="s">
        <v>1239</v>
      </c>
      <c r="B305" s="538" t="s">
        <v>1173</v>
      </c>
      <c r="C305" s="46" t="s">
        <v>12</v>
      </c>
      <c r="D305" s="658">
        <v>2</v>
      </c>
      <c r="E305" s="373">
        <v>700</v>
      </c>
      <c r="F305" s="43"/>
      <c r="G305" s="2">
        <f>ROUND(E305*D305,2)</f>
        <v>1400</v>
      </c>
      <c r="H305" s="11"/>
      <c r="I305" s="11">
        <f>G305+H305</f>
        <v>1400</v>
      </c>
    </row>
    <row r="306" spans="1:9" outlineLevel="1" x14ac:dyDescent="0.25">
      <c r="A306" s="84"/>
      <c r="B306" s="533" t="s">
        <v>1461</v>
      </c>
      <c r="C306" s="41" t="s">
        <v>15</v>
      </c>
      <c r="D306" s="542">
        <f>балконы!D151*2</f>
        <v>82.86</v>
      </c>
      <c r="E306" s="51"/>
      <c r="F306" s="365">
        <v>42</v>
      </c>
      <c r="G306" s="51"/>
      <c r="H306" s="2">
        <f>ROUND(D306*F306,2)</f>
        <v>3480.12</v>
      </c>
      <c r="I306" s="140">
        <f>H306+G306</f>
        <v>3480.12</v>
      </c>
    </row>
    <row r="307" spans="1:9" outlineLevel="1" x14ac:dyDescent="0.25">
      <c r="A307" s="107" t="s">
        <v>1240</v>
      </c>
      <c r="B307" s="538" t="s">
        <v>1177</v>
      </c>
      <c r="C307" s="46" t="s">
        <v>9</v>
      </c>
      <c r="D307" s="256">
        <f>SUM(D308:D316)*0.04/1000</f>
        <v>4.9267200000000004E-2</v>
      </c>
      <c r="E307" s="256">
        <v>40000</v>
      </c>
      <c r="F307" s="56"/>
      <c r="G307" s="2">
        <f>ROUND(E307*D307,2)</f>
        <v>1970.69</v>
      </c>
      <c r="H307" s="11"/>
      <c r="I307" s="11">
        <f>G307+H307</f>
        <v>1970.69</v>
      </c>
    </row>
    <row r="308" spans="1:9" outlineLevel="1" x14ac:dyDescent="0.25">
      <c r="A308" s="84"/>
      <c r="B308" s="657" t="s">
        <v>1178</v>
      </c>
      <c r="C308" s="41" t="s">
        <v>15</v>
      </c>
      <c r="D308" s="282">
        <v>583.79999999999995</v>
      </c>
      <c r="E308" s="51"/>
      <c r="F308" s="365">
        <v>33</v>
      </c>
      <c r="G308" s="51"/>
      <c r="H308" s="2">
        <f t="shared" ref="H308:H316" si="19">ROUND(D308*F308,2)</f>
        <v>19265.400000000001</v>
      </c>
      <c r="I308" s="140">
        <f t="shared" ref="I308:I316" si="20">H308+G308</f>
        <v>19265.400000000001</v>
      </c>
    </row>
    <row r="309" spans="1:9" outlineLevel="1" x14ac:dyDescent="0.25">
      <c r="A309" s="84"/>
      <c r="B309" s="657" t="s">
        <v>1195</v>
      </c>
      <c r="C309" s="41" t="s">
        <v>15</v>
      </c>
      <c r="D309" s="282">
        <v>187.2</v>
      </c>
      <c r="E309" s="51"/>
      <c r="F309" s="365">
        <v>39</v>
      </c>
      <c r="G309" s="51"/>
      <c r="H309" s="2">
        <f t="shared" si="19"/>
        <v>7300.8</v>
      </c>
      <c r="I309" s="140">
        <f t="shared" si="20"/>
        <v>7300.8</v>
      </c>
    </row>
    <row r="310" spans="1:9" outlineLevel="1" x14ac:dyDescent="0.25">
      <c r="A310" s="84"/>
      <c r="B310" s="533" t="s">
        <v>1179</v>
      </c>
      <c r="C310" s="41" t="s">
        <v>15</v>
      </c>
      <c r="D310" s="282">
        <v>106.10999999999999</v>
      </c>
      <c r="E310" s="51"/>
      <c r="F310" s="365">
        <v>33</v>
      </c>
      <c r="G310" s="51"/>
      <c r="H310" s="2">
        <f t="shared" si="19"/>
        <v>3501.63</v>
      </c>
      <c r="I310" s="140">
        <f t="shared" si="20"/>
        <v>3501.63</v>
      </c>
    </row>
    <row r="311" spans="1:9" outlineLevel="1" x14ac:dyDescent="0.25">
      <c r="A311" s="84"/>
      <c r="B311" s="533" t="s">
        <v>1180</v>
      </c>
      <c r="C311" s="41" t="s">
        <v>29</v>
      </c>
      <c r="D311" s="282">
        <v>110.94</v>
      </c>
      <c r="E311" s="51"/>
      <c r="F311" s="365">
        <v>33</v>
      </c>
      <c r="G311" s="51"/>
      <c r="H311" s="2">
        <f t="shared" si="19"/>
        <v>3661.02</v>
      </c>
      <c r="I311" s="140">
        <f t="shared" si="20"/>
        <v>3661.02</v>
      </c>
    </row>
    <row r="312" spans="1:9" outlineLevel="1" x14ac:dyDescent="0.25">
      <c r="A312" s="84"/>
      <c r="B312" s="533" t="s">
        <v>1181</v>
      </c>
      <c r="C312" s="41" t="s">
        <v>29</v>
      </c>
      <c r="D312" s="282">
        <v>215.94</v>
      </c>
      <c r="E312" s="51"/>
      <c r="F312" s="365">
        <v>33</v>
      </c>
      <c r="G312" s="51"/>
      <c r="H312" s="2">
        <f t="shared" si="19"/>
        <v>7126.02</v>
      </c>
      <c r="I312" s="140">
        <f t="shared" si="20"/>
        <v>7126.02</v>
      </c>
    </row>
    <row r="313" spans="1:9" outlineLevel="1" x14ac:dyDescent="0.25">
      <c r="A313" s="84"/>
      <c r="B313" s="533" t="s">
        <v>1182</v>
      </c>
      <c r="C313" s="41" t="s">
        <v>15</v>
      </c>
      <c r="D313" s="282">
        <v>6.24</v>
      </c>
      <c r="E313" s="51"/>
      <c r="F313" s="365">
        <v>33</v>
      </c>
      <c r="G313" s="51"/>
      <c r="H313" s="2">
        <f t="shared" si="19"/>
        <v>205.92</v>
      </c>
      <c r="I313" s="140">
        <f t="shared" si="20"/>
        <v>205.92</v>
      </c>
    </row>
    <row r="314" spans="1:9" outlineLevel="1" x14ac:dyDescent="0.25">
      <c r="A314" s="84"/>
      <c r="B314" s="657" t="s">
        <v>1183</v>
      </c>
      <c r="C314" s="41" t="s">
        <v>15</v>
      </c>
      <c r="D314" s="282">
        <v>2.9699999999999998</v>
      </c>
      <c r="E314" s="51"/>
      <c r="F314" s="365">
        <v>31</v>
      </c>
      <c r="G314" s="51"/>
      <c r="H314" s="2">
        <f t="shared" si="19"/>
        <v>92.07</v>
      </c>
      <c r="I314" s="140">
        <f t="shared" si="20"/>
        <v>92.07</v>
      </c>
    </row>
    <row r="315" spans="1:9" outlineLevel="1" x14ac:dyDescent="0.25">
      <c r="A315" s="84"/>
      <c r="B315" s="533" t="s">
        <v>1184</v>
      </c>
      <c r="C315" s="41" t="s">
        <v>15</v>
      </c>
      <c r="D315" s="282">
        <v>5.28</v>
      </c>
      <c r="E315" s="51"/>
      <c r="F315" s="365">
        <v>33</v>
      </c>
      <c r="G315" s="51"/>
      <c r="H315" s="2">
        <f t="shared" si="19"/>
        <v>174.24</v>
      </c>
      <c r="I315" s="140">
        <f t="shared" si="20"/>
        <v>174.24</v>
      </c>
    </row>
    <row r="316" spans="1:9" outlineLevel="1" x14ac:dyDescent="0.25">
      <c r="A316" s="84"/>
      <c r="B316" s="533" t="s">
        <v>1185</v>
      </c>
      <c r="C316" s="41" t="s">
        <v>15</v>
      </c>
      <c r="D316" s="282">
        <v>13.200000000000001</v>
      </c>
      <c r="E316" s="51"/>
      <c r="F316" s="365">
        <v>33</v>
      </c>
      <c r="G316" s="51"/>
      <c r="H316" s="2">
        <f t="shared" si="19"/>
        <v>435.6</v>
      </c>
      <c r="I316" s="140">
        <f t="shared" si="20"/>
        <v>435.6</v>
      </c>
    </row>
    <row r="317" spans="1:9" outlineLevel="1" x14ac:dyDescent="0.25">
      <c r="A317" s="84"/>
      <c r="B317" s="533" t="s">
        <v>1135</v>
      </c>
      <c r="C317" s="41" t="s">
        <v>14</v>
      </c>
      <c r="D317" s="282">
        <v>25.02</v>
      </c>
      <c r="E317" s="51"/>
      <c r="F317" s="362">
        <v>280</v>
      </c>
      <c r="G317" s="2"/>
      <c r="H317" s="2">
        <f>F317*D317</f>
        <v>7005.5999999999995</v>
      </c>
      <c r="I317" s="11">
        <f>H317</f>
        <v>7005.5999999999995</v>
      </c>
    </row>
    <row r="318" spans="1:9" outlineLevel="1" x14ac:dyDescent="0.25">
      <c r="A318" s="84"/>
      <c r="B318" s="533" t="s">
        <v>1186</v>
      </c>
      <c r="C318" s="41" t="s">
        <v>14</v>
      </c>
      <c r="D318" s="282">
        <v>167.79</v>
      </c>
      <c r="E318" s="51"/>
      <c r="F318" s="362">
        <v>280</v>
      </c>
      <c r="G318" s="2"/>
      <c r="H318" s="2">
        <f>F318*D318</f>
        <v>46981.2</v>
      </c>
      <c r="I318" s="11">
        <f>H318</f>
        <v>46981.2</v>
      </c>
    </row>
    <row r="319" spans="1:9" outlineLevel="1" x14ac:dyDescent="0.25">
      <c r="A319" s="84"/>
      <c r="B319" s="535" t="s">
        <v>1462</v>
      </c>
      <c r="C319" s="41" t="s">
        <v>12</v>
      </c>
      <c r="D319" s="282">
        <v>1</v>
      </c>
      <c r="E319" s="51"/>
      <c r="F319" s="328">
        <v>10000</v>
      </c>
      <c r="G319" s="51"/>
      <c r="H319" s="2">
        <f>ROUND(D319*F319,2)</f>
        <v>10000</v>
      </c>
      <c r="I319" s="140">
        <f>H319+G319</f>
        <v>10000</v>
      </c>
    </row>
    <row r="320" spans="1:9" outlineLevel="1" x14ac:dyDescent="0.3">
      <c r="A320" s="107" t="s">
        <v>1241</v>
      </c>
      <c r="B320" s="538" t="s">
        <v>807</v>
      </c>
      <c r="C320" s="41" t="s">
        <v>14</v>
      </c>
      <c r="D320" s="256">
        <f>D307*27</f>
        <v>1.3302144</v>
      </c>
      <c r="E320" s="256">
        <v>150</v>
      </c>
      <c r="F320" s="484"/>
      <c r="G320" s="2">
        <f>D320*E320</f>
        <v>199.53216</v>
      </c>
      <c r="H320" s="484"/>
      <c r="I320" s="11">
        <f>G320</f>
        <v>199.53216</v>
      </c>
    </row>
    <row r="321" spans="1:252" outlineLevel="1" x14ac:dyDescent="0.3">
      <c r="A321" s="84"/>
      <c r="B321" s="533" t="s">
        <v>1166</v>
      </c>
      <c r="C321" s="41" t="s">
        <v>15</v>
      </c>
      <c r="D321" s="282">
        <f>D320*0.2</f>
        <v>0.26604288000000004</v>
      </c>
      <c r="E321" s="484"/>
      <c r="F321" s="362">
        <v>85</v>
      </c>
      <c r="G321" s="484"/>
      <c r="H321" s="2">
        <f>F321*D321</f>
        <v>22.613644800000003</v>
      </c>
      <c r="I321" s="11">
        <f>H321</f>
        <v>22.613644800000003</v>
      </c>
    </row>
    <row r="322" spans="1:252" outlineLevel="1" x14ac:dyDescent="0.3">
      <c r="A322" s="84"/>
      <c r="B322" s="533" t="s">
        <v>1162</v>
      </c>
      <c r="C322" s="41" t="s">
        <v>15</v>
      </c>
      <c r="D322" s="282">
        <f>D320*0.3</f>
        <v>0.39906431999999997</v>
      </c>
      <c r="E322" s="484"/>
      <c r="F322" s="362">
        <v>115</v>
      </c>
      <c r="G322" s="484"/>
      <c r="H322" s="2">
        <f>F322*D322</f>
        <v>45.8923968</v>
      </c>
      <c r="I322" s="11">
        <f>H322</f>
        <v>45.8923968</v>
      </c>
    </row>
    <row r="323" spans="1:252" x14ac:dyDescent="0.25">
      <c r="A323" s="223"/>
      <c r="B323" s="232" t="s">
        <v>55</v>
      </c>
      <c r="C323" s="225"/>
      <c r="D323" s="239"/>
      <c r="E323" s="230"/>
      <c r="F323" s="240"/>
      <c r="G323" s="230">
        <f>SUM(G268:G322)</f>
        <v>423301.32216000004</v>
      </c>
      <c r="H323" s="230">
        <f>SUM(H268:H322)</f>
        <v>1161029.1060416</v>
      </c>
      <c r="I323" s="230">
        <f>ROUND(SUM(I268:I322),2)</f>
        <v>1584330.43</v>
      </c>
      <c r="K323" s="133"/>
    </row>
    <row r="324" spans="1:252" ht="15" customHeight="1" x14ac:dyDescent="0.25">
      <c r="A324" s="90"/>
      <c r="B324" s="471" t="s">
        <v>624</v>
      </c>
      <c r="C324" s="9"/>
      <c r="D324" s="31"/>
      <c r="E324" s="10"/>
      <c r="F324" s="57"/>
      <c r="G324" s="10"/>
      <c r="H324" s="10"/>
      <c r="I324" s="31">
        <f>ROUND(I323/1.18*0.18,2)</f>
        <v>241677.52</v>
      </c>
    </row>
    <row r="325" spans="1:252" ht="18.75" customHeight="1" x14ac:dyDescent="0.25">
      <c r="A325" s="104"/>
      <c r="B325" s="491" t="s">
        <v>1202</v>
      </c>
      <c r="C325" s="105"/>
      <c r="D325" s="105"/>
      <c r="E325" s="105"/>
      <c r="F325" s="138"/>
      <c r="G325" s="105"/>
      <c r="H325" s="105"/>
      <c r="I325" s="106"/>
    </row>
    <row r="326" spans="1:252" s="38" customFormat="1" ht="31.2" outlineLevel="1" x14ac:dyDescent="0.25">
      <c r="A326" s="271" t="s">
        <v>239</v>
      </c>
      <c r="B326" s="602" t="s">
        <v>1013</v>
      </c>
      <c r="C326" s="202" t="s">
        <v>14</v>
      </c>
      <c r="D326" s="598">
        <f>окна!T56</f>
        <v>186.17360000000002</v>
      </c>
      <c r="E326" s="353">
        <v>5100</v>
      </c>
      <c r="F326" s="207"/>
      <c r="G326" s="2">
        <f>ROUND(E326*D326,2)</f>
        <v>949485.36</v>
      </c>
      <c r="H326" s="2">
        <f>ROUND(D326*F326,2)</f>
        <v>0</v>
      </c>
      <c r="I326" s="3">
        <f>H326+G326</f>
        <v>949485.36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  <c r="EP326" s="15"/>
      <c r="EQ326" s="15"/>
      <c r="ER326" s="15"/>
      <c r="ES326" s="15"/>
      <c r="ET326" s="15"/>
      <c r="EU326" s="15"/>
      <c r="EV326" s="15"/>
      <c r="EW326" s="15"/>
      <c r="EX326" s="15"/>
      <c r="EY326" s="15"/>
      <c r="EZ326" s="15"/>
      <c r="FA326" s="15"/>
      <c r="FB326" s="15"/>
      <c r="FC326" s="15"/>
      <c r="FD326" s="15"/>
      <c r="FE326" s="15"/>
      <c r="FF326" s="15"/>
      <c r="FG326" s="15"/>
      <c r="FH326" s="15"/>
      <c r="FI326" s="15"/>
      <c r="FJ326" s="15"/>
      <c r="FK326" s="15"/>
      <c r="FL326" s="15"/>
      <c r="FM326" s="15"/>
      <c r="FN326" s="15"/>
      <c r="FO326" s="15"/>
      <c r="FP326" s="15"/>
      <c r="FQ326" s="15"/>
      <c r="FR326" s="15"/>
      <c r="FS326" s="15"/>
      <c r="FT326" s="15"/>
      <c r="FU326" s="15"/>
      <c r="FV326" s="15"/>
      <c r="FW326" s="15"/>
      <c r="FX326" s="15"/>
      <c r="FY326" s="15"/>
      <c r="FZ326" s="15"/>
      <c r="GA326" s="15"/>
      <c r="GB326" s="15"/>
      <c r="GC326" s="15"/>
      <c r="GD326" s="15"/>
      <c r="GE326" s="15"/>
      <c r="GF326" s="15"/>
      <c r="GG326" s="15"/>
      <c r="GH326" s="15"/>
      <c r="GI326" s="15"/>
      <c r="GJ326" s="15"/>
      <c r="GK326" s="15"/>
      <c r="GL326" s="15"/>
      <c r="GM326" s="15"/>
      <c r="GN326" s="15"/>
      <c r="GO326" s="15"/>
      <c r="GP326" s="15"/>
      <c r="GQ326" s="15"/>
      <c r="GR326" s="15"/>
      <c r="GS326" s="15"/>
      <c r="GT326" s="15"/>
      <c r="GU326" s="15"/>
      <c r="GV326" s="15"/>
      <c r="GW326" s="15"/>
      <c r="GX326" s="15"/>
      <c r="GY326" s="15"/>
      <c r="GZ326" s="15"/>
      <c r="HA326" s="15"/>
      <c r="HB326" s="15"/>
      <c r="HC326" s="15"/>
      <c r="HD326" s="15"/>
      <c r="HE326" s="15"/>
      <c r="HF326" s="15"/>
      <c r="HG326" s="15"/>
      <c r="HH326" s="15"/>
      <c r="HI326" s="15"/>
      <c r="HJ326" s="15"/>
      <c r="HK326" s="15"/>
      <c r="HL326" s="15"/>
      <c r="HM326" s="15"/>
      <c r="HN326" s="15"/>
      <c r="HO326" s="15"/>
      <c r="HP326" s="15"/>
      <c r="HQ326" s="15"/>
      <c r="HR326" s="15"/>
      <c r="HS326" s="15"/>
      <c r="HT326" s="15"/>
      <c r="HU326" s="15"/>
      <c r="HV326" s="15"/>
      <c r="HW326" s="15"/>
      <c r="HX326" s="15"/>
      <c r="HY326" s="15"/>
      <c r="HZ326" s="15"/>
      <c r="IA326" s="15"/>
      <c r="IB326" s="15"/>
      <c r="IC326" s="15"/>
      <c r="ID326" s="15"/>
      <c r="IE326" s="15"/>
      <c r="IF326" s="15"/>
      <c r="IG326" s="15"/>
      <c r="IH326" s="15"/>
      <c r="II326" s="15"/>
      <c r="IJ326" s="15"/>
      <c r="IK326" s="15"/>
      <c r="IL326" s="15"/>
      <c r="IM326" s="15"/>
      <c r="IN326" s="15"/>
      <c r="IO326" s="15"/>
      <c r="IP326" s="15"/>
      <c r="IQ326" s="15"/>
      <c r="IR326" s="15"/>
    </row>
    <row r="327" spans="1:252" s="38" customFormat="1" outlineLevel="1" x14ac:dyDescent="0.25">
      <c r="A327" s="271" t="s">
        <v>1203</v>
      </c>
      <c r="B327" s="603" t="s">
        <v>1014</v>
      </c>
      <c r="C327" s="202" t="s">
        <v>1323</v>
      </c>
      <c r="D327" s="267">
        <f>окна!X57</f>
        <v>96.259999999999991</v>
      </c>
      <c r="E327" s="353">
        <v>250</v>
      </c>
      <c r="F327" s="207"/>
      <c r="G327" s="2">
        <f>ROUND(E327*D327,2)</f>
        <v>24065</v>
      </c>
      <c r="H327" s="2">
        <f>ROUND(D327*F327,2)</f>
        <v>0</v>
      </c>
      <c r="I327" s="3">
        <f>H327+G327</f>
        <v>24065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N327" s="15"/>
      <c r="EO327" s="15"/>
      <c r="EP327" s="15"/>
      <c r="EQ327" s="15"/>
      <c r="ER327" s="15"/>
      <c r="ES327" s="15"/>
      <c r="ET327" s="15"/>
      <c r="EU327" s="15"/>
      <c r="EV327" s="15"/>
      <c r="EW327" s="15"/>
      <c r="EX327" s="15"/>
      <c r="EY327" s="15"/>
      <c r="EZ327" s="15"/>
      <c r="FA327" s="15"/>
      <c r="FB327" s="15"/>
      <c r="FC327" s="15"/>
      <c r="FD327" s="15"/>
      <c r="FE327" s="15"/>
      <c r="FF327" s="15"/>
      <c r="FG327" s="15"/>
      <c r="FH327" s="15"/>
      <c r="FI327" s="15"/>
      <c r="FJ327" s="15"/>
      <c r="FK327" s="15"/>
      <c r="FL327" s="15"/>
      <c r="FM327" s="15"/>
      <c r="FN327" s="15"/>
      <c r="FO327" s="15"/>
      <c r="FP327" s="15"/>
      <c r="FQ327" s="15"/>
      <c r="FR327" s="15"/>
      <c r="FS327" s="15"/>
      <c r="FT327" s="15"/>
      <c r="FU327" s="15"/>
      <c r="FV327" s="15"/>
      <c r="FW327" s="15"/>
      <c r="FX327" s="15"/>
      <c r="FY327" s="15"/>
      <c r="FZ327" s="15"/>
      <c r="GA327" s="15"/>
      <c r="GB327" s="15"/>
      <c r="GC327" s="15"/>
      <c r="GD327" s="15"/>
      <c r="GE327" s="15"/>
      <c r="GF327" s="15"/>
      <c r="GG327" s="15"/>
      <c r="GH327" s="15"/>
      <c r="GI327" s="15"/>
      <c r="GJ327" s="15"/>
      <c r="GK327" s="15"/>
      <c r="GL327" s="15"/>
      <c r="GM327" s="15"/>
      <c r="GN327" s="15"/>
      <c r="GO327" s="15"/>
      <c r="GP327" s="15"/>
      <c r="GQ327" s="15"/>
      <c r="GR327" s="15"/>
      <c r="GS327" s="15"/>
      <c r="GT327" s="15"/>
      <c r="GU327" s="15"/>
      <c r="GV327" s="15"/>
      <c r="GW327" s="15"/>
      <c r="GX327" s="15"/>
      <c r="GY327" s="15"/>
      <c r="GZ327" s="15"/>
      <c r="HA327" s="15"/>
      <c r="HB327" s="15"/>
      <c r="HC327" s="15"/>
      <c r="HD327" s="15"/>
      <c r="HE327" s="15"/>
      <c r="HF327" s="15"/>
      <c r="HG327" s="15"/>
      <c r="HH327" s="15"/>
      <c r="HI327" s="15"/>
      <c r="HJ327" s="15"/>
      <c r="HK327" s="15"/>
      <c r="HL327" s="15"/>
      <c r="HM327" s="15"/>
      <c r="HN327" s="15"/>
      <c r="HO327" s="15"/>
      <c r="HP327" s="15"/>
      <c r="HQ327" s="15"/>
      <c r="HR327" s="15"/>
      <c r="HS327" s="15"/>
      <c r="HT327" s="15"/>
      <c r="HU327" s="15"/>
      <c r="HV327" s="15"/>
      <c r="HW327" s="15"/>
      <c r="HX327" s="15"/>
      <c r="HY327" s="15"/>
      <c r="HZ327" s="15"/>
      <c r="IA327" s="15"/>
      <c r="IB327" s="15"/>
      <c r="IC327" s="15"/>
      <c r="ID327" s="15"/>
      <c r="IE327" s="15"/>
      <c r="IF327" s="15"/>
      <c r="IG327" s="15"/>
      <c r="IH327" s="15"/>
      <c r="II327" s="15"/>
      <c r="IJ327" s="15"/>
      <c r="IK327" s="15"/>
      <c r="IL327" s="15"/>
      <c r="IM327" s="15"/>
      <c r="IN327" s="15"/>
      <c r="IO327" s="15"/>
      <c r="IP327" s="15"/>
      <c r="IQ327" s="15"/>
      <c r="IR327" s="15"/>
    </row>
    <row r="328" spans="1:252" x14ac:dyDescent="0.25">
      <c r="A328" s="223"/>
      <c r="B328" s="224" t="s">
        <v>59</v>
      </c>
      <c r="C328" s="225"/>
      <c r="D328" s="226"/>
      <c r="E328" s="227"/>
      <c r="F328" s="228"/>
      <c r="G328" s="227">
        <f>SUM(G326:G327)</f>
        <v>973550.36</v>
      </c>
      <c r="H328" s="227">
        <f>SUM(H326:H327)</f>
        <v>0</v>
      </c>
      <c r="I328" s="227">
        <f>SUM(I326:I327)</f>
        <v>973550.36</v>
      </c>
    </row>
    <row r="329" spans="1:252" ht="16.2" customHeight="1" x14ac:dyDescent="0.25">
      <c r="A329" s="90"/>
      <c r="B329" s="471" t="s">
        <v>624</v>
      </c>
      <c r="C329" s="9"/>
      <c r="D329" s="31"/>
      <c r="E329" s="10"/>
      <c r="F329" s="57"/>
      <c r="G329" s="10"/>
      <c r="H329" s="10"/>
      <c r="I329" s="31">
        <f>ROUND(I328/1.18*0.18,2)</f>
        <v>148507.68</v>
      </c>
    </row>
    <row r="330" spans="1:252" ht="18.75" customHeight="1" x14ac:dyDescent="0.25">
      <c r="A330" s="109"/>
      <c r="B330" s="491" t="s">
        <v>1204</v>
      </c>
      <c r="C330" s="105"/>
      <c r="D330" s="105"/>
      <c r="E330" s="105"/>
      <c r="F330" s="138"/>
      <c r="G330" s="105"/>
      <c r="H330" s="105"/>
      <c r="I330" s="106"/>
    </row>
    <row r="331" spans="1:252" outlineLevel="1" x14ac:dyDescent="0.25">
      <c r="A331" s="271" t="s">
        <v>316</v>
      </c>
      <c r="B331" s="636" t="s">
        <v>37</v>
      </c>
      <c r="C331" s="2" t="s">
        <v>12</v>
      </c>
      <c r="D331" s="268">
        <f>SUM(D332:D337)</f>
        <v>42</v>
      </c>
      <c r="E331" s="256">
        <v>1200</v>
      </c>
      <c r="F331" s="60"/>
      <c r="G331" s="2">
        <f>ROUND(E331*D331,2)</f>
        <v>50400</v>
      </c>
      <c r="H331" s="18"/>
      <c r="I331" s="18">
        <f>G331+H331</f>
        <v>50400</v>
      </c>
    </row>
    <row r="332" spans="1:252" ht="31.2" outlineLevel="1" x14ac:dyDescent="0.25">
      <c r="A332" s="84"/>
      <c r="B332" s="612" t="s">
        <v>225</v>
      </c>
      <c r="C332" s="21" t="s">
        <v>12</v>
      </c>
      <c r="D332" s="639">
        <v>30</v>
      </c>
      <c r="E332" s="2"/>
      <c r="F332" s="361">
        <v>1400</v>
      </c>
      <c r="G332" s="18"/>
      <c r="H332" s="2">
        <f t="shared" ref="H332:H337" si="21">ROUND(D332*F332,2)</f>
        <v>42000</v>
      </c>
      <c r="I332" s="18">
        <f t="shared" ref="I332:I340" si="22">G332+H332</f>
        <v>42000</v>
      </c>
    </row>
    <row r="333" spans="1:252" outlineLevel="1" x14ac:dyDescent="0.25">
      <c r="A333" s="84"/>
      <c r="B333" s="612" t="s">
        <v>1468</v>
      </c>
      <c r="C333" s="21" t="s">
        <v>12</v>
      </c>
      <c r="D333" s="639">
        <v>8</v>
      </c>
      <c r="E333" s="2"/>
      <c r="F333" s="361">
        <v>1400</v>
      </c>
      <c r="G333" s="18"/>
      <c r="H333" s="2">
        <f t="shared" si="21"/>
        <v>11200</v>
      </c>
      <c r="I333" s="18">
        <f>G333+H333</f>
        <v>11200</v>
      </c>
    </row>
    <row r="334" spans="1:252" ht="31.2" outlineLevel="1" x14ac:dyDescent="0.25">
      <c r="A334" s="84"/>
      <c r="B334" s="612" t="s">
        <v>1217</v>
      </c>
      <c r="C334" s="21" t="s">
        <v>12</v>
      </c>
      <c r="D334" s="639">
        <v>1</v>
      </c>
      <c r="E334" s="2"/>
      <c r="F334" s="361">
        <v>24500</v>
      </c>
      <c r="G334" s="18"/>
      <c r="H334" s="2">
        <f t="shared" si="21"/>
        <v>24500</v>
      </c>
      <c r="I334" s="18">
        <f>G334+H334</f>
        <v>24500</v>
      </c>
    </row>
    <row r="335" spans="1:252" ht="31.2" outlineLevel="1" x14ac:dyDescent="0.25">
      <c r="A335" s="84"/>
      <c r="B335" s="612" t="s">
        <v>1430</v>
      </c>
      <c r="C335" s="21" t="s">
        <v>12</v>
      </c>
      <c r="D335" s="639">
        <v>1</v>
      </c>
      <c r="E335" s="2"/>
      <c r="F335" s="361">
        <v>24500</v>
      </c>
      <c r="G335" s="18"/>
      <c r="H335" s="2">
        <f t="shared" si="21"/>
        <v>24500</v>
      </c>
      <c r="I335" s="18">
        <f t="shared" si="22"/>
        <v>24500</v>
      </c>
    </row>
    <row r="336" spans="1:252" ht="31.2" outlineLevel="1" x14ac:dyDescent="0.25">
      <c r="A336" s="84"/>
      <c r="B336" s="612" t="s">
        <v>1218</v>
      </c>
      <c r="C336" s="21" t="s">
        <v>12</v>
      </c>
      <c r="D336" s="639">
        <v>1</v>
      </c>
      <c r="E336" s="2"/>
      <c r="F336" s="361">
        <v>24500</v>
      </c>
      <c r="G336" s="18"/>
      <c r="H336" s="2">
        <f t="shared" si="21"/>
        <v>24500</v>
      </c>
      <c r="I336" s="18">
        <f>G336+H336</f>
        <v>24500</v>
      </c>
    </row>
    <row r="337" spans="1:12" outlineLevel="1" x14ac:dyDescent="0.25">
      <c r="A337" s="84"/>
      <c r="B337" s="612" t="s">
        <v>1463</v>
      </c>
      <c r="C337" s="21" t="s">
        <v>12</v>
      </c>
      <c r="D337" s="639">
        <v>1</v>
      </c>
      <c r="E337" s="2"/>
      <c r="F337" s="164">
        <v>10000</v>
      </c>
      <c r="G337" s="18"/>
      <c r="H337" s="2">
        <f t="shared" si="21"/>
        <v>10000</v>
      </c>
      <c r="I337" s="18">
        <f>G337+H337</f>
        <v>10000</v>
      </c>
    </row>
    <row r="338" spans="1:12" outlineLevel="1" x14ac:dyDescent="0.25">
      <c r="A338" s="271" t="s">
        <v>469</v>
      </c>
      <c r="B338" s="543" t="s">
        <v>38</v>
      </c>
      <c r="C338" s="2" t="s">
        <v>12</v>
      </c>
      <c r="D338" s="268">
        <f>SUM(D339:D340)</f>
        <v>2</v>
      </c>
      <c r="E338" s="256">
        <v>1600</v>
      </c>
      <c r="F338" s="164"/>
      <c r="G338" s="2">
        <f>ROUND(E338*D338,2)</f>
        <v>3200</v>
      </c>
      <c r="H338" s="18"/>
      <c r="I338" s="18">
        <f t="shared" si="22"/>
        <v>3200</v>
      </c>
    </row>
    <row r="339" spans="1:12" ht="31.2" outlineLevel="1" x14ac:dyDescent="0.25">
      <c r="A339" s="84"/>
      <c r="B339" s="612" t="s">
        <v>1216</v>
      </c>
      <c r="C339" s="21" t="s">
        <v>12</v>
      </c>
      <c r="D339" s="639">
        <v>1</v>
      </c>
      <c r="E339" s="2"/>
      <c r="F339" s="361">
        <f>10915*1.18</f>
        <v>12879.699999999999</v>
      </c>
      <c r="G339" s="18"/>
      <c r="H339" s="2">
        <f>ROUND(D339*F339,2)</f>
        <v>12879.7</v>
      </c>
      <c r="I339" s="18">
        <f t="shared" si="22"/>
        <v>12879.7</v>
      </c>
    </row>
    <row r="340" spans="1:12" outlineLevel="1" x14ac:dyDescent="0.25">
      <c r="A340" s="84"/>
      <c r="B340" s="612" t="s">
        <v>1464</v>
      </c>
      <c r="C340" s="21" t="s">
        <v>12</v>
      </c>
      <c r="D340" s="639">
        <v>1</v>
      </c>
      <c r="E340" s="2"/>
      <c r="F340" s="361">
        <f>10915*1.18</f>
        <v>12879.699999999999</v>
      </c>
      <c r="G340" s="18"/>
      <c r="H340" s="2">
        <f>ROUND(D340*F340,2)</f>
        <v>12879.7</v>
      </c>
      <c r="I340" s="18">
        <f t="shared" si="22"/>
        <v>12879.7</v>
      </c>
    </row>
    <row r="341" spans="1:12" outlineLevel="1" x14ac:dyDescent="0.25">
      <c r="A341" s="271" t="s">
        <v>522</v>
      </c>
      <c r="B341" s="543" t="s">
        <v>664</v>
      </c>
      <c r="C341" s="2" t="s">
        <v>12</v>
      </c>
      <c r="D341" s="268">
        <f>SUM(D342:D344)</f>
        <v>3</v>
      </c>
      <c r="E341" s="256">
        <v>1300</v>
      </c>
      <c r="F341" s="485">
        <v>10800</v>
      </c>
      <c r="G341" s="2">
        <f>ROUND(E341*D341,2)</f>
        <v>3900</v>
      </c>
      <c r="H341" s="2">
        <f>ROUND(D341*F341,2)</f>
        <v>32400</v>
      </c>
      <c r="I341" s="18">
        <f>G341+H341</f>
        <v>36300</v>
      </c>
    </row>
    <row r="342" spans="1:12" outlineLevel="1" x14ac:dyDescent="0.25">
      <c r="A342" s="84"/>
      <c r="B342" s="558" t="s">
        <v>1465</v>
      </c>
      <c r="C342" s="2" t="s">
        <v>12</v>
      </c>
      <c r="D342" s="660">
        <v>1</v>
      </c>
      <c r="E342" s="158"/>
      <c r="F342" s="60"/>
      <c r="G342" s="18"/>
      <c r="H342" s="18"/>
      <c r="I342" s="18"/>
    </row>
    <row r="343" spans="1:12" outlineLevel="1" x14ac:dyDescent="0.25">
      <c r="A343" s="84"/>
      <c r="B343" s="558" t="s">
        <v>1466</v>
      </c>
      <c r="C343" s="2" t="s">
        <v>12</v>
      </c>
      <c r="D343" s="660">
        <v>1</v>
      </c>
      <c r="E343" s="158"/>
      <c r="F343" s="60"/>
      <c r="G343" s="18"/>
      <c r="H343" s="18"/>
      <c r="I343" s="18"/>
    </row>
    <row r="344" spans="1:12" outlineLevel="1" x14ac:dyDescent="0.25">
      <c r="A344" s="84"/>
      <c r="B344" s="558" t="s">
        <v>1467</v>
      </c>
      <c r="C344" s="2" t="s">
        <v>12</v>
      </c>
      <c r="D344" s="660">
        <v>1</v>
      </c>
      <c r="E344" s="158"/>
      <c r="F344" s="60"/>
      <c r="G344" s="18"/>
      <c r="H344" s="18"/>
      <c r="I344" s="18"/>
    </row>
    <row r="345" spans="1:12" outlineLevel="1" x14ac:dyDescent="0.25">
      <c r="A345" s="271" t="s">
        <v>523</v>
      </c>
      <c r="B345" s="543" t="s">
        <v>665</v>
      </c>
      <c r="C345" s="2" t="s">
        <v>12</v>
      </c>
      <c r="D345" s="661">
        <f>D346+D347</f>
        <v>14</v>
      </c>
      <c r="E345" s="256">
        <v>1300</v>
      </c>
      <c r="F345" s="60"/>
      <c r="G345" s="2">
        <f>ROUND(E345*D345,2)</f>
        <v>18200</v>
      </c>
      <c r="H345" s="18"/>
      <c r="I345" s="18">
        <f>G345+H345</f>
        <v>18200</v>
      </c>
    </row>
    <row r="346" spans="1:12" outlineLevel="1" x14ac:dyDescent="0.25">
      <c r="A346" s="84"/>
      <c r="B346" s="558" t="s">
        <v>1219</v>
      </c>
      <c r="C346" s="2" t="s">
        <v>12</v>
      </c>
      <c r="D346" s="660">
        <v>7</v>
      </c>
      <c r="E346" s="2"/>
      <c r="F346" s="164">
        <v>700</v>
      </c>
      <c r="G346" s="18"/>
      <c r="H346" s="2">
        <f>ROUND(D346*F346,2)</f>
        <v>4900</v>
      </c>
      <c r="I346" s="18">
        <f>G346+H346</f>
        <v>4900</v>
      </c>
    </row>
    <row r="347" spans="1:12" ht="31.2" outlineLevel="1" x14ac:dyDescent="0.25">
      <c r="A347" s="84"/>
      <c r="B347" s="558" t="s">
        <v>1220</v>
      </c>
      <c r="C347" s="2" t="s">
        <v>12</v>
      </c>
      <c r="D347" s="660">
        <v>7</v>
      </c>
      <c r="E347" s="2"/>
      <c r="F347" s="164">
        <v>2000</v>
      </c>
      <c r="G347" s="18"/>
      <c r="H347" s="2">
        <f>ROUND(D347*F347,2)</f>
        <v>14000</v>
      </c>
      <c r="I347" s="18">
        <f>G347+H347</f>
        <v>14000</v>
      </c>
    </row>
    <row r="348" spans="1:12" x14ac:dyDescent="0.25">
      <c r="A348" s="223"/>
      <c r="B348" s="232" t="s">
        <v>58</v>
      </c>
      <c r="C348" s="225"/>
      <c r="D348" s="226"/>
      <c r="E348" s="227"/>
      <c r="F348" s="228"/>
      <c r="G348" s="227">
        <f>SUM(G331:G347)</f>
        <v>75700</v>
      </c>
      <c r="H348" s="227">
        <f>SUM(H331:H347)</f>
        <v>213759.40000000002</v>
      </c>
      <c r="I348" s="227">
        <f>SUM(I331:I347)</f>
        <v>289459.40000000002</v>
      </c>
    </row>
    <row r="349" spans="1:12" ht="16.95" customHeight="1" x14ac:dyDescent="0.25">
      <c r="A349" s="90"/>
      <c r="B349" s="471" t="s">
        <v>624</v>
      </c>
      <c r="C349" s="9"/>
      <c r="D349" s="31"/>
      <c r="E349" s="10"/>
      <c r="F349" s="57"/>
      <c r="G349" s="10"/>
      <c r="H349" s="10"/>
      <c r="I349" s="31">
        <f>ROUND(I348/1.18*0.18,2)</f>
        <v>44154.82</v>
      </c>
    </row>
    <row r="350" spans="1:12" ht="18.75" customHeight="1" x14ac:dyDescent="0.25">
      <c r="A350" s="108"/>
      <c r="B350" s="562" t="s">
        <v>1205</v>
      </c>
      <c r="C350" s="105"/>
      <c r="D350" s="105"/>
      <c r="E350" s="105"/>
      <c r="F350" s="138"/>
      <c r="G350" s="105"/>
      <c r="H350" s="105"/>
      <c r="I350" s="106"/>
    </row>
    <row r="351" spans="1:12" s="6" customFormat="1" ht="31.5" customHeight="1" outlineLevel="1" x14ac:dyDescent="0.25">
      <c r="A351" s="107" t="s">
        <v>317</v>
      </c>
      <c r="B351" s="599" t="s">
        <v>1005</v>
      </c>
      <c r="C351" s="31" t="s">
        <v>14</v>
      </c>
      <c r="D351" s="268">
        <f>фасад!P24-окна!T56-окна!V59</f>
        <v>752.22490000000005</v>
      </c>
      <c r="E351" s="256">
        <v>900</v>
      </c>
      <c r="F351" s="60"/>
      <c r="G351" s="2">
        <f>ROUND(E351*D351,2)</f>
        <v>677002.41</v>
      </c>
      <c r="H351" s="18"/>
      <c r="I351" s="18">
        <f t="shared" ref="I351:I358" si="23">G351+H351</f>
        <v>677002.41</v>
      </c>
      <c r="J351" s="499"/>
      <c r="K351" s="25"/>
      <c r="L351" s="25"/>
    </row>
    <row r="352" spans="1:12" ht="31.2" outlineLevel="1" x14ac:dyDescent="0.25">
      <c r="A352" s="84"/>
      <c r="B352" s="533" t="s">
        <v>1223</v>
      </c>
      <c r="C352" s="55" t="s">
        <v>15</v>
      </c>
      <c r="D352" s="277">
        <f>ROUND(D351*0.1,2)</f>
        <v>75.22</v>
      </c>
      <c r="E352" s="18"/>
      <c r="F352" s="366">
        <f>ROUND(1868.06/10,2)</f>
        <v>186.81</v>
      </c>
      <c r="G352" s="18"/>
      <c r="H352" s="2">
        <f>ROUND(D352*F352,2)</f>
        <v>14051.85</v>
      </c>
      <c r="I352" s="18">
        <f t="shared" si="23"/>
        <v>14051.85</v>
      </c>
    </row>
    <row r="353" spans="1:12" ht="18" customHeight="1" outlineLevel="1" x14ac:dyDescent="0.25">
      <c r="A353" s="84"/>
      <c r="B353" s="533" t="s">
        <v>1012</v>
      </c>
      <c r="C353" s="2" t="s">
        <v>8</v>
      </c>
      <c r="D353" s="282">
        <f>фасад!F6*0.12</f>
        <v>199.7064</v>
      </c>
      <c r="E353" s="31"/>
      <c r="F353" s="666">
        <v>2351</v>
      </c>
      <c r="G353" s="2"/>
      <c r="H353" s="2">
        <f>ROUND(D353*F353,2)</f>
        <v>469509.75</v>
      </c>
      <c r="I353" s="18">
        <f t="shared" si="23"/>
        <v>469509.75</v>
      </c>
    </row>
    <row r="354" spans="1:12" ht="36" hidden="1" customHeight="1" outlineLevel="1" x14ac:dyDescent="0.25">
      <c r="A354" s="84"/>
      <c r="B354" s="361" t="s">
        <v>1034</v>
      </c>
      <c r="C354" s="2" t="s">
        <v>8</v>
      </c>
      <c r="D354" s="282">
        <v>0</v>
      </c>
      <c r="E354" s="158"/>
      <c r="F354" s="164">
        <v>3196</v>
      </c>
      <c r="G354" s="2"/>
      <c r="H354" s="2">
        <f>ROUND(D354*F354,2)</f>
        <v>0</v>
      </c>
      <c r="I354" s="2">
        <f t="shared" si="23"/>
        <v>0</v>
      </c>
    </row>
    <row r="355" spans="1:12" outlineLevel="1" x14ac:dyDescent="0.25">
      <c r="A355" s="84"/>
      <c r="B355" s="600" t="s">
        <v>230</v>
      </c>
      <c r="C355" s="55" t="s">
        <v>12</v>
      </c>
      <c r="D355" s="277">
        <f>ROUND(D351*12,2)</f>
        <v>9026.7000000000007</v>
      </c>
      <c r="E355" s="18"/>
      <c r="F355" s="142">
        <v>12</v>
      </c>
      <c r="G355" s="18"/>
      <c r="H355" s="2">
        <f>ROUND(D355*F355,2)</f>
        <v>108320.4</v>
      </c>
      <c r="I355" s="18">
        <f t="shared" si="23"/>
        <v>108320.4</v>
      </c>
    </row>
    <row r="356" spans="1:12" outlineLevel="1" x14ac:dyDescent="0.25">
      <c r="A356" s="107" t="s">
        <v>1079</v>
      </c>
      <c r="B356" s="531" t="s">
        <v>1391</v>
      </c>
      <c r="C356" s="31" t="s">
        <v>14</v>
      </c>
      <c r="D356" s="268">
        <f>кровля!E16*0.98</f>
        <v>96.196799999999996</v>
      </c>
      <c r="E356" s="256">
        <v>900</v>
      </c>
      <c r="F356" s="60"/>
      <c r="G356" s="2">
        <f>ROUND(E356*D356,2)</f>
        <v>86577.12</v>
      </c>
      <c r="H356" s="18"/>
      <c r="I356" s="18">
        <f t="shared" si="23"/>
        <v>86577.12</v>
      </c>
    </row>
    <row r="357" spans="1:12" ht="31.2" outlineLevel="1" x14ac:dyDescent="0.25">
      <c r="A357" s="84"/>
      <c r="B357" s="361" t="s">
        <v>1390</v>
      </c>
      <c r="C357" s="55" t="s">
        <v>8</v>
      </c>
      <c r="D357" s="277">
        <f>ROUND(D356*0.12,2)</f>
        <v>11.54</v>
      </c>
      <c r="E357" s="18"/>
      <c r="F357" s="366">
        <v>3721</v>
      </c>
      <c r="G357" s="18"/>
      <c r="H357" s="2">
        <f>ROUND(D357*F357,2)</f>
        <v>42940.34</v>
      </c>
      <c r="I357" s="18">
        <f t="shared" si="23"/>
        <v>42940.34</v>
      </c>
    </row>
    <row r="358" spans="1:12" outlineLevel="1" x14ac:dyDescent="0.25">
      <c r="A358" s="84"/>
      <c r="B358" s="600" t="s">
        <v>230</v>
      </c>
      <c r="C358" s="55" t="s">
        <v>12</v>
      </c>
      <c r="D358" s="277">
        <f>ROUND(D356*12,2)</f>
        <v>1154.3599999999999</v>
      </c>
      <c r="E358" s="18"/>
      <c r="F358" s="142">
        <v>12</v>
      </c>
      <c r="G358" s="18"/>
      <c r="H358" s="2">
        <f>ROUND(D358*F358,2)</f>
        <v>13852.32</v>
      </c>
      <c r="I358" s="18">
        <f t="shared" si="23"/>
        <v>13852.32</v>
      </c>
    </row>
    <row r="359" spans="1:12" ht="19.5" customHeight="1" x14ac:dyDescent="0.25">
      <c r="A359" s="223"/>
      <c r="B359" s="232" t="s">
        <v>57</v>
      </c>
      <c r="C359" s="225"/>
      <c r="D359" s="226"/>
      <c r="E359" s="227"/>
      <c r="F359" s="228"/>
      <c r="G359" s="227">
        <f>SUM(G351:G358)</f>
        <v>763579.53</v>
      </c>
      <c r="H359" s="227">
        <f>SUM(H351:H358)</f>
        <v>648674.65999999992</v>
      </c>
      <c r="I359" s="227">
        <f>SUM(I351:I358)</f>
        <v>1412254.19</v>
      </c>
      <c r="L359" s="133"/>
    </row>
    <row r="360" spans="1:12" ht="17.399999999999999" customHeight="1" x14ac:dyDescent="0.25">
      <c r="A360" s="90"/>
      <c r="B360" s="471" t="s">
        <v>624</v>
      </c>
      <c r="C360" s="472"/>
      <c r="D360" s="473"/>
      <c r="E360" s="474"/>
      <c r="F360" s="475"/>
      <c r="G360" s="10"/>
      <c r="H360" s="10"/>
      <c r="I360" s="31">
        <f>ROUND(I359/1.18*0.18,2)</f>
        <v>215428.61</v>
      </c>
    </row>
    <row r="361" spans="1:12" ht="20.25" customHeight="1" x14ac:dyDescent="0.25">
      <c r="A361" s="109"/>
      <c r="B361" s="771" t="s">
        <v>1206</v>
      </c>
      <c r="C361" s="771"/>
      <c r="D361" s="771"/>
      <c r="E361" s="771"/>
      <c r="F361" s="771"/>
      <c r="G361" s="105"/>
      <c r="H361" s="105"/>
      <c r="I361" s="106"/>
    </row>
    <row r="362" spans="1:12" ht="19.5" customHeight="1" outlineLevel="1" x14ac:dyDescent="0.25">
      <c r="A362" s="84"/>
      <c r="B362" s="191" t="s">
        <v>1074</v>
      </c>
      <c r="C362" s="481"/>
      <c r="D362" s="482"/>
      <c r="E362" s="486"/>
      <c r="F362" s="487"/>
      <c r="G362" s="77"/>
      <c r="H362" s="77"/>
      <c r="I362" s="77"/>
      <c r="K362" s="31"/>
    </row>
    <row r="363" spans="1:12" ht="16.95" customHeight="1" outlineLevel="1" x14ac:dyDescent="0.25">
      <c r="A363" s="107" t="s">
        <v>319</v>
      </c>
      <c r="B363" s="531" t="s">
        <v>1058</v>
      </c>
      <c r="C363" s="31" t="s">
        <v>14</v>
      </c>
      <c r="D363" s="542">
        <f>(97+207.4)/3</f>
        <v>101.46666666666665</v>
      </c>
      <c r="E363" s="256">
        <v>120</v>
      </c>
      <c r="F363" s="60"/>
      <c r="G363" s="2">
        <f>ROUND(E363*D363,2)</f>
        <v>12176</v>
      </c>
      <c r="H363" s="18"/>
      <c r="I363" s="18">
        <f t="shared" ref="I363:I373" si="24">H363+G363</f>
        <v>12176</v>
      </c>
      <c r="K363" s="2"/>
    </row>
    <row r="364" spans="1:12" outlineLevel="1" x14ac:dyDescent="0.25">
      <c r="A364" s="84"/>
      <c r="B364" s="612" t="s">
        <v>1055</v>
      </c>
      <c r="C364" s="21" t="s">
        <v>14</v>
      </c>
      <c r="D364" s="542">
        <f>ROUND(D363*1.1,2)</f>
        <v>111.61</v>
      </c>
      <c r="E364" s="18"/>
      <c r="F364" s="164">
        <f>ROUND(88.7*1.1,2)</f>
        <v>97.57</v>
      </c>
      <c r="G364" s="18"/>
      <c r="H364" s="2">
        <f>ROUND(D364*F364,2)</f>
        <v>10889.79</v>
      </c>
      <c r="I364" s="18">
        <f t="shared" si="24"/>
        <v>10889.79</v>
      </c>
    </row>
    <row r="365" spans="1:12" outlineLevel="1" x14ac:dyDescent="0.25">
      <c r="A365" s="107" t="s">
        <v>320</v>
      </c>
      <c r="B365" s="531" t="s">
        <v>1059</v>
      </c>
      <c r="C365" s="31" t="s">
        <v>14</v>
      </c>
      <c r="D365" s="541">
        <f>(1019.1+97)/3+(89.2+19.8)/4</f>
        <v>399.2833333333333</v>
      </c>
      <c r="E365" s="256">
        <v>100</v>
      </c>
      <c r="F365" s="60"/>
      <c r="G365" s="2">
        <f>ROUND(E365*D365,2)</f>
        <v>39928.33</v>
      </c>
      <c r="H365" s="18"/>
      <c r="I365" s="18">
        <f t="shared" si="24"/>
        <v>39928.33</v>
      </c>
    </row>
    <row r="366" spans="1:12" outlineLevel="1" x14ac:dyDescent="0.25">
      <c r="A366" s="84"/>
      <c r="B366" s="558" t="s">
        <v>1418</v>
      </c>
      <c r="C366" s="21" t="s">
        <v>8</v>
      </c>
      <c r="D366" s="542">
        <f>ROUND(D365*0.1,2)</f>
        <v>39.93</v>
      </c>
      <c r="E366" s="18"/>
      <c r="F366" s="328">
        <v>4460</v>
      </c>
      <c r="G366" s="18"/>
      <c r="H366" s="2">
        <f>ROUND(D366*F366,2)</f>
        <v>178087.8</v>
      </c>
      <c r="I366" s="18">
        <f t="shared" si="24"/>
        <v>178087.8</v>
      </c>
    </row>
    <row r="367" spans="1:12" outlineLevel="1" x14ac:dyDescent="0.25">
      <c r="A367" s="84"/>
      <c r="B367" s="558" t="s">
        <v>1419</v>
      </c>
      <c r="C367" s="21" t="s">
        <v>14</v>
      </c>
      <c r="D367" s="542">
        <f>1019.1/3+89.2/4+19.8/4</f>
        <v>366.95</v>
      </c>
      <c r="E367" s="18"/>
      <c r="F367" s="328"/>
      <c r="G367" s="18"/>
      <c r="H367" s="2"/>
      <c r="I367" s="18"/>
      <c r="K367" s="25" t="e">
        <f>D367+D370+D373+#REF!+D374</f>
        <v>#REF!</v>
      </c>
    </row>
    <row r="368" spans="1:12" ht="31.2" outlineLevel="1" x14ac:dyDescent="0.25">
      <c r="A368" s="107" t="s">
        <v>321</v>
      </c>
      <c r="B368" s="543" t="s">
        <v>1057</v>
      </c>
      <c r="C368" s="31" t="s">
        <v>14</v>
      </c>
      <c r="D368" s="541">
        <f>1019.1/3+97/3+89.2/4+19.8/4+2040.8/3+207.4/3+178.4/4</f>
        <v>1193.2833333333333</v>
      </c>
      <c r="E368" s="256">
        <v>280</v>
      </c>
      <c r="F368" s="60"/>
      <c r="G368" s="2">
        <f>ROUND(E368*D368,2)</f>
        <v>334119.33</v>
      </c>
      <c r="H368" s="18"/>
      <c r="I368" s="18">
        <f t="shared" si="24"/>
        <v>334119.33</v>
      </c>
    </row>
    <row r="369" spans="1:11" outlineLevel="1" x14ac:dyDescent="0.25">
      <c r="A369" s="84"/>
      <c r="B369" s="558" t="s">
        <v>47</v>
      </c>
      <c r="C369" s="21" t="s">
        <v>8</v>
      </c>
      <c r="D369" s="542">
        <f>ROUND(D368*0.04,2)</f>
        <v>47.73</v>
      </c>
      <c r="E369" s="282"/>
      <c r="F369" s="11"/>
      <c r="G369" s="18"/>
      <c r="H369" s="2">
        <f>ROUND(D369*F369,2)</f>
        <v>0</v>
      </c>
      <c r="I369" s="18">
        <f t="shared" si="24"/>
        <v>0</v>
      </c>
    </row>
    <row r="370" spans="1:11" outlineLevel="1" x14ac:dyDescent="0.25">
      <c r="A370" s="84"/>
      <c r="B370" s="612" t="s">
        <v>1056</v>
      </c>
      <c r="C370" s="21" t="s">
        <v>14</v>
      </c>
      <c r="D370" s="542">
        <f>D368</f>
        <v>1193.2833333333333</v>
      </c>
      <c r="E370" s="282"/>
      <c r="F370" s="361">
        <v>31.34</v>
      </c>
      <c r="G370" s="18"/>
      <c r="H370" s="2">
        <f>ROUND(D370*F370,2)</f>
        <v>37397.5</v>
      </c>
      <c r="I370" s="18">
        <f t="shared" si="24"/>
        <v>37397.5</v>
      </c>
    </row>
    <row r="371" spans="1:11" ht="31.2" outlineLevel="1" x14ac:dyDescent="0.25">
      <c r="A371" s="107" t="s">
        <v>322</v>
      </c>
      <c r="B371" s="543" t="s">
        <v>1420</v>
      </c>
      <c r="C371" s="31" t="s">
        <v>14</v>
      </c>
      <c r="D371" s="541">
        <f>(9.8+35.7+79.6)/4</f>
        <v>31.274999999999999</v>
      </c>
      <c r="E371" s="256">
        <v>280</v>
      </c>
      <c r="F371" s="60"/>
      <c r="G371" s="2">
        <f>ROUND(E371*D371,2)</f>
        <v>8757</v>
      </c>
      <c r="H371" s="18"/>
      <c r="I371" s="18">
        <f t="shared" si="24"/>
        <v>8757</v>
      </c>
    </row>
    <row r="372" spans="1:11" outlineLevel="1" x14ac:dyDescent="0.25">
      <c r="A372" s="84"/>
      <c r="B372" s="558" t="s">
        <v>47</v>
      </c>
      <c r="C372" s="21" t="s">
        <v>8</v>
      </c>
      <c r="D372" s="542">
        <f>ROUND(D371*0.07,2)</f>
        <v>2.19</v>
      </c>
      <c r="E372" s="282"/>
      <c r="F372" s="11"/>
      <c r="G372" s="18"/>
      <c r="H372" s="2">
        <f>ROUND(D372*F372,2)</f>
        <v>0</v>
      </c>
      <c r="I372" s="18">
        <f t="shared" si="24"/>
        <v>0</v>
      </c>
    </row>
    <row r="373" spans="1:11" outlineLevel="1" x14ac:dyDescent="0.25">
      <c r="A373" s="84"/>
      <c r="B373" s="612" t="s">
        <v>1056</v>
      </c>
      <c r="C373" s="21" t="s">
        <v>14</v>
      </c>
      <c r="D373" s="542">
        <f>D371</f>
        <v>31.274999999999999</v>
      </c>
      <c r="E373" s="282"/>
      <c r="F373" s="361">
        <v>31.34</v>
      </c>
      <c r="G373" s="18"/>
      <c r="H373" s="2">
        <f>ROUND(D373*F373,2)</f>
        <v>980.16</v>
      </c>
      <c r="I373" s="18">
        <f t="shared" si="24"/>
        <v>980.16</v>
      </c>
    </row>
    <row r="374" spans="1:11" ht="31.2" outlineLevel="1" x14ac:dyDescent="0.25">
      <c r="A374" s="107" t="s">
        <v>323</v>
      </c>
      <c r="B374" s="543" t="s">
        <v>407</v>
      </c>
      <c r="C374" s="31" t="s">
        <v>14</v>
      </c>
      <c r="D374" s="256">
        <f>4.5+33.1+31.2+31.2+0.4+4+5.1+2.9+5.3+3.1+5.3</f>
        <v>126.1</v>
      </c>
      <c r="E374" s="256">
        <v>350</v>
      </c>
      <c r="F374" s="60"/>
      <c r="G374" s="2">
        <f>ROUND(E374*D374,2)</f>
        <v>44135</v>
      </c>
      <c r="H374" s="18"/>
      <c r="I374" s="18">
        <f>H374+G374</f>
        <v>44135</v>
      </c>
    </row>
    <row r="375" spans="1:11" outlineLevel="1" x14ac:dyDescent="0.25">
      <c r="A375" s="84"/>
      <c r="B375" s="558" t="s">
        <v>1061</v>
      </c>
      <c r="C375" s="21" t="s">
        <v>14</v>
      </c>
      <c r="D375" s="282">
        <f>+ROUND(D374*1.1,2)</f>
        <v>138.71</v>
      </c>
      <c r="E375" s="18"/>
      <c r="F375" s="361">
        <v>230</v>
      </c>
      <c r="G375" s="18"/>
      <c r="H375" s="2">
        <f>ROUND(D375*F375,2)</f>
        <v>31903.3</v>
      </c>
      <c r="I375" s="18">
        <f>H375+G375</f>
        <v>31903.3</v>
      </c>
    </row>
    <row r="376" spans="1:11" outlineLevel="1" x14ac:dyDescent="0.25">
      <c r="A376" s="84"/>
      <c r="B376" s="558" t="s">
        <v>49</v>
      </c>
      <c r="C376" s="21" t="s">
        <v>15</v>
      </c>
      <c r="D376" s="282">
        <f>+ROUND(D375*6,2)</f>
        <v>832.26</v>
      </c>
      <c r="E376" s="18"/>
      <c r="F376" s="361">
        <f>+ROUND(7.5*1.1,2)</f>
        <v>8.25</v>
      </c>
      <c r="G376" s="18"/>
      <c r="H376" s="2">
        <f>ROUND(D376*F376,2)</f>
        <v>6866.15</v>
      </c>
      <c r="I376" s="18">
        <f>H376+G376</f>
        <v>6866.15</v>
      </c>
    </row>
    <row r="377" spans="1:11" outlineLevel="1" x14ac:dyDescent="0.25">
      <c r="A377" s="84"/>
      <c r="B377" s="558" t="s">
        <v>1060</v>
      </c>
      <c r="C377" s="21" t="s">
        <v>15</v>
      </c>
      <c r="D377" s="282">
        <f>+ROUND(D375*0.19,2)</f>
        <v>26.35</v>
      </c>
      <c r="E377" s="18"/>
      <c r="F377" s="361">
        <v>9</v>
      </c>
      <c r="G377" s="18"/>
      <c r="H377" s="2">
        <f>ROUND(D377*F377,2)</f>
        <v>237.15</v>
      </c>
      <c r="I377" s="18">
        <f>H377+G377</f>
        <v>237.15</v>
      </c>
    </row>
    <row r="378" spans="1:11" ht="22.5" customHeight="1" outlineLevel="1" x14ac:dyDescent="0.25">
      <c r="A378" s="84"/>
      <c r="B378" s="10" t="s">
        <v>1073</v>
      </c>
      <c r="C378" s="21"/>
      <c r="D378" s="401"/>
      <c r="E378" s="18"/>
      <c r="F378" s="361"/>
      <c r="G378" s="18"/>
      <c r="H378" s="2"/>
      <c r="I378" s="18"/>
      <c r="K378" s="25">
        <f>D379+D382+D384</f>
        <v>3719.6333333333337</v>
      </c>
    </row>
    <row r="379" spans="1:11" ht="20.25" customHeight="1" outlineLevel="1" x14ac:dyDescent="0.25">
      <c r="A379" s="107" t="s">
        <v>324</v>
      </c>
      <c r="B379" s="543" t="s">
        <v>1427</v>
      </c>
      <c r="C379" s="31" t="s">
        <v>14</v>
      </c>
      <c r="D379" s="262">
        <f>D141+D146</f>
        <v>802</v>
      </c>
      <c r="E379" s="256">
        <v>180</v>
      </c>
      <c r="F379" s="60"/>
      <c r="G379" s="2">
        <f>ROUND(E379*D379,2)</f>
        <v>144360</v>
      </c>
      <c r="H379" s="18"/>
      <c r="I379" s="18">
        <f t="shared" ref="I379:I386" si="25">H379+G379</f>
        <v>144360</v>
      </c>
    </row>
    <row r="380" spans="1:11" outlineLevel="1" x14ac:dyDescent="0.25">
      <c r="A380" s="206"/>
      <c r="B380" s="558" t="s">
        <v>1077</v>
      </c>
      <c r="C380" s="21" t="s">
        <v>15</v>
      </c>
      <c r="D380" s="282">
        <f>D379*0.2</f>
        <v>160.4</v>
      </c>
      <c r="E380" s="18"/>
      <c r="F380" s="361">
        <v>20</v>
      </c>
      <c r="G380" s="18"/>
      <c r="H380" s="2">
        <f>ROUND(D380*F380,2)</f>
        <v>3208</v>
      </c>
      <c r="I380" s="18">
        <f t="shared" si="25"/>
        <v>3208</v>
      </c>
    </row>
    <row r="381" spans="1:11" outlineLevel="1" x14ac:dyDescent="0.25">
      <c r="A381" s="206"/>
      <c r="B381" s="558" t="s">
        <v>715</v>
      </c>
      <c r="C381" s="21" t="s">
        <v>15</v>
      </c>
      <c r="D381" s="637">
        <f>D379*9*2</f>
        <v>14436</v>
      </c>
      <c r="E381" s="18"/>
      <c r="F381" s="361">
        <v>10</v>
      </c>
      <c r="G381" s="18"/>
      <c r="H381" s="2">
        <f>ROUND(D381*F381,2)</f>
        <v>144360</v>
      </c>
      <c r="I381" s="18">
        <f t="shared" si="25"/>
        <v>144360</v>
      </c>
    </row>
    <row r="382" spans="1:11" ht="31.2" outlineLevel="1" x14ac:dyDescent="0.25">
      <c r="A382" s="107" t="s">
        <v>532</v>
      </c>
      <c r="B382" s="543" t="s">
        <v>1428</v>
      </c>
      <c r="C382" s="31" t="s">
        <v>14</v>
      </c>
      <c r="D382" s="256">
        <f>5523.3/3</f>
        <v>1841.1000000000001</v>
      </c>
      <c r="E382" s="256">
        <v>170</v>
      </c>
      <c r="F382" s="60"/>
      <c r="G382" s="2">
        <f>ROUND(E382*D382,2)</f>
        <v>312987</v>
      </c>
      <c r="H382" s="18"/>
      <c r="I382" s="18">
        <f t="shared" si="25"/>
        <v>312987</v>
      </c>
    </row>
    <row r="383" spans="1:11" outlineLevel="1" x14ac:dyDescent="0.25">
      <c r="A383" s="86"/>
      <c r="B383" s="558" t="s">
        <v>1072</v>
      </c>
      <c r="C383" s="21" t="s">
        <v>15</v>
      </c>
      <c r="D383" s="637">
        <f>+ROUND(30*D382,2)</f>
        <v>55233</v>
      </c>
      <c r="E383" s="282"/>
      <c r="F383" s="361">
        <v>7</v>
      </c>
      <c r="G383" s="18"/>
      <c r="H383" s="2">
        <f>ROUND(D383*F383,2)</f>
        <v>386631</v>
      </c>
      <c r="I383" s="18">
        <f t="shared" si="25"/>
        <v>386631</v>
      </c>
    </row>
    <row r="384" spans="1:11" outlineLevel="1" x14ac:dyDescent="0.25">
      <c r="A384" s="107" t="s">
        <v>533</v>
      </c>
      <c r="B384" s="543" t="s">
        <v>1075</v>
      </c>
      <c r="C384" s="31" t="s">
        <v>14</v>
      </c>
      <c r="D384" s="262">
        <f>3229.6/3</f>
        <v>1076.5333333333333</v>
      </c>
      <c r="E384" s="256">
        <v>180</v>
      </c>
      <c r="F384" s="60"/>
      <c r="G384" s="2">
        <f>ROUND(E384*D384,2)</f>
        <v>193776</v>
      </c>
      <c r="H384" s="18"/>
      <c r="I384" s="18">
        <f t="shared" si="25"/>
        <v>193776</v>
      </c>
      <c r="J384" s="442"/>
    </row>
    <row r="385" spans="1:9" outlineLevel="1" x14ac:dyDescent="0.25">
      <c r="A385" s="86"/>
      <c r="B385" s="558" t="s">
        <v>1077</v>
      </c>
      <c r="C385" s="21" t="s">
        <v>15</v>
      </c>
      <c r="D385" s="282">
        <f>D384*0.2</f>
        <v>215.30666666666667</v>
      </c>
      <c r="E385" s="18"/>
      <c r="F385" s="361">
        <v>20</v>
      </c>
      <c r="G385" s="18"/>
      <c r="H385" s="2">
        <f>ROUND(D385*F385,2)</f>
        <v>4306.13</v>
      </c>
      <c r="I385" s="18">
        <f t="shared" si="25"/>
        <v>4306.13</v>
      </c>
    </row>
    <row r="386" spans="1:9" outlineLevel="1" x14ac:dyDescent="0.25">
      <c r="A386" s="86"/>
      <c r="B386" s="558" t="s">
        <v>715</v>
      </c>
      <c r="C386" s="21" t="s">
        <v>15</v>
      </c>
      <c r="D386" s="637">
        <f>D384*9*2</f>
        <v>19377.599999999999</v>
      </c>
      <c r="E386" s="18"/>
      <c r="F386" s="361">
        <v>10</v>
      </c>
      <c r="G386" s="18"/>
      <c r="H386" s="2">
        <f>ROUND(D386*F386,2)</f>
        <v>193776</v>
      </c>
      <c r="I386" s="18">
        <f t="shared" si="25"/>
        <v>193776</v>
      </c>
    </row>
    <row r="387" spans="1:9" ht="27.6" outlineLevel="1" x14ac:dyDescent="0.25">
      <c r="A387" s="223"/>
      <c r="B387" s="231" t="s">
        <v>56</v>
      </c>
      <c r="C387" s="225"/>
      <c r="D387" s="226"/>
      <c r="E387" s="227"/>
      <c r="F387" s="228"/>
      <c r="G387" s="227">
        <f>SUM(G362:G386)</f>
        <v>1090238.6600000001</v>
      </c>
      <c r="H387" s="227">
        <f>SUM(H362:H386)</f>
        <v>998642.9800000001</v>
      </c>
      <c r="I387" s="227">
        <f>SUM(I362:I386)</f>
        <v>2088881.6400000001</v>
      </c>
    </row>
    <row r="388" spans="1:9" outlineLevel="1" x14ac:dyDescent="0.25">
      <c r="A388" s="90"/>
      <c r="B388" s="471" t="s">
        <v>624</v>
      </c>
      <c r="C388" s="472"/>
      <c r="D388" s="473"/>
      <c r="E388" s="474"/>
      <c r="F388" s="475"/>
      <c r="G388" s="474"/>
      <c r="H388" s="474"/>
      <c r="I388" s="31">
        <f>ROUND(I387/1.18*0.18,2)</f>
        <v>318642.96000000002</v>
      </c>
    </row>
    <row r="389" spans="1:9" ht="46.8" outlineLevel="1" x14ac:dyDescent="0.25">
      <c r="A389" s="551"/>
      <c r="B389" s="604" t="s">
        <v>1415</v>
      </c>
      <c r="C389" s="547"/>
      <c r="D389" s="547"/>
      <c r="E389" s="547"/>
      <c r="F389" s="547"/>
      <c r="G389" s="547"/>
      <c r="H389" s="547"/>
      <c r="I389" s="552"/>
    </row>
    <row r="390" spans="1:9" ht="30" customHeight="1" outlineLevel="1" x14ac:dyDescent="0.25">
      <c r="A390" s="107" t="s">
        <v>325</v>
      </c>
      <c r="B390" s="543" t="s">
        <v>1409</v>
      </c>
      <c r="C390" s="31" t="s">
        <v>14</v>
      </c>
      <c r="D390" s="545">
        <f>1302.9/3</f>
        <v>434.3</v>
      </c>
      <c r="E390" s="541">
        <v>250</v>
      </c>
      <c r="F390" s="60"/>
      <c r="G390" s="2">
        <f>ROUND(E390*D390,2)</f>
        <v>108575</v>
      </c>
      <c r="H390" s="18"/>
      <c r="I390" s="18">
        <f t="shared" ref="I390:I396" si="26">H390+G390</f>
        <v>108575</v>
      </c>
    </row>
    <row r="391" spans="1:9" outlineLevel="1" x14ac:dyDescent="0.25">
      <c r="A391" s="84"/>
      <c r="B391" s="612" t="s">
        <v>1410</v>
      </c>
      <c r="C391" s="21" t="s">
        <v>8</v>
      </c>
      <c r="D391" s="542">
        <f>ROUND(D390*0.1,2)</f>
        <v>43.43</v>
      </c>
      <c r="E391" s="18"/>
      <c r="F391" s="164">
        <v>850</v>
      </c>
      <c r="G391" s="18"/>
      <c r="H391" s="18">
        <f>F391*D391</f>
        <v>36915.5</v>
      </c>
      <c r="I391" s="18">
        <f t="shared" si="26"/>
        <v>36915.5</v>
      </c>
    </row>
    <row r="392" spans="1:9" ht="31.2" outlineLevel="1" x14ac:dyDescent="0.25">
      <c r="A392" s="107" t="s">
        <v>325</v>
      </c>
      <c r="B392" s="543" t="s">
        <v>1416</v>
      </c>
      <c r="C392" s="31" t="s">
        <v>14</v>
      </c>
      <c r="D392" s="264">
        <v>5</v>
      </c>
      <c r="E392" s="256">
        <v>2500</v>
      </c>
      <c r="F392" s="60"/>
      <c r="G392" s="2">
        <f>ROUND(E392*D392,2)</f>
        <v>12500</v>
      </c>
      <c r="H392" s="18"/>
      <c r="I392" s="18">
        <f t="shared" si="26"/>
        <v>12500</v>
      </c>
    </row>
    <row r="393" spans="1:9" outlineLevel="1" x14ac:dyDescent="0.25">
      <c r="A393" s="84"/>
      <c r="B393" s="612" t="s">
        <v>1062</v>
      </c>
      <c r="C393" s="21" t="s">
        <v>8</v>
      </c>
      <c r="D393" s="282">
        <f>ROUND(D392*0.1,2)</f>
        <v>0.5</v>
      </c>
      <c r="E393" s="18"/>
      <c r="F393" s="664">
        <v>3450</v>
      </c>
      <c r="G393" s="18"/>
      <c r="H393" s="18">
        <f>F393*D393</f>
        <v>1725</v>
      </c>
      <c r="I393" s="18">
        <f t="shared" si="26"/>
        <v>1725</v>
      </c>
    </row>
    <row r="394" spans="1:9" outlineLevel="1" x14ac:dyDescent="0.25">
      <c r="A394" s="84"/>
      <c r="B394" s="612" t="s">
        <v>1413</v>
      </c>
      <c r="C394" s="21" t="s">
        <v>8</v>
      </c>
      <c r="D394" s="282">
        <f>ROUND(D393*0.05,2)</f>
        <v>0.03</v>
      </c>
      <c r="E394" s="18"/>
      <c r="F394" s="164">
        <v>850</v>
      </c>
      <c r="G394" s="18"/>
      <c r="H394" s="18">
        <f>F394*D394</f>
        <v>25.5</v>
      </c>
      <c r="I394" s="18">
        <f t="shared" si="26"/>
        <v>25.5</v>
      </c>
    </row>
    <row r="395" spans="1:9" outlineLevel="1" x14ac:dyDescent="0.25">
      <c r="A395" s="107" t="s">
        <v>326</v>
      </c>
      <c r="B395" s="531" t="s">
        <v>1064</v>
      </c>
      <c r="C395" s="31" t="s">
        <v>14</v>
      </c>
      <c r="D395" s="282">
        <v>5</v>
      </c>
      <c r="E395" s="256">
        <v>120</v>
      </c>
      <c r="F395" s="60"/>
      <c r="G395" s="2">
        <f>ROUND(E395*D395,2)</f>
        <v>600</v>
      </c>
      <c r="H395" s="18"/>
      <c r="I395" s="18">
        <f t="shared" si="26"/>
        <v>600</v>
      </c>
    </row>
    <row r="396" spans="1:9" outlineLevel="1" x14ac:dyDescent="0.25">
      <c r="A396" s="84"/>
      <c r="B396" s="612" t="s">
        <v>1063</v>
      </c>
      <c r="C396" s="21" t="s">
        <v>14</v>
      </c>
      <c r="D396" s="282">
        <f>ROUND(D395*1.1*2,2)</f>
        <v>11</v>
      </c>
      <c r="E396" s="18"/>
      <c r="F396" s="164">
        <f>ROUND(88.7*1.1,2)</f>
        <v>97.57</v>
      </c>
      <c r="G396" s="18"/>
      <c r="H396" s="2">
        <f>ROUND(D396*F396,2)</f>
        <v>1073.27</v>
      </c>
      <c r="I396" s="18">
        <f t="shared" si="26"/>
        <v>1073.27</v>
      </c>
    </row>
    <row r="397" spans="1:9" ht="31.2" outlineLevel="1" x14ac:dyDescent="0.25">
      <c r="A397" s="107" t="s">
        <v>327</v>
      </c>
      <c r="B397" s="531" t="s">
        <v>1069</v>
      </c>
      <c r="C397" s="31" t="s">
        <v>14</v>
      </c>
      <c r="D397" s="256">
        <v>1.7</v>
      </c>
      <c r="E397" s="18"/>
      <c r="F397" s="60"/>
      <c r="G397" s="18">
        <f>E397*D397</f>
        <v>0</v>
      </c>
      <c r="H397" s="18"/>
      <c r="I397" s="18">
        <f t="shared" ref="I397:I410" si="27">H397+G397</f>
        <v>0</v>
      </c>
    </row>
    <row r="398" spans="1:9" ht="27.6" outlineLevel="1" x14ac:dyDescent="0.25">
      <c r="A398" s="84"/>
      <c r="B398" s="613" t="s">
        <v>1068</v>
      </c>
      <c r="C398" s="21" t="s">
        <v>14</v>
      </c>
      <c r="D398" s="614">
        <f>ROUND(D397*2*1.03,2)</f>
        <v>3.5</v>
      </c>
      <c r="E398" s="51"/>
      <c r="F398" s="328">
        <f>ROUND(261.9*1.1,2)</f>
        <v>288.08999999999997</v>
      </c>
      <c r="G398" s="51"/>
      <c r="H398" s="2">
        <f>ROUND(D398*F398,2)</f>
        <v>1008.32</v>
      </c>
      <c r="I398" s="51">
        <f t="shared" si="27"/>
        <v>1008.32</v>
      </c>
    </row>
    <row r="399" spans="1:9" outlineLevel="1" x14ac:dyDescent="0.25">
      <c r="A399" s="84"/>
      <c r="B399" s="612" t="s">
        <v>400</v>
      </c>
      <c r="C399" s="21" t="s">
        <v>14</v>
      </c>
      <c r="D399" s="614">
        <f>ROUND(D397*1.015,2)</f>
        <v>1.73</v>
      </c>
      <c r="E399" s="51"/>
      <c r="F399" s="365">
        <v>109.41</v>
      </c>
      <c r="G399" s="51"/>
      <c r="H399" s="2">
        <f>ROUND(D399*F399,2)</f>
        <v>189.28</v>
      </c>
      <c r="I399" s="51">
        <f t="shared" si="27"/>
        <v>189.28</v>
      </c>
    </row>
    <row r="400" spans="1:9" outlineLevel="1" x14ac:dyDescent="0.25">
      <c r="A400" s="84"/>
      <c r="B400" s="612" t="s">
        <v>401</v>
      </c>
      <c r="C400" s="2" t="s">
        <v>14</v>
      </c>
      <c r="D400" s="614">
        <f>ROUND(D397*1.01,2)</f>
        <v>1.72</v>
      </c>
      <c r="E400" s="51"/>
      <c r="F400" s="365">
        <v>154.75</v>
      </c>
      <c r="G400" s="51"/>
      <c r="H400" s="2">
        <f>ROUND(D400*F400,2)</f>
        <v>266.17</v>
      </c>
      <c r="I400" s="51">
        <f t="shared" si="27"/>
        <v>266.17</v>
      </c>
    </row>
    <row r="401" spans="1:12" ht="31.2" outlineLevel="1" x14ac:dyDescent="0.25">
      <c r="A401" s="84"/>
      <c r="B401" s="558" t="s">
        <v>1070</v>
      </c>
      <c r="C401" s="21" t="s">
        <v>8</v>
      </c>
      <c r="D401" s="282">
        <f>ROUND(D397*0.15,2)</f>
        <v>0.26</v>
      </c>
      <c r="E401" s="18"/>
      <c r="F401" s="365">
        <v>4400</v>
      </c>
      <c r="G401" s="18"/>
      <c r="H401" s="2">
        <f>ROUND(D401*F401,2)</f>
        <v>1144</v>
      </c>
      <c r="I401" s="18">
        <f t="shared" si="27"/>
        <v>1144</v>
      </c>
    </row>
    <row r="402" spans="1:12" outlineLevel="1" x14ac:dyDescent="0.25">
      <c r="A402" s="84"/>
      <c r="B402" s="558" t="s">
        <v>1067</v>
      </c>
      <c r="C402" s="21" t="s">
        <v>14</v>
      </c>
      <c r="D402" s="282">
        <f>+ROUND(D397*1.1,2)</f>
        <v>1.87</v>
      </c>
      <c r="E402" s="18"/>
      <c r="F402" s="365">
        <f>10.1*1.1</f>
        <v>11.110000000000001</v>
      </c>
      <c r="G402" s="18"/>
      <c r="H402" s="2">
        <f>ROUND(D402*F402,2)</f>
        <v>20.78</v>
      </c>
      <c r="I402" s="18">
        <f t="shared" si="27"/>
        <v>20.78</v>
      </c>
    </row>
    <row r="403" spans="1:12" ht="31.2" outlineLevel="1" x14ac:dyDescent="0.25">
      <c r="A403" s="107" t="s">
        <v>536</v>
      </c>
      <c r="B403" s="543" t="s">
        <v>1066</v>
      </c>
      <c r="C403" s="31" t="s">
        <v>14</v>
      </c>
      <c r="D403" s="256">
        <v>4.8</v>
      </c>
      <c r="E403" s="256">
        <v>280</v>
      </c>
      <c r="F403" s="60"/>
      <c r="G403" s="2">
        <f>ROUND(E403*D403,2)</f>
        <v>1344</v>
      </c>
      <c r="H403" s="18"/>
      <c r="I403" s="18">
        <f t="shared" si="27"/>
        <v>1344</v>
      </c>
    </row>
    <row r="404" spans="1:12" outlineLevel="1" x14ac:dyDescent="0.25">
      <c r="A404" s="84"/>
      <c r="B404" s="558" t="s">
        <v>1065</v>
      </c>
      <c r="C404" s="21" t="s">
        <v>8</v>
      </c>
      <c r="D404" s="282">
        <f>D403*0.04</f>
        <v>0.192</v>
      </c>
      <c r="E404" s="18"/>
      <c r="F404" s="11"/>
      <c r="G404" s="18"/>
      <c r="H404" s="2">
        <f>ROUND(D404*F404,2)</f>
        <v>0</v>
      </c>
      <c r="I404" s="18">
        <f t="shared" si="27"/>
        <v>0</v>
      </c>
    </row>
    <row r="405" spans="1:12" outlineLevel="1" x14ac:dyDescent="0.25">
      <c r="A405" s="84"/>
      <c r="B405" s="612" t="s">
        <v>1056</v>
      </c>
      <c r="C405" s="21" t="s">
        <v>14</v>
      </c>
      <c r="D405" s="282">
        <f>D403</f>
        <v>4.8</v>
      </c>
      <c r="E405" s="18"/>
      <c r="F405" s="361">
        <v>31.34</v>
      </c>
      <c r="G405" s="18"/>
      <c r="H405" s="2">
        <f>ROUND(D405*F405,2)</f>
        <v>150.43</v>
      </c>
      <c r="I405" s="18">
        <f t="shared" si="27"/>
        <v>150.43</v>
      </c>
    </row>
    <row r="406" spans="1:12" ht="31.2" outlineLevel="1" x14ac:dyDescent="0.25">
      <c r="A406" s="107" t="s">
        <v>537</v>
      </c>
      <c r="B406" s="543" t="s">
        <v>1421</v>
      </c>
      <c r="C406" s="31" t="s">
        <v>14</v>
      </c>
      <c r="D406" s="256">
        <f>10.1+15.4</f>
        <v>25.5</v>
      </c>
      <c r="E406" s="256">
        <v>170</v>
      </c>
      <c r="F406" s="60"/>
      <c r="G406" s="2">
        <f>ROUND(E406*D406,2)</f>
        <v>4335</v>
      </c>
      <c r="H406" s="18"/>
      <c r="I406" s="18">
        <f t="shared" si="27"/>
        <v>4335</v>
      </c>
    </row>
    <row r="407" spans="1:12" outlineLevel="1" x14ac:dyDescent="0.25">
      <c r="A407" s="84"/>
      <c r="B407" s="558" t="s">
        <v>1072</v>
      </c>
      <c r="C407" s="21" t="s">
        <v>15</v>
      </c>
      <c r="D407" s="637">
        <f>+ROUND(30*D406,2)</f>
        <v>765</v>
      </c>
      <c r="E407" s="282"/>
      <c r="F407" s="361">
        <v>7</v>
      </c>
      <c r="G407" s="18"/>
      <c r="H407" s="2">
        <f>ROUND(D407*F407,2)</f>
        <v>5355</v>
      </c>
      <c r="I407" s="18">
        <f t="shared" si="27"/>
        <v>5355</v>
      </c>
    </row>
    <row r="408" spans="1:12" outlineLevel="1" x14ac:dyDescent="0.25">
      <c r="A408" s="84"/>
      <c r="B408" s="558" t="s">
        <v>41</v>
      </c>
      <c r="C408" s="21" t="s">
        <v>15</v>
      </c>
      <c r="D408" s="282">
        <f>D406*0.2</f>
        <v>5.1000000000000005</v>
      </c>
      <c r="E408" s="18"/>
      <c r="F408" s="361">
        <v>20</v>
      </c>
      <c r="G408" s="18"/>
      <c r="H408" s="2">
        <f>ROUND(D408*F408,2)</f>
        <v>102</v>
      </c>
      <c r="I408" s="18">
        <f t="shared" si="27"/>
        <v>102</v>
      </c>
    </row>
    <row r="409" spans="1:12" outlineLevel="1" x14ac:dyDescent="0.25">
      <c r="A409" s="84"/>
      <c r="B409" s="558" t="s">
        <v>715</v>
      </c>
      <c r="C409" s="21" t="s">
        <v>15</v>
      </c>
      <c r="D409" s="637">
        <f>D406*9*2</f>
        <v>459</v>
      </c>
      <c r="E409" s="18"/>
      <c r="F409" s="361">
        <v>10</v>
      </c>
      <c r="G409" s="18"/>
      <c r="H409" s="2">
        <f>ROUND(D409*F409,2)</f>
        <v>4590</v>
      </c>
      <c r="I409" s="18">
        <f t="shared" si="27"/>
        <v>4590</v>
      </c>
    </row>
    <row r="410" spans="1:12" outlineLevel="1" x14ac:dyDescent="0.25">
      <c r="A410" s="84"/>
      <c r="B410" s="612" t="s">
        <v>1071</v>
      </c>
      <c r="C410" s="21" t="s">
        <v>30</v>
      </c>
      <c r="D410" s="540">
        <f>D406*0.4</f>
        <v>10.200000000000001</v>
      </c>
      <c r="E410" s="18"/>
      <c r="F410" s="361">
        <v>120</v>
      </c>
      <c r="G410" s="18"/>
      <c r="H410" s="2">
        <f>ROUND(D410*F410,2)</f>
        <v>1224</v>
      </c>
      <c r="I410" s="18">
        <f t="shared" si="27"/>
        <v>1224</v>
      </c>
    </row>
    <row r="411" spans="1:12" ht="31.2" outlineLevel="1" x14ac:dyDescent="0.25">
      <c r="A411" s="107" t="s">
        <v>538</v>
      </c>
      <c r="B411" s="543" t="s">
        <v>1076</v>
      </c>
      <c r="C411" s="31" t="s">
        <v>14</v>
      </c>
      <c r="D411" s="262">
        <f>5+2.2</f>
        <v>7.2</v>
      </c>
      <c r="E411" s="256">
        <v>180</v>
      </c>
      <c r="F411" s="60"/>
      <c r="G411" s="2">
        <f>ROUND(E411*D411,2)</f>
        <v>1296</v>
      </c>
      <c r="H411" s="18"/>
      <c r="I411" s="18">
        <f>H411+G411</f>
        <v>1296</v>
      </c>
    </row>
    <row r="412" spans="1:12" outlineLevel="1" x14ac:dyDescent="0.25">
      <c r="A412" s="84"/>
      <c r="B412" s="558" t="s">
        <v>1072</v>
      </c>
      <c r="C412" s="21" t="s">
        <v>15</v>
      </c>
      <c r="D412" s="637">
        <f>+ROUND(30*D411,2)</f>
        <v>216</v>
      </c>
      <c r="E412" s="282"/>
      <c r="F412" s="361">
        <v>7</v>
      </c>
      <c r="G412" s="18"/>
      <c r="H412" s="2">
        <f>ROUND(D412*F412,2)</f>
        <v>1512</v>
      </c>
      <c r="I412" s="18">
        <f>H412+G412</f>
        <v>1512</v>
      </c>
    </row>
    <row r="413" spans="1:12" outlineLevel="1" x14ac:dyDescent="0.25">
      <c r="A413" s="84"/>
      <c r="B413" s="558" t="s">
        <v>1077</v>
      </c>
      <c r="C413" s="21" t="s">
        <v>15</v>
      </c>
      <c r="D413" s="282">
        <f>D411*0.2</f>
        <v>1.4400000000000002</v>
      </c>
      <c r="E413" s="18"/>
      <c r="F413" s="361">
        <v>20</v>
      </c>
      <c r="G413" s="18"/>
      <c r="H413" s="2">
        <f>ROUND(D413*F413,2)</f>
        <v>28.8</v>
      </c>
      <c r="I413" s="18">
        <f>H413+G413</f>
        <v>28.8</v>
      </c>
    </row>
    <row r="414" spans="1:12" outlineLevel="1" x14ac:dyDescent="0.25">
      <c r="A414" s="84"/>
      <c r="B414" s="558" t="s">
        <v>715</v>
      </c>
      <c r="C414" s="21" t="s">
        <v>15</v>
      </c>
      <c r="D414" s="637">
        <f>D411*9*2</f>
        <v>129.6</v>
      </c>
      <c r="E414" s="18"/>
      <c r="F414" s="361">
        <v>10</v>
      </c>
      <c r="G414" s="18"/>
      <c r="H414" s="2">
        <f>ROUND(D414*F414,2)</f>
        <v>1296</v>
      </c>
      <c r="I414" s="18">
        <f>H414+G414</f>
        <v>1296</v>
      </c>
    </row>
    <row r="415" spans="1:12" outlineLevel="1" x14ac:dyDescent="0.25">
      <c r="A415" s="84"/>
      <c r="B415" s="612" t="s">
        <v>1071</v>
      </c>
      <c r="C415" s="21" t="s">
        <v>30</v>
      </c>
      <c r="D415" s="540">
        <f>D411*0.4</f>
        <v>2.8800000000000003</v>
      </c>
      <c r="E415" s="18"/>
      <c r="F415" s="361">
        <v>120</v>
      </c>
      <c r="G415" s="18"/>
      <c r="H415" s="2">
        <f>ROUND(D415*F415,2)</f>
        <v>345.6</v>
      </c>
      <c r="I415" s="18">
        <f>H415+G415</f>
        <v>345.6</v>
      </c>
    </row>
    <row r="416" spans="1:12" ht="41.4" x14ac:dyDescent="0.25">
      <c r="A416" s="223"/>
      <c r="B416" s="231" t="s">
        <v>1471</v>
      </c>
      <c r="C416" s="225"/>
      <c r="D416" s="226"/>
      <c r="E416" s="227"/>
      <c r="F416" s="228"/>
      <c r="G416" s="227">
        <f>SUM(G390:G415)</f>
        <v>128650</v>
      </c>
      <c r="H416" s="227">
        <f>SUM(H390:H415)</f>
        <v>56971.649999999994</v>
      </c>
      <c r="I416" s="227">
        <f>SUM(I390:I415)</f>
        <v>185621.65</v>
      </c>
      <c r="L416" s="133"/>
    </row>
    <row r="417" spans="1:9" ht="18.600000000000001" customHeight="1" x14ac:dyDescent="0.25">
      <c r="A417" s="90"/>
      <c r="B417" s="471" t="s">
        <v>624</v>
      </c>
      <c r="C417" s="472"/>
      <c r="D417" s="473"/>
      <c r="E417" s="474"/>
      <c r="F417" s="475"/>
      <c r="G417" s="474"/>
      <c r="H417" s="474"/>
      <c r="I417" s="473">
        <f>ROUND(I416/1.18*0.18,2)</f>
        <v>28315.17</v>
      </c>
    </row>
    <row r="418" spans="1:9" ht="39" customHeight="1" x14ac:dyDescent="0.25">
      <c r="A418" s="109"/>
      <c r="B418" s="604" t="s">
        <v>1207</v>
      </c>
      <c r="C418" s="477"/>
      <c r="D418" s="477"/>
      <c r="E418" s="478"/>
      <c r="F418" s="479"/>
      <c r="G418" s="480"/>
      <c r="H418" s="480"/>
      <c r="I418" s="483"/>
    </row>
    <row r="419" spans="1:9" ht="18.75" customHeight="1" outlineLevel="1" x14ac:dyDescent="0.25">
      <c r="A419" s="107" t="s">
        <v>154</v>
      </c>
      <c r="B419" s="636" t="s">
        <v>1422</v>
      </c>
      <c r="C419" s="72" t="s">
        <v>14</v>
      </c>
      <c r="D419" s="355">
        <f>23.8+52.5+101.4+41.6+104.2+81.2+104.2</f>
        <v>508.9</v>
      </c>
      <c r="E419" s="355">
        <v>170</v>
      </c>
      <c r="F419" s="146"/>
      <c r="G419" s="476">
        <f>ROUND(E419*D419,2)</f>
        <v>86513</v>
      </c>
      <c r="H419" s="73"/>
      <c r="I419" s="73">
        <f t="shared" ref="I419:I427" si="28">H419+G419</f>
        <v>86513</v>
      </c>
    </row>
    <row r="420" spans="1:9" outlineLevel="1" x14ac:dyDescent="0.25">
      <c r="A420" s="84"/>
      <c r="B420" s="558" t="s">
        <v>1072</v>
      </c>
      <c r="C420" s="21" t="s">
        <v>15</v>
      </c>
      <c r="D420" s="637">
        <f>+ROUND(30*D419,2)</f>
        <v>15267</v>
      </c>
      <c r="E420" s="282"/>
      <c r="F420" s="361">
        <v>7</v>
      </c>
      <c r="G420" s="18"/>
      <c r="H420" s="2">
        <f>ROUND(D420*F420,2)</f>
        <v>106869</v>
      </c>
      <c r="I420" s="18">
        <f t="shared" si="28"/>
        <v>106869</v>
      </c>
    </row>
    <row r="421" spans="1:9" outlineLevel="1" x14ac:dyDescent="0.25">
      <c r="A421" s="84"/>
      <c r="B421" s="558" t="s">
        <v>1077</v>
      </c>
      <c r="C421" s="21" t="s">
        <v>15</v>
      </c>
      <c r="D421" s="282">
        <f>D420*0.2</f>
        <v>3053.4</v>
      </c>
      <c r="E421" s="18"/>
      <c r="F421" s="361">
        <v>20</v>
      </c>
      <c r="G421" s="18"/>
      <c r="H421" s="2">
        <f>ROUND(D421*F421,2)</f>
        <v>61068</v>
      </c>
      <c r="I421" s="18">
        <f>H421+G421</f>
        <v>61068</v>
      </c>
    </row>
    <row r="422" spans="1:9" outlineLevel="1" x14ac:dyDescent="0.25">
      <c r="A422" s="84"/>
      <c r="B422" s="558" t="s">
        <v>715</v>
      </c>
      <c r="C422" s="21" t="s">
        <v>15</v>
      </c>
      <c r="D422" s="637">
        <f>D419*9*2</f>
        <v>9160.1999999999989</v>
      </c>
      <c r="E422" s="18"/>
      <c r="F422" s="361">
        <v>10</v>
      </c>
      <c r="G422" s="18"/>
      <c r="H422" s="2">
        <f>ROUND(D422*F422,2)</f>
        <v>91602</v>
      </c>
      <c r="I422" s="18">
        <f>H422+G422</f>
        <v>91602</v>
      </c>
    </row>
    <row r="423" spans="1:9" outlineLevel="1" x14ac:dyDescent="0.25">
      <c r="A423" s="84"/>
      <c r="B423" s="612" t="s">
        <v>1423</v>
      </c>
      <c r="C423" s="21" t="s">
        <v>30</v>
      </c>
      <c r="D423" s="540">
        <f>D419*0.4</f>
        <v>203.56</v>
      </c>
      <c r="E423" s="18"/>
      <c r="F423" s="361">
        <v>120</v>
      </c>
      <c r="G423" s="18"/>
      <c r="H423" s="2">
        <f>ROUND(D423*F423,2)</f>
        <v>24427.200000000001</v>
      </c>
      <c r="I423" s="18">
        <f>H423+G423</f>
        <v>24427.200000000001</v>
      </c>
    </row>
    <row r="424" spans="1:9" ht="33" customHeight="1" outlineLevel="1" x14ac:dyDescent="0.25">
      <c r="A424" s="107" t="s">
        <v>157</v>
      </c>
      <c r="B424" s="543" t="s">
        <v>1424</v>
      </c>
      <c r="C424" s="31" t="s">
        <v>14</v>
      </c>
      <c r="D424" s="262">
        <f>5.9</f>
        <v>5.9</v>
      </c>
      <c r="E424" s="256">
        <v>180</v>
      </c>
      <c r="F424" s="60"/>
      <c r="G424" s="2">
        <f>ROUND(E424*D424,2)</f>
        <v>1062</v>
      </c>
      <c r="H424" s="18"/>
      <c r="I424" s="18">
        <f>H424+G424</f>
        <v>1062</v>
      </c>
    </row>
    <row r="425" spans="1:9" outlineLevel="1" x14ac:dyDescent="0.25">
      <c r="A425" s="84"/>
      <c r="B425" s="558" t="s">
        <v>1077</v>
      </c>
      <c r="C425" s="21" t="s">
        <v>15</v>
      </c>
      <c r="D425" s="282">
        <f>D424*0.2</f>
        <v>1.1800000000000002</v>
      </c>
      <c r="E425" s="18"/>
      <c r="F425" s="361">
        <v>20</v>
      </c>
      <c r="G425" s="18"/>
      <c r="H425" s="2">
        <f>ROUND(D425*F425,2)</f>
        <v>23.6</v>
      </c>
      <c r="I425" s="18">
        <f t="shared" si="28"/>
        <v>23.6</v>
      </c>
    </row>
    <row r="426" spans="1:9" outlineLevel="1" x14ac:dyDescent="0.25">
      <c r="A426" s="84"/>
      <c r="B426" s="558" t="s">
        <v>715</v>
      </c>
      <c r="C426" s="21" t="s">
        <v>15</v>
      </c>
      <c r="D426" s="637">
        <f>D424*9*2</f>
        <v>106.2</v>
      </c>
      <c r="E426" s="18"/>
      <c r="F426" s="361">
        <v>10</v>
      </c>
      <c r="G426" s="18"/>
      <c r="H426" s="2">
        <f>ROUND(D426*F426,2)</f>
        <v>1062</v>
      </c>
      <c r="I426" s="18">
        <f t="shared" si="28"/>
        <v>1062</v>
      </c>
    </row>
    <row r="427" spans="1:9" outlineLevel="1" x14ac:dyDescent="0.25">
      <c r="A427" s="84"/>
      <c r="B427" s="612" t="s">
        <v>1423</v>
      </c>
      <c r="C427" s="21" t="s">
        <v>30</v>
      </c>
      <c r="D427" s="540">
        <f>D424*0.4</f>
        <v>2.3600000000000003</v>
      </c>
      <c r="E427" s="18"/>
      <c r="F427" s="361">
        <v>120</v>
      </c>
      <c r="G427" s="18"/>
      <c r="H427" s="2">
        <f>ROUND(D427*F427,2)</f>
        <v>283.2</v>
      </c>
      <c r="I427" s="18">
        <f t="shared" si="28"/>
        <v>283.2</v>
      </c>
    </row>
    <row r="428" spans="1:9" ht="33" customHeight="1" outlineLevel="1" x14ac:dyDescent="0.25">
      <c r="A428" s="107" t="s">
        <v>158</v>
      </c>
      <c r="B428" s="543" t="s">
        <v>1076</v>
      </c>
      <c r="C428" s="31" t="s">
        <v>14</v>
      </c>
      <c r="D428" s="262">
        <f>4.23+16.44+32.05+19.18+30.2+19.18+30.2</f>
        <v>151.47999999999999</v>
      </c>
      <c r="E428" s="256">
        <v>180</v>
      </c>
      <c r="F428" s="60"/>
      <c r="G428" s="2">
        <f>ROUND(E428*D428,2)</f>
        <v>27266.400000000001</v>
      </c>
      <c r="H428" s="18"/>
      <c r="I428" s="18">
        <f t="shared" ref="I428:I433" si="29">H428+G428</f>
        <v>27266.400000000001</v>
      </c>
    </row>
    <row r="429" spans="1:9" ht="17.25" customHeight="1" outlineLevel="1" x14ac:dyDescent="0.25">
      <c r="A429" s="86"/>
      <c r="B429" s="558" t="s">
        <v>1077</v>
      </c>
      <c r="C429" s="21" t="s">
        <v>15</v>
      </c>
      <c r="D429" s="282">
        <f>D428*0.2</f>
        <v>30.295999999999999</v>
      </c>
      <c r="E429" s="18"/>
      <c r="F429" s="361">
        <v>20</v>
      </c>
      <c r="G429" s="18"/>
      <c r="H429" s="2">
        <f>ROUND(D429*F429,2)</f>
        <v>605.91999999999996</v>
      </c>
      <c r="I429" s="18">
        <f t="shared" si="29"/>
        <v>605.91999999999996</v>
      </c>
    </row>
    <row r="430" spans="1:9" ht="17.25" customHeight="1" outlineLevel="1" x14ac:dyDescent="0.25">
      <c r="A430" s="86"/>
      <c r="B430" s="558" t="s">
        <v>715</v>
      </c>
      <c r="C430" s="21" t="s">
        <v>15</v>
      </c>
      <c r="D430" s="637">
        <f>D428*9*2</f>
        <v>2726.64</v>
      </c>
      <c r="E430" s="18"/>
      <c r="F430" s="361">
        <v>10</v>
      </c>
      <c r="G430" s="18"/>
      <c r="H430" s="2">
        <f>ROUND(D430*F430,2)</f>
        <v>27266.400000000001</v>
      </c>
      <c r="I430" s="18">
        <f t="shared" si="29"/>
        <v>27266.400000000001</v>
      </c>
    </row>
    <row r="431" spans="1:9" ht="17.25" customHeight="1" outlineLevel="1" x14ac:dyDescent="0.25">
      <c r="A431" s="86"/>
      <c r="B431" s="612" t="s">
        <v>1071</v>
      </c>
      <c r="C431" s="21" t="s">
        <v>30</v>
      </c>
      <c r="D431" s="540">
        <f>D428*0.4</f>
        <v>60.591999999999999</v>
      </c>
      <c r="E431" s="18"/>
      <c r="F431" s="361">
        <v>120</v>
      </c>
      <c r="G431" s="18"/>
      <c r="H431" s="2">
        <f>ROUND(D431*F431,2)</f>
        <v>7271.04</v>
      </c>
      <c r="I431" s="18">
        <f t="shared" si="29"/>
        <v>7271.04</v>
      </c>
    </row>
    <row r="432" spans="1:9" ht="17.25" customHeight="1" outlineLevel="1" x14ac:dyDescent="0.25">
      <c r="A432" s="107" t="s">
        <v>1208</v>
      </c>
      <c r="B432" s="543" t="s">
        <v>74</v>
      </c>
      <c r="C432" s="176" t="s">
        <v>12</v>
      </c>
      <c r="D432" s="256">
        <f>D433</f>
        <v>30</v>
      </c>
      <c r="E432" s="256">
        <v>200</v>
      </c>
      <c r="F432" s="11"/>
      <c r="G432" s="2">
        <f>ROUND(E432*D432,2)</f>
        <v>6000</v>
      </c>
      <c r="H432" s="2"/>
      <c r="I432" s="2">
        <f t="shared" si="29"/>
        <v>6000</v>
      </c>
    </row>
    <row r="433" spans="1:12" ht="17.25" customHeight="1" outlineLevel="1" x14ac:dyDescent="0.25">
      <c r="A433" s="86"/>
      <c r="B433" s="612" t="s">
        <v>75</v>
      </c>
      <c r="C433" s="21" t="s">
        <v>12</v>
      </c>
      <c r="D433" s="282">
        <v>30</v>
      </c>
      <c r="E433" s="2"/>
      <c r="F433" s="361">
        <v>175</v>
      </c>
      <c r="G433" s="2"/>
      <c r="H433" s="2">
        <f>ROUND(D433*F433,2)</f>
        <v>5250</v>
      </c>
      <c r="I433" s="2">
        <f t="shared" si="29"/>
        <v>5250</v>
      </c>
    </row>
    <row r="434" spans="1:12" ht="27.6" x14ac:dyDescent="0.25">
      <c r="A434" s="223"/>
      <c r="B434" s="231" t="s">
        <v>71</v>
      </c>
      <c r="C434" s="225"/>
      <c r="D434" s="226"/>
      <c r="E434" s="227"/>
      <c r="F434" s="228"/>
      <c r="G434" s="227">
        <f>SUM(G419:G433)</f>
        <v>120841.4</v>
      </c>
      <c r="H434" s="227">
        <f>SUM(H419:H433)</f>
        <v>325728.36</v>
      </c>
      <c r="I434" s="227">
        <f>SUM(I419:I433)</f>
        <v>446569.76</v>
      </c>
      <c r="L434" s="185"/>
    </row>
    <row r="435" spans="1:12" ht="16.95" customHeight="1" x14ac:dyDescent="0.25">
      <c r="A435" s="90"/>
      <c r="B435" s="471" t="s">
        <v>624</v>
      </c>
      <c r="C435" s="9"/>
      <c r="D435" s="31"/>
      <c r="E435" s="10"/>
      <c r="F435" s="57"/>
      <c r="G435" s="10"/>
      <c r="H435" s="10"/>
      <c r="I435" s="31">
        <f>ROUND(I434/1.18*0.18,2)</f>
        <v>68120.81</v>
      </c>
    </row>
    <row r="436" spans="1:12" ht="36" customHeight="1" x14ac:dyDescent="0.25">
      <c r="A436" s="108"/>
      <c r="B436" s="491" t="s">
        <v>1242</v>
      </c>
      <c r="C436" s="105"/>
      <c r="D436" s="105"/>
      <c r="E436" s="105"/>
      <c r="F436" s="138"/>
      <c r="G436" s="105"/>
      <c r="H436" s="105"/>
      <c r="I436" s="106"/>
    </row>
    <row r="437" spans="1:12" s="15" customFormat="1" ht="33" customHeight="1" outlineLevel="1" x14ac:dyDescent="0.25">
      <c r="A437" s="107" t="s">
        <v>76</v>
      </c>
      <c r="B437" s="557" t="s">
        <v>69</v>
      </c>
      <c r="C437" s="31" t="s">
        <v>8</v>
      </c>
      <c r="D437" s="541">
        <f>88.61*0.07*1</f>
        <v>6.202700000000001</v>
      </c>
      <c r="E437" s="256">
        <v>1000</v>
      </c>
      <c r="F437" s="11"/>
      <c r="G437" s="2">
        <f>ROUND(E437*D437,2)</f>
        <v>6202.7</v>
      </c>
      <c r="H437" s="2"/>
      <c r="I437" s="2">
        <f>H437+G437</f>
        <v>6202.7</v>
      </c>
    </row>
    <row r="438" spans="1:12" s="15" customFormat="1" outlineLevel="1" x14ac:dyDescent="0.25">
      <c r="A438" s="86"/>
      <c r="B438" s="361" t="s">
        <v>240</v>
      </c>
      <c r="C438" s="21" t="s">
        <v>8</v>
      </c>
      <c r="D438" s="282">
        <f>D437*1.1</f>
        <v>6.8229700000000015</v>
      </c>
      <c r="E438" s="282"/>
      <c r="F438" s="361">
        <v>250</v>
      </c>
      <c r="G438" s="2"/>
      <c r="H438" s="2">
        <f>ROUND(D438*F438,2)</f>
        <v>1705.74</v>
      </c>
      <c r="I438" s="2">
        <f>H438+G438</f>
        <v>1705.74</v>
      </c>
    </row>
    <row r="439" spans="1:12" s="15" customFormat="1" outlineLevel="1" x14ac:dyDescent="0.25">
      <c r="A439" s="86"/>
      <c r="B439" s="558" t="s">
        <v>1329</v>
      </c>
      <c r="C439" s="21" t="s">
        <v>8</v>
      </c>
      <c r="D439" s="282">
        <f>1.02*D437</f>
        <v>6.3267540000000011</v>
      </c>
      <c r="E439" s="282"/>
      <c r="F439" s="164">
        <v>4800</v>
      </c>
      <c r="G439" s="2"/>
      <c r="H439" s="2">
        <f>ROUND(D439*F439,2)</f>
        <v>30368.42</v>
      </c>
      <c r="I439" s="2">
        <f>H439+G439</f>
        <v>30368.42</v>
      </c>
    </row>
    <row r="440" spans="1:12" s="15" customFormat="1" hidden="1" outlineLevel="1" x14ac:dyDescent="0.25">
      <c r="A440" s="107" t="s">
        <v>78</v>
      </c>
      <c r="B440" s="344" t="s">
        <v>470</v>
      </c>
      <c r="C440" s="31" t="s">
        <v>8</v>
      </c>
      <c r="D440" s="306">
        <v>0</v>
      </c>
      <c r="E440" s="256">
        <v>1000</v>
      </c>
      <c r="F440" s="11"/>
      <c r="G440" s="2">
        <f>ROUND(E440*D440,2)</f>
        <v>0</v>
      </c>
      <c r="H440" s="2"/>
      <c r="I440" s="2">
        <f>H440+G440</f>
        <v>0</v>
      </c>
    </row>
    <row r="441" spans="1:12" s="15" customFormat="1" hidden="1" outlineLevel="1" x14ac:dyDescent="0.25">
      <c r="A441" s="86"/>
      <c r="B441" s="308" t="s">
        <v>471</v>
      </c>
      <c r="C441" s="2" t="s">
        <v>8</v>
      </c>
      <c r="D441" s="340">
        <f>D440*1.02</f>
        <v>0</v>
      </c>
      <c r="E441" s="2"/>
      <c r="F441" s="361">
        <v>3200</v>
      </c>
      <c r="G441" s="2"/>
      <c r="H441" s="2">
        <f>ROUND(D441*F441,2)</f>
        <v>0</v>
      </c>
      <c r="I441" s="2">
        <f>G441+H441</f>
        <v>0</v>
      </c>
    </row>
    <row r="442" spans="1:12" s="15" customFormat="1" hidden="1" outlineLevel="1" x14ac:dyDescent="0.25">
      <c r="A442" s="86"/>
      <c r="B442" s="308" t="s">
        <v>667</v>
      </c>
      <c r="C442" s="2" t="s">
        <v>9</v>
      </c>
      <c r="D442" s="340">
        <v>0</v>
      </c>
      <c r="E442" s="2"/>
      <c r="F442" s="361">
        <v>42000</v>
      </c>
      <c r="G442" s="2"/>
      <c r="H442" s="2">
        <f>ROUND(D442*F442,2)</f>
        <v>0</v>
      </c>
      <c r="I442" s="2">
        <f>G442+H442</f>
        <v>0</v>
      </c>
    </row>
    <row r="443" spans="1:12" s="15" customFormat="1" hidden="1" outlineLevel="1" x14ac:dyDescent="0.25">
      <c r="A443" s="86"/>
      <c r="B443" s="343" t="s">
        <v>70</v>
      </c>
      <c r="C443" s="21" t="s">
        <v>8</v>
      </c>
      <c r="D443" s="340">
        <v>0</v>
      </c>
      <c r="E443" s="2"/>
      <c r="F443" s="361">
        <v>2950</v>
      </c>
      <c r="G443" s="2"/>
      <c r="H443" s="2">
        <f>ROUND(D443*F443,2)</f>
        <v>0</v>
      </c>
      <c r="I443" s="2">
        <f>H443+G443</f>
        <v>0</v>
      </c>
    </row>
    <row r="444" spans="1:12" s="15" customFormat="1" hidden="1" outlineLevel="1" x14ac:dyDescent="0.25">
      <c r="A444" s="86"/>
      <c r="B444" s="343" t="s">
        <v>240</v>
      </c>
      <c r="C444" s="21" t="s">
        <v>8</v>
      </c>
      <c r="D444" s="340">
        <f>D443</f>
        <v>0</v>
      </c>
      <c r="E444" s="2"/>
      <c r="F444" s="361">
        <v>250</v>
      </c>
      <c r="G444" s="2"/>
      <c r="H444" s="2">
        <f>ROUND(D444*F444,2)</f>
        <v>0</v>
      </c>
      <c r="I444" s="2">
        <f>H444+G444</f>
        <v>0</v>
      </c>
    </row>
    <row r="445" spans="1:12" collapsed="1" x14ac:dyDescent="0.25">
      <c r="A445" s="223"/>
      <c r="B445" s="231" t="s">
        <v>60</v>
      </c>
      <c r="C445" s="225"/>
      <c r="D445" s="226"/>
      <c r="E445" s="227"/>
      <c r="F445" s="228"/>
      <c r="G445" s="227">
        <f>SUM(G437:G444)</f>
        <v>6202.7</v>
      </c>
      <c r="H445" s="227">
        <f>SUM(H437:H444)</f>
        <v>32074.16</v>
      </c>
      <c r="I445" s="227">
        <f>ROUND(SUM(I437:I444),2)</f>
        <v>38276.86</v>
      </c>
    </row>
    <row r="446" spans="1:12" ht="16.2" customHeight="1" x14ac:dyDescent="0.25">
      <c r="A446" s="90"/>
      <c r="B446" s="471" t="s">
        <v>624</v>
      </c>
      <c r="C446" s="472"/>
      <c r="D446" s="473"/>
      <c r="E446" s="10"/>
      <c r="F446" s="57"/>
      <c r="G446" s="10"/>
      <c r="H446" s="10"/>
      <c r="I446" s="31">
        <f>ROUND(I445/1.18*0.18,2)</f>
        <v>5838.84</v>
      </c>
    </row>
    <row r="447" spans="1:12" s="5" customFormat="1" ht="27" customHeight="1" x14ac:dyDescent="0.25">
      <c r="A447" s="109"/>
      <c r="B447" s="771" t="s">
        <v>1209</v>
      </c>
      <c r="C447" s="771"/>
      <c r="D447" s="771"/>
      <c r="E447" s="488"/>
      <c r="F447" s="138"/>
      <c r="G447" s="102"/>
      <c r="H447" s="111"/>
      <c r="I447" s="102"/>
    </row>
    <row r="448" spans="1:12" hidden="1" outlineLevel="1" x14ac:dyDescent="0.25">
      <c r="A448" s="84" t="s">
        <v>319</v>
      </c>
      <c r="B448" s="71" t="s">
        <v>155</v>
      </c>
      <c r="C448" s="72" t="s">
        <v>12</v>
      </c>
      <c r="D448" s="356">
        <v>0</v>
      </c>
      <c r="E448" s="354">
        <v>19000</v>
      </c>
      <c r="F448" s="137"/>
      <c r="G448" s="2">
        <f>ROUND(E448*D448,2)</f>
        <v>0</v>
      </c>
      <c r="H448" s="26"/>
      <c r="I448" s="26">
        <f>G448+H448</f>
        <v>0</v>
      </c>
    </row>
    <row r="449" spans="1:9" hidden="1" outlineLevel="1" x14ac:dyDescent="0.25">
      <c r="A449" s="84"/>
      <c r="B449" s="329" t="s">
        <v>282</v>
      </c>
      <c r="C449" s="21" t="s">
        <v>12</v>
      </c>
      <c r="D449" s="340">
        <v>0</v>
      </c>
      <c r="E449" s="18"/>
      <c r="F449" s="361">
        <v>63000</v>
      </c>
      <c r="G449" s="26"/>
      <c r="H449" s="2">
        <f>ROUND(D449*F449,2)</f>
        <v>0</v>
      </c>
      <c r="I449" s="26">
        <f t="shared" ref="I449:I520" si="30">G449+H449</f>
        <v>0</v>
      </c>
    </row>
    <row r="450" spans="1:9" hidden="1" outlineLevel="1" x14ac:dyDescent="0.25">
      <c r="A450" s="84"/>
      <c r="B450" s="28" t="s">
        <v>176</v>
      </c>
      <c r="C450" s="21" t="s">
        <v>12</v>
      </c>
      <c r="D450" s="2">
        <v>0</v>
      </c>
      <c r="E450" s="18"/>
      <c r="F450" s="361">
        <v>6000</v>
      </c>
      <c r="G450" s="26"/>
      <c r="H450" s="2">
        <f>ROUND(D450*F450,2)</f>
        <v>0</v>
      </c>
      <c r="I450" s="26">
        <f t="shared" si="30"/>
        <v>0</v>
      </c>
    </row>
    <row r="451" spans="1:9" hidden="1" outlineLevel="1" x14ac:dyDescent="0.25">
      <c r="A451" s="84"/>
      <c r="B451" s="329" t="s">
        <v>283</v>
      </c>
      <c r="C451" s="21" t="s">
        <v>12</v>
      </c>
      <c r="D451" s="340">
        <v>0</v>
      </c>
      <c r="E451" s="18"/>
      <c r="F451" s="164">
        <v>380</v>
      </c>
      <c r="G451" s="26"/>
      <c r="H451" s="2">
        <f>ROUND(D451*F451,2)</f>
        <v>0</v>
      </c>
      <c r="I451" s="26">
        <f t="shared" si="30"/>
        <v>0</v>
      </c>
    </row>
    <row r="452" spans="1:9" hidden="1" outlineLevel="1" x14ac:dyDescent="0.25">
      <c r="A452" s="84" t="s">
        <v>320</v>
      </c>
      <c r="B452" s="29" t="s">
        <v>284</v>
      </c>
      <c r="C452" s="31" t="s">
        <v>12</v>
      </c>
      <c r="D452" s="31">
        <v>0</v>
      </c>
      <c r="E452" s="354">
        <v>250</v>
      </c>
      <c r="F452" s="137"/>
      <c r="G452" s="2">
        <f>ROUND(E452*D452,2)</f>
        <v>0</v>
      </c>
      <c r="H452" s="26"/>
      <c r="I452" s="26">
        <f>G452+H452</f>
        <v>0</v>
      </c>
    </row>
    <row r="453" spans="1:9" hidden="1" outlineLevel="1" x14ac:dyDescent="0.25">
      <c r="A453" s="84"/>
      <c r="B453" s="329" t="s">
        <v>285</v>
      </c>
      <c r="C453" s="21" t="s">
        <v>12</v>
      </c>
      <c r="D453" s="340">
        <v>0</v>
      </c>
      <c r="E453" s="18"/>
      <c r="F453" s="164">
        <v>4900</v>
      </c>
      <c r="G453" s="26"/>
      <c r="H453" s="2">
        <f t="shared" ref="H453:H473" si="31">ROUND(D453*F453,2)</f>
        <v>0</v>
      </c>
      <c r="I453" s="26">
        <f>G453+H453</f>
        <v>0</v>
      </c>
    </row>
    <row r="454" spans="1:9" hidden="1" outlineLevel="1" x14ac:dyDescent="0.25">
      <c r="A454" s="84"/>
      <c r="B454" s="329" t="s">
        <v>449</v>
      </c>
      <c r="C454" s="21" t="s">
        <v>12</v>
      </c>
      <c r="D454" s="340">
        <v>0</v>
      </c>
      <c r="E454" s="18"/>
      <c r="F454" s="164">
        <v>4900</v>
      </c>
      <c r="G454" s="26"/>
      <c r="H454" s="2">
        <f t="shared" si="31"/>
        <v>0</v>
      </c>
      <c r="I454" s="26">
        <f>G454+H454</f>
        <v>0</v>
      </c>
    </row>
    <row r="455" spans="1:9" hidden="1" outlineLevel="1" x14ac:dyDescent="0.25">
      <c r="A455" s="84"/>
      <c r="B455" s="329" t="s">
        <v>448</v>
      </c>
      <c r="C455" s="21" t="s">
        <v>12</v>
      </c>
      <c r="D455" s="340">
        <v>0</v>
      </c>
      <c r="E455" s="18"/>
      <c r="F455" s="361">
        <v>1400</v>
      </c>
      <c r="G455" s="26"/>
      <c r="H455" s="2">
        <f t="shared" si="31"/>
        <v>0</v>
      </c>
      <c r="I455" s="26">
        <f>G455+H455</f>
        <v>0</v>
      </c>
    </row>
    <row r="456" spans="1:9" hidden="1" outlineLevel="1" x14ac:dyDescent="0.25">
      <c r="A456" s="84" t="s">
        <v>321</v>
      </c>
      <c r="B456" s="29" t="s">
        <v>156</v>
      </c>
      <c r="C456" s="31" t="s">
        <v>12</v>
      </c>
      <c r="D456" s="31">
        <v>0</v>
      </c>
      <c r="E456" s="354">
        <v>1000</v>
      </c>
      <c r="F456" s="137"/>
      <c r="G456" s="2">
        <f>ROUND(E456*D456,2)</f>
        <v>0</v>
      </c>
      <c r="H456" s="26">
        <f>F456*D456</f>
        <v>0</v>
      </c>
      <c r="I456" s="26">
        <f t="shared" si="30"/>
        <v>0</v>
      </c>
    </row>
    <row r="457" spans="1:9" hidden="1" outlineLevel="1" x14ac:dyDescent="0.25">
      <c r="A457" s="84"/>
      <c r="B457" s="329" t="s">
        <v>674</v>
      </c>
      <c r="C457" s="21" t="s">
        <v>12</v>
      </c>
      <c r="D457" s="340">
        <v>0</v>
      </c>
      <c r="E457" s="18"/>
      <c r="F457" s="309">
        <v>5500</v>
      </c>
      <c r="G457" s="26"/>
      <c r="H457" s="2">
        <f>ROUND(D457*F457,2)</f>
        <v>0</v>
      </c>
      <c r="I457" s="26">
        <f>G457+H457</f>
        <v>0</v>
      </c>
    </row>
    <row r="458" spans="1:9" hidden="1" outlineLevel="1" x14ac:dyDescent="0.25">
      <c r="A458" s="84"/>
      <c r="B458" s="329" t="s">
        <v>675</v>
      </c>
      <c r="C458" s="21" t="s">
        <v>12</v>
      </c>
      <c r="D458" s="340">
        <v>0</v>
      </c>
      <c r="E458" s="18"/>
      <c r="F458" s="309">
        <v>6000</v>
      </c>
      <c r="G458" s="26"/>
      <c r="H458" s="2">
        <f>ROUND(D458*F458,2)</f>
        <v>0</v>
      </c>
      <c r="I458" s="26">
        <f>G458+H458</f>
        <v>0</v>
      </c>
    </row>
    <row r="459" spans="1:9" hidden="1" outlineLevel="1" x14ac:dyDescent="0.25">
      <c r="A459" s="84"/>
      <c r="B459" s="329" t="s">
        <v>453</v>
      </c>
      <c r="C459" s="21" t="s">
        <v>12</v>
      </c>
      <c r="D459" s="340">
        <v>0</v>
      </c>
      <c r="E459" s="18"/>
      <c r="F459" s="60">
        <v>2350</v>
      </c>
      <c r="G459" s="26"/>
      <c r="H459" s="2">
        <f t="shared" si="31"/>
        <v>0</v>
      </c>
      <c r="I459" s="26">
        <f t="shared" si="30"/>
        <v>0</v>
      </c>
    </row>
    <row r="460" spans="1:9" ht="32.4" hidden="1" customHeight="1" outlineLevel="1" x14ac:dyDescent="0.25">
      <c r="A460" s="84"/>
      <c r="B460" s="329" t="s">
        <v>286</v>
      </c>
      <c r="C460" s="21" t="s">
        <v>12</v>
      </c>
      <c r="D460" s="340">
        <v>0</v>
      </c>
      <c r="E460" s="18"/>
      <c r="F460" s="60">
        <v>955</v>
      </c>
      <c r="G460" s="26"/>
      <c r="H460" s="2">
        <f t="shared" si="31"/>
        <v>0</v>
      </c>
      <c r="I460" s="26">
        <f t="shared" si="30"/>
        <v>0</v>
      </c>
    </row>
    <row r="461" spans="1:9" ht="30" hidden="1" customHeight="1" outlineLevel="1" x14ac:dyDescent="0.25">
      <c r="A461" s="84"/>
      <c r="B461" s="329" t="s">
        <v>446</v>
      </c>
      <c r="C461" s="21" t="s">
        <v>12</v>
      </c>
      <c r="D461" s="340">
        <v>0</v>
      </c>
      <c r="E461" s="18"/>
      <c r="F461" s="60">
        <v>130</v>
      </c>
      <c r="G461" s="18"/>
      <c r="H461" s="2">
        <f t="shared" si="31"/>
        <v>0</v>
      </c>
      <c r="I461" s="26">
        <f>G461+H461</f>
        <v>0</v>
      </c>
    </row>
    <row r="462" spans="1:9" ht="20.399999999999999" hidden="1" customHeight="1" outlineLevel="1" x14ac:dyDescent="0.25">
      <c r="A462" s="84"/>
      <c r="B462" s="329" t="s">
        <v>447</v>
      </c>
      <c r="C462" s="21" t="s">
        <v>12</v>
      </c>
      <c r="D462" s="340">
        <v>0</v>
      </c>
      <c r="E462" s="18"/>
      <c r="F462" s="60">
        <v>610</v>
      </c>
      <c r="G462" s="18"/>
      <c r="H462" s="2">
        <f t="shared" si="31"/>
        <v>0</v>
      </c>
      <c r="I462" s="18">
        <f>G462+H462</f>
        <v>0</v>
      </c>
    </row>
    <row r="463" spans="1:9" ht="24.6" hidden="1" customHeight="1" outlineLevel="1" x14ac:dyDescent="0.25">
      <c r="A463" s="84"/>
      <c r="B463" s="329" t="s">
        <v>450</v>
      </c>
      <c r="C463" s="21" t="s">
        <v>12</v>
      </c>
      <c r="D463" s="340">
        <v>0</v>
      </c>
      <c r="E463" s="18"/>
      <c r="F463" s="60">
        <v>303</v>
      </c>
      <c r="G463" s="18"/>
      <c r="H463" s="2">
        <f t="shared" si="31"/>
        <v>0</v>
      </c>
      <c r="I463" s="18">
        <f>G463+H463</f>
        <v>0</v>
      </c>
    </row>
    <row r="464" spans="1:9" ht="27.75" hidden="1" customHeight="1" outlineLevel="1" x14ac:dyDescent="0.25">
      <c r="A464" s="84"/>
      <c r="B464" s="329" t="s">
        <v>454</v>
      </c>
      <c r="C464" s="21" t="s">
        <v>12</v>
      </c>
      <c r="D464" s="340">
        <v>0</v>
      </c>
      <c r="E464" s="18"/>
      <c r="F464" s="60">
        <v>1061</v>
      </c>
      <c r="G464" s="18"/>
      <c r="H464" s="2">
        <f t="shared" si="31"/>
        <v>0</v>
      </c>
      <c r="I464" s="18">
        <f>G464+H464</f>
        <v>0</v>
      </c>
    </row>
    <row r="465" spans="1:10" ht="24.6" hidden="1" customHeight="1" outlineLevel="1" x14ac:dyDescent="0.25">
      <c r="A465" s="84"/>
      <c r="B465" s="329" t="s">
        <v>455</v>
      </c>
      <c r="C465" s="21" t="s">
        <v>12</v>
      </c>
      <c r="D465" s="340">
        <v>0</v>
      </c>
      <c r="E465" s="18"/>
      <c r="F465" s="60">
        <v>386</v>
      </c>
      <c r="G465" s="18"/>
      <c r="H465" s="2">
        <f t="shared" si="31"/>
        <v>0</v>
      </c>
      <c r="I465" s="18">
        <f>G465+H465</f>
        <v>0</v>
      </c>
      <c r="J465" s="5"/>
    </row>
    <row r="466" spans="1:10" hidden="1" outlineLevel="1" x14ac:dyDescent="0.25">
      <c r="A466" s="84" t="s">
        <v>322</v>
      </c>
      <c r="B466" s="29" t="s">
        <v>162</v>
      </c>
      <c r="C466" s="31" t="s">
        <v>12</v>
      </c>
      <c r="D466" s="31">
        <v>0</v>
      </c>
      <c r="E466" s="256">
        <v>500</v>
      </c>
      <c r="F466" s="60"/>
      <c r="G466" s="2">
        <f>ROUND(E466*D466,2)</f>
        <v>0</v>
      </c>
      <c r="H466" s="18">
        <f>F466*D466</f>
        <v>0</v>
      </c>
      <c r="I466" s="18">
        <f t="shared" si="30"/>
        <v>0</v>
      </c>
    </row>
    <row r="467" spans="1:10" hidden="1" outlineLevel="1" x14ac:dyDescent="0.25">
      <c r="A467" s="84"/>
      <c r="B467" s="329" t="s">
        <v>163</v>
      </c>
      <c r="C467" s="21" t="s">
        <v>12</v>
      </c>
      <c r="D467" s="340">
        <v>0</v>
      </c>
      <c r="E467" s="18"/>
      <c r="F467" s="60">
        <f>950*1.1</f>
        <v>1045</v>
      </c>
      <c r="G467" s="18"/>
      <c r="H467" s="2">
        <f t="shared" si="31"/>
        <v>0</v>
      </c>
      <c r="I467" s="18">
        <f t="shared" si="30"/>
        <v>0</v>
      </c>
    </row>
    <row r="468" spans="1:10" hidden="1" outlineLevel="1" x14ac:dyDescent="0.25">
      <c r="A468" s="84" t="s">
        <v>323</v>
      </c>
      <c r="B468" s="29" t="s">
        <v>164</v>
      </c>
      <c r="C468" s="31" t="s">
        <v>12</v>
      </c>
      <c r="D468" s="31">
        <v>0</v>
      </c>
      <c r="E468" s="256">
        <v>250</v>
      </c>
      <c r="F468" s="60"/>
      <c r="G468" s="2">
        <f>ROUND(E468*D468,2)</f>
        <v>0</v>
      </c>
      <c r="H468" s="18">
        <f>F468*D468</f>
        <v>0</v>
      </c>
      <c r="I468" s="18">
        <f t="shared" si="30"/>
        <v>0</v>
      </c>
    </row>
    <row r="469" spans="1:10" hidden="1" outlineLevel="1" x14ac:dyDescent="0.25">
      <c r="A469" s="84"/>
      <c r="B469" s="329" t="s">
        <v>165</v>
      </c>
      <c r="C469" s="21" t="s">
        <v>12</v>
      </c>
      <c r="D469" s="340">
        <v>0</v>
      </c>
      <c r="E469" s="18"/>
      <c r="F469" s="60">
        <v>674.3</v>
      </c>
      <c r="G469" s="18"/>
      <c r="H469" s="2">
        <f t="shared" si="31"/>
        <v>0</v>
      </c>
      <c r="I469" s="18">
        <f t="shared" si="30"/>
        <v>0</v>
      </c>
    </row>
    <row r="470" spans="1:10" hidden="1" outlineLevel="1" x14ac:dyDescent="0.25">
      <c r="A470" s="84"/>
      <c r="B470" s="329" t="s">
        <v>309</v>
      </c>
      <c r="C470" s="21" t="s">
        <v>12</v>
      </c>
      <c r="D470" s="340">
        <v>0</v>
      </c>
      <c r="E470" s="18"/>
      <c r="F470" s="60">
        <v>850</v>
      </c>
      <c r="G470" s="18"/>
      <c r="H470" s="2">
        <f t="shared" si="31"/>
        <v>0</v>
      </c>
      <c r="I470" s="18">
        <f>G470+H470</f>
        <v>0</v>
      </c>
    </row>
    <row r="471" spans="1:10" hidden="1" outlineLevel="1" x14ac:dyDescent="0.25">
      <c r="A471" s="84"/>
      <c r="B471" s="329" t="s">
        <v>345</v>
      </c>
      <c r="C471" s="21" t="s">
        <v>12</v>
      </c>
      <c r="D471" s="340">
        <v>0</v>
      </c>
      <c r="E471" s="18"/>
      <c r="F471" s="60">
        <v>851</v>
      </c>
      <c r="G471" s="18"/>
      <c r="H471" s="2">
        <f>ROUND(D471*F471,2)</f>
        <v>0</v>
      </c>
      <c r="I471" s="18">
        <f>G471+H471</f>
        <v>0</v>
      </c>
    </row>
    <row r="472" spans="1:10" ht="17.25" hidden="1" customHeight="1" outlineLevel="1" x14ac:dyDescent="0.25">
      <c r="A472" s="84"/>
      <c r="B472" s="329" t="s">
        <v>301</v>
      </c>
      <c r="C472" s="21" t="s">
        <v>12</v>
      </c>
      <c r="D472" s="340">
        <v>0</v>
      </c>
      <c r="E472" s="18"/>
      <c r="F472" s="60">
        <v>449</v>
      </c>
      <c r="G472" s="18"/>
      <c r="H472" s="2">
        <f t="shared" si="31"/>
        <v>0</v>
      </c>
      <c r="I472" s="18">
        <f t="shared" si="30"/>
        <v>0</v>
      </c>
    </row>
    <row r="473" spans="1:10" ht="17.25" hidden="1" customHeight="1" outlineLevel="1" x14ac:dyDescent="0.25">
      <c r="A473" s="84"/>
      <c r="B473" s="329" t="s">
        <v>344</v>
      </c>
      <c r="C473" s="21" t="s">
        <v>12</v>
      </c>
      <c r="D473" s="340">
        <v>0</v>
      </c>
      <c r="E473" s="18"/>
      <c r="F473" s="60">
        <v>914</v>
      </c>
      <c r="G473" s="18"/>
      <c r="H473" s="18">
        <f t="shared" si="31"/>
        <v>0</v>
      </c>
      <c r="I473" s="18">
        <f t="shared" si="30"/>
        <v>0</v>
      </c>
    </row>
    <row r="474" spans="1:10" ht="17.25" hidden="1" customHeight="1" outlineLevel="1" x14ac:dyDescent="0.25">
      <c r="A474" s="84"/>
      <c r="B474" s="329" t="s">
        <v>670</v>
      </c>
      <c r="C474" s="21" t="s">
        <v>12</v>
      </c>
      <c r="D474" s="340">
        <v>0</v>
      </c>
      <c r="E474" s="18"/>
      <c r="F474" s="164">
        <v>914</v>
      </c>
      <c r="G474" s="18"/>
      <c r="H474" s="18">
        <f>ROUND(D474*F474,2)</f>
        <v>0</v>
      </c>
      <c r="I474" s="18">
        <f>G474+H474</f>
        <v>0</v>
      </c>
    </row>
    <row r="475" spans="1:10" ht="17.25" hidden="1" customHeight="1" outlineLevel="1" x14ac:dyDescent="0.25">
      <c r="A475" s="84"/>
      <c r="B475" s="329" t="s">
        <v>679</v>
      </c>
      <c r="C475" s="21" t="s">
        <v>12</v>
      </c>
      <c r="D475" s="340">
        <v>0</v>
      </c>
      <c r="E475" s="18"/>
      <c r="F475" s="164">
        <v>100</v>
      </c>
      <c r="G475" s="18"/>
      <c r="H475" s="18">
        <f>ROUND(D475*F475,2)</f>
        <v>0</v>
      </c>
      <c r="I475" s="18">
        <f>G475+H475</f>
        <v>0</v>
      </c>
    </row>
    <row r="476" spans="1:10" ht="17.25" hidden="1" customHeight="1" outlineLevel="1" x14ac:dyDescent="0.25">
      <c r="A476" s="84"/>
      <c r="B476" s="329" t="s">
        <v>680</v>
      </c>
      <c r="C476" s="21" t="s">
        <v>12</v>
      </c>
      <c r="D476" s="340">
        <v>0</v>
      </c>
      <c r="E476" s="18"/>
      <c r="F476" s="164">
        <v>200</v>
      </c>
      <c r="G476" s="18"/>
      <c r="H476" s="18">
        <f>ROUND(D476*F476,2)</f>
        <v>0</v>
      </c>
      <c r="I476" s="18">
        <f>G476+H476</f>
        <v>0</v>
      </c>
    </row>
    <row r="477" spans="1:10" ht="17.25" hidden="1" customHeight="1" outlineLevel="1" x14ac:dyDescent="0.25">
      <c r="A477" s="84"/>
      <c r="B477" s="28"/>
      <c r="C477" s="21"/>
      <c r="D477" s="340"/>
      <c r="E477" s="18"/>
      <c r="F477" s="164"/>
      <c r="G477" s="18"/>
      <c r="H477" s="18"/>
      <c r="I477" s="18"/>
    </row>
    <row r="478" spans="1:10" hidden="1" outlineLevel="1" x14ac:dyDescent="0.25">
      <c r="A478" s="84" t="s">
        <v>324</v>
      </c>
      <c r="B478" s="79" t="s">
        <v>166</v>
      </c>
      <c r="C478" s="31" t="s">
        <v>12</v>
      </c>
      <c r="D478" s="31">
        <v>0</v>
      </c>
      <c r="E478" s="256">
        <v>35</v>
      </c>
      <c r="F478" s="60"/>
      <c r="G478" s="2">
        <f>ROUND(E478*D478,2)</f>
        <v>0</v>
      </c>
      <c r="H478" s="18">
        <f>F478*D478</f>
        <v>0</v>
      </c>
      <c r="I478" s="18">
        <f t="shared" si="30"/>
        <v>0</v>
      </c>
    </row>
    <row r="479" spans="1:10" ht="31.2" hidden="1" outlineLevel="1" x14ac:dyDescent="0.25">
      <c r="A479" s="84"/>
      <c r="B479" s="329" t="s">
        <v>167</v>
      </c>
      <c r="C479" s="21" t="s">
        <v>12</v>
      </c>
      <c r="D479" s="340">
        <v>0</v>
      </c>
      <c r="E479" s="18"/>
      <c r="F479" s="60">
        <v>50</v>
      </c>
      <c r="G479" s="18"/>
      <c r="H479" s="2">
        <f t="shared" ref="H479:H491" si="32">ROUND(D479*F479,2)</f>
        <v>0</v>
      </c>
      <c r="I479" s="18">
        <f t="shared" si="30"/>
        <v>0</v>
      </c>
    </row>
    <row r="480" spans="1:10" ht="46.8" hidden="1" outlineLevel="1" x14ac:dyDescent="0.25">
      <c r="A480" s="84"/>
      <c r="B480" s="329" t="s">
        <v>292</v>
      </c>
      <c r="C480" s="21" t="s">
        <v>12</v>
      </c>
      <c r="D480" s="340">
        <v>0</v>
      </c>
      <c r="E480" s="18"/>
      <c r="F480" s="60">
        <v>30.46</v>
      </c>
      <c r="G480" s="18"/>
      <c r="H480" s="2">
        <f t="shared" si="32"/>
        <v>0</v>
      </c>
      <c r="I480" s="18">
        <f t="shared" si="30"/>
        <v>0</v>
      </c>
    </row>
    <row r="481" spans="1:9" ht="31.2" hidden="1" outlineLevel="1" x14ac:dyDescent="0.25">
      <c r="A481" s="84"/>
      <c r="B481" s="329" t="s">
        <v>293</v>
      </c>
      <c r="C481" s="21" t="s">
        <v>12</v>
      </c>
      <c r="D481" s="340">
        <v>0</v>
      </c>
      <c r="E481" s="18"/>
      <c r="F481" s="60">
        <v>30.46</v>
      </c>
      <c r="G481" s="18"/>
      <c r="H481" s="2">
        <f t="shared" si="32"/>
        <v>0</v>
      </c>
      <c r="I481" s="18">
        <f>G481+H481</f>
        <v>0</v>
      </c>
    </row>
    <row r="482" spans="1:9" ht="31.2" hidden="1" outlineLevel="1" x14ac:dyDescent="0.25">
      <c r="A482" s="84"/>
      <c r="B482" s="329" t="s">
        <v>294</v>
      </c>
      <c r="C482" s="21" t="s">
        <v>12</v>
      </c>
      <c r="D482" s="340">
        <v>0</v>
      </c>
      <c r="E482" s="18"/>
      <c r="F482" s="60">
        <v>41.85</v>
      </c>
      <c r="G482" s="18"/>
      <c r="H482" s="2">
        <f t="shared" si="32"/>
        <v>0</v>
      </c>
      <c r="I482" s="18">
        <f t="shared" si="30"/>
        <v>0</v>
      </c>
    </row>
    <row r="483" spans="1:9" ht="31.2" hidden="1" outlineLevel="1" x14ac:dyDescent="0.25">
      <c r="A483" s="84"/>
      <c r="B483" s="329" t="s">
        <v>289</v>
      </c>
      <c r="C483" s="21" t="s">
        <v>12</v>
      </c>
      <c r="D483" s="340">
        <v>0</v>
      </c>
      <c r="E483" s="18"/>
      <c r="F483" s="60">
        <f>59*1.1</f>
        <v>64.900000000000006</v>
      </c>
      <c r="G483" s="18"/>
      <c r="H483" s="2">
        <f t="shared" si="32"/>
        <v>0</v>
      </c>
      <c r="I483" s="18">
        <f t="shared" si="30"/>
        <v>0</v>
      </c>
    </row>
    <row r="484" spans="1:9" ht="31.2" hidden="1" outlineLevel="1" x14ac:dyDescent="0.25">
      <c r="A484" s="84"/>
      <c r="B484" s="329" t="s">
        <v>288</v>
      </c>
      <c r="C484" s="21" t="s">
        <v>12</v>
      </c>
      <c r="D484" s="340">
        <v>0</v>
      </c>
      <c r="E484" s="18"/>
      <c r="F484" s="60">
        <v>37.25</v>
      </c>
      <c r="G484" s="18"/>
      <c r="H484" s="2">
        <f t="shared" si="32"/>
        <v>0</v>
      </c>
      <c r="I484" s="18">
        <f t="shared" si="30"/>
        <v>0</v>
      </c>
    </row>
    <row r="485" spans="1:9" ht="31.2" hidden="1" outlineLevel="1" x14ac:dyDescent="0.25">
      <c r="A485" s="84"/>
      <c r="B485" s="329" t="s">
        <v>290</v>
      </c>
      <c r="C485" s="21" t="s">
        <v>12</v>
      </c>
      <c r="D485" s="340">
        <v>0</v>
      </c>
      <c r="E485" s="18"/>
      <c r="F485" s="60">
        <v>277</v>
      </c>
      <c r="G485" s="18"/>
      <c r="H485" s="2">
        <f t="shared" si="32"/>
        <v>0</v>
      </c>
      <c r="I485" s="18">
        <f t="shared" si="30"/>
        <v>0</v>
      </c>
    </row>
    <row r="486" spans="1:9" ht="31.2" hidden="1" outlineLevel="1" x14ac:dyDescent="0.25">
      <c r="A486" s="84"/>
      <c r="B486" s="329" t="s">
        <v>291</v>
      </c>
      <c r="C486" s="21" t="s">
        <v>12</v>
      </c>
      <c r="D486" s="340">
        <v>0</v>
      </c>
      <c r="E486" s="18"/>
      <c r="F486" s="60">
        <v>65.900000000000006</v>
      </c>
      <c r="G486" s="18"/>
      <c r="H486" s="2">
        <f t="shared" si="32"/>
        <v>0</v>
      </c>
      <c r="I486" s="18">
        <f t="shared" si="30"/>
        <v>0</v>
      </c>
    </row>
    <row r="487" spans="1:9" hidden="1" outlineLevel="1" x14ac:dyDescent="0.25">
      <c r="A487" s="84"/>
      <c r="B487" s="329" t="s">
        <v>168</v>
      </c>
      <c r="C487" s="21" t="s">
        <v>12</v>
      </c>
      <c r="D487" s="340">
        <v>0</v>
      </c>
      <c r="E487" s="18"/>
      <c r="F487" s="60">
        <v>127</v>
      </c>
      <c r="G487" s="18"/>
      <c r="H487" s="2">
        <f t="shared" si="32"/>
        <v>0</v>
      </c>
      <c r="I487" s="18">
        <f t="shared" si="30"/>
        <v>0</v>
      </c>
    </row>
    <row r="488" spans="1:9" hidden="1" outlineLevel="1" x14ac:dyDescent="0.25">
      <c r="A488" s="84"/>
      <c r="B488" s="329" t="s">
        <v>287</v>
      </c>
      <c r="C488" s="21" t="s">
        <v>12</v>
      </c>
      <c r="D488" s="340">
        <v>0</v>
      </c>
      <c r="E488" s="18"/>
      <c r="F488" s="60">
        <v>20</v>
      </c>
      <c r="G488" s="18"/>
      <c r="H488" s="2">
        <f t="shared" si="32"/>
        <v>0</v>
      </c>
      <c r="I488" s="18">
        <f t="shared" si="30"/>
        <v>0</v>
      </c>
    </row>
    <row r="489" spans="1:9" hidden="1" outlineLevel="1" x14ac:dyDescent="0.25">
      <c r="A489" s="84"/>
      <c r="B489" s="329" t="s">
        <v>677</v>
      </c>
      <c r="C489" s="21" t="s">
        <v>12</v>
      </c>
      <c r="D489" s="340">
        <v>0</v>
      </c>
      <c r="E489" s="18"/>
      <c r="F489" s="60">
        <v>30</v>
      </c>
      <c r="G489" s="18"/>
      <c r="H489" s="2">
        <f t="shared" si="32"/>
        <v>0</v>
      </c>
      <c r="I489" s="18">
        <f>G489+H489</f>
        <v>0</v>
      </c>
    </row>
    <row r="490" spans="1:9" ht="31.2" hidden="1" outlineLevel="1" x14ac:dyDescent="0.25">
      <c r="A490" s="84"/>
      <c r="B490" s="329" t="s">
        <v>442</v>
      </c>
      <c r="C490" s="21" t="s">
        <v>12</v>
      </c>
      <c r="D490" s="340">
        <v>0</v>
      </c>
      <c r="E490" s="18"/>
      <c r="F490" s="60">
        <v>78</v>
      </c>
      <c r="G490" s="18"/>
      <c r="H490" s="2">
        <f t="shared" si="32"/>
        <v>0</v>
      </c>
      <c r="I490" s="18">
        <f>G490+H490</f>
        <v>0</v>
      </c>
    </row>
    <row r="491" spans="1:9" ht="18.75" hidden="1" customHeight="1" outlineLevel="1" x14ac:dyDescent="0.25">
      <c r="A491" s="84"/>
      <c r="B491" s="329" t="s">
        <v>673</v>
      </c>
      <c r="C491" s="21" t="s">
        <v>12</v>
      </c>
      <c r="D491" s="340">
        <v>0</v>
      </c>
      <c r="E491" s="18"/>
      <c r="F491" s="60">
        <v>90</v>
      </c>
      <c r="G491" s="18"/>
      <c r="H491" s="2">
        <f t="shared" si="32"/>
        <v>0</v>
      </c>
      <c r="I491" s="18">
        <f>G491+H491</f>
        <v>0</v>
      </c>
    </row>
    <row r="492" spans="1:9" ht="31.2" hidden="1" outlineLevel="1" x14ac:dyDescent="0.25">
      <c r="A492" s="84"/>
      <c r="B492" s="329" t="s">
        <v>668</v>
      </c>
      <c r="C492" s="21" t="s">
        <v>12</v>
      </c>
      <c r="D492" s="340">
        <v>0</v>
      </c>
      <c r="E492" s="18"/>
      <c r="F492" s="60">
        <v>90</v>
      </c>
      <c r="G492" s="18"/>
      <c r="H492" s="2">
        <f>ROUND(D492*F492,2)</f>
        <v>0</v>
      </c>
      <c r="I492" s="18">
        <f>G492+H492</f>
        <v>0</v>
      </c>
    </row>
    <row r="493" spans="1:9" hidden="1" outlineLevel="1" x14ac:dyDescent="0.25">
      <c r="A493" s="84"/>
      <c r="B493" s="329" t="s">
        <v>678</v>
      </c>
      <c r="C493" s="21" t="s">
        <v>12</v>
      </c>
      <c r="D493" s="340">
        <v>0</v>
      </c>
      <c r="E493" s="18"/>
      <c r="F493" s="164">
        <v>100</v>
      </c>
      <c r="G493" s="18"/>
      <c r="H493" s="2">
        <f>ROUND(D493*F493,2)</f>
        <v>0</v>
      </c>
      <c r="I493" s="18">
        <f>G493+H493</f>
        <v>0</v>
      </c>
    </row>
    <row r="494" spans="1:9" hidden="1" outlineLevel="1" x14ac:dyDescent="0.25">
      <c r="A494" s="84" t="s">
        <v>532</v>
      </c>
      <c r="B494" s="29" t="s">
        <v>489</v>
      </c>
      <c r="C494" s="31" t="s">
        <v>29</v>
      </c>
      <c r="D494" s="31">
        <v>0</v>
      </c>
      <c r="E494" s="256">
        <v>35</v>
      </c>
      <c r="F494" s="60"/>
      <c r="G494" s="2">
        <f>ROUND(E494*D494,2)</f>
        <v>0</v>
      </c>
      <c r="H494" s="18">
        <f>F494*D494</f>
        <v>0</v>
      </c>
      <c r="I494" s="18">
        <f t="shared" si="30"/>
        <v>0</v>
      </c>
    </row>
    <row r="495" spans="1:9" hidden="1" outlineLevel="1" x14ac:dyDescent="0.25">
      <c r="A495" s="84"/>
      <c r="B495" s="329" t="s">
        <v>296</v>
      </c>
      <c r="C495" s="21" t="s">
        <v>29</v>
      </c>
      <c r="D495" s="340">
        <v>0</v>
      </c>
      <c r="E495" s="18"/>
      <c r="F495" s="60">
        <v>31</v>
      </c>
      <c r="G495" s="18"/>
      <c r="H495" s="2">
        <f t="shared" ref="H495:H513" si="33">ROUND(D495*F495,2)</f>
        <v>0</v>
      </c>
      <c r="I495" s="18">
        <f t="shared" si="30"/>
        <v>0</v>
      </c>
    </row>
    <row r="496" spans="1:9" hidden="1" outlineLevel="1" x14ac:dyDescent="0.25">
      <c r="A496" s="84"/>
      <c r="B496" s="329" t="s">
        <v>311</v>
      </c>
      <c r="C496" s="21" t="s">
        <v>29</v>
      </c>
      <c r="D496" s="340">
        <v>0</v>
      </c>
      <c r="E496" s="18"/>
      <c r="F496" s="60">
        <f>459.7*1.1</f>
        <v>505.67</v>
      </c>
      <c r="G496" s="18"/>
      <c r="H496" s="2">
        <f t="shared" si="33"/>
        <v>0</v>
      </c>
      <c r="I496" s="18">
        <f t="shared" si="30"/>
        <v>0</v>
      </c>
    </row>
    <row r="497" spans="1:9" hidden="1" outlineLevel="1" x14ac:dyDescent="0.25">
      <c r="A497" s="84"/>
      <c r="B497" s="329" t="s">
        <v>297</v>
      </c>
      <c r="C497" s="21" t="s">
        <v>29</v>
      </c>
      <c r="D497" s="340">
        <v>0</v>
      </c>
      <c r="E497" s="18"/>
      <c r="F497" s="60">
        <f>10.16*1.1</f>
        <v>11.176000000000002</v>
      </c>
      <c r="G497" s="18"/>
      <c r="H497" s="2">
        <f t="shared" si="33"/>
        <v>0</v>
      </c>
      <c r="I497" s="18">
        <f t="shared" si="30"/>
        <v>0</v>
      </c>
    </row>
    <row r="498" spans="1:9" hidden="1" outlineLevel="1" x14ac:dyDescent="0.25">
      <c r="A498" s="84"/>
      <c r="B498" s="329" t="s">
        <v>299</v>
      </c>
      <c r="C498" s="21" t="s">
        <v>29</v>
      </c>
      <c r="D498" s="340">
        <v>0</v>
      </c>
      <c r="E498" s="18"/>
      <c r="F498" s="60">
        <f>11.4*1.1</f>
        <v>12.540000000000001</v>
      </c>
      <c r="G498" s="18"/>
      <c r="H498" s="2">
        <f t="shared" si="33"/>
        <v>0</v>
      </c>
      <c r="I498" s="18">
        <f>G498+H498</f>
        <v>0</v>
      </c>
    </row>
    <row r="499" spans="1:9" hidden="1" outlineLevel="1" x14ac:dyDescent="0.25">
      <c r="A499" s="84"/>
      <c r="B499" s="329" t="s">
        <v>298</v>
      </c>
      <c r="C499" s="21" t="s">
        <v>29</v>
      </c>
      <c r="D499" s="340">
        <v>0</v>
      </c>
      <c r="E499" s="18"/>
      <c r="F499" s="60">
        <f>19.4*1.1</f>
        <v>21.34</v>
      </c>
      <c r="G499" s="18"/>
      <c r="H499" s="2">
        <f t="shared" si="33"/>
        <v>0</v>
      </c>
      <c r="I499" s="18">
        <f>G499+H499</f>
        <v>0</v>
      </c>
    </row>
    <row r="500" spans="1:9" hidden="1" outlineLevel="1" x14ac:dyDescent="0.25">
      <c r="A500" s="84"/>
      <c r="B500" s="329" t="s">
        <v>171</v>
      </c>
      <c r="C500" s="21" t="s">
        <v>29</v>
      </c>
      <c r="D500" s="340">
        <v>0</v>
      </c>
      <c r="E500" s="18"/>
      <c r="F500" s="60">
        <f>50.41*1.1</f>
        <v>55.451000000000001</v>
      </c>
      <c r="G500" s="18"/>
      <c r="H500" s="2">
        <f t="shared" si="33"/>
        <v>0</v>
      </c>
      <c r="I500" s="18">
        <f t="shared" si="30"/>
        <v>0</v>
      </c>
    </row>
    <row r="501" spans="1:9" hidden="1" outlineLevel="1" x14ac:dyDescent="0.25">
      <c r="A501" s="84"/>
      <c r="B501" s="329" t="s">
        <v>458</v>
      </c>
      <c r="C501" s="21" t="s">
        <v>29</v>
      </c>
      <c r="D501" s="340">
        <v>0</v>
      </c>
      <c r="E501" s="18"/>
      <c r="F501" s="60">
        <v>205</v>
      </c>
      <c r="G501" s="18"/>
      <c r="H501" s="2">
        <f t="shared" si="33"/>
        <v>0</v>
      </c>
      <c r="I501" s="18">
        <f>G501+H501</f>
        <v>0</v>
      </c>
    </row>
    <row r="502" spans="1:9" hidden="1" outlineLevel="1" x14ac:dyDescent="0.25">
      <c r="A502" s="84"/>
      <c r="B502" s="329" t="s">
        <v>169</v>
      </c>
      <c r="C502" s="21" t="s">
        <v>29</v>
      </c>
      <c r="D502" s="340">
        <v>0</v>
      </c>
      <c r="E502" s="18"/>
      <c r="F502" s="60">
        <f>22.48*1.1</f>
        <v>24.728000000000002</v>
      </c>
      <c r="G502" s="18"/>
      <c r="H502" s="2">
        <f t="shared" si="33"/>
        <v>0</v>
      </c>
      <c r="I502" s="18">
        <f t="shared" si="30"/>
        <v>0</v>
      </c>
    </row>
    <row r="503" spans="1:9" hidden="1" outlineLevel="1" x14ac:dyDescent="0.25">
      <c r="A503" s="84"/>
      <c r="B503" s="329" t="s">
        <v>457</v>
      </c>
      <c r="C503" s="21" t="s">
        <v>29</v>
      </c>
      <c r="D503" s="340">
        <v>0</v>
      </c>
      <c r="E503" s="18"/>
      <c r="F503" s="60">
        <f>15.53*1.1</f>
        <v>17.083000000000002</v>
      </c>
      <c r="G503" s="18"/>
      <c r="H503" s="2">
        <f t="shared" si="33"/>
        <v>0</v>
      </c>
      <c r="I503" s="18">
        <f t="shared" si="30"/>
        <v>0</v>
      </c>
    </row>
    <row r="504" spans="1:9" ht="17.25" hidden="1" customHeight="1" outlineLevel="1" x14ac:dyDescent="0.25">
      <c r="A504" s="84"/>
      <c r="B504" s="329" t="s">
        <v>170</v>
      </c>
      <c r="C504" s="21" t="s">
        <v>12</v>
      </c>
      <c r="D504" s="340">
        <v>0</v>
      </c>
      <c r="E504" s="18"/>
      <c r="F504" s="60">
        <v>8</v>
      </c>
      <c r="G504" s="18"/>
      <c r="H504" s="2">
        <f t="shared" si="33"/>
        <v>0</v>
      </c>
      <c r="I504" s="18">
        <f>G504+H504</f>
        <v>0</v>
      </c>
    </row>
    <row r="505" spans="1:9" hidden="1" outlineLevel="1" x14ac:dyDescent="0.25">
      <c r="A505" s="84"/>
      <c r="B505" s="329" t="s">
        <v>302</v>
      </c>
      <c r="C505" s="21" t="s">
        <v>29</v>
      </c>
      <c r="D505" s="340">
        <v>0</v>
      </c>
      <c r="E505" s="18"/>
      <c r="F505" s="60">
        <v>194</v>
      </c>
      <c r="G505" s="18"/>
      <c r="H505" s="2">
        <f t="shared" si="33"/>
        <v>0</v>
      </c>
      <c r="I505" s="18">
        <f t="shared" si="30"/>
        <v>0</v>
      </c>
    </row>
    <row r="506" spans="1:9" hidden="1" outlineLevel="1" x14ac:dyDescent="0.25">
      <c r="A506" s="84"/>
      <c r="B506" s="329" t="s">
        <v>443</v>
      </c>
      <c r="C506" s="21" t="s">
        <v>29</v>
      </c>
      <c r="D506" s="340">
        <v>0</v>
      </c>
      <c r="E506" s="18"/>
      <c r="F506" s="60">
        <v>45</v>
      </c>
      <c r="G506" s="18"/>
      <c r="H506" s="2">
        <f t="shared" si="33"/>
        <v>0</v>
      </c>
      <c r="I506" s="18">
        <f t="shared" si="30"/>
        <v>0</v>
      </c>
    </row>
    <row r="507" spans="1:9" hidden="1" outlineLevel="1" x14ac:dyDescent="0.25">
      <c r="A507" s="84"/>
      <c r="B507" s="329" t="s">
        <v>300</v>
      </c>
      <c r="C507" s="21" t="s">
        <v>29</v>
      </c>
      <c r="D507" s="340">
        <v>0</v>
      </c>
      <c r="E507" s="18"/>
      <c r="F507" s="60">
        <v>78</v>
      </c>
      <c r="G507" s="18"/>
      <c r="H507" s="2">
        <f t="shared" si="33"/>
        <v>0</v>
      </c>
      <c r="I507" s="18">
        <f t="shared" si="30"/>
        <v>0</v>
      </c>
    </row>
    <row r="508" spans="1:9" hidden="1" outlineLevel="1" x14ac:dyDescent="0.25">
      <c r="A508" s="84"/>
      <c r="B508" s="329" t="s">
        <v>91</v>
      </c>
      <c r="C508" s="21" t="s">
        <v>15</v>
      </c>
      <c r="D508" s="340">
        <v>0</v>
      </c>
      <c r="E508" s="18"/>
      <c r="F508" s="164">
        <v>42</v>
      </c>
      <c r="G508" s="18"/>
      <c r="H508" s="2">
        <f>ROUND(D508*F508,2)</f>
        <v>0</v>
      </c>
      <c r="I508" s="18">
        <f t="shared" si="30"/>
        <v>0</v>
      </c>
    </row>
    <row r="509" spans="1:9" hidden="1" outlineLevel="1" x14ac:dyDescent="0.25">
      <c r="A509" s="84"/>
      <c r="B509" s="329" t="s">
        <v>676</v>
      </c>
      <c r="C509" s="21" t="s">
        <v>29</v>
      </c>
      <c r="D509" s="340">
        <v>0</v>
      </c>
      <c r="E509" s="18"/>
      <c r="F509" s="164">
        <v>9.8699999999999992</v>
      </c>
      <c r="G509" s="18"/>
      <c r="H509" s="2">
        <f>ROUND(D509*F509,2)</f>
        <v>0</v>
      </c>
      <c r="I509" s="18">
        <f t="shared" si="30"/>
        <v>0</v>
      </c>
    </row>
    <row r="510" spans="1:9" hidden="1" outlineLevel="1" x14ac:dyDescent="0.25">
      <c r="A510" s="84"/>
      <c r="B510" s="329" t="s">
        <v>669</v>
      </c>
      <c r="C510" s="21" t="s">
        <v>29</v>
      </c>
      <c r="D510" s="340">
        <v>0</v>
      </c>
      <c r="E510" s="18"/>
      <c r="F510" s="164">
        <v>9.8699999999999992</v>
      </c>
      <c r="G510" s="18"/>
      <c r="H510" s="2">
        <f>ROUND(D510*F510,2)</f>
        <v>0</v>
      </c>
      <c r="I510" s="18">
        <f t="shared" si="30"/>
        <v>0</v>
      </c>
    </row>
    <row r="511" spans="1:9" hidden="1" outlineLevel="1" x14ac:dyDescent="0.25">
      <c r="A511" s="84"/>
      <c r="B511" s="329" t="s">
        <v>672</v>
      </c>
      <c r="C511" s="21" t="s">
        <v>29</v>
      </c>
      <c r="D511" s="340">
        <v>0</v>
      </c>
      <c r="E511" s="18"/>
      <c r="F511" s="164">
        <v>9.8699999999999992</v>
      </c>
      <c r="G511" s="18"/>
      <c r="H511" s="2">
        <f>ROUND(D511*F511,2)</f>
        <v>0</v>
      </c>
      <c r="I511" s="18">
        <f t="shared" si="30"/>
        <v>0</v>
      </c>
    </row>
    <row r="512" spans="1:9" hidden="1" outlineLevel="1" x14ac:dyDescent="0.25">
      <c r="A512" s="84"/>
      <c r="B512" s="329" t="s">
        <v>444</v>
      </c>
      <c r="C512" s="21" t="s">
        <v>29</v>
      </c>
      <c r="D512" s="340">
        <v>0</v>
      </c>
      <c r="E512" s="18"/>
      <c r="F512" s="60">
        <v>56</v>
      </c>
      <c r="G512" s="18"/>
      <c r="H512" s="2">
        <f t="shared" si="33"/>
        <v>0</v>
      </c>
      <c r="I512" s="18">
        <f t="shared" si="30"/>
        <v>0</v>
      </c>
    </row>
    <row r="513" spans="1:9" hidden="1" outlineLevel="1" x14ac:dyDescent="0.25">
      <c r="A513" s="84"/>
      <c r="B513" s="329" t="s">
        <v>445</v>
      </c>
      <c r="C513" s="21" t="s">
        <v>29</v>
      </c>
      <c r="D513" s="340">
        <v>0</v>
      </c>
      <c r="E513" s="18"/>
      <c r="F513" s="60">
        <v>70</v>
      </c>
      <c r="G513" s="18"/>
      <c r="H513" s="2">
        <f t="shared" si="33"/>
        <v>0</v>
      </c>
      <c r="I513" s="18">
        <f t="shared" si="30"/>
        <v>0</v>
      </c>
    </row>
    <row r="514" spans="1:9" hidden="1" outlineLevel="1" x14ac:dyDescent="0.25">
      <c r="A514" s="84"/>
      <c r="B514" s="329" t="s">
        <v>671</v>
      </c>
      <c r="C514" s="21" t="s">
        <v>29</v>
      </c>
      <c r="D514" s="340">
        <v>0</v>
      </c>
      <c r="E514" s="18"/>
      <c r="F514" s="164">
        <v>170</v>
      </c>
      <c r="G514" s="18"/>
      <c r="H514" s="2">
        <f>ROUND(D514*F514,2)</f>
        <v>0</v>
      </c>
      <c r="I514" s="18">
        <f t="shared" si="30"/>
        <v>0</v>
      </c>
    </row>
    <row r="515" spans="1:9" hidden="1" outlineLevel="1" x14ac:dyDescent="0.25">
      <c r="A515" s="84" t="s">
        <v>533</v>
      </c>
      <c r="B515" s="29" t="s">
        <v>303</v>
      </c>
      <c r="C515" s="31" t="s">
        <v>12</v>
      </c>
      <c r="D515" s="158"/>
      <c r="E515" s="18"/>
      <c r="F515" s="60"/>
      <c r="G515" s="18">
        <f>E515*D515</f>
        <v>0</v>
      </c>
      <c r="H515" s="18"/>
      <c r="I515" s="18">
        <f t="shared" si="30"/>
        <v>0</v>
      </c>
    </row>
    <row r="516" spans="1:9" hidden="1" outlineLevel="1" x14ac:dyDescent="0.25">
      <c r="A516" s="84"/>
      <c r="B516" s="329" t="s">
        <v>304</v>
      </c>
      <c r="C516" s="21" t="s">
        <v>12</v>
      </c>
      <c r="D516" s="340">
        <v>0</v>
      </c>
      <c r="E516" s="18"/>
      <c r="F516" s="60">
        <v>462</v>
      </c>
      <c r="G516" s="18"/>
      <c r="H516" s="2">
        <f>ROUND(D516*F516,2)</f>
        <v>0</v>
      </c>
      <c r="I516" s="18">
        <f t="shared" si="30"/>
        <v>0</v>
      </c>
    </row>
    <row r="517" spans="1:9" hidden="1" outlineLevel="1" x14ac:dyDescent="0.25">
      <c r="A517" s="84"/>
      <c r="B517" s="329" t="s">
        <v>306</v>
      </c>
      <c r="C517" s="21" t="s">
        <v>12</v>
      </c>
      <c r="D517" s="340">
        <v>0</v>
      </c>
      <c r="E517" s="18"/>
      <c r="F517" s="60">
        <v>216</v>
      </c>
      <c r="G517" s="18"/>
      <c r="H517" s="2">
        <f>ROUND(D517*F517,2)</f>
        <v>0</v>
      </c>
      <c r="I517" s="18">
        <f t="shared" si="30"/>
        <v>0</v>
      </c>
    </row>
    <row r="518" spans="1:9" hidden="1" outlineLevel="1" x14ac:dyDescent="0.25">
      <c r="A518" s="84"/>
      <c r="B518" s="329" t="s">
        <v>305</v>
      </c>
      <c r="C518" s="21" t="s">
        <v>12</v>
      </c>
      <c r="D518" s="340">
        <v>0</v>
      </c>
      <c r="E518" s="18"/>
      <c r="F518" s="60">
        <v>216</v>
      </c>
      <c r="G518" s="18"/>
      <c r="H518" s="2">
        <f>ROUND(D518*F518,2)</f>
        <v>0</v>
      </c>
      <c r="I518" s="18">
        <f t="shared" si="30"/>
        <v>0</v>
      </c>
    </row>
    <row r="519" spans="1:9" hidden="1" outlineLevel="1" x14ac:dyDescent="0.25">
      <c r="A519" s="84"/>
      <c r="B519" s="329" t="s">
        <v>307</v>
      </c>
      <c r="C519" s="21" t="s">
        <v>12</v>
      </c>
      <c r="D519" s="340">
        <v>0</v>
      </c>
      <c r="E519" s="18"/>
      <c r="F519" s="60">
        <v>300</v>
      </c>
      <c r="G519" s="18"/>
      <c r="H519" s="2">
        <f>ROUND(D519*F519,2)</f>
        <v>0</v>
      </c>
      <c r="I519" s="18">
        <f t="shared" si="30"/>
        <v>0</v>
      </c>
    </row>
    <row r="520" spans="1:9" hidden="1" outlineLevel="1" x14ac:dyDescent="0.25">
      <c r="A520" s="84" t="s">
        <v>534</v>
      </c>
      <c r="B520" s="29" t="s">
        <v>310</v>
      </c>
      <c r="C520" s="31" t="s">
        <v>173</v>
      </c>
      <c r="D520" s="31">
        <v>0</v>
      </c>
      <c r="E520" s="18"/>
      <c r="F520" s="60">
        <f>30000</f>
        <v>30000</v>
      </c>
      <c r="G520" s="18"/>
      <c r="H520" s="2">
        <f>ROUND(D520*F520,2)</f>
        <v>0</v>
      </c>
      <c r="I520" s="18">
        <f t="shared" si="30"/>
        <v>0</v>
      </c>
    </row>
    <row r="521" spans="1:9" hidden="1" outlineLevel="1" x14ac:dyDescent="0.25">
      <c r="A521" s="84" t="s">
        <v>611</v>
      </c>
      <c r="B521" s="192" t="s">
        <v>590</v>
      </c>
      <c r="C521" s="31"/>
      <c r="D521" s="18"/>
      <c r="E521" s="256">
        <v>0</v>
      </c>
      <c r="F521" s="60"/>
      <c r="G521" s="18">
        <f>E521</f>
        <v>0</v>
      </c>
      <c r="H521" s="18">
        <v>0</v>
      </c>
      <c r="I521" s="18">
        <f>G521+H521</f>
        <v>0</v>
      </c>
    </row>
    <row r="522" spans="1:9" hidden="1" outlineLevel="1" x14ac:dyDescent="0.25">
      <c r="A522" s="84"/>
      <c r="B522" s="329" t="s">
        <v>591</v>
      </c>
      <c r="C522" s="21" t="s">
        <v>12</v>
      </c>
      <c r="D522" s="340">
        <v>0</v>
      </c>
      <c r="E522" s="18"/>
      <c r="F522" s="60">
        <f>1144.07*1.1</f>
        <v>1258.4770000000001</v>
      </c>
      <c r="G522" s="18"/>
      <c r="H522" s="18">
        <f>F522*D522</f>
        <v>0</v>
      </c>
      <c r="I522" s="18">
        <f>G522+H522</f>
        <v>0</v>
      </c>
    </row>
    <row r="523" spans="1:9" hidden="1" outlineLevel="1" x14ac:dyDescent="0.25">
      <c r="A523" s="84"/>
      <c r="B523" s="329" t="s">
        <v>592</v>
      </c>
      <c r="C523" s="21" t="s">
        <v>12</v>
      </c>
      <c r="D523" s="340">
        <v>0</v>
      </c>
      <c r="E523" s="18"/>
      <c r="F523" s="60">
        <f>1144.07*1.1</f>
        <v>1258.4770000000001</v>
      </c>
      <c r="G523" s="18"/>
      <c r="H523" s="18">
        <f>F523*D523</f>
        <v>0</v>
      </c>
      <c r="I523" s="18">
        <f>G523+H523</f>
        <v>0</v>
      </c>
    </row>
    <row r="524" spans="1:9" hidden="1" outlineLevel="1" x14ac:dyDescent="0.25">
      <c r="A524" s="84"/>
      <c r="B524" s="329" t="s">
        <v>593</v>
      </c>
      <c r="C524" s="21" t="s">
        <v>12</v>
      </c>
      <c r="D524" s="340">
        <v>0</v>
      </c>
      <c r="E524" s="18"/>
      <c r="F524" s="60">
        <f>1144.07*1.1</f>
        <v>1258.4770000000001</v>
      </c>
      <c r="G524" s="18"/>
      <c r="H524" s="18">
        <f>F524*D524</f>
        <v>0</v>
      </c>
      <c r="I524" s="18">
        <f>G524+H524</f>
        <v>0</v>
      </c>
    </row>
    <row r="525" spans="1:9" hidden="1" outlineLevel="1" x14ac:dyDescent="0.25">
      <c r="A525" s="84"/>
      <c r="B525" s="329" t="s">
        <v>594</v>
      </c>
      <c r="C525" s="21" t="s">
        <v>12</v>
      </c>
      <c r="D525" s="340">
        <v>0</v>
      </c>
      <c r="E525" s="18"/>
      <c r="F525" s="60">
        <f>1101.7*1.18</f>
        <v>1300.0060000000001</v>
      </c>
      <c r="G525" s="18"/>
      <c r="H525" s="18">
        <f>F525*D525</f>
        <v>0</v>
      </c>
      <c r="I525" s="18">
        <f>G525+H525</f>
        <v>0</v>
      </c>
    </row>
    <row r="526" spans="1:9" hidden="1" outlineLevel="1" x14ac:dyDescent="0.25">
      <c r="A526" s="84"/>
      <c r="B526" s="308" t="s">
        <v>595</v>
      </c>
      <c r="C526" s="21" t="s">
        <v>12</v>
      </c>
      <c r="D526" s="340">
        <v>0</v>
      </c>
      <c r="E526" s="18"/>
      <c r="F526" s="60">
        <f>120</f>
        <v>120</v>
      </c>
      <c r="G526" s="18"/>
      <c r="H526" s="18">
        <f t="shared" ref="H526:H543" si="34">F526*D526</f>
        <v>0</v>
      </c>
      <c r="I526" s="18">
        <f t="shared" ref="I526:I543" si="35">G526+H526</f>
        <v>0</v>
      </c>
    </row>
    <row r="527" spans="1:9" hidden="1" outlineLevel="1" x14ac:dyDescent="0.25">
      <c r="A527" s="84"/>
      <c r="B527" s="308" t="s">
        <v>596</v>
      </c>
      <c r="C527" s="21" t="s">
        <v>12</v>
      </c>
      <c r="D527" s="340">
        <v>0</v>
      </c>
      <c r="E527" s="18"/>
      <c r="F527" s="60">
        <f>127.12*1.18</f>
        <v>150.0016</v>
      </c>
      <c r="G527" s="18"/>
      <c r="H527" s="18">
        <f t="shared" si="34"/>
        <v>0</v>
      </c>
      <c r="I527" s="18">
        <f t="shared" si="35"/>
        <v>0</v>
      </c>
    </row>
    <row r="528" spans="1:9" hidden="1" outlineLevel="1" x14ac:dyDescent="0.25">
      <c r="A528" s="84"/>
      <c r="B528" s="308" t="s">
        <v>597</v>
      </c>
      <c r="C528" s="21" t="s">
        <v>12</v>
      </c>
      <c r="D528" s="340">
        <v>0</v>
      </c>
      <c r="E528" s="18"/>
      <c r="F528" s="60">
        <f>127.12*1.18</f>
        <v>150.0016</v>
      </c>
      <c r="G528" s="18"/>
      <c r="H528" s="18">
        <f t="shared" si="34"/>
        <v>0</v>
      </c>
      <c r="I528" s="18">
        <f t="shared" si="35"/>
        <v>0</v>
      </c>
    </row>
    <row r="529" spans="1:9" hidden="1" outlineLevel="1" x14ac:dyDescent="0.25">
      <c r="A529" s="84"/>
      <c r="B529" s="308" t="s">
        <v>598</v>
      </c>
      <c r="C529" s="21" t="s">
        <v>12</v>
      </c>
      <c r="D529" s="340">
        <v>0</v>
      </c>
      <c r="E529" s="18"/>
      <c r="F529" s="60">
        <v>50</v>
      </c>
      <c r="G529" s="18"/>
      <c r="H529" s="18">
        <f t="shared" si="34"/>
        <v>0</v>
      </c>
      <c r="I529" s="18">
        <f t="shared" si="35"/>
        <v>0</v>
      </c>
    </row>
    <row r="530" spans="1:9" hidden="1" outlineLevel="1" x14ac:dyDescent="0.25">
      <c r="A530" s="84"/>
      <c r="B530" s="308" t="s">
        <v>599</v>
      </c>
      <c r="C530" s="21" t="s">
        <v>12</v>
      </c>
      <c r="D530" s="340">
        <v>0</v>
      </c>
      <c r="E530" s="18"/>
      <c r="F530" s="60">
        <v>200</v>
      </c>
      <c r="G530" s="18"/>
      <c r="H530" s="18">
        <f t="shared" si="34"/>
        <v>0</v>
      </c>
      <c r="I530" s="18">
        <f t="shared" si="35"/>
        <v>0</v>
      </c>
    </row>
    <row r="531" spans="1:9" hidden="1" outlineLevel="1" x14ac:dyDescent="0.25">
      <c r="A531" s="84"/>
      <c r="B531" s="308" t="s">
        <v>600</v>
      </c>
      <c r="C531" s="21" t="s">
        <v>12</v>
      </c>
      <c r="D531" s="340">
        <v>0</v>
      </c>
      <c r="E531" s="18"/>
      <c r="F531" s="60">
        <v>10</v>
      </c>
      <c r="G531" s="18"/>
      <c r="H531" s="18">
        <f t="shared" si="34"/>
        <v>0</v>
      </c>
      <c r="I531" s="18">
        <f t="shared" si="35"/>
        <v>0</v>
      </c>
    </row>
    <row r="532" spans="1:9" hidden="1" outlineLevel="1" x14ac:dyDescent="0.25">
      <c r="A532" s="84"/>
      <c r="B532" s="308" t="s">
        <v>601</v>
      </c>
      <c r="C532" s="21" t="s">
        <v>12</v>
      </c>
      <c r="D532" s="340">
        <v>0</v>
      </c>
      <c r="E532" s="18"/>
      <c r="F532" s="60">
        <v>18</v>
      </c>
      <c r="G532" s="18"/>
      <c r="H532" s="18">
        <f t="shared" si="34"/>
        <v>0</v>
      </c>
      <c r="I532" s="18">
        <f t="shared" si="35"/>
        <v>0</v>
      </c>
    </row>
    <row r="533" spans="1:9" hidden="1" outlineLevel="1" x14ac:dyDescent="0.25">
      <c r="A533" s="84"/>
      <c r="B533" s="308" t="s">
        <v>602</v>
      </c>
      <c r="C533" s="21" t="s">
        <v>12</v>
      </c>
      <c r="D533" s="340">
        <v>0</v>
      </c>
      <c r="E533" s="18"/>
      <c r="F533" s="60">
        <v>67</v>
      </c>
      <c r="G533" s="18"/>
      <c r="H533" s="18">
        <f t="shared" si="34"/>
        <v>0</v>
      </c>
      <c r="I533" s="18">
        <f t="shared" si="35"/>
        <v>0</v>
      </c>
    </row>
    <row r="534" spans="1:9" hidden="1" outlineLevel="1" x14ac:dyDescent="0.25">
      <c r="A534" s="84"/>
      <c r="B534" s="33" t="s">
        <v>603</v>
      </c>
      <c r="C534" s="21" t="s">
        <v>12</v>
      </c>
      <c r="D534" s="18"/>
      <c r="E534" s="18"/>
      <c r="F534" s="60">
        <v>65</v>
      </c>
      <c r="G534" s="18"/>
      <c r="H534" s="18">
        <f t="shared" si="34"/>
        <v>0</v>
      </c>
      <c r="I534" s="18">
        <f t="shared" si="35"/>
        <v>0</v>
      </c>
    </row>
    <row r="535" spans="1:9" hidden="1" outlineLevel="1" x14ac:dyDescent="0.25">
      <c r="A535" s="84"/>
      <c r="B535" s="308" t="s">
        <v>604</v>
      </c>
      <c r="C535" s="21" t="s">
        <v>12</v>
      </c>
      <c r="D535" s="340">
        <v>0</v>
      </c>
      <c r="E535" s="18"/>
      <c r="F535" s="60">
        <v>150</v>
      </c>
      <c r="G535" s="18"/>
      <c r="H535" s="18">
        <f t="shared" si="34"/>
        <v>0</v>
      </c>
      <c r="I535" s="18">
        <f t="shared" si="35"/>
        <v>0</v>
      </c>
    </row>
    <row r="536" spans="1:9" hidden="1" outlineLevel="1" x14ac:dyDescent="0.25">
      <c r="A536" s="84"/>
      <c r="B536" s="308" t="s">
        <v>605</v>
      </c>
      <c r="C536" s="21" t="s">
        <v>12</v>
      </c>
      <c r="D536" s="340">
        <v>0</v>
      </c>
      <c r="E536" s="18"/>
      <c r="F536" s="60">
        <v>45</v>
      </c>
      <c r="G536" s="18"/>
      <c r="H536" s="18">
        <f t="shared" si="34"/>
        <v>0</v>
      </c>
      <c r="I536" s="18">
        <f t="shared" si="35"/>
        <v>0</v>
      </c>
    </row>
    <row r="537" spans="1:9" hidden="1" outlineLevel="1" x14ac:dyDescent="0.25">
      <c r="A537" s="84"/>
      <c r="B537" s="308" t="s">
        <v>606</v>
      </c>
      <c r="C537" s="21" t="s">
        <v>12</v>
      </c>
      <c r="D537" s="340">
        <v>0</v>
      </c>
      <c r="E537" s="18"/>
      <c r="F537" s="60">
        <v>65</v>
      </c>
      <c r="G537" s="18"/>
      <c r="H537" s="18">
        <f t="shared" si="34"/>
        <v>0</v>
      </c>
      <c r="I537" s="18">
        <f t="shared" si="35"/>
        <v>0</v>
      </c>
    </row>
    <row r="538" spans="1:9" hidden="1" outlineLevel="1" x14ac:dyDescent="0.25">
      <c r="A538" s="84"/>
      <c r="B538" s="308" t="s">
        <v>716</v>
      </c>
      <c r="C538" s="21" t="s">
        <v>12</v>
      </c>
      <c r="D538" s="340">
        <v>0</v>
      </c>
      <c r="E538" s="18"/>
      <c r="F538" s="164">
        <v>100</v>
      </c>
      <c r="G538" s="18"/>
      <c r="H538" s="18">
        <f>F538*D538</f>
        <v>0</v>
      </c>
      <c r="I538" s="18">
        <f>G538+H538</f>
        <v>0</v>
      </c>
    </row>
    <row r="539" spans="1:9" hidden="1" outlineLevel="1" x14ac:dyDescent="0.25">
      <c r="A539" s="84"/>
      <c r="B539" s="308" t="s">
        <v>717</v>
      </c>
      <c r="C539" s="21" t="s">
        <v>12</v>
      </c>
      <c r="D539" s="340">
        <v>0</v>
      </c>
      <c r="E539" s="18"/>
      <c r="F539" s="164">
        <v>100</v>
      </c>
      <c r="G539" s="18"/>
      <c r="H539" s="18">
        <f>F539*D539</f>
        <v>0</v>
      </c>
      <c r="I539" s="18">
        <f>G539+H539</f>
        <v>0</v>
      </c>
    </row>
    <row r="540" spans="1:9" hidden="1" outlineLevel="1" x14ac:dyDescent="0.25">
      <c r="A540" s="84"/>
      <c r="B540" s="308" t="s">
        <v>607</v>
      </c>
      <c r="C540" s="21" t="s">
        <v>29</v>
      </c>
      <c r="D540" s="340">
        <v>0</v>
      </c>
      <c r="E540" s="18"/>
      <c r="F540" s="60">
        <v>50</v>
      </c>
      <c r="G540" s="18"/>
      <c r="H540" s="18">
        <f t="shared" si="34"/>
        <v>0</v>
      </c>
      <c r="I540" s="18">
        <f t="shared" si="35"/>
        <v>0</v>
      </c>
    </row>
    <row r="541" spans="1:9" hidden="1" outlineLevel="1" x14ac:dyDescent="0.25">
      <c r="A541" s="84"/>
      <c r="B541" s="308" t="s">
        <v>608</v>
      </c>
      <c r="C541" s="21" t="s">
        <v>29</v>
      </c>
      <c r="D541" s="340">
        <v>0</v>
      </c>
      <c r="E541" s="18"/>
      <c r="F541" s="60">
        <v>59</v>
      </c>
      <c r="G541" s="18"/>
      <c r="H541" s="18">
        <f t="shared" si="34"/>
        <v>0</v>
      </c>
      <c r="I541" s="18">
        <f t="shared" si="35"/>
        <v>0</v>
      </c>
    </row>
    <row r="542" spans="1:9" hidden="1" outlineLevel="1" x14ac:dyDescent="0.25">
      <c r="A542" s="84"/>
      <c r="B542" s="308" t="s">
        <v>90</v>
      </c>
      <c r="C542" s="2" t="s">
        <v>29</v>
      </c>
      <c r="D542" s="340">
        <v>0</v>
      </c>
      <c r="E542" s="18"/>
      <c r="F542" s="60">
        <v>20</v>
      </c>
      <c r="G542" s="18"/>
      <c r="H542" s="18">
        <f t="shared" si="34"/>
        <v>0</v>
      </c>
      <c r="I542" s="18">
        <f t="shared" si="35"/>
        <v>0</v>
      </c>
    </row>
    <row r="543" spans="1:9" hidden="1" outlineLevel="1" x14ac:dyDescent="0.25">
      <c r="A543" s="84"/>
      <c r="B543" s="308" t="s">
        <v>91</v>
      </c>
      <c r="C543" s="31" t="s">
        <v>15</v>
      </c>
      <c r="D543" s="340">
        <v>0</v>
      </c>
      <c r="E543" s="18"/>
      <c r="F543" s="60">
        <v>42</v>
      </c>
      <c r="G543" s="18"/>
      <c r="H543" s="18">
        <f t="shared" si="34"/>
        <v>0</v>
      </c>
      <c r="I543" s="18">
        <f t="shared" si="35"/>
        <v>0</v>
      </c>
    </row>
    <row r="544" spans="1:9" s="6" customFormat="1" hidden="1" outlineLevel="1" x14ac:dyDescent="0.25">
      <c r="A544" s="84" t="s">
        <v>612</v>
      </c>
      <c r="B544" s="192" t="s">
        <v>609</v>
      </c>
      <c r="C544" s="31"/>
      <c r="D544" s="18"/>
      <c r="E544" s="130"/>
      <c r="F544" s="60"/>
      <c r="G544" s="18"/>
      <c r="H544" s="18"/>
      <c r="I544" s="18"/>
    </row>
    <row r="545" spans="1:9" s="6" customFormat="1" hidden="1" outlineLevel="1" x14ac:dyDescent="0.25">
      <c r="A545" s="84"/>
      <c r="B545" s="308" t="s">
        <v>610</v>
      </c>
      <c r="C545" s="31" t="s">
        <v>12</v>
      </c>
      <c r="D545" s="306">
        <v>0</v>
      </c>
      <c r="E545" s="256">
        <v>0</v>
      </c>
      <c r="F545" s="57">
        <v>350</v>
      </c>
      <c r="G545" s="18">
        <f>E545</f>
        <v>0</v>
      </c>
      <c r="H545" s="18">
        <f>F545*D545</f>
        <v>0</v>
      </c>
      <c r="I545" s="18">
        <f>G545+H545</f>
        <v>0</v>
      </c>
    </row>
    <row r="546" spans="1:9" s="5" customFormat="1" ht="38.4" customHeight="1" collapsed="1" x14ac:dyDescent="0.25">
      <c r="A546" s="223"/>
      <c r="B546" s="233" t="s">
        <v>61</v>
      </c>
      <c r="C546" s="234"/>
      <c r="D546" s="235"/>
      <c r="E546" s="236"/>
      <c r="F546" s="237"/>
      <c r="G546" s="236">
        <f>SUM(G448:G545)</f>
        <v>0</v>
      </c>
      <c r="H546" s="236">
        <f>SUM(H448:H545)</f>
        <v>0</v>
      </c>
      <c r="I546" s="236">
        <f>SUM(I448:I545)</f>
        <v>0</v>
      </c>
    </row>
    <row r="547" spans="1:9" s="5" customFormat="1" ht="18.600000000000001" customHeight="1" x14ac:dyDescent="0.25">
      <c r="A547" s="92"/>
      <c r="B547" s="471" t="s">
        <v>624</v>
      </c>
      <c r="C547" s="9"/>
      <c r="D547" s="31"/>
      <c r="E547" s="10"/>
      <c r="F547" s="57"/>
      <c r="G547" s="10"/>
      <c r="H547" s="10"/>
      <c r="I547" s="31">
        <f>ROUND(I546/1.18*0.18,2)</f>
        <v>0</v>
      </c>
    </row>
    <row r="548" spans="1:9" s="5" customFormat="1" ht="18.75" customHeight="1" x14ac:dyDescent="0.25">
      <c r="A548" s="489"/>
      <c r="B548" s="491" t="s">
        <v>1210</v>
      </c>
      <c r="C548" s="490"/>
      <c r="D548" s="128"/>
      <c r="E548" s="119"/>
      <c r="F548" s="145"/>
      <c r="G548" s="128"/>
      <c r="H548" s="128"/>
      <c r="I548" s="111"/>
    </row>
    <row r="549" spans="1:9" ht="31.2" hidden="1" outlineLevel="1" x14ac:dyDescent="0.25">
      <c r="A549" s="93" t="s">
        <v>325</v>
      </c>
      <c r="B549" s="357" t="s">
        <v>77</v>
      </c>
      <c r="C549" s="72" t="s">
        <v>12</v>
      </c>
      <c r="D549" s="356">
        <v>0</v>
      </c>
      <c r="E549" s="355">
        <v>1500</v>
      </c>
      <c r="F549" s="146"/>
      <c r="G549" s="2">
        <f>ROUND(E549*D549,2)</f>
        <v>0</v>
      </c>
      <c r="H549" s="73"/>
      <c r="I549" s="73">
        <f>G549+H549</f>
        <v>0</v>
      </c>
    </row>
    <row r="550" spans="1:9" hidden="1" outlineLevel="1" x14ac:dyDescent="0.25">
      <c r="A550" s="84"/>
      <c r="B550" s="329" t="s">
        <v>181</v>
      </c>
      <c r="C550" s="21" t="s">
        <v>173</v>
      </c>
      <c r="D550" s="340">
        <v>0</v>
      </c>
      <c r="E550" s="282"/>
      <c r="F550" s="361">
        <v>31000</v>
      </c>
      <c r="G550" s="18"/>
      <c r="H550" s="2">
        <f>ROUND(D550*F550,2)</f>
        <v>0</v>
      </c>
      <c r="I550" s="18">
        <f>G550+H550</f>
        <v>0</v>
      </c>
    </row>
    <row r="551" spans="1:9" hidden="1" outlineLevel="1" x14ac:dyDescent="0.25">
      <c r="A551" s="84" t="s">
        <v>326</v>
      </c>
      <c r="B551" s="9" t="s">
        <v>79</v>
      </c>
      <c r="C551" s="31" t="s">
        <v>80</v>
      </c>
      <c r="D551" s="306">
        <v>0</v>
      </c>
      <c r="E551" s="256">
        <v>75</v>
      </c>
      <c r="F551" s="60"/>
      <c r="G551" s="2">
        <f>ROUND(E551*D551,2)</f>
        <v>0</v>
      </c>
      <c r="H551" s="18"/>
      <c r="I551" s="18">
        <f t="shared" ref="I551:I595" si="36">G551+H551</f>
        <v>0</v>
      </c>
    </row>
    <row r="552" spans="1:9" hidden="1" outlineLevel="1" x14ac:dyDescent="0.25">
      <c r="A552" s="84"/>
      <c r="B552" s="343" t="s">
        <v>81</v>
      </c>
      <c r="C552" s="21" t="s">
        <v>80</v>
      </c>
      <c r="D552" s="340">
        <v>0</v>
      </c>
      <c r="E552" s="18"/>
      <c r="F552" s="361">
        <v>240</v>
      </c>
      <c r="G552" s="18"/>
      <c r="H552" s="2">
        <f>ROUND(D552*F552,2)</f>
        <v>0</v>
      </c>
      <c r="I552" s="18">
        <f t="shared" si="36"/>
        <v>0</v>
      </c>
    </row>
    <row r="553" spans="1:9" hidden="1" outlineLevel="1" x14ac:dyDescent="0.25">
      <c r="A553" s="84" t="s">
        <v>327</v>
      </c>
      <c r="B553" s="9" t="s">
        <v>83</v>
      </c>
      <c r="C553" s="31" t="s">
        <v>12</v>
      </c>
      <c r="D553" s="306">
        <v>0</v>
      </c>
      <c r="E553" s="256">
        <v>600</v>
      </c>
      <c r="F553" s="60"/>
      <c r="G553" s="2">
        <f>ROUND(E553*D553,2)</f>
        <v>0</v>
      </c>
      <c r="H553" s="18"/>
      <c r="I553" s="18">
        <f t="shared" si="36"/>
        <v>0</v>
      </c>
    </row>
    <row r="554" spans="1:9" ht="31.2" hidden="1" outlineLevel="1" x14ac:dyDescent="0.25">
      <c r="A554" s="84"/>
      <c r="B554" s="329" t="s">
        <v>266</v>
      </c>
      <c r="C554" s="21" t="s">
        <v>12</v>
      </c>
      <c r="D554" s="340">
        <v>0</v>
      </c>
      <c r="E554" s="18"/>
      <c r="F554" s="361">
        <v>950</v>
      </c>
      <c r="G554" s="18"/>
      <c r="H554" s="2">
        <f>ROUND(D554*F554,2)</f>
        <v>0</v>
      </c>
      <c r="I554" s="18">
        <f t="shared" si="36"/>
        <v>0</v>
      </c>
    </row>
    <row r="555" spans="1:9" ht="31.2" hidden="1" outlineLevel="1" x14ac:dyDescent="0.25">
      <c r="A555" s="84" t="s">
        <v>536</v>
      </c>
      <c r="B555" s="9" t="s">
        <v>85</v>
      </c>
      <c r="C555" s="31" t="s">
        <v>29</v>
      </c>
      <c r="D555" s="31">
        <v>0</v>
      </c>
      <c r="E555" s="256">
        <v>60</v>
      </c>
      <c r="F555" s="60"/>
      <c r="G555" s="2">
        <f>ROUND(E555*D555,2)</f>
        <v>0</v>
      </c>
      <c r="H555" s="18"/>
      <c r="I555" s="18">
        <f t="shared" si="36"/>
        <v>0</v>
      </c>
    </row>
    <row r="556" spans="1:9" ht="31.2" hidden="1" outlineLevel="1" x14ac:dyDescent="0.25">
      <c r="A556" s="84"/>
      <c r="B556" s="329" t="s">
        <v>412</v>
      </c>
      <c r="C556" s="21" t="s">
        <v>29</v>
      </c>
      <c r="D556" s="340">
        <v>0</v>
      </c>
      <c r="E556" s="18"/>
      <c r="F556" s="60">
        <v>40</v>
      </c>
      <c r="G556" s="18"/>
      <c r="H556" s="2">
        <f t="shared" ref="H556:H562" si="37">ROUND(D556*F556,2)</f>
        <v>0</v>
      </c>
      <c r="I556" s="18">
        <f t="shared" si="36"/>
        <v>0</v>
      </c>
    </row>
    <row r="557" spans="1:9" hidden="1" outlineLevel="1" x14ac:dyDescent="0.25">
      <c r="A557" s="84"/>
      <c r="B557" s="343" t="s">
        <v>86</v>
      </c>
      <c r="C557" s="21" t="s">
        <v>12</v>
      </c>
      <c r="D557" s="340">
        <v>0</v>
      </c>
      <c r="E557" s="18"/>
      <c r="F557" s="60">
        <v>98.64</v>
      </c>
      <c r="G557" s="18"/>
      <c r="H557" s="2">
        <f t="shared" si="37"/>
        <v>0</v>
      </c>
      <c r="I557" s="18">
        <f t="shared" si="36"/>
        <v>0</v>
      </c>
    </row>
    <row r="558" spans="1:9" ht="31.2" hidden="1" outlineLevel="1" x14ac:dyDescent="0.25">
      <c r="A558" s="84"/>
      <c r="B558" s="343" t="s">
        <v>263</v>
      </c>
      <c r="C558" s="21" t="s">
        <v>12</v>
      </c>
      <c r="D558" s="340">
        <v>0</v>
      </c>
      <c r="E558" s="18"/>
      <c r="F558" s="60">
        <v>145.03</v>
      </c>
      <c r="G558" s="18"/>
      <c r="H558" s="2">
        <f t="shared" si="37"/>
        <v>0</v>
      </c>
      <c r="I558" s="18">
        <f t="shared" si="36"/>
        <v>0</v>
      </c>
    </row>
    <row r="559" spans="1:9" ht="31.2" hidden="1" outlineLevel="1" x14ac:dyDescent="0.25">
      <c r="A559" s="84"/>
      <c r="B559" s="329" t="s">
        <v>264</v>
      </c>
      <c r="C559" s="21" t="s">
        <v>12</v>
      </c>
      <c r="D559" s="340">
        <v>0</v>
      </c>
      <c r="E559" s="18"/>
      <c r="F559" s="60">
        <v>450</v>
      </c>
      <c r="G559" s="18"/>
      <c r="H559" s="2">
        <f t="shared" si="37"/>
        <v>0</v>
      </c>
      <c r="I559" s="18">
        <f>G559+H559</f>
        <v>0</v>
      </c>
    </row>
    <row r="560" spans="1:9" ht="31.2" hidden="1" outlineLevel="1" x14ac:dyDescent="0.25">
      <c r="A560" s="84"/>
      <c r="B560" s="329" t="s">
        <v>265</v>
      </c>
      <c r="C560" s="21" t="s">
        <v>12</v>
      </c>
      <c r="D560" s="340">
        <v>0</v>
      </c>
      <c r="E560" s="18"/>
      <c r="F560" s="60">
        <v>450</v>
      </c>
      <c r="G560" s="18"/>
      <c r="H560" s="2">
        <f t="shared" si="37"/>
        <v>0</v>
      </c>
      <c r="I560" s="18">
        <f>G560+H560</f>
        <v>0</v>
      </c>
    </row>
    <row r="561" spans="1:9" hidden="1" outlineLevel="1" x14ac:dyDescent="0.25">
      <c r="A561" s="84"/>
      <c r="B561" s="343" t="s">
        <v>87</v>
      </c>
      <c r="C561" s="21" t="s">
        <v>12</v>
      </c>
      <c r="D561" s="340">
        <v>0</v>
      </c>
      <c r="E561" s="18"/>
      <c r="F561" s="60">
        <v>470</v>
      </c>
      <c r="G561" s="18"/>
      <c r="H561" s="2">
        <f t="shared" si="37"/>
        <v>0</v>
      </c>
      <c r="I561" s="18">
        <f t="shared" si="36"/>
        <v>0</v>
      </c>
    </row>
    <row r="562" spans="1:9" hidden="1" outlineLevel="1" x14ac:dyDescent="0.25">
      <c r="A562" s="84"/>
      <c r="B562" s="343" t="s">
        <v>88</v>
      </c>
      <c r="C562" s="21" t="s">
        <v>12</v>
      </c>
      <c r="D562" s="340">
        <v>0</v>
      </c>
      <c r="E562" s="18"/>
      <c r="F562" s="60">
        <v>1.5</v>
      </c>
      <c r="G562" s="18"/>
      <c r="H562" s="2">
        <f t="shared" si="37"/>
        <v>0</v>
      </c>
      <c r="I562" s="18">
        <f t="shared" si="36"/>
        <v>0</v>
      </c>
    </row>
    <row r="563" spans="1:9" ht="31.2" hidden="1" outlineLevel="1" x14ac:dyDescent="0.25">
      <c r="A563" s="84"/>
      <c r="B563" s="343" t="s">
        <v>681</v>
      </c>
      <c r="C563" s="21" t="s">
        <v>29</v>
      </c>
      <c r="D563" s="340">
        <v>0</v>
      </c>
      <c r="E563" s="18"/>
      <c r="F563" s="164">
        <v>100</v>
      </c>
      <c r="G563" s="18"/>
      <c r="H563" s="2">
        <f>ROUND(D563*F563,2)</f>
        <v>0</v>
      </c>
      <c r="I563" s="18">
        <f>G563+H563</f>
        <v>0</v>
      </c>
    </row>
    <row r="564" spans="1:9" ht="18" hidden="1" customHeight="1" outlineLevel="1" x14ac:dyDescent="0.25">
      <c r="A564" s="84"/>
      <c r="B564" s="343" t="s">
        <v>682</v>
      </c>
      <c r="C564" s="21" t="s">
        <v>12</v>
      </c>
      <c r="D564" s="340">
        <v>0</v>
      </c>
      <c r="E564" s="18"/>
      <c r="F564" s="164">
        <v>100</v>
      </c>
      <c r="G564" s="18"/>
      <c r="H564" s="2">
        <f>ROUND(D564*F564,2)</f>
        <v>0</v>
      </c>
      <c r="I564" s="18">
        <f>G564+H564</f>
        <v>0</v>
      </c>
    </row>
    <row r="565" spans="1:9" ht="31.2" hidden="1" outlineLevel="1" x14ac:dyDescent="0.25">
      <c r="A565" s="84" t="s">
        <v>538</v>
      </c>
      <c r="B565" s="307" t="s">
        <v>267</v>
      </c>
      <c r="C565" s="31" t="s">
        <v>12</v>
      </c>
      <c r="D565" s="306">
        <f>D566</f>
        <v>0</v>
      </c>
      <c r="E565" s="256">
        <v>300</v>
      </c>
      <c r="F565" s="11"/>
      <c r="G565" s="2">
        <f>ROUND(E565*D565,2)</f>
        <v>0</v>
      </c>
      <c r="H565" s="18"/>
      <c r="I565" s="18">
        <f t="shared" si="36"/>
        <v>0</v>
      </c>
    </row>
    <row r="566" spans="1:9" hidden="1" outlineLevel="1" x14ac:dyDescent="0.25">
      <c r="A566" s="84"/>
      <c r="B566" s="308" t="s">
        <v>416</v>
      </c>
      <c r="C566" s="2" t="s">
        <v>12</v>
      </c>
      <c r="D566" s="340">
        <v>0</v>
      </c>
      <c r="E566" s="2"/>
      <c r="F566" s="11">
        <f>2500*1.1</f>
        <v>2750</v>
      </c>
      <c r="G566" s="18"/>
      <c r="H566" s="2">
        <f>ROUND(D566*F566,2)</f>
        <v>0</v>
      </c>
      <c r="I566" s="18">
        <f t="shared" si="36"/>
        <v>0</v>
      </c>
    </row>
    <row r="567" spans="1:9" collapsed="1" x14ac:dyDescent="0.25">
      <c r="A567" s="223"/>
      <c r="B567" s="238" t="s">
        <v>539</v>
      </c>
      <c r="C567" s="234"/>
      <c r="D567" s="235"/>
      <c r="E567" s="236"/>
      <c r="F567" s="237"/>
      <c r="G567" s="236">
        <f>SUM(G548:G566)</f>
        <v>0</v>
      </c>
      <c r="H567" s="236">
        <f>SUM(H548:H566)</f>
        <v>0</v>
      </c>
      <c r="I567" s="236">
        <f>SUM(I549:I566)</f>
        <v>0</v>
      </c>
    </row>
    <row r="568" spans="1:9" s="5" customFormat="1" ht="18.600000000000001" customHeight="1" x14ac:dyDescent="0.25">
      <c r="A568" s="92"/>
      <c r="B568" s="471" t="s">
        <v>624</v>
      </c>
      <c r="C568" s="9"/>
      <c r="D568" s="31"/>
      <c r="E568" s="10"/>
      <c r="F568" s="57"/>
      <c r="G568" s="10"/>
      <c r="H568" s="10"/>
      <c r="I568" s="31">
        <f>ROUND(I567/1.18*0.18,2)</f>
        <v>0</v>
      </c>
    </row>
    <row r="569" spans="1:9" s="6" customFormat="1" x14ac:dyDescent="0.25">
      <c r="A569" s="492"/>
      <c r="B569" s="771" t="s">
        <v>1211</v>
      </c>
      <c r="C569" s="771"/>
      <c r="D569" s="771"/>
      <c r="E569" s="118"/>
      <c r="F569" s="112"/>
      <c r="G569" s="102"/>
      <c r="H569" s="102"/>
      <c r="I569" s="102"/>
    </row>
    <row r="570" spans="1:9" ht="31.2" hidden="1" outlineLevel="1" x14ac:dyDescent="0.25">
      <c r="A570" s="84" t="s">
        <v>154</v>
      </c>
      <c r="B570" s="494" t="s">
        <v>269</v>
      </c>
      <c r="C570" s="192" t="s">
        <v>29</v>
      </c>
      <c r="D570" s="10">
        <f>D571+D572</f>
        <v>0</v>
      </c>
      <c r="E570" s="256">
        <v>150</v>
      </c>
      <c r="F570" s="60"/>
      <c r="G570" s="2">
        <f>ROUND(E570*D570,2)</f>
        <v>0</v>
      </c>
      <c r="H570" s="18"/>
      <c r="I570" s="18">
        <f>G570+H570</f>
        <v>0</v>
      </c>
    </row>
    <row r="571" spans="1:9" ht="31.2" hidden="1" outlineLevel="1" x14ac:dyDescent="0.25">
      <c r="A571" s="84"/>
      <c r="B571" s="308" t="s">
        <v>683</v>
      </c>
      <c r="C571" s="21" t="s">
        <v>29</v>
      </c>
      <c r="D571" s="340">
        <v>0</v>
      </c>
      <c r="E571" s="282"/>
      <c r="F571" s="60">
        <f>(0.2+0.2+0.15+0.15)*500</f>
        <v>350.00000000000006</v>
      </c>
      <c r="G571" s="18"/>
      <c r="H571" s="2">
        <f>ROUND(D571*F571,2)</f>
        <v>0</v>
      </c>
      <c r="I571" s="18">
        <f>G571+H571</f>
        <v>0</v>
      </c>
    </row>
    <row r="572" spans="1:9" ht="31.2" hidden="1" outlineLevel="1" x14ac:dyDescent="0.25">
      <c r="A572" s="84"/>
      <c r="B572" s="308" t="s">
        <v>271</v>
      </c>
      <c r="C572" s="21" t="s">
        <v>29</v>
      </c>
      <c r="D572" s="340">
        <v>0</v>
      </c>
      <c r="E572" s="282"/>
      <c r="F572" s="60">
        <f>0.15*4*500</f>
        <v>300</v>
      </c>
      <c r="G572" s="18"/>
      <c r="H572" s="2">
        <f>ROUND(D572*F572,2)</f>
        <v>0</v>
      </c>
      <c r="I572" s="18">
        <f>G572+H572</f>
        <v>0</v>
      </c>
    </row>
    <row r="573" spans="1:9" ht="31.2" hidden="1" outlineLevel="1" x14ac:dyDescent="0.25">
      <c r="A573" s="84"/>
      <c r="B573" s="308" t="s">
        <v>684</v>
      </c>
      <c r="C573" s="21" t="s">
        <v>29</v>
      </c>
      <c r="D573" s="340">
        <v>0</v>
      </c>
      <c r="E573" s="282"/>
      <c r="F573" s="60">
        <f>0.15*4*500</f>
        <v>300</v>
      </c>
      <c r="G573" s="18"/>
      <c r="H573" s="2">
        <f>ROUND(D573*F573,2)</f>
        <v>0</v>
      </c>
      <c r="I573" s="18">
        <f>G573+H573</f>
        <v>0</v>
      </c>
    </row>
    <row r="574" spans="1:9" hidden="1" outlineLevel="1" x14ac:dyDescent="0.25">
      <c r="A574" s="84" t="s">
        <v>157</v>
      </c>
      <c r="B574" s="9" t="s">
        <v>89</v>
      </c>
      <c r="C574" s="31" t="s">
        <v>12</v>
      </c>
      <c r="D574" s="10">
        <f>D575+D576+D577+D580+D578+D579</f>
        <v>0</v>
      </c>
      <c r="E574" s="256">
        <v>50</v>
      </c>
      <c r="F574" s="60"/>
      <c r="G574" s="2">
        <f>ROUND(E574*D574,2)</f>
        <v>0</v>
      </c>
      <c r="H574" s="18"/>
      <c r="I574" s="18">
        <f t="shared" si="36"/>
        <v>0</v>
      </c>
    </row>
    <row r="575" spans="1:9" hidden="1" outlineLevel="1" x14ac:dyDescent="0.25">
      <c r="A575" s="84"/>
      <c r="B575" s="329" t="s">
        <v>686</v>
      </c>
      <c r="C575" s="21" t="s">
        <v>12</v>
      </c>
      <c r="D575" s="340">
        <v>0</v>
      </c>
      <c r="E575" s="18"/>
      <c r="F575" s="361">
        <v>100</v>
      </c>
      <c r="G575" s="18"/>
      <c r="H575" s="2">
        <f t="shared" ref="H575:H587" si="38">ROUND(D575*F575,2)</f>
        <v>0</v>
      </c>
      <c r="I575" s="18">
        <f t="shared" si="36"/>
        <v>0</v>
      </c>
    </row>
    <row r="576" spans="1:9" hidden="1" outlineLevel="1" x14ac:dyDescent="0.25">
      <c r="A576" s="84"/>
      <c r="B576" s="329" t="s">
        <v>685</v>
      </c>
      <c r="C576" s="21" t="s">
        <v>12</v>
      </c>
      <c r="D576" s="340">
        <v>0</v>
      </c>
      <c r="E576" s="18"/>
      <c r="F576" s="361">
        <v>100</v>
      </c>
      <c r="G576" s="18"/>
      <c r="H576" s="2">
        <f t="shared" si="38"/>
        <v>0</v>
      </c>
      <c r="I576" s="18">
        <f t="shared" si="36"/>
        <v>0</v>
      </c>
    </row>
    <row r="577" spans="1:9" hidden="1" outlineLevel="1" x14ac:dyDescent="0.25">
      <c r="A577" s="84"/>
      <c r="B577" s="329" t="s">
        <v>274</v>
      </c>
      <c r="C577" s="21" t="s">
        <v>12</v>
      </c>
      <c r="D577" s="340">
        <v>0</v>
      </c>
      <c r="E577" s="18"/>
      <c r="F577" s="361">
        <v>150</v>
      </c>
      <c r="G577" s="18"/>
      <c r="H577" s="2">
        <f t="shared" si="38"/>
        <v>0</v>
      </c>
      <c r="I577" s="18">
        <f t="shared" si="36"/>
        <v>0</v>
      </c>
    </row>
    <row r="578" spans="1:9" hidden="1" outlineLevel="1" x14ac:dyDescent="0.25">
      <c r="A578" s="84"/>
      <c r="B578" s="329" t="s">
        <v>687</v>
      </c>
      <c r="C578" s="21" t="s">
        <v>12</v>
      </c>
      <c r="D578" s="340">
        <v>0</v>
      </c>
      <c r="E578" s="18"/>
      <c r="F578" s="361">
        <v>200</v>
      </c>
      <c r="G578" s="18"/>
      <c r="H578" s="2">
        <f t="shared" si="38"/>
        <v>0</v>
      </c>
      <c r="I578" s="18">
        <f t="shared" si="36"/>
        <v>0</v>
      </c>
    </row>
    <row r="579" spans="1:9" ht="31.2" hidden="1" outlineLevel="1" x14ac:dyDescent="0.25">
      <c r="A579" s="84"/>
      <c r="B579" s="329" t="s">
        <v>420</v>
      </c>
      <c r="C579" s="21" t="s">
        <v>12</v>
      </c>
      <c r="D579" s="340">
        <v>0</v>
      </c>
      <c r="E579" s="18"/>
      <c r="F579" s="361">
        <v>100</v>
      </c>
      <c r="G579" s="18"/>
      <c r="H579" s="2">
        <f t="shared" si="38"/>
        <v>0</v>
      </c>
      <c r="I579" s="18">
        <f t="shared" si="36"/>
        <v>0</v>
      </c>
    </row>
    <row r="580" spans="1:9" hidden="1" outlineLevel="1" x14ac:dyDescent="0.25">
      <c r="A580" s="84"/>
      <c r="B580" s="329" t="s">
        <v>275</v>
      </c>
      <c r="C580" s="21" t="s">
        <v>12</v>
      </c>
      <c r="D580" s="340">
        <v>0</v>
      </c>
      <c r="E580" s="18"/>
      <c r="F580" s="361">
        <v>1800</v>
      </c>
      <c r="G580" s="18"/>
      <c r="H580" s="2">
        <f t="shared" si="38"/>
        <v>0</v>
      </c>
      <c r="I580" s="18">
        <f t="shared" si="36"/>
        <v>0</v>
      </c>
    </row>
    <row r="581" spans="1:9" hidden="1" outlineLevel="1" x14ac:dyDescent="0.25">
      <c r="A581" s="84"/>
      <c r="B581" s="329" t="s">
        <v>688</v>
      </c>
      <c r="C581" s="21" t="s">
        <v>12</v>
      </c>
      <c r="D581" s="340">
        <v>0</v>
      </c>
      <c r="E581" s="18"/>
      <c r="F581" s="164">
        <v>2000</v>
      </c>
      <c r="G581" s="18"/>
      <c r="H581" s="2">
        <f>ROUND(D581*F581,2)</f>
        <v>0</v>
      </c>
      <c r="I581" s="18">
        <f>G581+H581</f>
        <v>0</v>
      </c>
    </row>
    <row r="582" spans="1:9" hidden="1" outlineLevel="1" x14ac:dyDescent="0.25">
      <c r="A582" s="84"/>
      <c r="B582" s="329" t="s">
        <v>689</v>
      </c>
      <c r="C582" s="21" t="s">
        <v>12</v>
      </c>
      <c r="D582" s="340">
        <v>0</v>
      </c>
      <c r="E582" s="18"/>
      <c r="F582" s="164">
        <v>2000</v>
      </c>
      <c r="G582" s="18"/>
      <c r="H582" s="2">
        <f>ROUND(D582*F582,2)</f>
        <v>0</v>
      </c>
      <c r="I582" s="18">
        <f>G582+H582</f>
        <v>0</v>
      </c>
    </row>
    <row r="583" spans="1:9" hidden="1" outlineLevel="1" x14ac:dyDescent="0.25">
      <c r="A583" s="84"/>
      <c r="B583" s="9" t="s">
        <v>691</v>
      </c>
      <c r="C583" s="31" t="s">
        <v>12</v>
      </c>
      <c r="D583" s="10">
        <v>0</v>
      </c>
      <c r="E583" s="166">
        <v>300</v>
      </c>
      <c r="F583" s="60"/>
      <c r="G583" s="2">
        <f>ROUND(E583*D583,2)</f>
        <v>0</v>
      </c>
      <c r="H583" s="18"/>
      <c r="I583" s="18">
        <f>G583+H583</f>
        <v>0</v>
      </c>
    </row>
    <row r="584" spans="1:9" hidden="1" outlineLevel="1" x14ac:dyDescent="0.25">
      <c r="A584" s="84"/>
      <c r="B584" s="329" t="s">
        <v>692</v>
      </c>
      <c r="C584" s="21" t="s">
        <v>12</v>
      </c>
      <c r="D584" s="340">
        <v>0</v>
      </c>
      <c r="E584" s="18"/>
      <c r="F584" s="164">
        <v>5000</v>
      </c>
      <c r="G584" s="18"/>
      <c r="H584" s="2">
        <f>ROUND(D584*F584,2)</f>
        <v>0</v>
      </c>
      <c r="I584" s="18">
        <f>G584+H584</f>
        <v>0</v>
      </c>
    </row>
    <row r="585" spans="1:9" hidden="1" outlineLevel="1" x14ac:dyDescent="0.25">
      <c r="A585" s="84"/>
      <c r="B585" s="329" t="s">
        <v>693</v>
      </c>
      <c r="C585" s="21" t="s">
        <v>12</v>
      </c>
      <c r="D585" s="340">
        <v>0</v>
      </c>
      <c r="E585" s="18"/>
      <c r="F585" s="164">
        <v>500</v>
      </c>
      <c r="G585" s="18"/>
      <c r="H585" s="2">
        <f>ROUND(D585*F585,2)</f>
        <v>0</v>
      </c>
      <c r="I585" s="18">
        <f>G585+H585</f>
        <v>0</v>
      </c>
    </row>
    <row r="586" spans="1:9" hidden="1" outlineLevel="1" x14ac:dyDescent="0.25">
      <c r="A586" s="84"/>
      <c r="B586" s="329" t="s">
        <v>695</v>
      </c>
      <c r="C586" s="21" t="s">
        <v>12</v>
      </c>
      <c r="D586" s="340">
        <v>0</v>
      </c>
      <c r="E586" s="18"/>
      <c r="F586" s="164">
        <v>100</v>
      </c>
      <c r="G586" s="18"/>
      <c r="H586" s="2">
        <f t="shared" si="38"/>
        <v>0</v>
      </c>
      <c r="I586" s="18">
        <f t="shared" si="36"/>
        <v>0</v>
      </c>
    </row>
    <row r="587" spans="1:9" ht="31.2" hidden="1" outlineLevel="1" x14ac:dyDescent="0.25">
      <c r="A587" s="84"/>
      <c r="B587" s="329" t="s">
        <v>694</v>
      </c>
      <c r="C587" s="21" t="s">
        <v>12</v>
      </c>
      <c r="D587" s="340">
        <v>0</v>
      </c>
      <c r="E587" s="18"/>
      <c r="F587" s="164">
        <v>100</v>
      </c>
      <c r="G587" s="18"/>
      <c r="H587" s="2">
        <f t="shared" si="38"/>
        <v>0</v>
      </c>
      <c r="I587" s="18">
        <f t="shared" si="36"/>
        <v>0</v>
      </c>
    </row>
    <row r="588" spans="1:9" ht="31.2" hidden="1" outlineLevel="1" x14ac:dyDescent="0.25">
      <c r="A588" s="84"/>
      <c r="B588" s="329" t="s">
        <v>696</v>
      </c>
      <c r="C588" s="21" t="s">
        <v>12</v>
      </c>
      <c r="D588" s="340">
        <v>0</v>
      </c>
      <c r="E588" s="18"/>
      <c r="F588" s="164">
        <v>100</v>
      </c>
      <c r="G588" s="18"/>
      <c r="H588" s="2">
        <f>ROUND(D588*F588,2)</f>
        <v>0</v>
      </c>
      <c r="I588" s="18">
        <f t="shared" si="36"/>
        <v>0</v>
      </c>
    </row>
    <row r="589" spans="1:9" ht="31.2" hidden="1" outlineLevel="1" x14ac:dyDescent="0.25">
      <c r="A589" s="84"/>
      <c r="B589" s="329" t="s">
        <v>697</v>
      </c>
      <c r="C589" s="21" t="s">
        <v>12</v>
      </c>
      <c r="D589" s="340">
        <v>0</v>
      </c>
      <c r="E589" s="18"/>
      <c r="F589" s="164">
        <v>100</v>
      </c>
      <c r="G589" s="18"/>
      <c r="H589" s="2">
        <f>ROUND(D589*F589,2)</f>
        <v>0</v>
      </c>
      <c r="I589" s="18">
        <f t="shared" si="36"/>
        <v>0</v>
      </c>
    </row>
    <row r="590" spans="1:9" ht="31.2" hidden="1" outlineLevel="1" x14ac:dyDescent="0.25">
      <c r="A590" s="84"/>
      <c r="B590" s="329" t="s">
        <v>699</v>
      </c>
      <c r="C590" s="21" t="s">
        <v>12</v>
      </c>
      <c r="D590" s="340">
        <v>0</v>
      </c>
      <c r="E590" s="18"/>
      <c r="F590" s="164">
        <v>200</v>
      </c>
      <c r="G590" s="18"/>
      <c r="H590" s="2">
        <f>ROUND(D590*F590,2)</f>
        <v>0</v>
      </c>
      <c r="I590" s="18">
        <f t="shared" si="36"/>
        <v>0</v>
      </c>
    </row>
    <row r="591" spans="1:9" ht="31.2" hidden="1" outlineLevel="1" x14ac:dyDescent="0.25">
      <c r="A591" s="84"/>
      <c r="B591" s="329" t="s">
        <v>700</v>
      </c>
      <c r="C591" s="21" t="s">
        <v>12</v>
      </c>
      <c r="D591" s="340">
        <v>0</v>
      </c>
      <c r="E591" s="18"/>
      <c r="F591" s="164">
        <v>200</v>
      </c>
      <c r="G591" s="18"/>
      <c r="H591" s="2">
        <f>ROUND(D591*F591,2)</f>
        <v>0</v>
      </c>
      <c r="I591" s="18">
        <f t="shared" si="36"/>
        <v>0</v>
      </c>
    </row>
    <row r="592" spans="1:9" ht="31.2" hidden="1" outlineLevel="1" x14ac:dyDescent="0.25">
      <c r="A592" s="84"/>
      <c r="B592" s="329" t="s">
        <v>698</v>
      </c>
      <c r="C592" s="21" t="s">
        <v>12</v>
      </c>
      <c r="D592" s="340">
        <v>0</v>
      </c>
      <c r="E592" s="18"/>
      <c r="F592" s="164">
        <v>200</v>
      </c>
      <c r="G592" s="18"/>
      <c r="H592" s="2">
        <f>ROUND(D592*F592,2)</f>
        <v>0</v>
      </c>
      <c r="I592" s="18">
        <f t="shared" si="36"/>
        <v>0</v>
      </c>
    </row>
    <row r="593" spans="1:9" hidden="1" outlineLevel="1" x14ac:dyDescent="0.25">
      <c r="A593" s="84" t="s">
        <v>158</v>
      </c>
      <c r="B593" s="9" t="s">
        <v>279</v>
      </c>
      <c r="C593" s="31" t="s">
        <v>14</v>
      </c>
      <c r="D593" s="10">
        <f>D595+D594</f>
        <v>0</v>
      </c>
      <c r="E593" s="256">
        <v>150</v>
      </c>
      <c r="F593" s="60"/>
      <c r="G593" s="2">
        <f>ROUND(E593*D593,2)</f>
        <v>0</v>
      </c>
      <c r="H593" s="18"/>
      <c r="I593" s="18">
        <f t="shared" si="36"/>
        <v>0</v>
      </c>
    </row>
    <row r="594" spans="1:9" hidden="1" outlineLevel="1" x14ac:dyDescent="0.25">
      <c r="A594" s="84"/>
      <c r="B594" s="329" t="s">
        <v>422</v>
      </c>
      <c r="C594" s="21" t="s">
        <v>14</v>
      </c>
      <c r="D594" s="340">
        <v>0</v>
      </c>
      <c r="E594" s="18"/>
      <c r="F594" s="164">
        <v>350</v>
      </c>
      <c r="G594" s="18"/>
      <c r="H594" s="2">
        <f>ROUND(D594*F594,2)</f>
        <v>0</v>
      </c>
      <c r="I594" s="18">
        <f t="shared" si="36"/>
        <v>0</v>
      </c>
    </row>
    <row r="595" spans="1:9" ht="31.2" hidden="1" outlineLevel="1" x14ac:dyDescent="0.25">
      <c r="A595" s="84"/>
      <c r="B595" s="329" t="s">
        <v>690</v>
      </c>
      <c r="C595" s="21" t="s">
        <v>14</v>
      </c>
      <c r="D595" s="340">
        <v>0</v>
      </c>
      <c r="E595" s="18"/>
      <c r="F595" s="164">
        <v>350</v>
      </c>
      <c r="G595" s="18"/>
      <c r="H595" s="2">
        <f>ROUND(D595*F595,2)</f>
        <v>0</v>
      </c>
      <c r="I595" s="18">
        <f t="shared" si="36"/>
        <v>0</v>
      </c>
    </row>
    <row r="596" spans="1:9" s="5" customFormat="1" collapsed="1" x14ac:dyDescent="0.25">
      <c r="A596" s="223"/>
      <c r="B596" s="238" t="s">
        <v>328</v>
      </c>
      <c r="C596" s="234"/>
      <c r="D596" s="235"/>
      <c r="E596" s="236"/>
      <c r="F596" s="237"/>
      <c r="G596" s="236">
        <f>SUM(G569:G595)</f>
        <v>0</v>
      </c>
      <c r="H596" s="236">
        <f>SUM(H569:H595)</f>
        <v>0</v>
      </c>
      <c r="I596" s="236">
        <f>SUM(I569:I595)</f>
        <v>0</v>
      </c>
    </row>
    <row r="597" spans="1:9" s="5" customFormat="1" ht="18.600000000000001" customHeight="1" x14ac:dyDescent="0.25">
      <c r="A597" s="84"/>
      <c r="B597" s="471" t="s">
        <v>624</v>
      </c>
      <c r="C597" s="9"/>
      <c r="D597" s="31"/>
      <c r="E597" s="10"/>
      <c r="F597" s="57"/>
      <c r="G597" s="10"/>
      <c r="H597" s="10"/>
      <c r="I597" s="31">
        <f>ROUND(I596/1.18*0.18,2)</f>
        <v>0</v>
      </c>
    </row>
    <row r="598" spans="1:9" s="5" customFormat="1" ht="18.75" customHeight="1" x14ac:dyDescent="0.25">
      <c r="A598" s="109"/>
      <c r="B598" s="771" t="s">
        <v>1212</v>
      </c>
      <c r="C598" s="771"/>
      <c r="D598" s="771"/>
      <c r="E598" s="105"/>
      <c r="F598" s="138"/>
      <c r="G598" s="105"/>
      <c r="H598" s="105"/>
      <c r="I598" s="106"/>
    </row>
    <row r="599" spans="1:9" s="36" customFormat="1" ht="30" hidden="1" customHeight="1" outlineLevel="1" x14ac:dyDescent="0.25">
      <c r="A599" s="84" t="s">
        <v>76</v>
      </c>
      <c r="B599" s="495" t="s">
        <v>120</v>
      </c>
      <c r="C599" s="2"/>
      <c r="D599" s="2"/>
      <c r="E599" s="117"/>
      <c r="F599" s="11"/>
      <c r="G599" s="18"/>
      <c r="H599" s="18"/>
      <c r="I599" s="18"/>
    </row>
    <row r="600" spans="1:9" ht="31.2" hidden="1" outlineLevel="1" x14ac:dyDescent="0.25">
      <c r="A600" s="84" t="s">
        <v>542</v>
      </c>
      <c r="B600" s="29" t="s">
        <v>95</v>
      </c>
      <c r="C600" s="31" t="s">
        <v>29</v>
      </c>
      <c r="D600" s="10">
        <f>D601+D602+D603+D604+D605</f>
        <v>0</v>
      </c>
      <c r="E600" s="256">
        <v>85</v>
      </c>
      <c r="F600" s="60"/>
      <c r="G600" s="2">
        <f>ROUND(E600*D600,2)</f>
        <v>0</v>
      </c>
      <c r="H600" s="18"/>
      <c r="I600" s="18">
        <f>G600+H600</f>
        <v>0</v>
      </c>
    </row>
    <row r="601" spans="1:9" hidden="1" outlineLevel="1" x14ac:dyDescent="0.25">
      <c r="A601" s="84"/>
      <c r="B601" s="329" t="s">
        <v>96</v>
      </c>
      <c r="C601" s="21" t="s">
        <v>29</v>
      </c>
      <c r="D601" s="340">
        <v>0</v>
      </c>
      <c r="E601" s="18"/>
      <c r="F601" s="60">
        <v>42.23</v>
      </c>
      <c r="G601" s="18"/>
      <c r="H601" s="2">
        <f t="shared" ref="H601:H608" si="39">ROUND(D601*F601,2)</f>
        <v>0</v>
      </c>
      <c r="I601" s="18">
        <f>G601+H601</f>
        <v>0</v>
      </c>
    </row>
    <row r="602" spans="1:9" hidden="1" outlineLevel="1" x14ac:dyDescent="0.25">
      <c r="A602" s="84"/>
      <c r="B602" s="343" t="s">
        <v>98</v>
      </c>
      <c r="C602" s="21" t="s">
        <v>29</v>
      </c>
      <c r="D602" s="340">
        <v>0</v>
      </c>
      <c r="E602" s="18"/>
      <c r="F602" s="60">
        <v>58.9</v>
      </c>
      <c r="G602" s="18"/>
      <c r="H602" s="2">
        <f t="shared" si="39"/>
        <v>0</v>
      </c>
      <c r="I602" s="18">
        <f>G602+H602</f>
        <v>0</v>
      </c>
    </row>
    <row r="603" spans="1:9" hidden="1" outlineLevel="1" x14ac:dyDescent="0.25">
      <c r="A603" s="84"/>
      <c r="B603" s="329" t="s">
        <v>423</v>
      </c>
      <c r="C603" s="21" t="s">
        <v>29</v>
      </c>
      <c r="D603" s="340">
        <v>0</v>
      </c>
      <c r="E603" s="18"/>
      <c r="F603" s="60">
        <v>94.01</v>
      </c>
      <c r="G603" s="18"/>
      <c r="H603" s="2">
        <f t="shared" si="39"/>
        <v>0</v>
      </c>
      <c r="I603" s="18">
        <f>G603+H603</f>
        <v>0</v>
      </c>
    </row>
    <row r="604" spans="1:9" hidden="1" outlineLevel="1" x14ac:dyDescent="0.25">
      <c r="A604" s="84"/>
      <c r="B604" s="329" t="s">
        <v>424</v>
      </c>
      <c r="C604" s="21" t="s">
        <v>29</v>
      </c>
      <c r="D604" s="340">
        <v>0</v>
      </c>
      <c r="E604" s="18"/>
      <c r="F604" s="60">
        <v>135.80000000000001</v>
      </c>
      <c r="G604" s="18"/>
      <c r="H604" s="2">
        <f t="shared" si="39"/>
        <v>0</v>
      </c>
      <c r="I604" s="18">
        <f>G604+H604</f>
        <v>0</v>
      </c>
    </row>
    <row r="605" spans="1:9" hidden="1" outlineLevel="1" x14ac:dyDescent="0.25">
      <c r="A605" s="84"/>
      <c r="B605" s="329" t="s">
        <v>119</v>
      </c>
      <c r="C605" s="21" t="s">
        <v>29</v>
      </c>
      <c r="D605" s="340">
        <v>0</v>
      </c>
      <c r="E605" s="18"/>
      <c r="F605" s="60">
        <v>226</v>
      </c>
      <c r="G605" s="18"/>
      <c r="H605" s="2">
        <f t="shared" si="39"/>
        <v>0</v>
      </c>
      <c r="I605" s="18">
        <f t="shared" ref="I605:I677" si="40">G605+H605</f>
        <v>0</v>
      </c>
    </row>
    <row r="606" spans="1:9" hidden="1" outlineLevel="1" x14ac:dyDescent="0.25">
      <c r="A606" s="84"/>
      <c r="B606" s="329" t="s">
        <v>121</v>
      </c>
      <c r="C606" s="21" t="s">
        <v>12</v>
      </c>
      <c r="D606" s="340">
        <v>0</v>
      </c>
      <c r="E606" s="18"/>
      <c r="F606" s="60">
        <v>77.25</v>
      </c>
      <c r="G606" s="18"/>
      <c r="H606" s="2">
        <f t="shared" si="39"/>
        <v>0</v>
      </c>
      <c r="I606" s="18">
        <f t="shared" si="40"/>
        <v>0</v>
      </c>
    </row>
    <row r="607" spans="1:9" hidden="1" outlineLevel="1" x14ac:dyDescent="0.25">
      <c r="A607" s="84"/>
      <c r="B607" s="329" t="s">
        <v>426</v>
      </c>
      <c r="C607" s="21" t="s">
        <v>12</v>
      </c>
      <c r="D607" s="340">
        <v>0</v>
      </c>
      <c r="E607" s="18"/>
      <c r="F607" s="60">
        <v>77.25</v>
      </c>
      <c r="G607" s="18"/>
      <c r="H607" s="2">
        <f t="shared" si="39"/>
        <v>0</v>
      </c>
      <c r="I607" s="18">
        <f>G607+H607</f>
        <v>0</v>
      </c>
    </row>
    <row r="608" spans="1:9" ht="31.2" hidden="1" outlineLevel="1" x14ac:dyDescent="0.25">
      <c r="A608" s="84"/>
      <c r="B608" s="329" t="s">
        <v>107</v>
      </c>
      <c r="C608" s="21" t="s">
        <v>12</v>
      </c>
      <c r="D608" s="340">
        <v>0</v>
      </c>
      <c r="E608" s="18"/>
      <c r="F608" s="60">
        <v>40</v>
      </c>
      <c r="G608" s="18"/>
      <c r="H608" s="2">
        <f t="shared" si="39"/>
        <v>0</v>
      </c>
      <c r="I608" s="18">
        <f t="shared" si="40"/>
        <v>0</v>
      </c>
    </row>
    <row r="609" spans="1:9" hidden="1" outlineLevel="1" x14ac:dyDescent="0.25">
      <c r="A609" s="84"/>
      <c r="B609" s="329" t="s">
        <v>703</v>
      </c>
      <c r="C609" s="21" t="s">
        <v>14</v>
      </c>
      <c r="D609" s="340">
        <v>0</v>
      </c>
      <c r="E609" s="18"/>
      <c r="F609" s="164">
        <v>100</v>
      </c>
      <c r="G609" s="18"/>
      <c r="H609" s="2">
        <f>ROUND(D609*F609,2)</f>
        <v>0</v>
      </c>
      <c r="I609" s="18">
        <f>G609+H609</f>
        <v>0</v>
      </c>
    </row>
    <row r="610" spans="1:9" hidden="1" outlineLevel="1" x14ac:dyDescent="0.25">
      <c r="A610" s="84" t="s">
        <v>543</v>
      </c>
      <c r="B610" s="358" t="s">
        <v>427</v>
      </c>
      <c r="C610" s="176" t="s">
        <v>12</v>
      </c>
      <c r="D610" s="306">
        <v>0</v>
      </c>
      <c r="E610" s="18"/>
      <c r="F610" s="60"/>
      <c r="G610" s="18"/>
      <c r="H610" s="18"/>
      <c r="I610" s="18"/>
    </row>
    <row r="611" spans="1:9" hidden="1" outlineLevel="1" x14ac:dyDescent="0.25">
      <c r="A611" s="84"/>
      <c r="B611" s="329" t="s">
        <v>702</v>
      </c>
      <c r="C611" s="21" t="s">
        <v>12</v>
      </c>
      <c r="D611" s="340">
        <v>0</v>
      </c>
      <c r="E611" s="18"/>
      <c r="F611" s="60">
        <v>283</v>
      </c>
      <c r="G611" s="18"/>
      <c r="H611" s="2">
        <f>ROUND(D611*F611,2)</f>
        <v>0</v>
      </c>
      <c r="I611" s="18">
        <f t="shared" si="40"/>
        <v>0</v>
      </c>
    </row>
    <row r="612" spans="1:9" hidden="1" outlineLevel="1" x14ac:dyDescent="0.25">
      <c r="A612" s="84"/>
      <c r="B612" s="329" t="s">
        <v>467</v>
      </c>
      <c r="C612" s="21" t="s">
        <v>12</v>
      </c>
      <c r="D612" s="340">
        <v>0</v>
      </c>
      <c r="E612" s="18"/>
      <c r="F612" s="60">
        <v>322.2</v>
      </c>
      <c r="G612" s="18"/>
      <c r="H612" s="2">
        <f>ROUND(D612*F612,2)</f>
        <v>0</v>
      </c>
      <c r="I612" s="18">
        <f t="shared" si="40"/>
        <v>0</v>
      </c>
    </row>
    <row r="613" spans="1:9" hidden="1" outlineLevel="1" x14ac:dyDescent="0.25">
      <c r="A613" s="84" t="s">
        <v>544</v>
      </c>
      <c r="B613" s="307" t="s">
        <v>101</v>
      </c>
      <c r="C613" s="31" t="s">
        <v>29</v>
      </c>
      <c r="D613" s="306">
        <f>D600</f>
        <v>0</v>
      </c>
      <c r="E613" s="256">
        <v>30</v>
      </c>
      <c r="F613" s="60"/>
      <c r="G613" s="2">
        <f>ROUND(E613*D613,2)</f>
        <v>0</v>
      </c>
      <c r="H613" s="18"/>
      <c r="I613" s="18">
        <f t="shared" si="40"/>
        <v>0</v>
      </c>
    </row>
    <row r="614" spans="1:9" hidden="1" outlineLevel="1" x14ac:dyDescent="0.25">
      <c r="A614" s="84"/>
      <c r="B614" s="329" t="s">
        <v>122</v>
      </c>
      <c r="C614" s="21" t="s">
        <v>29</v>
      </c>
      <c r="D614" s="340">
        <v>0</v>
      </c>
      <c r="E614" s="282"/>
      <c r="F614" s="60">
        <v>62</v>
      </c>
      <c r="G614" s="18"/>
      <c r="H614" s="2">
        <f>ROUND(D614*F614,2)</f>
        <v>0</v>
      </c>
      <c r="I614" s="18">
        <f t="shared" si="40"/>
        <v>0</v>
      </c>
    </row>
    <row r="615" spans="1:9" hidden="1" outlineLevel="1" x14ac:dyDescent="0.25">
      <c r="A615" s="84" t="s">
        <v>545</v>
      </c>
      <c r="B615" s="307" t="s">
        <v>123</v>
      </c>
      <c r="C615" s="31" t="s">
        <v>12</v>
      </c>
      <c r="D615" s="306">
        <v>0</v>
      </c>
      <c r="E615" s="256">
        <v>500</v>
      </c>
      <c r="F615" s="60"/>
      <c r="G615" s="2">
        <f>ROUND(E615*D615,2)</f>
        <v>0</v>
      </c>
      <c r="H615" s="18"/>
      <c r="I615" s="18">
        <f t="shared" si="40"/>
        <v>0</v>
      </c>
    </row>
    <row r="616" spans="1:9" hidden="1" outlineLevel="1" x14ac:dyDescent="0.25">
      <c r="A616" s="84"/>
      <c r="B616" s="329" t="s">
        <v>124</v>
      </c>
      <c r="C616" s="21" t="s">
        <v>12</v>
      </c>
      <c r="D616" s="340">
        <v>0</v>
      </c>
      <c r="E616" s="282"/>
      <c r="F616" s="60">
        <v>100</v>
      </c>
      <c r="G616" s="18"/>
      <c r="H616" s="2">
        <f>ROUND(D616*F616,2)</f>
        <v>0</v>
      </c>
      <c r="I616" s="18">
        <f t="shared" si="40"/>
        <v>0</v>
      </c>
    </row>
    <row r="617" spans="1:9" hidden="1" outlineLevel="1" x14ac:dyDescent="0.25">
      <c r="A617" s="84"/>
      <c r="B617" s="343" t="s">
        <v>125</v>
      </c>
      <c r="C617" s="21" t="s">
        <v>12</v>
      </c>
      <c r="D617" s="340">
        <v>0</v>
      </c>
      <c r="E617" s="282"/>
      <c r="F617" s="60">
        <f>30*20</f>
        <v>600</v>
      </c>
      <c r="G617" s="18"/>
      <c r="H617" s="2">
        <f>ROUND(D617*F617,2)</f>
        <v>0</v>
      </c>
      <c r="I617" s="18">
        <f t="shared" si="40"/>
        <v>0</v>
      </c>
    </row>
    <row r="618" spans="1:9" hidden="1" outlineLevel="1" x14ac:dyDescent="0.25">
      <c r="A618" s="84" t="s">
        <v>78</v>
      </c>
      <c r="B618" s="75" t="s">
        <v>126</v>
      </c>
      <c r="C618" s="2"/>
      <c r="D618" s="2"/>
      <c r="E618" s="282"/>
      <c r="F618" s="11"/>
      <c r="G618" s="18"/>
      <c r="H618" s="18"/>
      <c r="I618" s="18">
        <f t="shared" si="40"/>
        <v>0</v>
      </c>
    </row>
    <row r="619" spans="1:9" hidden="1" outlineLevel="1" x14ac:dyDescent="0.25">
      <c r="A619" s="84" t="s">
        <v>546</v>
      </c>
      <c r="B619" s="29" t="s">
        <v>127</v>
      </c>
      <c r="C619" s="31" t="s">
        <v>12</v>
      </c>
      <c r="D619" s="31">
        <v>0</v>
      </c>
      <c r="E619" s="256">
        <v>10000</v>
      </c>
      <c r="F619" s="60"/>
      <c r="G619" s="2">
        <f>ROUND(E619*D619,2)</f>
        <v>0</v>
      </c>
      <c r="H619" s="18"/>
      <c r="I619" s="18">
        <f t="shared" si="40"/>
        <v>0</v>
      </c>
    </row>
    <row r="620" spans="1:9" hidden="1" outlineLevel="1" x14ac:dyDescent="0.25">
      <c r="A620" s="84"/>
      <c r="B620" s="343" t="s">
        <v>128</v>
      </c>
      <c r="C620" s="21" t="s">
        <v>12</v>
      </c>
      <c r="D620" s="340">
        <v>0</v>
      </c>
      <c r="E620" s="18"/>
      <c r="F620" s="60">
        <v>1033.78</v>
      </c>
      <c r="G620" s="18"/>
      <c r="H620" s="2">
        <f t="shared" ref="H620:H630" si="41">ROUND(D620*F620,2)</f>
        <v>0</v>
      </c>
      <c r="I620" s="18">
        <f t="shared" si="40"/>
        <v>0</v>
      </c>
    </row>
    <row r="621" spans="1:9" hidden="1" outlineLevel="1" x14ac:dyDescent="0.25">
      <c r="A621" s="84"/>
      <c r="B621" s="343" t="s">
        <v>129</v>
      </c>
      <c r="C621" s="21" t="s">
        <v>12</v>
      </c>
      <c r="D621" s="340">
        <v>0</v>
      </c>
      <c r="E621" s="18"/>
      <c r="F621" s="60">
        <v>2018.83</v>
      </c>
      <c r="G621" s="18"/>
      <c r="H621" s="2">
        <f t="shared" si="41"/>
        <v>0</v>
      </c>
      <c r="I621" s="18">
        <f t="shared" si="40"/>
        <v>0</v>
      </c>
    </row>
    <row r="622" spans="1:9" hidden="1" outlineLevel="1" x14ac:dyDescent="0.25">
      <c r="A622" s="84"/>
      <c r="B622" s="329" t="s">
        <v>130</v>
      </c>
      <c r="C622" s="21" t="s">
        <v>12</v>
      </c>
      <c r="D622" s="340">
        <v>0</v>
      </c>
      <c r="E622" s="18"/>
      <c r="F622" s="60">
        <v>109.44</v>
      </c>
      <c r="G622" s="18"/>
      <c r="H622" s="2">
        <f t="shared" si="41"/>
        <v>0</v>
      </c>
      <c r="I622" s="18">
        <f t="shared" si="40"/>
        <v>0</v>
      </c>
    </row>
    <row r="623" spans="1:9" hidden="1" outlineLevel="1" x14ac:dyDescent="0.25">
      <c r="A623" s="84"/>
      <c r="B623" s="329" t="s">
        <v>131</v>
      </c>
      <c r="C623" s="21" t="s">
        <v>12</v>
      </c>
      <c r="D623" s="340">
        <v>0</v>
      </c>
      <c r="E623" s="18"/>
      <c r="F623" s="60">
        <v>228.92</v>
      </c>
      <c r="G623" s="18"/>
      <c r="H623" s="2">
        <f t="shared" si="41"/>
        <v>0</v>
      </c>
      <c r="I623" s="18">
        <f t="shared" si="40"/>
        <v>0</v>
      </c>
    </row>
    <row r="624" spans="1:9" hidden="1" outlineLevel="1" x14ac:dyDescent="0.25">
      <c r="A624" s="84"/>
      <c r="B624" s="329" t="s">
        <v>132</v>
      </c>
      <c r="C624" s="21" t="s">
        <v>12</v>
      </c>
      <c r="D624" s="340">
        <v>0</v>
      </c>
      <c r="E624" s="18"/>
      <c r="F624" s="60">
        <v>198</v>
      </c>
      <c r="G624" s="18"/>
      <c r="H624" s="2">
        <f t="shared" si="41"/>
        <v>0</v>
      </c>
      <c r="I624" s="18">
        <f t="shared" si="40"/>
        <v>0</v>
      </c>
    </row>
    <row r="625" spans="1:9" hidden="1" outlineLevel="1" x14ac:dyDescent="0.25">
      <c r="A625" s="84"/>
      <c r="B625" s="329" t="s">
        <v>704</v>
      </c>
      <c r="C625" s="21" t="s">
        <v>12</v>
      </c>
      <c r="D625" s="340">
        <v>0</v>
      </c>
      <c r="E625" s="18"/>
      <c r="F625" s="164">
        <v>100</v>
      </c>
      <c r="G625" s="18"/>
      <c r="H625" s="2">
        <f>ROUND(D625*F625,2)</f>
        <v>0</v>
      </c>
      <c r="I625" s="18">
        <f>G625+H625</f>
        <v>0</v>
      </c>
    </row>
    <row r="626" spans="1:9" ht="19.95" hidden="1" customHeight="1" outlineLevel="1" x14ac:dyDescent="0.25">
      <c r="A626" s="84"/>
      <c r="B626" s="329" t="s">
        <v>706</v>
      </c>
      <c r="C626" s="21" t="s">
        <v>12</v>
      </c>
      <c r="D626" s="340">
        <v>0</v>
      </c>
      <c r="E626" s="18"/>
      <c r="F626" s="60">
        <v>43</v>
      </c>
      <c r="G626" s="18"/>
      <c r="H626" s="2">
        <f t="shared" si="41"/>
        <v>0</v>
      </c>
      <c r="I626" s="18">
        <f t="shared" si="40"/>
        <v>0</v>
      </c>
    </row>
    <row r="627" spans="1:9" ht="31.2" hidden="1" customHeight="1" outlineLevel="1" x14ac:dyDescent="0.25">
      <c r="A627" s="84"/>
      <c r="B627" s="329" t="s">
        <v>707</v>
      </c>
      <c r="C627" s="21" t="s">
        <v>12</v>
      </c>
      <c r="D627" s="340">
        <v>0</v>
      </c>
      <c r="E627" s="18"/>
      <c r="F627" s="60">
        <v>448</v>
      </c>
      <c r="G627" s="18"/>
      <c r="H627" s="2">
        <f t="shared" si="41"/>
        <v>0</v>
      </c>
      <c r="I627" s="18">
        <f t="shared" si="40"/>
        <v>0</v>
      </c>
    </row>
    <row r="628" spans="1:9" hidden="1" outlineLevel="1" x14ac:dyDescent="0.25">
      <c r="A628" s="84"/>
      <c r="B628" s="329" t="s">
        <v>133</v>
      </c>
      <c r="C628" s="21" t="s">
        <v>12</v>
      </c>
      <c r="D628" s="340">
        <v>0</v>
      </c>
      <c r="E628" s="18"/>
      <c r="F628" s="60">
        <v>5922.3</v>
      </c>
      <c r="G628" s="18"/>
      <c r="H628" s="2">
        <f t="shared" si="41"/>
        <v>0</v>
      </c>
      <c r="I628" s="18">
        <f>G628+H628</f>
        <v>0</v>
      </c>
    </row>
    <row r="629" spans="1:9" hidden="1" outlineLevel="1" x14ac:dyDescent="0.25">
      <c r="A629" s="84"/>
      <c r="B629" s="329" t="s">
        <v>705</v>
      </c>
      <c r="C629" s="21" t="s">
        <v>12</v>
      </c>
      <c r="D629" s="340">
        <v>0</v>
      </c>
      <c r="E629" s="18"/>
      <c r="F629" s="60">
        <v>127</v>
      </c>
      <c r="G629" s="18"/>
      <c r="H629" s="2">
        <f t="shared" si="41"/>
        <v>0</v>
      </c>
      <c r="I629" s="18">
        <f t="shared" si="40"/>
        <v>0</v>
      </c>
    </row>
    <row r="630" spans="1:9" hidden="1" outlineLevel="1" x14ac:dyDescent="0.25">
      <c r="A630" s="84"/>
      <c r="B630" s="329" t="s">
        <v>91</v>
      </c>
      <c r="C630" s="21" t="s">
        <v>15</v>
      </c>
      <c r="D630" s="340">
        <v>0</v>
      </c>
      <c r="E630" s="18"/>
      <c r="F630" s="60">
        <f>37500/1000</f>
        <v>37.5</v>
      </c>
      <c r="G630" s="18"/>
      <c r="H630" s="2">
        <f t="shared" si="41"/>
        <v>0</v>
      </c>
      <c r="I630" s="18">
        <f t="shared" si="40"/>
        <v>0</v>
      </c>
    </row>
    <row r="631" spans="1:9" hidden="1" outlineLevel="1" x14ac:dyDescent="0.25">
      <c r="A631" s="84" t="s">
        <v>82</v>
      </c>
      <c r="B631" s="75" t="s">
        <v>134</v>
      </c>
      <c r="C631" s="2"/>
      <c r="D631" s="158"/>
      <c r="E631" s="2"/>
      <c r="F631" s="11"/>
      <c r="G631" s="18"/>
      <c r="H631" s="18"/>
      <c r="I631" s="18">
        <f t="shared" si="40"/>
        <v>0</v>
      </c>
    </row>
    <row r="632" spans="1:9" ht="31.2" hidden="1" outlineLevel="1" x14ac:dyDescent="0.25">
      <c r="A632" s="84" t="s">
        <v>547</v>
      </c>
      <c r="B632" s="307" t="s">
        <v>112</v>
      </c>
      <c r="C632" s="31" t="s">
        <v>29</v>
      </c>
      <c r="D632" s="31">
        <f>D633</f>
        <v>0</v>
      </c>
      <c r="E632" s="256">
        <v>85</v>
      </c>
      <c r="F632" s="60"/>
      <c r="G632" s="2">
        <f>ROUND(E632*D632,2)</f>
        <v>0</v>
      </c>
      <c r="H632" s="18"/>
      <c r="I632" s="18">
        <f t="shared" si="40"/>
        <v>0</v>
      </c>
    </row>
    <row r="633" spans="1:9" hidden="1" outlineLevel="1" x14ac:dyDescent="0.25">
      <c r="A633" s="84"/>
      <c r="B633" s="329" t="s">
        <v>114</v>
      </c>
      <c r="C633" s="21" t="s">
        <v>29</v>
      </c>
      <c r="D633" s="340">
        <v>0</v>
      </c>
      <c r="E633" s="282"/>
      <c r="F633" s="60">
        <f>311.85/3</f>
        <v>103.95</v>
      </c>
      <c r="G633" s="18"/>
      <c r="H633" s="2">
        <f>ROUND(D633*F633,2)</f>
        <v>0</v>
      </c>
      <c r="I633" s="18">
        <f t="shared" si="40"/>
        <v>0</v>
      </c>
    </row>
    <row r="634" spans="1:9" hidden="1" outlineLevel="1" x14ac:dyDescent="0.25">
      <c r="A634" s="84"/>
      <c r="B634" s="329" t="s">
        <v>329</v>
      </c>
      <c r="C634" s="21" t="s">
        <v>12</v>
      </c>
      <c r="D634" s="340">
        <v>0</v>
      </c>
      <c r="E634" s="282"/>
      <c r="F634" s="60">
        <v>200</v>
      </c>
      <c r="G634" s="18"/>
      <c r="H634" s="2">
        <f>ROUND(D634*F634,2)</f>
        <v>0</v>
      </c>
      <c r="I634" s="18">
        <f t="shared" si="40"/>
        <v>0</v>
      </c>
    </row>
    <row r="635" spans="1:9" hidden="1" outlineLevel="1" x14ac:dyDescent="0.25">
      <c r="A635" s="84"/>
      <c r="B635" s="329" t="s">
        <v>135</v>
      </c>
      <c r="C635" s="21" t="s">
        <v>12</v>
      </c>
      <c r="D635" s="340">
        <v>0</v>
      </c>
      <c r="E635" s="282"/>
      <c r="F635" s="60">
        <v>61.27</v>
      </c>
      <c r="G635" s="18"/>
      <c r="H635" s="2">
        <f>ROUND(D635*F635,2)</f>
        <v>0</v>
      </c>
      <c r="I635" s="18">
        <f t="shared" si="40"/>
        <v>0</v>
      </c>
    </row>
    <row r="636" spans="1:9" hidden="1" outlineLevel="1" x14ac:dyDescent="0.25">
      <c r="A636" s="84"/>
      <c r="B636" s="329" t="s">
        <v>433</v>
      </c>
      <c r="C636" s="21" t="s">
        <v>12</v>
      </c>
      <c r="D636" s="340">
        <v>0</v>
      </c>
      <c r="E636" s="282"/>
      <c r="F636" s="60">
        <v>40</v>
      </c>
      <c r="G636" s="18"/>
      <c r="H636" s="2">
        <f>ROUND(D636*F636,2)</f>
        <v>0</v>
      </c>
      <c r="I636" s="18">
        <f>G636+H636</f>
        <v>0</v>
      </c>
    </row>
    <row r="637" spans="1:9" hidden="1" outlineLevel="1" x14ac:dyDescent="0.25">
      <c r="A637" s="84" t="s">
        <v>548</v>
      </c>
      <c r="B637" s="307" t="s">
        <v>136</v>
      </c>
      <c r="C637" s="31" t="s">
        <v>29</v>
      </c>
      <c r="D637" s="306">
        <f>D638</f>
        <v>0</v>
      </c>
      <c r="E637" s="256">
        <v>150</v>
      </c>
      <c r="F637" s="60"/>
      <c r="G637" s="2">
        <f>ROUND(E637*D637,2)</f>
        <v>0</v>
      </c>
      <c r="H637" s="18"/>
      <c r="I637" s="18">
        <f t="shared" si="40"/>
        <v>0</v>
      </c>
    </row>
    <row r="638" spans="1:9" hidden="1" outlineLevel="1" x14ac:dyDescent="0.25">
      <c r="A638" s="84"/>
      <c r="B638" s="329" t="s">
        <v>432</v>
      </c>
      <c r="C638" s="21" t="s">
        <v>29</v>
      </c>
      <c r="D638" s="340">
        <v>0</v>
      </c>
      <c r="E638" s="282"/>
      <c r="F638" s="60">
        <f>107*3</f>
        <v>321</v>
      </c>
      <c r="G638" s="18"/>
      <c r="H638" s="2">
        <f>ROUND(D638*F638,2)</f>
        <v>0</v>
      </c>
      <c r="I638" s="18">
        <f t="shared" si="40"/>
        <v>0</v>
      </c>
    </row>
    <row r="639" spans="1:9" hidden="1" outlineLevel="1" x14ac:dyDescent="0.25">
      <c r="A639" s="84"/>
      <c r="B639" s="329" t="s">
        <v>708</v>
      </c>
      <c r="C639" s="21" t="s">
        <v>12</v>
      </c>
      <c r="D639" s="340">
        <v>0</v>
      </c>
      <c r="E639" s="282"/>
      <c r="F639" s="60">
        <v>205</v>
      </c>
      <c r="G639" s="18"/>
      <c r="H639" s="2">
        <f>ROUND(D639*F639,2)</f>
        <v>0</v>
      </c>
      <c r="I639" s="18">
        <f t="shared" si="40"/>
        <v>0</v>
      </c>
    </row>
    <row r="640" spans="1:9" hidden="1" outlineLevel="1" x14ac:dyDescent="0.25">
      <c r="A640" s="87" t="s">
        <v>549</v>
      </c>
      <c r="B640" s="29" t="s">
        <v>101</v>
      </c>
      <c r="C640" s="31" t="s">
        <v>29</v>
      </c>
      <c r="D640" s="31">
        <f>D632</f>
        <v>0</v>
      </c>
      <c r="E640" s="256">
        <v>150</v>
      </c>
      <c r="F640" s="60"/>
      <c r="G640" s="2">
        <f>ROUND(E640*D640,2)</f>
        <v>0</v>
      </c>
      <c r="H640" s="18"/>
      <c r="I640" s="18">
        <f t="shared" si="40"/>
        <v>0</v>
      </c>
    </row>
    <row r="641" spans="1:10" hidden="1" outlineLevel="1" x14ac:dyDescent="0.25">
      <c r="A641" s="84"/>
      <c r="B641" s="329" t="s">
        <v>174</v>
      </c>
      <c r="C641" s="21" t="s">
        <v>12</v>
      </c>
      <c r="D641" s="340">
        <v>0</v>
      </c>
      <c r="E641" s="282"/>
      <c r="F641" s="60">
        <v>200</v>
      </c>
      <c r="G641" s="18"/>
      <c r="H641" s="2">
        <f>ROUND(D641*F641,2)</f>
        <v>0</v>
      </c>
      <c r="I641" s="18">
        <f t="shared" si="40"/>
        <v>0</v>
      </c>
    </row>
    <row r="642" spans="1:10" hidden="1" outlineLevel="1" x14ac:dyDescent="0.25">
      <c r="A642" s="87" t="s">
        <v>550</v>
      </c>
      <c r="B642" s="307" t="s">
        <v>138</v>
      </c>
      <c r="C642" s="31" t="s">
        <v>12</v>
      </c>
      <c r="D642" s="306">
        <v>0</v>
      </c>
      <c r="E642" s="282"/>
      <c r="F642" s="60"/>
      <c r="G642" s="18"/>
      <c r="H642" s="18"/>
      <c r="I642" s="18">
        <f t="shared" si="40"/>
        <v>0</v>
      </c>
    </row>
    <row r="643" spans="1:10" hidden="1" outlineLevel="1" x14ac:dyDescent="0.25">
      <c r="A643" s="84"/>
      <c r="B643" s="329" t="s">
        <v>709</v>
      </c>
      <c r="C643" s="21" t="s">
        <v>12</v>
      </c>
      <c r="D643" s="340">
        <v>0</v>
      </c>
      <c r="E643" s="282"/>
      <c r="F643" s="60">
        <v>5555</v>
      </c>
      <c r="G643" s="18"/>
      <c r="H643" s="2">
        <f>ROUND(D643*F643,2)</f>
        <v>0</v>
      </c>
      <c r="I643" s="18">
        <f t="shared" si="40"/>
        <v>0</v>
      </c>
    </row>
    <row r="644" spans="1:10" hidden="1" outlineLevel="1" x14ac:dyDescent="0.25">
      <c r="A644" s="84"/>
      <c r="B644" s="329" t="s">
        <v>710</v>
      </c>
      <c r="C644" s="21" t="s">
        <v>12</v>
      </c>
      <c r="D644" s="340">
        <v>0</v>
      </c>
      <c r="E644" s="282"/>
      <c r="F644" s="164">
        <v>300</v>
      </c>
      <c r="G644" s="18"/>
      <c r="H644" s="2">
        <f>ROUND(D644*F644,2)</f>
        <v>0</v>
      </c>
      <c r="I644" s="18">
        <f>G644+H644</f>
        <v>0</v>
      </c>
    </row>
    <row r="645" spans="1:10" ht="31.2" hidden="1" outlineLevel="1" x14ac:dyDescent="0.25">
      <c r="A645" s="87" t="s">
        <v>551</v>
      </c>
      <c r="B645" s="29" t="s">
        <v>434</v>
      </c>
      <c r="C645" s="31" t="s">
        <v>29</v>
      </c>
      <c r="D645" s="31">
        <f>D646</f>
        <v>0</v>
      </c>
      <c r="E645" s="256">
        <v>250</v>
      </c>
      <c r="F645" s="60"/>
      <c r="G645" s="2">
        <f>ROUND(E645*D645,2)</f>
        <v>0</v>
      </c>
      <c r="H645" s="18"/>
      <c r="I645" s="18">
        <f t="shared" si="40"/>
        <v>0</v>
      </c>
    </row>
    <row r="646" spans="1:10" hidden="1" outlineLevel="1" x14ac:dyDescent="0.25">
      <c r="A646" s="84"/>
      <c r="B646" s="329" t="s">
        <v>114</v>
      </c>
      <c r="C646" s="21" t="s">
        <v>29</v>
      </c>
      <c r="D646" s="340">
        <v>0</v>
      </c>
      <c r="E646" s="18"/>
      <c r="F646" s="60">
        <v>103.95</v>
      </c>
      <c r="G646" s="18"/>
      <c r="H646" s="2">
        <f>ROUND(D646*F646,2)</f>
        <v>0</v>
      </c>
      <c r="I646" s="18">
        <f t="shared" si="40"/>
        <v>0</v>
      </c>
    </row>
    <row r="647" spans="1:10" hidden="1" outlineLevel="1" x14ac:dyDescent="0.25">
      <c r="A647" s="84"/>
      <c r="B647" s="329" t="s">
        <v>703</v>
      </c>
      <c r="C647" s="21" t="s">
        <v>14</v>
      </c>
      <c r="D647" s="340">
        <v>0</v>
      </c>
      <c r="E647" s="18"/>
      <c r="F647" s="164">
        <v>100</v>
      </c>
      <c r="G647" s="18"/>
      <c r="H647" s="2">
        <f>ROUND(D647*F647,2)</f>
        <v>0</v>
      </c>
      <c r="I647" s="18">
        <f t="shared" si="40"/>
        <v>0</v>
      </c>
    </row>
    <row r="648" spans="1:10" hidden="1" outlineLevel="1" x14ac:dyDescent="0.25">
      <c r="A648" s="84"/>
      <c r="B648" s="192" t="s">
        <v>140</v>
      </c>
      <c r="C648" s="2"/>
      <c r="D648" s="2"/>
      <c r="E648" s="2"/>
      <c r="F648" s="11"/>
      <c r="G648" s="18"/>
      <c r="H648" s="18"/>
      <c r="I648" s="18">
        <f t="shared" si="40"/>
        <v>0</v>
      </c>
    </row>
    <row r="649" spans="1:10" ht="31.2" hidden="1" outlineLevel="1" x14ac:dyDescent="0.25">
      <c r="A649" s="84"/>
      <c r="B649" s="307" t="s">
        <v>112</v>
      </c>
      <c r="C649" s="2" t="s">
        <v>29</v>
      </c>
      <c r="D649" s="306">
        <f>D650</f>
        <v>0</v>
      </c>
      <c r="E649" s="31">
        <v>250</v>
      </c>
      <c r="F649" s="60"/>
      <c r="G649" s="2">
        <f>ROUND(E649*D649,2)</f>
        <v>0</v>
      </c>
      <c r="H649" s="18"/>
      <c r="I649" s="18">
        <f>G649+H649</f>
        <v>0</v>
      </c>
      <c r="J649" s="780"/>
    </row>
    <row r="650" spans="1:10" hidden="1" outlineLevel="1" x14ac:dyDescent="0.25">
      <c r="A650" s="84"/>
      <c r="B650" s="329" t="s">
        <v>711</v>
      </c>
      <c r="C650" s="21" t="s">
        <v>29</v>
      </c>
      <c r="D650" s="340">
        <v>0</v>
      </c>
      <c r="E650" s="2"/>
      <c r="F650" s="11">
        <v>103.95</v>
      </c>
      <c r="G650" s="158"/>
      <c r="H650" s="2">
        <f t="shared" ref="H650:H660" si="42">ROUND(D650*F650,2)</f>
        <v>0</v>
      </c>
      <c r="I650" s="18">
        <f t="shared" si="40"/>
        <v>0</v>
      </c>
      <c r="J650" s="780"/>
    </row>
    <row r="651" spans="1:10" hidden="1" outlineLevel="1" x14ac:dyDescent="0.25">
      <c r="A651" s="84"/>
      <c r="B651" s="329" t="s">
        <v>91</v>
      </c>
      <c r="C651" s="21" t="s">
        <v>15</v>
      </c>
      <c r="D651" s="340">
        <v>0</v>
      </c>
      <c r="E651" s="2"/>
      <c r="F651" s="11">
        <v>42</v>
      </c>
      <c r="G651" s="158"/>
      <c r="H651" s="2">
        <f t="shared" si="42"/>
        <v>0</v>
      </c>
      <c r="I651" s="18">
        <f t="shared" si="40"/>
        <v>0</v>
      </c>
      <c r="J651" s="780"/>
    </row>
    <row r="652" spans="1:10" hidden="1" outlineLevel="1" x14ac:dyDescent="0.25">
      <c r="A652" s="84"/>
      <c r="B652" s="307" t="s">
        <v>141</v>
      </c>
      <c r="C652" s="2" t="s">
        <v>12</v>
      </c>
      <c r="D652" s="340">
        <v>0</v>
      </c>
      <c r="E652" s="2"/>
      <c r="F652" s="11"/>
      <c r="G652" s="158"/>
      <c r="H652" s="2">
        <f t="shared" si="42"/>
        <v>0</v>
      </c>
      <c r="I652" s="18">
        <f t="shared" si="40"/>
        <v>0</v>
      </c>
      <c r="J652" s="780"/>
    </row>
    <row r="653" spans="1:10" hidden="1" outlineLevel="1" x14ac:dyDescent="0.25">
      <c r="A653" s="84"/>
      <c r="B653" s="329" t="s">
        <v>142</v>
      </c>
      <c r="C653" s="21" t="s">
        <v>12</v>
      </c>
      <c r="D653" s="340">
        <v>0</v>
      </c>
      <c r="E653" s="2"/>
      <c r="F653" s="11">
        <v>586.74</v>
      </c>
      <c r="G653" s="158"/>
      <c r="H653" s="2">
        <f t="shared" si="42"/>
        <v>0</v>
      </c>
      <c r="I653" s="18">
        <f t="shared" si="40"/>
        <v>0</v>
      </c>
      <c r="J653" s="780"/>
    </row>
    <row r="654" spans="1:10" hidden="1" outlineLevel="1" x14ac:dyDescent="0.25">
      <c r="A654" s="84"/>
      <c r="B654" s="329" t="s">
        <v>143</v>
      </c>
      <c r="C654" s="21" t="s">
        <v>12</v>
      </c>
      <c r="D654" s="340">
        <v>0</v>
      </c>
      <c r="E654" s="2"/>
      <c r="F654" s="11">
        <v>429</v>
      </c>
      <c r="G654" s="158"/>
      <c r="H654" s="2">
        <f t="shared" si="42"/>
        <v>0</v>
      </c>
      <c r="I654" s="18">
        <f t="shared" si="40"/>
        <v>0</v>
      </c>
      <c r="J654" s="780"/>
    </row>
    <row r="655" spans="1:10" hidden="1" outlineLevel="1" x14ac:dyDescent="0.25">
      <c r="A655" s="84"/>
      <c r="B655" s="329" t="s">
        <v>712</v>
      </c>
      <c r="C655" s="21" t="s">
        <v>12</v>
      </c>
      <c r="D655" s="340">
        <v>0</v>
      </c>
      <c r="E655" s="18"/>
      <c r="F655" s="164">
        <v>100</v>
      </c>
      <c r="G655" s="18"/>
      <c r="H655" s="2">
        <f t="shared" si="42"/>
        <v>0</v>
      </c>
      <c r="I655" s="18">
        <f t="shared" si="40"/>
        <v>0</v>
      </c>
      <c r="J655" s="780"/>
    </row>
    <row r="656" spans="1:10" hidden="1" outlineLevel="1" x14ac:dyDescent="0.25">
      <c r="A656" s="84"/>
      <c r="B656" s="329" t="s">
        <v>713</v>
      </c>
      <c r="C656" s="21" t="s">
        <v>12</v>
      </c>
      <c r="D656" s="340">
        <v>0</v>
      </c>
      <c r="E656" s="282"/>
      <c r="F656" s="164">
        <v>40</v>
      </c>
      <c r="G656" s="18"/>
      <c r="H656" s="2">
        <f>ROUND(D656*F656,2)</f>
        <v>0</v>
      </c>
      <c r="I656" s="18">
        <f>G656+H656</f>
        <v>0</v>
      </c>
      <c r="J656" s="780"/>
    </row>
    <row r="657" spans="1:10" hidden="1" outlineLevel="1" x14ac:dyDescent="0.25">
      <c r="A657" s="84"/>
      <c r="B657" s="307" t="s">
        <v>101</v>
      </c>
      <c r="C657" s="2" t="s">
        <v>29</v>
      </c>
      <c r="D657" s="340">
        <f>D649</f>
        <v>0</v>
      </c>
      <c r="E657" s="2"/>
      <c r="F657" s="11"/>
      <c r="G657" s="158"/>
      <c r="H657" s="2">
        <f t="shared" si="42"/>
        <v>0</v>
      </c>
      <c r="I657" s="18">
        <f t="shared" si="40"/>
        <v>0</v>
      </c>
      <c r="J657" s="780"/>
    </row>
    <row r="658" spans="1:10" hidden="1" outlineLevel="1" x14ac:dyDescent="0.25">
      <c r="A658" s="84"/>
      <c r="B658" s="329" t="s">
        <v>137</v>
      </c>
      <c r="C658" s="21" t="s">
        <v>12</v>
      </c>
      <c r="D658" s="340">
        <v>0</v>
      </c>
      <c r="E658" s="2"/>
      <c r="F658" s="11">
        <v>200</v>
      </c>
      <c r="G658" s="158"/>
      <c r="H658" s="2">
        <f t="shared" si="42"/>
        <v>0</v>
      </c>
      <c r="I658" s="18">
        <f t="shared" si="40"/>
        <v>0</v>
      </c>
      <c r="J658" s="780"/>
    </row>
    <row r="659" spans="1:10" hidden="1" outlineLevel="1" x14ac:dyDescent="0.25">
      <c r="A659" s="84"/>
      <c r="B659" s="329" t="s">
        <v>703</v>
      </c>
      <c r="C659" s="21" t="s">
        <v>14</v>
      </c>
      <c r="D659" s="340">
        <v>0</v>
      </c>
      <c r="E659" s="18"/>
      <c r="F659" s="164">
        <v>100</v>
      </c>
      <c r="G659" s="18"/>
      <c r="H659" s="2">
        <f t="shared" si="42"/>
        <v>0</v>
      </c>
      <c r="I659" s="18">
        <f>G659+H659</f>
        <v>0</v>
      </c>
      <c r="J659" s="359"/>
    </row>
    <row r="660" spans="1:10" hidden="1" outlineLevel="1" x14ac:dyDescent="0.25">
      <c r="A660" s="84" t="s">
        <v>84</v>
      </c>
      <c r="B660" s="75" t="s">
        <v>144</v>
      </c>
      <c r="C660" s="2"/>
      <c r="D660" s="2"/>
      <c r="E660" s="2"/>
      <c r="F660" s="11"/>
      <c r="G660" s="18"/>
      <c r="H660" s="2">
        <f t="shared" si="42"/>
        <v>0</v>
      </c>
      <c r="I660" s="18">
        <f t="shared" si="40"/>
        <v>0</v>
      </c>
    </row>
    <row r="661" spans="1:10" ht="31.2" hidden="1" outlineLevel="1" x14ac:dyDescent="0.25">
      <c r="A661" s="84" t="s">
        <v>552</v>
      </c>
      <c r="B661" s="177" t="s">
        <v>145</v>
      </c>
      <c r="C661" s="31" t="s">
        <v>29</v>
      </c>
      <c r="D661" s="31">
        <v>0</v>
      </c>
      <c r="E661" s="256">
        <v>30</v>
      </c>
      <c r="F661" s="60"/>
      <c r="G661" s="2"/>
      <c r="H661" s="18"/>
      <c r="I661" s="18"/>
    </row>
    <row r="662" spans="1:10" hidden="1" outlineLevel="1" x14ac:dyDescent="0.25">
      <c r="A662" s="84"/>
      <c r="B662" s="173" t="s">
        <v>146</v>
      </c>
      <c r="C662" s="21" t="s">
        <v>12</v>
      </c>
      <c r="D662" s="184">
        <v>0</v>
      </c>
      <c r="E662" s="18"/>
      <c r="F662" s="60">
        <v>9275</v>
      </c>
      <c r="G662" s="18"/>
      <c r="H662" s="2"/>
      <c r="I662" s="18"/>
    </row>
    <row r="663" spans="1:10" hidden="1" outlineLevel="1" x14ac:dyDescent="0.25">
      <c r="A663" s="84"/>
      <c r="B663" s="173" t="s">
        <v>147</v>
      </c>
      <c r="C663" s="21" t="s">
        <v>29</v>
      </c>
      <c r="D663" s="2">
        <f>D661</f>
        <v>0</v>
      </c>
      <c r="E663" s="18"/>
      <c r="F663" s="60">
        <v>3</v>
      </c>
      <c r="G663" s="18"/>
      <c r="H663" s="2"/>
      <c r="I663" s="18"/>
    </row>
    <row r="664" spans="1:10" ht="31.2" hidden="1" outlineLevel="1" x14ac:dyDescent="0.25">
      <c r="A664" s="84" t="s">
        <v>331</v>
      </c>
      <c r="B664" s="75" t="s">
        <v>148</v>
      </c>
      <c r="C664" s="2"/>
      <c r="D664" s="2"/>
      <c r="E664" s="2"/>
      <c r="F664" s="11"/>
      <c r="G664" s="18"/>
      <c r="H664" s="18"/>
      <c r="I664" s="18">
        <f t="shared" si="40"/>
        <v>0</v>
      </c>
    </row>
    <row r="665" spans="1:10" hidden="1" outlineLevel="1" x14ac:dyDescent="0.25">
      <c r="A665" s="84"/>
      <c r="B665" s="177" t="s">
        <v>149</v>
      </c>
      <c r="C665" s="158" t="s">
        <v>12</v>
      </c>
      <c r="D665" s="158">
        <v>0</v>
      </c>
      <c r="E665" s="158"/>
      <c r="F665" s="164"/>
      <c r="G665" s="158"/>
      <c r="H665" s="158"/>
      <c r="I665" s="158"/>
      <c r="J665" s="780" t="s">
        <v>625</v>
      </c>
    </row>
    <row r="666" spans="1:10" ht="31.2" hidden="1" outlineLevel="1" x14ac:dyDescent="0.25">
      <c r="A666" s="84"/>
      <c r="B666" s="173" t="s">
        <v>150</v>
      </c>
      <c r="C666" s="171" t="s">
        <v>12</v>
      </c>
      <c r="D666" s="158">
        <v>0</v>
      </c>
      <c r="E666" s="158"/>
      <c r="F666" s="164">
        <f>2352*1.18</f>
        <v>2775.3599999999997</v>
      </c>
      <c r="G666" s="158"/>
      <c r="H666" s="158"/>
      <c r="I666" s="158"/>
      <c r="J666" s="780"/>
    </row>
    <row r="667" spans="1:10" hidden="1" outlineLevel="1" x14ac:dyDescent="0.25">
      <c r="A667" s="84" t="s">
        <v>553</v>
      </c>
      <c r="B667" s="307" t="s">
        <v>151</v>
      </c>
      <c r="C667" s="31" t="s">
        <v>29</v>
      </c>
      <c r="D667" s="306">
        <f>D668</f>
        <v>0</v>
      </c>
      <c r="E667" s="256">
        <v>100</v>
      </c>
      <c r="F667" s="60"/>
      <c r="G667" s="2">
        <f>ROUND(E667*D667,2)</f>
        <v>0</v>
      </c>
      <c r="H667" s="18"/>
      <c r="I667" s="18">
        <f t="shared" si="40"/>
        <v>0</v>
      </c>
    </row>
    <row r="668" spans="1:10" hidden="1" outlineLevel="1" x14ac:dyDescent="0.25">
      <c r="A668" s="84"/>
      <c r="B668" s="329" t="s">
        <v>701</v>
      </c>
      <c r="C668" s="21" t="s">
        <v>29</v>
      </c>
      <c r="D668" s="340">
        <v>0</v>
      </c>
      <c r="E668" s="18"/>
      <c r="F668" s="60">
        <f>2779*1.18</f>
        <v>3279.22</v>
      </c>
      <c r="G668" s="18"/>
      <c r="H668" s="2">
        <f>ROUND(D668*F668,2)</f>
        <v>0</v>
      </c>
      <c r="I668" s="18">
        <f t="shared" si="40"/>
        <v>0</v>
      </c>
    </row>
    <row r="669" spans="1:10" ht="31.2" hidden="1" outlineLevel="1" x14ac:dyDescent="0.25">
      <c r="A669" s="84" t="s">
        <v>554</v>
      </c>
      <c r="B669" s="307" t="s">
        <v>152</v>
      </c>
      <c r="C669" s="31" t="s">
        <v>29</v>
      </c>
      <c r="D669" s="306">
        <f>D670</f>
        <v>0</v>
      </c>
      <c r="E669" s="256">
        <v>85</v>
      </c>
      <c r="F669" s="60"/>
      <c r="G669" s="2">
        <f>ROUND(E669*D669,2)</f>
        <v>0</v>
      </c>
      <c r="H669" s="18"/>
      <c r="I669" s="18">
        <f t="shared" si="40"/>
        <v>0</v>
      </c>
    </row>
    <row r="670" spans="1:10" hidden="1" outlineLevel="1" x14ac:dyDescent="0.25">
      <c r="A670" s="84"/>
      <c r="B670" s="329" t="s">
        <v>438</v>
      </c>
      <c r="C670" s="21" t="s">
        <v>29</v>
      </c>
      <c r="D670" s="340">
        <v>0</v>
      </c>
      <c r="E670" s="18"/>
      <c r="F670" s="60">
        <f>1626.1/5.5</f>
        <v>295.65454545454543</v>
      </c>
      <c r="G670" s="18"/>
      <c r="H670" s="2">
        <f>ROUND(D670*F670,2)</f>
        <v>0</v>
      </c>
      <c r="I670" s="18">
        <f t="shared" si="40"/>
        <v>0</v>
      </c>
    </row>
    <row r="671" spans="1:10" s="6" customFormat="1" hidden="1" outlineLevel="1" x14ac:dyDescent="0.25">
      <c r="A671" s="84" t="s">
        <v>555</v>
      </c>
      <c r="B671" s="307" t="s">
        <v>153</v>
      </c>
      <c r="C671" s="31" t="s">
        <v>12</v>
      </c>
      <c r="D671" s="306">
        <v>0</v>
      </c>
      <c r="E671" s="5"/>
      <c r="F671" s="60"/>
      <c r="G671" s="18"/>
      <c r="H671" s="18"/>
      <c r="I671" s="18">
        <f t="shared" si="40"/>
        <v>0</v>
      </c>
    </row>
    <row r="672" spans="1:10" hidden="1" outlineLevel="1" x14ac:dyDescent="0.25">
      <c r="A672" s="84"/>
      <c r="B672" s="329" t="s">
        <v>436</v>
      </c>
      <c r="C672" s="21" t="s">
        <v>12</v>
      </c>
      <c r="D672" s="340">
        <v>0</v>
      </c>
      <c r="E672" s="18"/>
      <c r="F672" s="60">
        <v>480.3</v>
      </c>
      <c r="G672" s="18"/>
      <c r="H672" s="2">
        <f>ROUND(D672*F672,2)</f>
        <v>0</v>
      </c>
      <c r="I672" s="18">
        <f t="shared" si="40"/>
        <v>0</v>
      </c>
    </row>
    <row r="673" spans="1:9" hidden="1" outlineLevel="1" x14ac:dyDescent="0.25">
      <c r="A673" s="84"/>
      <c r="B673" s="329" t="s">
        <v>435</v>
      </c>
      <c r="C673" s="21" t="s">
        <v>12</v>
      </c>
      <c r="D673" s="340">
        <v>0</v>
      </c>
      <c r="E673" s="18"/>
      <c r="F673" s="60">
        <v>322.2</v>
      </c>
      <c r="G673" s="18"/>
      <c r="H673" s="2">
        <f>ROUND(D673*F673,2)</f>
        <v>0</v>
      </c>
      <c r="I673" s="18">
        <f t="shared" si="40"/>
        <v>0</v>
      </c>
    </row>
    <row r="674" spans="1:9" hidden="1" outlineLevel="1" x14ac:dyDescent="0.25">
      <c r="A674" s="84" t="s">
        <v>556</v>
      </c>
      <c r="B674" s="75" t="s">
        <v>92</v>
      </c>
      <c r="C674" s="2"/>
      <c r="D674" s="2"/>
      <c r="E674" s="2"/>
      <c r="F674" s="11"/>
      <c r="G674" s="18"/>
      <c r="H674" s="18"/>
      <c r="I674" s="18">
        <f t="shared" si="40"/>
        <v>0</v>
      </c>
    </row>
    <row r="675" spans="1:9" ht="31.2" hidden="1" outlineLevel="1" x14ac:dyDescent="0.25">
      <c r="A675" s="84" t="s">
        <v>557</v>
      </c>
      <c r="B675" s="9" t="s">
        <v>93</v>
      </c>
      <c r="C675" s="31" t="s">
        <v>29</v>
      </c>
      <c r="D675" s="31">
        <v>0</v>
      </c>
      <c r="E675" s="256">
        <v>150</v>
      </c>
      <c r="F675" s="60"/>
      <c r="G675" s="2">
        <f>ROUND(E675*D675,2)</f>
        <v>0</v>
      </c>
      <c r="H675" s="18"/>
      <c r="I675" s="18">
        <f t="shared" si="40"/>
        <v>0</v>
      </c>
    </row>
    <row r="676" spans="1:9" hidden="1" outlineLevel="1" x14ac:dyDescent="0.25">
      <c r="A676" s="84"/>
      <c r="B676" s="343" t="s">
        <v>94</v>
      </c>
      <c r="C676" s="21" t="s">
        <v>29</v>
      </c>
      <c r="D676" s="340">
        <v>0</v>
      </c>
      <c r="E676" s="282"/>
      <c r="F676" s="60">
        <v>64.900000000000006</v>
      </c>
      <c r="G676" s="18"/>
      <c r="H676" s="2">
        <f>ROUND(D676*F676,2)</f>
        <v>0</v>
      </c>
      <c r="I676" s="18">
        <f t="shared" si="40"/>
        <v>0</v>
      </c>
    </row>
    <row r="677" spans="1:9" ht="31.2" hidden="1" outlineLevel="1" x14ac:dyDescent="0.25">
      <c r="A677" s="84" t="s">
        <v>558</v>
      </c>
      <c r="B677" s="29" t="s">
        <v>95</v>
      </c>
      <c r="C677" s="31" t="s">
        <v>29</v>
      </c>
      <c r="D677" s="31">
        <f>D678+D679+D680+D681</f>
        <v>0</v>
      </c>
      <c r="E677" s="256">
        <v>85</v>
      </c>
      <c r="F677" s="60"/>
      <c r="G677" s="2">
        <f>ROUND(E677*D677,2)</f>
        <v>0</v>
      </c>
      <c r="H677" s="18"/>
      <c r="I677" s="18">
        <f t="shared" si="40"/>
        <v>0</v>
      </c>
    </row>
    <row r="678" spans="1:9" hidden="1" outlineLevel="1" x14ac:dyDescent="0.25">
      <c r="A678" s="84"/>
      <c r="B678" s="343" t="s">
        <v>96</v>
      </c>
      <c r="C678" s="21" t="s">
        <v>29</v>
      </c>
      <c r="D678" s="340">
        <v>0</v>
      </c>
      <c r="E678" s="282"/>
      <c r="F678" s="60">
        <v>22.07</v>
      </c>
      <c r="G678" s="18"/>
      <c r="H678" s="2">
        <f t="shared" ref="H678:H685" si="43">ROUND(D678*F678,2)</f>
        <v>0</v>
      </c>
      <c r="I678" s="18">
        <f t="shared" ref="I678:I708" si="44">G678+H678</f>
        <v>0</v>
      </c>
    </row>
    <row r="679" spans="1:9" hidden="1" outlineLevel="1" x14ac:dyDescent="0.25">
      <c r="A679" s="84"/>
      <c r="B679" s="343" t="s">
        <v>97</v>
      </c>
      <c r="C679" s="21" t="s">
        <v>29</v>
      </c>
      <c r="D679" s="340">
        <v>0</v>
      </c>
      <c r="E679" s="282"/>
      <c r="F679" s="60">
        <v>25.75</v>
      </c>
      <c r="G679" s="18"/>
      <c r="H679" s="2">
        <f t="shared" si="43"/>
        <v>0</v>
      </c>
      <c r="I679" s="18">
        <f t="shared" si="44"/>
        <v>0</v>
      </c>
    </row>
    <row r="680" spans="1:9" hidden="1" outlineLevel="1" x14ac:dyDescent="0.25">
      <c r="A680" s="84"/>
      <c r="B680" s="343" t="s">
        <v>98</v>
      </c>
      <c r="C680" s="21" t="s">
        <v>29</v>
      </c>
      <c r="D680" s="340">
        <v>0</v>
      </c>
      <c r="E680" s="282"/>
      <c r="F680" s="60">
        <v>58.9</v>
      </c>
      <c r="G680" s="18"/>
      <c r="H680" s="2">
        <f t="shared" si="43"/>
        <v>0</v>
      </c>
      <c r="I680" s="18">
        <f t="shared" si="44"/>
        <v>0</v>
      </c>
    </row>
    <row r="681" spans="1:9" hidden="1" outlineLevel="1" x14ac:dyDescent="0.25">
      <c r="A681" s="84"/>
      <c r="B681" s="343" t="s">
        <v>241</v>
      </c>
      <c r="C681" s="21" t="s">
        <v>29</v>
      </c>
      <c r="D681" s="340">
        <v>0</v>
      </c>
      <c r="E681" s="282"/>
      <c r="F681" s="60">
        <v>75</v>
      </c>
      <c r="G681" s="18"/>
      <c r="H681" s="2">
        <f t="shared" si="43"/>
        <v>0</v>
      </c>
      <c r="I681" s="18">
        <f>G681+H681</f>
        <v>0</v>
      </c>
    </row>
    <row r="682" spans="1:9" hidden="1" outlineLevel="1" x14ac:dyDescent="0.25">
      <c r="A682" s="84"/>
      <c r="B682" s="329" t="s">
        <v>99</v>
      </c>
      <c r="C682" s="21" t="s">
        <v>12</v>
      </c>
      <c r="D682" s="340">
        <v>0</v>
      </c>
      <c r="E682" s="282"/>
      <c r="F682" s="60">
        <v>198</v>
      </c>
      <c r="G682" s="18"/>
      <c r="H682" s="2">
        <f t="shared" si="43"/>
        <v>0</v>
      </c>
      <c r="I682" s="18">
        <f t="shared" si="44"/>
        <v>0</v>
      </c>
    </row>
    <row r="683" spans="1:9" hidden="1" outlineLevel="1" x14ac:dyDescent="0.25">
      <c r="A683" s="84"/>
      <c r="B683" s="329" t="s">
        <v>100</v>
      </c>
      <c r="C683" s="21" t="s">
        <v>12</v>
      </c>
      <c r="D683" s="340">
        <v>0</v>
      </c>
      <c r="E683" s="282"/>
      <c r="F683" s="60">
        <v>198</v>
      </c>
      <c r="G683" s="18"/>
      <c r="H683" s="2">
        <f t="shared" si="43"/>
        <v>0</v>
      </c>
      <c r="I683" s="18">
        <f t="shared" si="44"/>
        <v>0</v>
      </c>
    </row>
    <row r="684" spans="1:9" ht="31.2" hidden="1" outlineLevel="1" x14ac:dyDescent="0.25">
      <c r="A684" s="84"/>
      <c r="B684" s="329" t="s">
        <v>107</v>
      </c>
      <c r="C684" s="21" t="s">
        <v>12</v>
      </c>
      <c r="D684" s="360">
        <v>0</v>
      </c>
      <c r="E684" s="282"/>
      <c r="F684" s="361">
        <v>70</v>
      </c>
      <c r="G684" s="18"/>
      <c r="H684" s="2">
        <f t="shared" si="43"/>
        <v>0</v>
      </c>
      <c r="I684" s="18">
        <f t="shared" si="44"/>
        <v>0</v>
      </c>
    </row>
    <row r="685" spans="1:9" ht="31.2" hidden="1" outlineLevel="1" x14ac:dyDescent="0.25">
      <c r="A685" s="84"/>
      <c r="B685" s="329" t="s">
        <v>242</v>
      </c>
      <c r="C685" s="21" t="s">
        <v>29</v>
      </c>
      <c r="D685" s="340">
        <v>0</v>
      </c>
      <c r="E685" s="282"/>
      <c r="F685" s="60">
        <v>35</v>
      </c>
      <c r="G685" s="18"/>
      <c r="H685" s="2">
        <f t="shared" si="43"/>
        <v>0</v>
      </c>
      <c r="I685" s="18">
        <f>G685+H685</f>
        <v>0</v>
      </c>
    </row>
    <row r="686" spans="1:9" hidden="1" outlineLevel="1" x14ac:dyDescent="0.25">
      <c r="A686" s="84" t="s">
        <v>559</v>
      </c>
      <c r="B686" s="29" t="s">
        <v>101</v>
      </c>
      <c r="C686" s="31" t="s">
        <v>29</v>
      </c>
      <c r="D686" s="306">
        <f>D687</f>
        <v>0</v>
      </c>
      <c r="E686" s="256">
        <v>30</v>
      </c>
      <c r="F686" s="60"/>
      <c r="G686" s="2">
        <f>ROUND(E686*D686,2)</f>
        <v>0</v>
      </c>
      <c r="H686" s="18"/>
      <c r="I686" s="18">
        <f t="shared" si="44"/>
        <v>0</v>
      </c>
    </row>
    <row r="687" spans="1:9" hidden="1" outlineLevel="1" x14ac:dyDescent="0.25">
      <c r="A687" s="84"/>
      <c r="B687" s="329" t="s">
        <v>175</v>
      </c>
      <c r="C687" s="21" t="s">
        <v>29</v>
      </c>
      <c r="D687" s="340">
        <v>0</v>
      </c>
      <c r="E687" s="18"/>
      <c r="F687" s="164">
        <v>74</v>
      </c>
      <c r="G687" s="18"/>
      <c r="H687" s="2">
        <f>ROUND(D687*F687,2)</f>
        <v>0</v>
      </c>
      <c r="I687" s="18">
        <f t="shared" si="44"/>
        <v>0</v>
      </c>
    </row>
    <row r="688" spans="1:9" hidden="1" outlineLevel="1" x14ac:dyDescent="0.25">
      <c r="A688" s="84" t="s">
        <v>560</v>
      </c>
      <c r="B688" s="29" t="s">
        <v>102</v>
      </c>
      <c r="C688" s="31" t="s">
        <v>12</v>
      </c>
      <c r="D688" s="306">
        <f>D689</f>
        <v>0</v>
      </c>
      <c r="E688" s="256">
        <v>500</v>
      </c>
      <c r="F688" s="60"/>
      <c r="G688" s="2">
        <f>ROUND(E688*D688,2)</f>
        <v>0</v>
      </c>
      <c r="H688" s="18"/>
      <c r="I688" s="18">
        <f t="shared" si="44"/>
        <v>0</v>
      </c>
    </row>
    <row r="689" spans="1:9" hidden="1" outlineLevel="1" x14ac:dyDescent="0.25">
      <c r="A689" s="84"/>
      <c r="B689" s="343" t="s">
        <v>103</v>
      </c>
      <c r="C689" s="21" t="s">
        <v>12</v>
      </c>
      <c r="D689" s="340">
        <v>0</v>
      </c>
      <c r="E689" s="282"/>
      <c r="F689" s="60">
        <v>400</v>
      </c>
      <c r="G689" s="18"/>
      <c r="H689" s="2">
        <f>ROUND(D689*F689,2)</f>
        <v>0</v>
      </c>
      <c r="I689" s="18">
        <f t="shared" si="44"/>
        <v>0</v>
      </c>
    </row>
    <row r="690" spans="1:9" hidden="1" outlineLevel="1" x14ac:dyDescent="0.25">
      <c r="A690" s="84"/>
      <c r="B690" s="343" t="s">
        <v>104</v>
      </c>
      <c r="C690" s="21" t="s">
        <v>12</v>
      </c>
      <c r="D690" s="340">
        <f>D689</f>
        <v>0</v>
      </c>
      <c r="E690" s="282"/>
      <c r="F690" s="60">
        <v>210.8</v>
      </c>
      <c r="G690" s="18"/>
      <c r="H690" s="2">
        <f>ROUND(D690*F690,2)</f>
        <v>0</v>
      </c>
      <c r="I690" s="18">
        <f t="shared" si="44"/>
        <v>0</v>
      </c>
    </row>
    <row r="691" spans="1:9" hidden="1" outlineLevel="1" x14ac:dyDescent="0.25">
      <c r="A691" s="84" t="s">
        <v>561</v>
      </c>
      <c r="B691" s="29" t="s">
        <v>105</v>
      </c>
      <c r="C691" s="31" t="s">
        <v>12</v>
      </c>
      <c r="D691" s="306">
        <f>D690</f>
        <v>0</v>
      </c>
      <c r="E691" s="256">
        <v>520</v>
      </c>
      <c r="F691" s="60"/>
      <c r="G691" s="2">
        <f>ROUND(E691*D691,2)</f>
        <v>0</v>
      </c>
      <c r="H691" s="18"/>
      <c r="I691" s="18">
        <f t="shared" si="44"/>
        <v>0</v>
      </c>
    </row>
    <row r="692" spans="1:9" ht="31.2" hidden="1" outlineLevel="1" x14ac:dyDescent="0.25">
      <c r="A692" s="84"/>
      <c r="B692" s="343" t="s">
        <v>106</v>
      </c>
      <c r="C692" s="21" t="s">
        <v>12</v>
      </c>
      <c r="D692" s="340">
        <f>D691</f>
        <v>0</v>
      </c>
      <c r="E692" s="282"/>
      <c r="F692" s="60">
        <v>900</v>
      </c>
      <c r="G692" s="18"/>
      <c r="H692" s="2">
        <f>ROUND(D692*F692,2)</f>
        <v>0</v>
      </c>
      <c r="I692" s="18">
        <f t="shared" si="44"/>
        <v>0</v>
      </c>
    </row>
    <row r="693" spans="1:9" hidden="1" outlineLevel="1" x14ac:dyDescent="0.25">
      <c r="A693" s="84" t="s">
        <v>562</v>
      </c>
      <c r="B693" s="75" t="s">
        <v>108</v>
      </c>
      <c r="C693" s="2"/>
      <c r="D693" s="158"/>
      <c r="E693" s="282"/>
      <c r="F693" s="11"/>
      <c r="G693" s="18"/>
      <c r="H693" s="18"/>
      <c r="I693" s="18">
        <f t="shared" si="44"/>
        <v>0</v>
      </c>
    </row>
    <row r="694" spans="1:9" ht="31.2" hidden="1" outlineLevel="1" x14ac:dyDescent="0.25">
      <c r="A694" s="84" t="s">
        <v>563</v>
      </c>
      <c r="B694" s="29" t="s">
        <v>110</v>
      </c>
      <c r="C694" s="31" t="s">
        <v>29</v>
      </c>
      <c r="D694" s="31">
        <f>D695</f>
        <v>0</v>
      </c>
      <c r="E694" s="256">
        <v>85</v>
      </c>
      <c r="F694" s="60"/>
      <c r="G694" s="2">
        <f>ROUND(E694*D694,2)</f>
        <v>0</v>
      </c>
      <c r="H694" s="18">
        <f>D694*F694</f>
        <v>0</v>
      </c>
      <c r="I694" s="18">
        <f t="shared" si="44"/>
        <v>0</v>
      </c>
    </row>
    <row r="695" spans="1:9" ht="31.2" hidden="1" outlineLevel="1" x14ac:dyDescent="0.25">
      <c r="A695" s="84"/>
      <c r="B695" s="343" t="s">
        <v>109</v>
      </c>
      <c r="C695" s="21" t="s">
        <v>29</v>
      </c>
      <c r="D695" s="340">
        <v>0</v>
      </c>
      <c r="E695" s="18"/>
      <c r="F695" s="361">
        <v>170</v>
      </c>
      <c r="G695" s="18"/>
      <c r="H695" s="2">
        <f>ROUND(D695*F695,2)</f>
        <v>0</v>
      </c>
      <c r="I695" s="18">
        <f t="shared" si="44"/>
        <v>0</v>
      </c>
    </row>
    <row r="696" spans="1:9" hidden="1" outlineLevel="1" x14ac:dyDescent="0.25">
      <c r="A696" s="84"/>
      <c r="B696" s="329" t="s">
        <v>100</v>
      </c>
      <c r="C696" s="21" t="s">
        <v>12</v>
      </c>
      <c r="D696" s="340">
        <v>0</v>
      </c>
      <c r="E696" s="18"/>
      <c r="F696" s="361">
        <v>198</v>
      </c>
      <c r="G696" s="18"/>
      <c r="H696" s="2">
        <f>ROUND(D696*F696,2)</f>
        <v>0</v>
      </c>
      <c r="I696" s="18">
        <f t="shared" si="44"/>
        <v>0</v>
      </c>
    </row>
    <row r="697" spans="1:9" ht="31.2" hidden="1" outlineLevel="1" x14ac:dyDescent="0.25">
      <c r="A697" s="84"/>
      <c r="B697" s="329" t="s">
        <v>107</v>
      </c>
      <c r="C697" s="21" t="s">
        <v>12</v>
      </c>
      <c r="D697" s="340">
        <v>0</v>
      </c>
      <c r="E697" s="18"/>
      <c r="F697" s="361">
        <v>120</v>
      </c>
      <c r="G697" s="18"/>
      <c r="H697" s="2">
        <f>ROUND(D697*F697,2)</f>
        <v>0</v>
      </c>
      <c r="I697" s="18">
        <f t="shared" si="44"/>
        <v>0</v>
      </c>
    </row>
    <row r="698" spans="1:9" ht="31.2" hidden="1" outlineLevel="1" x14ac:dyDescent="0.25">
      <c r="A698" s="84"/>
      <c r="B698" s="329" t="s">
        <v>439</v>
      </c>
      <c r="C698" s="21" t="s">
        <v>29</v>
      </c>
      <c r="D698" s="340">
        <v>0</v>
      </c>
      <c r="E698" s="18"/>
      <c r="F698" s="60">
        <v>35</v>
      </c>
      <c r="G698" s="18"/>
      <c r="H698" s="2">
        <f>ROUND(D698*F698,2)</f>
        <v>0</v>
      </c>
      <c r="I698" s="18">
        <f>G698+H698</f>
        <v>0</v>
      </c>
    </row>
    <row r="699" spans="1:9" hidden="1" outlineLevel="1" x14ac:dyDescent="0.25">
      <c r="A699" s="84" t="s">
        <v>564</v>
      </c>
      <c r="B699" s="75" t="s">
        <v>111</v>
      </c>
      <c r="C699" s="2"/>
      <c r="D699" s="158"/>
      <c r="E699" s="2"/>
      <c r="F699" s="11"/>
      <c r="G699" s="18"/>
      <c r="H699" s="18"/>
      <c r="I699" s="18">
        <f t="shared" si="44"/>
        <v>0</v>
      </c>
    </row>
    <row r="700" spans="1:9" ht="31.2" hidden="1" outlineLevel="1" x14ac:dyDescent="0.25">
      <c r="A700" s="84" t="s">
        <v>565</v>
      </c>
      <c r="B700" s="29" t="s">
        <v>112</v>
      </c>
      <c r="C700" s="31" t="s">
        <v>29</v>
      </c>
      <c r="D700" s="31">
        <f>D701+D702+D703</f>
        <v>0</v>
      </c>
      <c r="E700" s="256">
        <v>85</v>
      </c>
      <c r="F700" s="60"/>
      <c r="G700" s="2">
        <f>ROUND(E700*D700,2)</f>
        <v>0</v>
      </c>
      <c r="H700" s="18"/>
      <c r="I700" s="18">
        <f t="shared" si="44"/>
        <v>0</v>
      </c>
    </row>
    <row r="701" spans="1:9" hidden="1" outlineLevel="1" x14ac:dyDescent="0.25">
      <c r="A701" s="84"/>
      <c r="B701" s="329" t="s">
        <v>113</v>
      </c>
      <c r="C701" s="21" t="s">
        <v>29</v>
      </c>
      <c r="D701" s="340">
        <v>0</v>
      </c>
      <c r="E701" s="18"/>
      <c r="F701" s="60">
        <v>63.8</v>
      </c>
      <c r="G701" s="18"/>
      <c r="H701" s="2">
        <f t="shared" ref="H701:H707" si="45">ROUND(D701*F701,2)</f>
        <v>0</v>
      </c>
      <c r="I701" s="18">
        <f t="shared" si="44"/>
        <v>0</v>
      </c>
    </row>
    <row r="702" spans="1:9" hidden="1" outlineLevel="1" x14ac:dyDescent="0.25">
      <c r="A702" s="84"/>
      <c r="B702" s="329" t="s">
        <v>440</v>
      </c>
      <c r="C702" s="21" t="s">
        <v>29</v>
      </c>
      <c r="D702" s="340">
        <v>0</v>
      </c>
      <c r="E702" s="18"/>
      <c r="F702" s="11">
        <v>55</v>
      </c>
      <c r="G702" s="18"/>
      <c r="H702" s="2">
        <f t="shared" si="45"/>
        <v>0</v>
      </c>
      <c r="I702" s="18">
        <f>G702+H702</f>
        <v>0</v>
      </c>
    </row>
    <row r="703" spans="1:9" hidden="1" outlineLevel="1" x14ac:dyDescent="0.25">
      <c r="A703" s="84"/>
      <c r="B703" s="329" t="s">
        <v>114</v>
      </c>
      <c r="C703" s="21" t="s">
        <v>29</v>
      </c>
      <c r="D703" s="340">
        <v>0</v>
      </c>
      <c r="E703" s="18"/>
      <c r="F703" s="60">
        <v>103.95</v>
      </c>
      <c r="G703" s="18"/>
      <c r="H703" s="2">
        <f t="shared" si="45"/>
        <v>0</v>
      </c>
      <c r="I703" s="18">
        <f>G703+H703</f>
        <v>0</v>
      </c>
    </row>
    <row r="704" spans="1:9" hidden="1" outlineLevel="1" x14ac:dyDescent="0.25">
      <c r="A704" s="84"/>
      <c r="B704" s="329" t="s">
        <v>115</v>
      </c>
      <c r="C704" s="21" t="s">
        <v>12</v>
      </c>
      <c r="D704" s="340">
        <v>0</v>
      </c>
      <c r="E704" s="18"/>
      <c r="F704" s="60">
        <v>61.27</v>
      </c>
      <c r="G704" s="18"/>
      <c r="H704" s="2">
        <f t="shared" si="45"/>
        <v>0</v>
      </c>
      <c r="I704" s="18">
        <f t="shared" si="44"/>
        <v>0</v>
      </c>
    </row>
    <row r="705" spans="1:10" hidden="1" outlineLevel="1" x14ac:dyDescent="0.25">
      <c r="A705" s="84"/>
      <c r="B705" s="343" t="s">
        <v>91</v>
      </c>
      <c r="C705" s="21" t="s">
        <v>15</v>
      </c>
      <c r="D705" s="340">
        <v>0</v>
      </c>
      <c r="E705" s="18"/>
      <c r="F705" s="60">
        <f>37500/1000</f>
        <v>37.5</v>
      </c>
      <c r="G705" s="18"/>
      <c r="H705" s="2">
        <f t="shared" si="45"/>
        <v>0</v>
      </c>
      <c r="I705" s="18">
        <f t="shared" si="44"/>
        <v>0</v>
      </c>
    </row>
    <row r="706" spans="1:10" hidden="1" outlineLevel="1" x14ac:dyDescent="0.25">
      <c r="A706" s="84"/>
      <c r="B706" s="329" t="s">
        <v>116</v>
      </c>
      <c r="C706" s="21" t="s">
        <v>12</v>
      </c>
      <c r="D706" s="340">
        <v>0</v>
      </c>
      <c r="E706" s="18"/>
      <c r="F706" s="60">
        <v>320</v>
      </c>
      <c r="G706" s="18"/>
      <c r="H706" s="2">
        <f t="shared" si="45"/>
        <v>0</v>
      </c>
      <c r="I706" s="18">
        <f t="shared" si="44"/>
        <v>0</v>
      </c>
    </row>
    <row r="707" spans="1:10" hidden="1" outlineLevel="1" x14ac:dyDescent="0.25">
      <c r="A707" s="84"/>
      <c r="B707" s="329" t="s">
        <v>441</v>
      </c>
      <c r="C707" s="21" t="s">
        <v>12</v>
      </c>
      <c r="D707" s="340">
        <v>0</v>
      </c>
      <c r="E707" s="18"/>
      <c r="F707" s="60">
        <v>1250</v>
      </c>
      <c r="G707" s="18"/>
      <c r="H707" s="2">
        <f t="shared" si="45"/>
        <v>0</v>
      </c>
      <c r="I707" s="18">
        <f>G707+H707</f>
        <v>0</v>
      </c>
    </row>
    <row r="708" spans="1:10" hidden="1" outlineLevel="1" x14ac:dyDescent="0.25">
      <c r="A708" s="84"/>
      <c r="B708" s="75" t="s">
        <v>117</v>
      </c>
      <c r="C708" s="2"/>
      <c r="D708" s="158"/>
      <c r="E708" s="2"/>
      <c r="F708" s="11"/>
      <c r="G708" s="18"/>
      <c r="H708" s="18"/>
      <c r="I708" s="18">
        <f t="shared" si="44"/>
        <v>0</v>
      </c>
    </row>
    <row r="709" spans="1:10" ht="31.2" hidden="1" outlineLevel="1" x14ac:dyDescent="0.25">
      <c r="A709" s="87"/>
      <c r="B709" s="307" t="s">
        <v>112</v>
      </c>
      <c r="C709" s="2" t="s">
        <v>29</v>
      </c>
      <c r="D709" s="306">
        <f>D710</f>
        <v>0</v>
      </c>
      <c r="E709" s="256">
        <v>85</v>
      </c>
      <c r="F709" s="60"/>
      <c r="G709" s="2">
        <f>ROUND(E709*D709,2)</f>
        <v>0</v>
      </c>
      <c r="H709" s="18"/>
      <c r="I709" s="18">
        <f>G709+H709</f>
        <v>0</v>
      </c>
      <c r="J709" s="780" t="s">
        <v>625</v>
      </c>
    </row>
    <row r="710" spans="1:10" hidden="1" outlineLevel="1" x14ac:dyDescent="0.25">
      <c r="A710" s="84"/>
      <c r="B710" s="329" t="s">
        <v>114</v>
      </c>
      <c r="C710" s="21" t="s">
        <v>29</v>
      </c>
      <c r="D710" s="340">
        <v>0</v>
      </c>
      <c r="E710" s="158"/>
      <c r="F710" s="60">
        <v>103.95</v>
      </c>
      <c r="G710" s="158"/>
      <c r="H710" s="2">
        <f t="shared" ref="H710:H715" si="46">ROUND(D710*F710,2)</f>
        <v>0</v>
      </c>
      <c r="I710" s="18">
        <f t="shared" ref="I710:I715" si="47">G710+H710</f>
        <v>0</v>
      </c>
      <c r="J710" s="780"/>
    </row>
    <row r="711" spans="1:10" hidden="1" outlineLevel="1" x14ac:dyDescent="0.25">
      <c r="A711" s="84"/>
      <c r="B711" s="329" t="s">
        <v>115</v>
      </c>
      <c r="C711" s="21" t="s">
        <v>12</v>
      </c>
      <c r="D711" s="340">
        <v>0</v>
      </c>
      <c r="E711" s="158"/>
      <c r="F711" s="60">
        <v>61.27</v>
      </c>
      <c r="G711" s="158"/>
      <c r="H711" s="2">
        <f t="shared" si="46"/>
        <v>0</v>
      </c>
      <c r="I711" s="18">
        <f t="shared" si="47"/>
        <v>0</v>
      </c>
      <c r="J711" s="780"/>
    </row>
    <row r="712" spans="1:10" hidden="1" outlineLevel="1" x14ac:dyDescent="0.25">
      <c r="A712" s="84"/>
      <c r="B712" s="343" t="s">
        <v>91</v>
      </c>
      <c r="C712" s="21" t="s">
        <v>15</v>
      </c>
      <c r="D712" s="340">
        <v>0</v>
      </c>
      <c r="E712" s="158"/>
      <c r="F712" s="11">
        <f>37500/1000</f>
        <v>37.5</v>
      </c>
      <c r="G712" s="158"/>
      <c r="H712" s="2">
        <f t="shared" si="46"/>
        <v>0</v>
      </c>
      <c r="I712" s="18">
        <f t="shared" si="47"/>
        <v>0</v>
      </c>
      <c r="J712" s="780"/>
    </row>
    <row r="713" spans="1:10" hidden="1" outlineLevel="1" x14ac:dyDescent="0.25">
      <c r="A713" s="84"/>
      <c r="B713" s="329" t="s">
        <v>116</v>
      </c>
      <c r="C713" s="21" t="s">
        <v>12</v>
      </c>
      <c r="D713" s="340">
        <v>0</v>
      </c>
      <c r="E713" s="158"/>
      <c r="F713" s="11">
        <v>320</v>
      </c>
      <c r="G713" s="158"/>
      <c r="H713" s="2">
        <f t="shared" si="46"/>
        <v>0</v>
      </c>
      <c r="I713" s="18">
        <f t="shared" si="47"/>
        <v>0</v>
      </c>
      <c r="J713" s="780"/>
    </row>
    <row r="714" spans="1:10" hidden="1" outlineLevel="1" x14ac:dyDescent="0.25">
      <c r="A714" s="84"/>
      <c r="B714" s="329" t="s">
        <v>118</v>
      </c>
      <c r="C714" s="21" t="s">
        <v>12</v>
      </c>
      <c r="D714" s="340">
        <v>0</v>
      </c>
      <c r="E714" s="158"/>
      <c r="F714" s="164">
        <v>2435.6</v>
      </c>
      <c r="G714" s="158"/>
      <c r="H714" s="2">
        <f>ROUND(D714*F714,2)</f>
        <v>0</v>
      </c>
      <c r="I714" s="18">
        <f>G714+H714</f>
        <v>0</v>
      </c>
      <c r="J714" s="780"/>
    </row>
    <row r="715" spans="1:10" hidden="1" outlineLevel="1" x14ac:dyDescent="0.25">
      <c r="A715" s="84"/>
      <c r="B715" s="329" t="s">
        <v>714</v>
      </c>
      <c r="C715" s="21" t="s">
        <v>12</v>
      </c>
      <c r="D715" s="340">
        <v>0</v>
      </c>
      <c r="E715" s="158"/>
      <c r="F715" s="164">
        <v>100</v>
      </c>
      <c r="G715" s="158"/>
      <c r="H715" s="2">
        <f t="shared" si="46"/>
        <v>0</v>
      </c>
      <c r="I715" s="18">
        <f t="shared" si="47"/>
        <v>0</v>
      </c>
      <c r="J715" s="780"/>
    </row>
    <row r="716" spans="1:10" s="5" customFormat="1" ht="26.4" customHeight="1" collapsed="1" x14ac:dyDescent="0.25">
      <c r="A716" s="223"/>
      <c r="B716" s="233" t="s">
        <v>62</v>
      </c>
      <c r="C716" s="234"/>
      <c r="D716" s="235"/>
      <c r="E716" s="236"/>
      <c r="F716" s="237"/>
      <c r="G716" s="236">
        <f>SUM(G600:G715)</f>
        <v>0</v>
      </c>
      <c r="H716" s="236">
        <f>SUM(H599:H715)</f>
        <v>0</v>
      </c>
      <c r="I716" s="236">
        <f>SUM(I600:I715)</f>
        <v>0</v>
      </c>
    </row>
    <row r="717" spans="1:10" s="5" customFormat="1" x14ac:dyDescent="0.25">
      <c r="A717" s="84"/>
      <c r="B717" s="471" t="s">
        <v>624</v>
      </c>
      <c r="C717" s="9"/>
      <c r="D717" s="31"/>
      <c r="E717" s="10"/>
      <c r="F717" s="57"/>
      <c r="G717" s="10"/>
      <c r="H717" s="10"/>
      <c r="I717" s="31">
        <f>ROUND(I716/1.18*0.18,2)</f>
        <v>0</v>
      </c>
    </row>
    <row r="718" spans="1:10" s="5" customFormat="1" ht="18.75" customHeight="1" x14ac:dyDescent="0.25">
      <c r="A718" s="109"/>
      <c r="B718" s="771" t="s">
        <v>1213</v>
      </c>
      <c r="C718" s="771"/>
      <c r="D718" s="771"/>
      <c r="E718" s="105"/>
      <c r="F718" s="138"/>
      <c r="G718" s="105"/>
      <c r="H718" s="105"/>
      <c r="I718" s="106"/>
    </row>
    <row r="719" spans="1:10" hidden="1" outlineLevel="1" x14ac:dyDescent="0.25">
      <c r="A719" s="90"/>
      <c r="B719" s="496" t="s">
        <v>177</v>
      </c>
      <c r="C719" s="13"/>
      <c r="D719" s="2"/>
      <c r="E719" s="130">
        <f>H753*0.5</f>
        <v>0</v>
      </c>
      <c r="F719" s="147"/>
      <c r="G719" s="546">
        <f>E719</f>
        <v>0</v>
      </c>
      <c r="H719" s="26"/>
      <c r="I719" s="546">
        <f>G719+H719</f>
        <v>0</v>
      </c>
    </row>
    <row r="720" spans="1:10" hidden="1" outlineLevel="1" x14ac:dyDescent="0.25">
      <c r="A720" s="87" t="s">
        <v>338</v>
      </c>
      <c r="B720" s="29" t="s">
        <v>178</v>
      </c>
      <c r="C720" s="2" t="s">
        <v>12</v>
      </c>
      <c r="D720" s="340">
        <v>0</v>
      </c>
      <c r="E720" s="18"/>
      <c r="F720" s="60"/>
      <c r="G720" s="18"/>
      <c r="H720" s="18"/>
      <c r="I720" s="18">
        <f>G720+H720</f>
        <v>0</v>
      </c>
    </row>
    <row r="721" spans="1:12" hidden="1" outlineLevel="1" x14ac:dyDescent="0.25">
      <c r="A721" s="84"/>
      <c r="B721" s="28" t="s">
        <v>243</v>
      </c>
      <c r="C721" s="21" t="s">
        <v>12</v>
      </c>
      <c r="D721" s="340">
        <v>0</v>
      </c>
      <c r="E721" s="18"/>
      <c r="F721" s="60">
        <v>1530</v>
      </c>
      <c r="G721" s="18"/>
      <c r="H721" s="2">
        <f>ROUND(D721*F721,2)</f>
        <v>0</v>
      </c>
      <c r="I721" s="18">
        <f t="shared" ref="I721:I747" si="48">G721+H721</f>
        <v>0</v>
      </c>
    </row>
    <row r="722" spans="1:12" s="6" customFormat="1" hidden="1" outlineLevel="1" x14ac:dyDescent="0.25">
      <c r="A722" s="87" t="s">
        <v>567</v>
      </c>
      <c r="B722" s="63" t="s">
        <v>179</v>
      </c>
      <c r="C722" s="2" t="s">
        <v>173</v>
      </c>
      <c r="D722" s="340">
        <v>0</v>
      </c>
      <c r="E722" s="2"/>
      <c r="F722" s="11"/>
      <c r="G722" s="18"/>
      <c r="H722" s="18"/>
      <c r="I722" s="18">
        <f t="shared" si="48"/>
        <v>0</v>
      </c>
    </row>
    <row r="723" spans="1:12" hidden="1" outlineLevel="1" x14ac:dyDescent="0.25">
      <c r="A723" s="84"/>
      <c r="B723" s="60" t="s">
        <v>180</v>
      </c>
      <c r="C723" s="2" t="s">
        <v>12</v>
      </c>
      <c r="D723" s="340">
        <v>0</v>
      </c>
      <c r="E723" s="2"/>
      <c r="F723" s="11">
        <v>4200</v>
      </c>
      <c r="G723" s="18"/>
      <c r="H723" s="2">
        <f>ROUND(D723*F723,2)</f>
        <v>0</v>
      </c>
      <c r="I723" s="18">
        <f t="shared" si="48"/>
        <v>0</v>
      </c>
    </row>
    <row r="724" spans="1:12" hidden="1" outlineLevel="1" x14ac:dyDescent="0.25">
      <c r="A724" s="84"/>
      <c r="B724" s="60" t="s">
        <v>244</v>
      </c>
      <c r="C724" s="2" t="s">
        <v>12</v>
      </c>
      <c r="D724" s="340">
        <v>0</v>
      </c>
      <c r="E724" s="2"/>
      <c r="F724" s="11">
        <v>380</v>
      </c>
      <c r="G724" s="18"/>
      <c r="H724" s="2">
        <f>ROUND(D724*F724,2)</f>
        <v>0</v>
      </c>
      <c r="I724" s="18">
        <f>G724+H724</f>
        <v>0</v>
      </c>
    </row>
    <row r="725" spans="1:12" ht="31.2" hidden="1" outlineLevel="1" x14ac:dyDescent="0.25">
      <c r="A725" s="84" t="s">
        <v>568</v>
      </c>
      <c r="B725" s="63" t="s">
        <v>262</v>
      </c>
      <c r="C725" s="2" t="s">
        <v>173</v>
      </c>
      <c r="D725" s="2">
        <v>0</v>
      </c>
      <c r="E725" s="2"/>
      <c r="F725" s="11"/>
      <c r="G725" s="18"/>
      <c r="H725" s="18"/>
      <c r="I725" s="18">
        <f>G725+H725</f>
        <v>0</v>
      </c>
    </row>
    <row r="726" spans="1:12" ht="25.2" hidden="1" customHeight="1" outlineLevel="1" x14ac:dyDescent="0.25">
      <c r="A726" s="84"/>
      <c r="B726" s="152" t="s">
        <v>353</v>
      </c>
      <c r="C726" s="150" t="s">
        <v>12</v>
      </c>
      <c r="D726" s="150">
        <f>D725</f>
        <v>0</v>
      </c>
      <c r="E726" s="150"/>
      <c r="F726" s="151">
        <f>185000/3</f>
        <v>61666.666666666664</v>
      </c>
      <c r="G726" s="149"/>
      <c r="H726" s="150">
        <f>ROUND(D726*F726,2)</f>
        <v>0</v>
      </c>
      <c r="I726" s="149">
        <f>G726+H726</f>
        <v>0</v>
      </c>
      <c r="K726" s="781" t="s">
        <v>466</v>
      </c>
      <c r="L726" s="782"/>
    </row>
    <row r="727" spans="1:12" hidden="1" outlineLevel="1" x14ac:dyDescent="0.25">
      <c r="A727" s="84" t="s">
        <v>569</v>
      </c>
      <c r="B727" s="62" t="s">
        <v>245</v>
      </c>
      <c r="C727" s="2" t="s">
        <v>29</v>
      </c>
      <c r="D727" s="2">
        <f>D729+D730+D731+D732+D728</f>
        <v>0</v>
      </c>
      <c r="E727" s="2"/>
      <c r="F727" s="11"/>
      <c r="G727" s="18"/>
      <c r="H727" s="18">
        <f>E727*D727</f>
        <v>0</v>
      </c>
      <c r="I727" s="18">
        <f t="shared" si="48"/>
        <v>0</v>
      </c>
    </row>
    <row r="728" spans="1:12" hidden="1" outlineLevel="1" x14ac:dyDescent="0.25">
      <c r="A728" s="84"/>
      <c r="B728" s="74" t="s">
        <v>460</v>
      </c>
      <c r="C728" s="2" t="s">
        <v>29</v>
      </c>
      <c r="D728" s="2">
        <v>0</v>
      </c>
      <c r="E728" s="2"/>
      <c r="F728" s="11">
        <v>252.4</v>
      </c>
      <c r="G728" s="18"/>
      <c r="H728" s="2">
        <f t="shared" ref="H728:H747" si="49">ROUND(D728*F728,2)</f>
        <v>0</v>
      </c>
      <c r="I728" s="18">
        <f>G728+H728</f>
        <v>0</v>
      </c>
    </row>
    <row r="729" spans="1:12" hidden="1" outlineLevel="1" x14ac:dyDescent="0.25">
      <c r="A729" s="84"/>
      <c r="B729" s="74" t="s">
        <v>246</v>
      </c>
      <c r="C729" s="2" t="s">
        <v>29</v>
      </c>
      <c r="D729" s="2">
        <v>0</v>
      </c>
      <c r="E729" s="2"/>
      <c r="F729" s="11">
        <v>145.19999999999999</v>
      </c>
      <c r="G729" s="18"/>
      <c r="H729" s="2">
        <f t="shared" si="49"/>
        <v>0</v>
      </c>
      <c r="I729" s="18">
        <f t="shared" si="48"/>
        <v>0</v>
      </c>
    </row>
    <row r="730" spans="1:12" hidden="1" outlineLevel="1" x14ac:dyDescent="0.25">
      <c r="A730" s="84"/>
      <c r="B730" s="74" t="s">
        <v>247</v>
      </c>
      <c r="C730" s="2" t="s">
        <v>29</v>
      </c>
      <c r="D730" s="2">
        <v>0</v>
      </c>
      <c r="E730" s="2"/>
      <c r="F730" s="11">
        <f>2.91*42</f>
        <v>122.22</v>
      </c>
      <c r="G730" s="18"/>
      <c r="H730" s="2">
        <f t="shared" si="49"/>
        <v>0</v>
      </c>
      <c r="I730" s="18">
        <f t="shared" si="48"/>
        <v>0</v>
      </c>
    </row>
    <row r="731" spans="1:12" hidden="1" outlineLevel="1" x14ac:dyDescent="0.25">
      <c r="A731" s="84"/>
      <c r="B731" s="74" t="s">
        <v>248</v>
      </c>
      <c r="C731" s="2" t="s">
        <v>29</v>
      </c>
      <c r="D731" s="2">
        <v>0</v>
      </c>
      <c r="E731" s="2"/>
      <c r="F731" s="11">
        <f>2.12*42</f>
        <v>89.04</v>
      </c>
      <c r="G731" s="18"/>
      <c r="H731" s="2">
        <f t="shared" si="49"/>
        <v>0</v>
      </c>
      <c r="I731" s="18">
        <f t="shared" si="48"/>
        <v>0</v>
      </c>
    </row>
    <row r="732" spans="1:12" hidden="1" outlineLevel="1" x14ac:dyDescent="0.25">
      <c r="A732" s="84"/>
      <c r="B732" s="74" t="s">
        <v>249</v>
      </c>
      <c r="C732" s="2" t="s">
        <v>29</v>
      </c>
      <c r="D732" s="2">
        <v>0</v>
      </c>
      <c r="E732" s="2"/>
      <c r="F732" s="11">
        <v>70.900000000000006</v>
      </c>
      <c r="G732" s="18"/>
      <c r="H732" s="2">
        <f t="shared" si="49"/>
        <v>0</v>
      </c>
      <c r="I732" s="18">
        <f t="shared" si="48"/>
        <v>0</v>
      </c>
    </row>
    <row r="733" spans="1:12" hidden="1" outlineLevel="1" x14ac:dyDescent="0.25">
      <c r="A733" s="84"/>
      <c r="B733" s="74" t="s">
        <v>465</v>
      </c>
      <c r="C733" s="2" t="s">
        <v>29</v>
      </c>
      <c r="D733" s="2">
        <v>0</v>
      </c>
      <c r="E733" s="2"/>
      <c r="F733" s="11">
        <v>232</v>
      </c>
      <c r="G733" s="18"/>
      <c r="H733" s="2">
        <f t="shared" si="49"/>
        <v>0</v>
      </c>
      <c r="I733" s="18">
        <f t="shared" si="48"/>
        <v>0</v>
      </c>
    </row>
    <row r="734" spans="1:12" hidden="1" outlineLevel="1" x14ac:dyDescent="0.25">
      <c r="A734" s="84"/>
      <c r="B734" s="74" t="s">
        <v>254</v>
      </c>
      <c r="C734" s="2" t="s">
        <v>29</v>
      </c>
      <c r="D734" s="2">
        <v>0</v>
      </c>
      <c r="E734" s="2"/>
      <c r="F734" s="11">
        <v>158</v>
      </c>
      <c r="G734" s="18"/>
      <c r="H734" s="2">
        <f t="shared" si="49"/>
        <v>0</v>
      </c>
      <c r="I734" s="18">
        <f t="shared" si="48"/>
        <v>0</v>
      </c>
    </row>
    <row r="735" spans="1:12" hidden="1" outlineLevel="1" x14ac:dyDescent="0.25">
      <c r="A735" s="84"/>
      <c r="B735" s="74" t="s">
        <v>463</v>
      </c>
      <c r="C735" s="2" t="s">
        <v>15</v>
      </c>
      <c r="D735" s="2">
        <v>0</v>
      </c>
      <c r="E735" s="2"/>
      <c r="F735" s="11">
        <v>45</v>
      </c>
      <c r="G735" s="18"/>
      <c r="H735" s="18">
        <f t="shared" si="49"/>
        <v>0</v>
      </c>
      <c r="I735" s="18">
        <f t="shared" si="48"/>
        <v>0</v>
      </c>
    </row>
    <row r="736" spans="1:12" hidden="1" outlineLevel="1" x14ac:dyDescent="0.25">
      <c r="A736" s="84" t="s">
        <v>570</v>
      </c>
      <c r="B736" s="63" t="s">
        <v>250</v>
      </c>
      <c r="C736" s="2" t="s">
        <v>12</v>
      </c>
      <c r="D736" s="2">
        <f>D737+D738+D739+D741+D740+D742</f>
        <v>0</v>
      </c>
      <c r="E736" s="2"/>
      <c r="F736" s="11"/>
      <c r="G736" s="18"/>
      <c r="H736" s="18"/>
      <c r="I736" s="18">
        <f t="shared" si="48"/>
        <v>0</v>
      </c>
    </row>
    <row r="737" spans="1:9" hidden="1" outlineLevel="1" x14ac:dyDescent="0.25">
      <c r="A737" s="84"/>
      <c r="B737" s="28" t="s">
        <v>251</v>
      </c>
      <c r="C737" s="21" t="s">
        <v>12</v>
      </c>
      <c r="D737" s="2">
        <v>0</v>
      </c>
      <c r="E737" s="18"/>
      <c r="F737" s="60">
        <v>278</v>
      </c>
      <c r="G737" s="18"/>
      <c r="H737" s="18">
        <f t="shared" si="49"/>
        <v>0</v>
      </c>
      <c r="I737" s="18">
        <f t="shared" si="48"/>
        <v>0</v>
      </c>
    </row>
    <row r="738" spans="1:9" hidden="1" outlineLevel="1" x14ac:dyDescent="0.25">
      <c r="A738" s="84"/>
      <c r="B738" s="28" t="s">
        <v>252</v>
      </c>
      <c r="C738" s="21" t="s">
        <v>12</v>
      </c>
      <c r="D738" s="2">
        <v>0</v>
      </c>
      <c r="E738" s="18"/>
      <c r="F738" s="60">
        <v>143</v>
      </c>
      <c r="G738" s="18"/>
      <c r="H738" s="18">
        <f t="shared" si="49"/>
        <v>0</v>
      </c>
      <c r="I738" s="18">
        <f t="shared" si="48"/>
        <v>0</v>
      </c>
    </row>
    <row r="739" spans="1:9" hidden="1" outlineLevel="1" x14ac:dyDescent="0.25">
      <c r="A739" s="84"/>
      <c r="B739" s="28" t="s">
        <v>253</v>
      </c>
      <c r="C739" s="21" t="s">
        <v>12</v>
      </c>
      <c r="D739" s="2">
        <v>0</v>
      </c>
      <c r="E739" s="18"/>
      <c r="F739" s="60">
        <v>89.7</v>
      </c>
      <c r="G739" s="18"/>
      <c r="H739" s="18">
        <f t="shared" si="49"/>
        <v>0</v>
      </c>
      <c r="I739" s="18">
        <f t="shared" si="48"/>
        <v>0</v>
      </c>
    </row>
    <row r="740" spans="1:9" hidden="1" outlineLevel="1" x14ac:dyDescent="0.25">
      <c r="A740" s="84"/>
      <c r="B740" s="74" t="s">
        <v>488</v>
      </c>
      <c r="C740" s="2" t="s">
        <v>12</v>
      </c>
      <c r="D740" s="2">
        <v>0</v>
      </c>
      <c r="E740" s="2"/>
      <c r="F740" s="60">
        <v>1320</v>
      </c>
      <c r="G740" s="18"/>
      <c r="H740" s="18">
        <f t="shared" si="49"/>
        <v>0</v>
      </c>
      <c r="I740" s="18">
        <f t="shared" si="48"/>
        <v>0</v>
      </c>
    </row>
    <row r="741" spans="1:9" hidden="1" outlineLevel="1" x14ac:dyDescent="0.25">
      <c r="A741" s="84"/>
      <c r="B741" s="74" t="s">
        <v>487</v>
      </c>
      <c r="C741" s="2" t="s">
        <v>12</v>
      </c>
      <c r="D741" s="2">
        <v>0</v>
      </c>
      <c r="E741" s="2"/>
      <c r="F741" s="60">
        <v>1200</v>
      </c>
      <c r="G741" s="18"/>
      <c r="H741" s="18">
        <f t="shared" si="49"/>
        <v>0</v>
      </c>
      <c r="I741" s="18">
        <f t="shared" si="48"/>
        <v>0</v>
      </c>
    </row>
    <row r="742" spans="1:9" hidden="1" outlineLevel="1" x14ac:dyDescent="0.25">
      <c r="A742" s="84"/>
      <c r="B742" s="28" t="s">
        <v>459</v>
      </c>
      <c r="C742" s="21" t="s">
        <v>12</v>
      </c>
      <c r="D742" s="2">
        <v>0</v>
      </c>
      <c r="E742" s="2"/>
      <c r="F742" s="60">
        <v>490</v>
      </c>
      <c r="G742" s="18"/>
      <c r="H742" s="18">
        <f t="shared" si="49"/>
        <v>0</v>
      </c>
      <c r="I742" s="18">
        <f t="shared" si="48"/>
        <v>0</v>
      </c>
    </row>
    <row r="743" spans="1:9" hidden="1" outlineLevel="1" x14ac:dyDescent="0.25">
      <c r="A743" s="84"/>
      <c r="B743" s="74" t="s">
        <v>255</v>
      </c>
      <c r="C743" s="2" t="s">
        <v>12</v>
      </c>
      <c r="D743" s="2">
        <v>0</v>
      </c>
      <c r="E743" s="2"/>
      <c r="F743" s="11">
        <v>22.22</v>
      </c>
      <c r="G743" s="18"/>
      <c r="H743" s="18">
        <f t="shared" si="49"/>
        <v>0</v>
      </c>
      <c r="I743" s="18">
        <f t="shared" si="48"/>
        <v>0</v>
      </c>
    </row>
    <row r="744" spans="1:9" hidden="1" outlineLevel="1" x14ac:dyDescent="0.25">
      <c r="A744" s="84"/>
      <c r="B744" s="74" t="s">
        <v>256</v>
      </c>
      <c r="C744" s="2" t="s">
        <v>12</v>
      </c>
      <c r="D744" s="2">
        <v>0</v>
      </c>
      <c r="E744" s="2"/>
      <c r="F744" s="11">
        <v>16.760000000000002</v>
      </c>
      <c r="G744" s="18"/>
      <c r="H744" s="18">
        <f t="shared" si="49"/>
        <v>0</v>
      </c>
      <c r="I744" s="18">
        <f t="shared" si="48"/>
        <v>0</v>
      </c>
    </row>
    <row r="745" spans="1:9" hidden="1" outlineLevel="1" x14ac:dyDescent="0.25">
      <c r="A745" s="84"/>
      <c r="B745" s="74" t="s">
        <v>461</v>
      </c>
      <c r="C745" s="2" t="s">
        <v>12</v>
      </c>
      <c r="D745" s="2">
        <v>0</v>
      </c>
      <c r="E745" s="2"/>
      <c r="F745" s="11">
        <v>54.92</v>
      </c>
      <c r="G745" s="18"/>
      <c r="H745" s="18">
        <f t="shared" si="49"/>
        <v>0</v>
      </c>
      <c r="I745" s="18">
        <f t="shared" si="48"/>
        <v>0</v>
      </c>
    </row>
    <row r="746" spans="1:9" hidden="1" outlineLevel="1" x14ac:dyDescent="0.25">
      <c r="A746" s="84"/>
      <c r="B746" s="74" t="s">
        <v>257</v>
      </c>
      <c r="C746" s="2" t="s">
        <v>12</v>
      </c>
      <c r="D746" s="2">
        <v>0</v>
      </c>
      <c r="E746" s="2"/>
      <c r="F746" s="11">
        <v>19.12</v>
      </c>
      <c r="G746" s="18"/>
      <c r="H746" s="18">
        <f t="shared" si="49"/>
        <v>0</v>
      </c>
      <c r="I746" s="18">
        <f t="shared" si="48"/>
        <v>0</v>
      </c>
    </row>
    <row r="747" spans="1:9" hidden="1" outlineLevel="1" x14ac:dyDescent="0.25">
      <c r="A747" s="84"/>
      <c r="B747" s="74" t="s">
        <v>258</v>
      </c>
      <c r="C747" s="2" t="s">
        <v>12</v>
      </c>
      <c r="D747" s="2">
        <v>0</v>
      </c>
      <c r="E747" s="2"/>
      <c r="F747" s="11">
        <v>19.13</v>
      </c>
      <c r="G747" s="18"/>
      <c r="H747" s="18">
        <f t="shared" si="49"/>
        <v>0</v>
      </c>
      <c r="I747" s="18">
        <f t="shared" si="48"/>
        <v>0</v>
      </c>
    </row>
    <row r="748" spans="1:9" hidden="1" outlineLevel="1" x14ac:dyDescent="0.25">
      <c r="A748" s="84"/>
      <c r="B748" s="74" t="s">
        <v>462</v>
      </c>
      <c r="C748" s="2" t="s">
        <v>12</v>
      </c>
      <c r="D748" s="2">
        <v>0</v>
      </c>
      <c r="E748" s="2"/>
      <c r="F748" s="11">
        <v>32.700000000000003</v>
      </c>
      <c r="G748" s="18"/>
      <c r="H748" s="18">
        <f>ROUND(D748*F748,2)</f>
        <v>0</v>
      </c>
      <c r="I748" s="18">
        <f>G748+H748</f>
        <v>0</v>
      </c>
    </row>
    <row r="749" spans="1:9" hidden="1" outlineLevel="1" x14ac:dyDescent="0.25">
      <c r="A749" s="84" t="s">
        <v>571</v>
      </c>
      <c r="B749" s="62" t="s">
        <v>259</v>
      </c>
      <c r="C749" s="2" t="s">
        <v>14</v>
      </c>
      <c r="D749" s="2">
        <v>0</v>
      </c>
      <c r="E749" s="2"/>
      <c r="F749" s="11"/>
      <c r="G749" s="18"/>
      <c r="H749" s="18"/>
      <c r="I749" s="18"/>
    </row>
    <row r="750" spans="1:9" hidden="1" outlineLevel="1" x14ac:dyDescent="0.25">
      <c r="A750" s="84"/>
      <c r="B750" s="28" t="s">
        <v>260</v>
      </c>
      <c r="C750" s="21" t="s">
        <v>15</v>
      </c>
      <c r="D750" s="2">
        <f>D749*0.2</f>
        <v>0</v>
      </c>
      <c r="E750" s="18"/>
      <c r="F750" s="60">
        <v>100</v>
      </c>
      <c r="G750" s="18"/>
      <c r="H750" s="18">
        <f>ROUND(D750*F750,2)</f>
        <v>0</v>
      </c>
      <c r="I750" s="18">
        <f>H750+G750</f>
        <v>0</v>
      </c>
    </row>
    <row r="751" spans="1:9" hidden="1" outlineLevel="1" x14ac:dyDescent="0.25">
      <c r="A751" s="84"/>
      <c r="B751" s="28" t="s">
        <v>261</v>
      </c>
      <c r="C751" s="21" t="s">
        <v>15</v>
      </c>
      <c r="D751" s="2">
        <f>D749*0.4</f>
        <v>0</v>
      </c>
      <c r="E751" s="18"/>
      <c r="F751" s="60">
        <v>200</v>
      </c>
      <c r="G751" s="18"/>
      <c r="H751" s="18">
        <f>ROUND(D751*F751,2)</f>
        <v>0</v>
      </c>
      <c r="I751" s="18">
        <f>H751+G751</f>
        <v>0</v>
      </c>
    </row>
    <row r="752" spans="1:9" hidden="1" outlineLevel="1" x14ac:dyDescent="0.25">
      <c r="A752" s="84" t="s">
        <v>572</v>
      </c>
      <c r="B752" s="183" t="s">
        <v>464</v>
      </c>
      <c r="C752" s="178" t="s">
        <v>29</v>
      </c>
      <c r="D752" s="179">
        <f>D727</f>
        <v>0</v>
      </c>
      <c r="E752" s="180"/>
      <c r="F752" s="181"/>
      <c r="G752" s="182"/>
      <c r="H752" s="18"/>
      <c r="I752" s="18"/>
    </row>
    <row r="753" spans="1:12" s="5" customFormat="1" collapsed="1" x14ac:dyDescent="0.25">
      <c r="A753" s="223"/>
      <c r="B753" s="233" t="s">
        <v>63</v>
      </c>
      <c r="C753" s="234"/>
      <c r="D753" s="235"/>
      <c r="E753" s="236"/>
      <c r="F753" s="237"/>
      <c r="G753" s="236">
        <f>SUM(G719:G751)</f>
        <v>0</v>
      </c>
      <c r="H753" s="236">
        <f>SUM(H719:H751)</f>
        <v>0</v>
      </c>
      <c r="I753" s="236">
        <f>SUM(I719:I751)</f>
        <v>0</v>
      </c>
    </row>
    <row r="754" spans="1:12" s="5" customFormat="1" ht="18.600000000000001" customHeight="1" x14ac:dyDescent="0.25">
      <c r="A754" s="84"/>
      <c r="B754" s="471" t="s">
        <v>624</v>
      </c>
      <c r="C754" s="9"/>
      <c r="D754" s="31"/>
      <c r="E754" s="10"/>
      <c r="F754" s="57"/>
      <c r="G754" s="10"/>
      <c r="H754" s="10"/>
      <c r="I754" s="31">
        <f>ROUND(I753/1.18*0.18,2)</f>
        <v>0</v>
      </c>
    </row>
    <row r="755" spans="1:12" s="5" customFormat="1" ht="24" customHeight="1" x14ac:dyDescent="0.25">
      <c r="A755" s="492"/>
      <c r="B755" s="771" t="s">
        <v>1214</v>
      </c>
      <c r="C755" s="771"/>
      <c r="D755" s="771"/>
      <c r="E755" s="111"/>
      <c r="F755" s="145"/>
      <c r="G755" s="111"/>
      <c r="H755" s="111"/>
      <c r="I755" s="111"/>
      <c r="K755" s="129"/>
      <c r="L755" s="197"/>
    </row>
    <row r="756" spans="1:12" s="5" customFormat="1" outlineLevel="1" x14ac:dyDescent="0.25">
      <c r="A756" s="87" t="s">
        <v>1225</v>
      </c>
      <c r="B756" s="498" t="s">
        <v>341</v>
      </c>
      <c r="C756" s="176" t="s">
        <v>340</v>
      </c>
      <c r="D756" s="166">
        <v>0</v>
      </c>
      <c r="E756" s="10">
        <v>1320</v>
      </c>
      <c r="F756" s="57"/>
      <c r="G756" s="26">
        <f>E756*D756</f>
        <v>0</v>
      </c>
      <c r="H756" s="26"/>
      <c r="I756" s="26">
        <f>G756+H756</f>
        <v>0</v>
      </c>
      <c r="K756" s="129"/>
      <c r="L756" s="129"/>
    </row>
    <row r="757" spans="1:12" s="5" customFormat="1" x14ac:dyDescent="0.25">
      <c r="A757" s="223"/>
      <c r="B757" s="238" t="s">
        <v>308</v>
      </c>
      <c r="C757" s="234"/>
      <c r="D757" s="235"/>
      <c r="E757" s="236"/>
      <c r="F757" s="237"/>
      <c r="G757" s="236">
        <f>SUM(G756:G756)</f>
        <v>0</v>
      </c>
      <c r="H757" s="236">
        <f>SUM(H756:H756)</f>
        <v>0</v>
      </c>
      <c r="I757" s="236">
        <f>SUM(I756:I756)</f>
        <v>0</v>
      </c>
      <c r="K757" s="162"/>
      <c r="L757" s="129"/>
    </row>
    <row r="758" spans="1:12" s="5" customFormat="1" ht="16.95" customHeight="1" x14ac:dyDescent="0.25">
      <c r="A758" s="84"/>
      <c r="B758" s="58" t="s">
        <v>624</v>
      </c>
      <c r="C758" s="9"/>
      <c r="D758" s="31"/>
      <c r="E758" s="10"/>
      <c r="F758" s="57"/>
      <c r="G758" s="10"/>
      <c r="H758" s="10"/>
      <c r="I758" s="31">
        <f>ROUND(I757/1.18*0.18,2)</f>
        <v>0</v>
      </c>
    </row>
    <row r="759" spans="1:12" s="5" customFormat="1" ht="25.5" customHeight="1" x14ac:dyDescent="0.25">
      <c r="A759" s="241"/>
      <c r="B759" s="242" t="s">
        <v>24</v>
      </c>
      <c r="C759" s="243"/>
      <c r="D759" s="244"/>
      <c r="E759" s="243"/>
      <c r="F759" s="242"/>
      <c r="G759" s="243">
        <f>G40+G102+G158+G323+G328+G348+G359+G416+G434+G445+G546+G596+G716+G753+G757+G567+G387+G265+G178+G199</f>
        <v>5517011.1131599993</v>
      </c>
      <c r="H759" s="243">
        <f>H40+H102+H158+H323+H328+H348+H359+H416+H434+H445+H546+H596+H716+H753+H757+H567+H387+H265+H199+H178</f>
        <v>10575503.292051602</v>
      </c>
      <c r="I759" s="243">
        <f>I757+I753+I716+I596+I567+I546+I445+I434+I416+I359+I348+I328+I323+I158+I102+I178+I199+I265+I387+I48</f>
        <v>18443741.728300001</v>
      </c>
      <c r="J759" s="5">
        <f>I445+I434+I416+I387+I359+I348+I328+I323+I265+I199+I178+I158+I102+I48</f>
        <v>18443741.728300001</v>
      </c>
    </row>
    <row r="760" spans="1:12" s="101" customFormat="1" ht="21" customHeight="1" x14ac:dyDescent="0.25">
      <c r="A760" s="245"/>
      <c r="B760" s="246" t="s">
        <v>26</v>
      </c>
      <c r="C760" s="247"/>
      <c r="D760" s="247"/>
      <c r="E760" s="247"/>
      <c r="F760" s="246"/>
      <c r="G760" s="247"/>
      <c r="H760" s="247"/>
      <c r="I760" s="247">
        <f>I759/1.18*18/100</f>
        <v>2813452.1280457634</v>
      </c>
    </row>
    <row r="761" spans="1:12" ht="25.5" customHeight="1" x14ac:dyDescent="0.25">
      <c r="A761" s="98"/>
      <c r="B761" s="99" t="s">
        <v>342</v>
      </c>
      <c r="C761" s="100"/>
      <c r="D761" s="100"/>
      <c r="E761" s="100"/>
      <c r="F761" s="99"/>
      <c r="G761" s="100">
        <f>G759/C10</f>
        <v>4815.8267398393855</v>
      </c>
      <c r="H761" s="100">
        <f>H759/C10</f>
        <v>9231.4099965534242</v>
      </c>
      <c r="I761" s="100">
        <f>I759/C10</f>
        <v>16099.63488853003</v>
      </c>
    </row>
  </sheetData>
  <mergeCells count="24">
    <mergeCell ref="J709:J715"/>
    <mergeCell ref="K726:L726"/>
    <mergeCell ref="G13:H13"/>
    <mergeCell ref="I13:I14"/>
    <mergeCell ref="B13:B14"/>
    <mergeCell ref="C13:C14"/>
    <mergeCell ref="D13:D14"/>
    <mergeCell ref="E13:F13"/>
    <mergeCell ref="J649:J658"/>
    <mergeCell ref="J665:J666"/>
    <mergeCell ref="B7:H7"/>
    <mergeCell ref="B8:H8"/>
    <mergeCell ref="G9:H9"/>
    <mergeCell ref="A10:B10"/>
    <mergeCell ref="F10:H10"/>
    <mergeCell ref="A13:A14"/>
    <mergeCell ref="B569:D569"/>
    <mergeCell ref="B598:D598"/>
    <mergeCell ref="B718:D718"/>
    <mergeCell ref="B755:D755"/>
    <mergeCell ref="B15:E15"/>
    <mergeCell ref="B50:F50"/>
    <mergeCell ref="B361:F361"/>
    <mergeCell ref="B447:D44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1" workbookViewId="0">
      <selection sqref="A1:IV65536"/>
    </sheetView>
  </sheetViews>
  <sheetFormatPr defaultRowHeight="14.4" x14ac:dyDescent="0.25"/>
  <cols>
    <col min="1" max="1" width="9.109375" customWidth="1"/>
    <col min="2" max="2" width="48.44140625" customWidth="1"/>
    <col min="3" max="3" width="17.77734375" hidden="1" customWidth="1"/>
    <col min="4" max="4" width="15.44140625" hidden="1" customWidth="1"/>
    <col min="5" max="5" width="14.33203125" hidden="1" customWidth="1"/>
    <col min="6" max="6" width="15.44140625" hidden="1" customWidth="1"/>
    <col min="7" max="7" width="14.6640625" hidden="1" customWidth="1"/>
    <col min="8" max="8" width="14.77734375" customWidth="1"/>
  </cols>
  <sheetData>
    <row r="1" spans="1:8" ht="15.6" x14ac:dyDescent="0.3">
      <c r="A1" s="671"/>
      <c r="B1" s="672"/>
      <c r="C1" s="673"/>
      <c r="D1" s="413"/>
      <c r="E1" s="413"/>
      <c r="F1" s="413"/>
    </row>
    <row r="2" spans="1:8" ht="15.6" x14ac:dyDescent="0.3">
      <c r="A2" s="672"/>
      <c r="B2" s="672"/>
      <c r="C2" s="684" t="s">
        <v>1273</v>
      </c>
      <c r="D2" s="647" t="s">
        <v>1274</v>
      </c>
      <c r="E2" s="647" t="s">
        <v>1275</v>
      </c>
      <c r="F2" s="647" t="s">
        <v>1276</v>
      </c>
      <c r="G2" s="721" t="s">
        <v>1526</v>
      </c>
      <c r="H2" s="647">
        <v>43</v>
      </c>
    </row>
    <row r="3" spans="1:8" ht="15.6" x14ac:dyDescent="0.3">
      <c r="A3" s="672"/>
      <c r="B3" s="682" t="s">
        <v>638</v>
      </c>
      <c r="C3" s="634">
        <v>585</v>
      </c>
      <c r="D3" s="634">
        <v>1175.7</v>
      </c>
      <c r="E3" s="634">
        <v>606.90000000000009</v>
      </c>
      <c r="F3" s="634">
        <v>1145.5999999999999</v>
      </c>
      <c r="G3" s="719">
        <f>SUM(C3:F3)</f>
        <v>3513.2000000000003</v>
      </c>
      <c r="H3" s="720">
        <f>'43'!C10</f>
        <v>3437.2</v>
      </c>
    </row>
    <row r="4" spans="1:8" ht="15.6" x14ac:dyDescent="0.3">
      <c r="A4" s="672"/>
      <c r="B4" s="682" t="s">
        <v>1491</v>
      </c>
      <c r="C4" s="685">
        <v>18</v>
      </c>
      <c r="D4" s="634">
        <v>30</v>
      </c>
      <c r="E4" s="634">
        <v>12</v>
      </c>
      <c r="F4" s="634">
        <v>30</v>
      </c>
      <c r="G4" s="719">
        <f>SUM(C4:F4)</f>
        <v>90</v>
      </c>
      <c r="H4" s="695">
        <v>90</v>
      </c>
    </row>
    <row r="5" spans="1:8" ht="15.6" x14ac:dyDescent="0.25">
      <c r="A5" s="674" t="s">
        <v>1473</v>
      </c>
      <c r="B5" s="674" t="s">
        <v>1474</v>
      </c>
      <c r="C5" s="686"/>
      <c r="D5" s="288"/>
      <c r="E5" s="288"/>
      <c r="F5" s="288"/>
    </row>
    <row r="6" spans="1:8" ht="15.6" x14ac:dyDescent="0.25">
      <c r="A6" s="675">
        <v>1</v>
      </c>
      <c r="B6" s="676" t="s">
        <v>1475</v>
      </c>
      <c r="C6" s="686"/>
      <c r="D6" s="375"/>
      <c r="E6" s="288"/>
      <c r="F6" s="288"/>
    </row>
    <row r="7" spans="1:8" ht="15.6" x14ac:dyDescent="0.25">
      <c r="A7" s="675">
        <v>2</v>
      </c>
      <c r="B7" s="676" t="s">
        <v>1476</v>
      </c>
      <c r="C7" s="687">
        <f>Д2!I51</f>
        <v>2223398.9899999993</v>
      </c>
      <c r="D7" s="687">
        <f>Ек!I52</f>
        <v>3947663.8600000008</v>
      </c>
      <c r="E7" s="687">
        <f>Д!I50</f>
        <v>1548618.8299999996</v>
      </c>
      <c r="F7" s="687">
        <f>Е!I48</f>
        <v>2401566.6900000009</v>
      </c>
      <c r="G7" s="719">
        <f>SUM(C7:F7)</f>
        <v>10121248.370000001</v>
      </c>
      <c r="H7" s="720">
        <f>'43'!I57</f>
        <v>12033515.619999999</v>
      </c>
    </row>
    <row r="8" spans="1:8" ht="15.6" x14ac:dyDescent="0.25">
      <c r="A8" s="675">
        <v>3</v>
      </c>
      <c r="B8" s="676" t="s">
        <v>1477</v>
      </c>
      <c r="C8" s="687">
        <f>Д2!I105</f>
        <v>511494.85589999997</v>
      </c>
      <c r="D8" s="687">
        <f>Ек!I109</f>
        <v>956421.74340000004</v>
      </c>
      <c r="E8" s="687">
        <f>Д!I101</f>
        <v>476629.68589999998</v>
      </c>
      <c r="F8" s="687">
        <f>Е!I102</f>
        <v>956789.19829999981</v>
      </c>
      <c r="G8" s="719">
        <f t="shared" ref="G8:G15" si="0">SUM(C8:F8)</f>
        <v>2901335.4834999996</v>
      </c>
      <c r="H8" s="720">
        <f>'43'!I125</f>
        <v>3057036.1844999995</v>
      </c>
    </row>
    <row r="9" spans="1:8" ht="15.6" x14ac:dyDescent="0.25">
      <c r="A9" s="675">
        <v>4</v>
      </c>
      <c r="B9" s="676" t="s">
        <v>1478</v>
      </c>
      <c r="C9" s="687">
        <f>Д2!I157+Д2!I178+Д2!I195+Д2!I261</f>
        <v>4557299.12</v>
      </c>
      <c r="D9" s="687">
        <f>Ек!I170+Ек!I189+Ек!I210+Ек!I276</f>
        <v>8151999.9800000004</v>
      </c>
      <c r="E9" s="687">
        <f>Д!I151+Д!I169+Д!I186+Д!I252</f>
        <v>4314981.62</v>
      </c>
      <c r="F9" s="687">
        <f>Е!I158+Е!I178+Е!I199+Е!I265</f>
        <v>8066441.5500000007</v>
      </c>
      <c r="G9" s="719">
        <f t="shared" si="0"/>
        <v>25090722.270000003</v>
      </c>
      <c r="H9" s="720">
        <f>'43'!I198+'43'!I230+'43'!I256+'43'!I322</f>
        <v>27410967.669307001</v>
      </c>
    </row>
    <row r="10" spans="1:8" ht="15.6" x14ac:dyDescent="0.25">
      <c r="A10" s="675">
        <v>5</v>
      </c>
      <c r="B10" s="676" t="s">
        <v>1479</v>
      </c>
      <c r="C10" s="687">
        <f>Д2!I317</f>
        <v>725793.28000000003</v>
      </c>
      <c r="D10" s="687">
        <f>Ек!I338</f>
        <v>1621121.63</v>
      </c>
      <c r="E10" s="687">
        <f>Д!I299</f>
        <v>725793.28000000003</v>
      </c>
      <c r="F10" s="687">
        <f>Е!I323</f>
        <v>1584330.43</v>
      </c>
      <c r="G10" s="719">
        <f t="shared" si="0"/>
        <v>4657038.62</v>
      </c>
      <c r="H10" s="720">
        <f>'43'!I384</f>
        <v>5041635.1901920009</v>
      </c>
    </row>
    <row r="11" spans="1:8" ht="15.6" x14ac:dyDescent="0.25">
      <c r="A11" s="675">
        <v>6</v>
      </c>
      <c r="B11" s="20" t="s">
        <v>1480</v>
      </c>
      <c r="C11" s="687">
        <f>Д2!I323</f>
        <v>567325.76</v>
      </c>
      <c r="D11" s="687">
        <f>Ек!I344</f>
        <v>1015253.96</v>
      </c>
      <c r="E11" s="687">
        <f>Д!I305</f>
        <v>551943.56000000006</v>
      </c>
      <c r="F11" s="687">
        <f>Е!I328</f>
        <v>973550.36</v>
      </c>
      <c r="G11" s="719">
        <f t="shared" si="0"/>
        <v>3108073.64</v>
      </c>
      <c r="H11" s="720">
        <f>'43'!I390</f>
        <v>2871567.4400000004</v>
      </c>
    </row>
    <row r="12" spans="1:8" ht="15.6" x14ac:dyDescent="0.25">
      <c r="A12" s="675">
        <v>7</v>
      </c>
      <c r="B12" s="676" t="s">
        <v>1481</v>
      </c>
      <c r="C12" s="687">
        <f>Д2!I339</f>
        <v>153759.4</v>
      </c>
      <c r="D12" s="687">
        <f>Ек!I363</f>
        <v>248159.40000000002</v>
      </c>
      <c r="E12" s="687">
        <f>Д!I322</f>
        <v>151795.4</v>
      </c>
      <c r="F12" s="687">
        <f>Е!I348</f>
        <v>289459.40000000002</v>
      </c>
      <c r="G12" s="719">
        <f t="shared" si="0"/>
        <v>843173.60000000009</v>
      </c>
      <c r="H12" s="720">
        <f>'43'!I411</f>
        <v>843173.60000000009</v>
      </c>
    </row>
    <row r="13" spans="1:8" ht="15.6" x14ac:dyDescent="0.25">
      <c r="A13" s="675">
        <v>8</v>
      </c>
      <c r="B13" s="676" t="s">
        <v>1482</v>
      </c>
      <c r="C13" s="687">
        <f>Д2!I382+Д2!I387+Д2!I405</f>
        <v>1373506.72</v>
      </c>
      <c r="D13" s="687">
        <f>Ек!I402+Ек!I423+Ек!I441</f>
        <v>2645183.8899999997</v>
      </c>
      <c r="E13" s="687">
        <f>Д!I361+Д!I384+Д!I402</f>
        <v>1324496.17</v>
      </c>
      <c r="F13" s="687">
        <f>Е!I387+Е!I416+Е!I434</f>
        <v>2721073.05</v>
      </c>
      <c r="G13" s="719">
        <f t="shared" si="0"/>
        <v>8064259.8299999991</v>
      </c>
      <c r="H13" s="720">
        <f>'43'!I447+'43'!I476+'43'!I494</f>
        <v>6365631.5600000005</v>
      </c>
    </row>
    <row r="14" spans="1:8" ht="15.6" x14ac:dyDescent="0.25">
      <c r="A14" s="675">
        <v>9</v>
      </c>
      <c r="B14" s="676" t="s">
        <v>1483</v>
      </c>
      <c r="C14" s="687">
        <f>Д2!I354</f>
        <v>1128962.1600000001</v>
      </c>
      <c r="D14" s="687">
        <f>Ек!I374</f>
        <v>1427206.1</v>
      </c>
      <c r="E14" s="687">
        <f>Д!I333</f>
        <v>1074311.6399999999</v>
      </c>
      <c r="F14" s="687">
        <f>Е!I359</f>
        <v>1412254.19</v>
      </c>
      <c r="G14" s="719">
        <f t="shared" si="0"/>
        <v>5042734.09</v>
      </c>
      <c r="H14" s="720">
        <f>'43'!I418</f>
        <v>3832005.14</v>
      </c>
    </row>
    <row r="15" spans="1:8" ht="15.6" x14ac:dyDescent="0.25">
      <c r="A15" s="675">
        <v>10</v>
      </c>
      <c r="B15" s="676" t="s">
        <v>1484</v>
      </c>
      <c r="C15" s="687">
        <f>Д2!I416</f>
        <v>24315.59</v>
      </c>
      <c r="D15" s="687">
        <f>Ек!I452</f>
        <v>40190.49</v>
      </c>
      <c r="E15" s="687">
        <f>Д!I413</f>
        <v>25222.73</v>
      </c>
      <c r="F15" s="687">
        <f>Е!I445</f>
        <v>38276.86</v>
      </c>
      <c r="G15" s="719">
        <f t="shared" si="0"/>
        <v>128005.67</v>
      </c>
      <c r="H15" s="720">
        <f>'43'!I505</f>
        <v>141136.04999999999</v>
      </c>
    </row>
    <row r="16" spans="1:8" ht="15.6" x14ac:dyDescent="0.25">
      <c r="A16" s="675">
        <v>11</v>
      </c>
      <c r="B16" s="676" t="s">
        <v>1485</v>
      </c>
      <c r="C16" s="375"/>
      <c r="D16" s="375"/>
      <c r="E16" s="288"/>
      <c r="F16" s="375"/>
      <c r="H16" s="751" t="e">
        <f>'43'!#REF!</f>
        <v>#REF!</v>
      </c>
    </row>
    <row r="17" spans="1:8" ht="15.6" x14ac:dyDescent="0.25">
      <c r="A17" s="675">
        <v>12</v>
      </c>
      <c r="B17" s="676" t="s">
        <v>1486</v>
      </c>
      <c r="C17" s="375"/>
      <c r="D17" s="375"/>
      <c r="E17" s="288"/>
      <c r="F17" s="375"/>
      <c r="H17" s="751">
        <f>'43'!I776</f>
        <v>2100000</v>
      </c>
    </row>
    <row r="18" spans="1:8" ht="26.4" x14ac:dyDescent="0.25">
      <c r="A18" s="675">
        <v>13</v>
      </c>
      <c r="B18" s="677" t="s">
        <v>1487</v>
      </c>
      <c r="C18" s="375"/>
      <c r="D18" s="375"/>
      <c r="E18" s="288"/>
      <c r="F18" s="288"/>
      <c r="H18" s="751">
        <f>'43'!I656+'43'!I627</f>
        <v>5968000</v>
      </c>
    </row>
    <row r="19" spans="1:8" ht="15.6" x14ac:dyDescent="0.25">
      <c r="A19" s="675">
        <v>14</v>
      </c>
      <c r="B19" s="676" t="s">
        <v>1488</v>
      </c>
      <c r="C19" s="686"/>
      <c r="D19" s="375"/>
      <c r="E19" s="288"/>
      <c r="F19" s="288"/>
      <c r="H19" s="751">
        <f>'43'!I606</f>
        <v>3590000</v>
      </c>
    </row>
    <row r="20" spans="1:8" ht="15.6" x14ac:dyDescent="0.25">
      <c r="A20" s="676"/>
      <c r="B20" s="678" t="s">
        <v>1489</v>
      </c>
      <c r="C20" s="688">
        <f>SUM(C6:C19)</f>
        <v>11265855.8759</v>
      </c>
      <c r="D20" s="688">
        <f>SUM(D6:D19)</f>
        <v>20053201.053400002</v>
      </c>
      <c r="E20" s="688">
        <f>SUM(E6:E19)</f>
        <v>10193792.915900001</v>
      </c>
      <c r="F20" s="688">
        <f>SUM(F6:F19)</f>
        <v>18443741.728300001</v>
      </c>
      <c r="G20" s="719">
        <f>SUM(C20:F20)</f>
        <v>59956591.573500007</v>
      </c>
      <c r="H20" s="720">
        <f>'43'!I778</f>
        <v>73254668.453998998</v>
      </c>
    </row>
    <row r="21" spans="1:8" ht="15.6" x14ac:dyDescent="0.3">
      <c r="A21" s="679"/>
      <c r="B21" s="680" t="s">
        <v>624</v>
      </c>
      <c r="C21" s="686"/>
      <c r="D21" s="288"/>
      <c r="E21" s="288"/>
      <c r="F21" s="288"/>
    </row>
    <row r="22" spans="1:8" ht="15.6" x14ac:dyDescent="0.3">
      <c r="A22" s="679"/>
      <c r="B22" s="681" t="s">
        <v>1490</v>
      </c>
      <c r="C22" s="689">
        <f t="shared" ref="C22:H22" si="1">C20/C3</f>
        <v>19257.873292136752</v>
      </c>
      <c r="D22" s="689">
        <f t="shared" si="1"/>
        <v>17056.392832695416</v>
      </c>
      <c r="E22" s="689">
        <f t="shared" si="1"/>
        <v>16796.495165430879</v>
      </c>
      <c r="F22" s="689">
        <f t="shared" si="1"/>
        <v>16099.63488853003</v>
      </c>
      <c r="G22" s="689">
        <f t="shared" si="1"/>
        <v>17066.091191364001</v>
      </c>
      <c r="H22" s="689">
        <f t="shared" si="1"/>
        <v>21312.308988129582</v>
      </c>
    </row>
    <row r="25" spans="1:8" ht="15.6" x14ac:dyDescent="0.3">
      <c r="A25" s="697"/>
      <c r="B25" s="698"/>
      <c r="C25" s="699"/>
      <c r="D25" s="700"/>
      <c r="E25" s="700"/>
      <c r="F25" s="700"/>
    </row>
    <row r="26" spans="1:8" ht="15.6" x14ac:dyDescent="0.3">
      <c r="A26" s="698"/>
      <c r="B26" s="698"/>
      <c r="C26" s="701" t="s">
        <v>1273</v>
      </c>
      <c r="D26" s="702" t="s">
        <v>1274</v>
      </c>
      <c r="E26" s="702" t="s">
        <v>1275</v>
      </c>
      <c r="F26" s="702" t="s">
        <v>1276</v>
      </c>
    </row>
    <row r="27" spans="1:8" ht="15.6" x14ac:dyDescent="0.3">
      <c r="A27" s="698"/>
      <c r="B27" s="703" t="s">
        <v>638</v>
      </c>
      <c r="C27" s="704">
        <v>585</v>
      </c>
      <c r="D27" s="704">
        <v>1175.7</v>
      </c>
      <c r="E27" s="704">
        <v>606.90000000000009</v>
      </c>
      <c r="F27" s="704">
        <v>1145.5999999999999</v>
      </c>
    </row>
    <row r="28" spans="1:8" ht="15.6" x14ac:dyDescent="0.3">
      <c r="A28" s="698"/>
      <c r="B28" s="703" t="s">
        <v>1491</v>
      </c>
      <c r="C28" s="705">
        <v>18</v>
      </c>
      <c r="D28" s="704">
        <v>30</v>
      </c>
      <c r="E28" s="704">
        <v>12</v>
      </c>
      <c r="F28" s="704">
        <v>30</v>
      </c>
    </row>
    <row r="29" spans="1:8" ht="15.6" x14ac:dyDescent="0.25">
      <c r="A29" s="706" t="s">
        <v>1473</v>
      </c>
      <c r="B29" s="706" t="s">
        <v>1474</v>
      </c>
      <c r="C29" s="707"/>
      <c r="D29" s="508"/>
      <c r="E29" s="508"/>
      <c r="F29" s="508"/>
    </row>
    <row r="30" spans="1:8" ht="15.6" x14ac:dyDescent="0.25">
      <c r="A30" s="706">
        <v>1</v>
      </c>
      <c r="B30" s="708" t="s">
        <v>1475</v>
      </c>
      <c r="C30" s="707"/>
      <c r="D30" s="709"/>
      <c r="E30" s="508"/>
      <c r="F30" s="508"/>
    </row>
    <row r="31" spans="1:8" ht="15.6" x14ac:dyDescent="0.25">
      <c r="A31" s="706">
        <v>2</v>
      </c>
      <c r="B31" s="708" t="s">
        <v>1476</v>
      </c>
      <c r="C31" s="710">
        <v>1891896.7999999996</v>
      </c>
      <c r="D31" s="710">
        <v>3501977.72</v>
      </c>
      <c r="E31" s="710">
        <v>1263693.53</v>
      </c>
      <c r="F31" s="710">
        <v>2269289.1200000006</v>
      </c>
    </row>
    <row r="32" spans="1:8" ht="15.6" x14ac:dyDescent="0.25">
      <c r="A32" s="706">
        <v>3</v>
      </c>
      <c r="B32" s="708" t="s">
        <v>1477</v>
      </c>
      <c r="C32" s="710">
        <v>496815.85589999997</v>
      </c>
      <c r="D32" s="710">
        <v>903742.74340000004</v>
      </c>
      <c r="E32" s="710">
        <v>455629.68589999998</v>
      </c>
      <c r="F32" s="710">
        <v>956992.19829999981</v>
      </c>
    </row>
    <row r="33" spans="1:6" ht="15.6" x14ac:dyDescent="0.25">
      <c r="A33" s="706">
        <v>4</v>
      </c>
      <c r="B33" s="708" t="s">
        <v>1478</v>
      </c>
      <c r="C33" s="710">
        <v>4557299.12</v>
      </c>
      <c r="D33" s="710">
        <v>8151999.9800000004</v>
      </c>
      <c r="E33" s="710">
        <v>4314981.62</v>
      </c>
      <c r="F33" s="710">
        <v>8066441.5500000007</v>
      </c>
    </row>
    <row r="34" spans="1:6" ht="15.6" x14ac:dyDescent="0.25">
      <c r="A34" s="706">
        <v>5</v>
      </c>
      <c r="B34" s="708" t="s">
        <v>1479</v>
      </c>
      <c r="C34" s="710">
        <v>714311.34</v>
      </c>
      <c r="D34" s="710">
        <v>1598701.78</v>
      </c>
      <c r="E34" s="710">
        <v>714311.34</v>
      </c>
      <c r="F34" s="710">
        <v>1557325.92</v>
      </c>
    </row>
    <row r="35" spans="1:6" ht="15.6" x14ac:dyDescent="0.25">
      <c r="A35" s="706">
        <v>6</v>
      </c>
      <c r="B35" s="711" t="s">
        <v>1480</v>
      </c>
      <c r="C35" s="710">
        <v>567325.76</v>
      </c>
      <c r="D35" s="710">
        <v>1015253.96</v>
      </c>
      <c r="E35" s="710">
        <v>551943.56000000006</v>
      </c>
      <c r="F35" s="710">
        <v>973550.36</v>
      </c>
    </row>
    <row r="36" spans="1:6" ht="15.6" x14ac:dyDescent="0.25">
      <c r="A36" s="706">
        <v>7</v>
      </c>
      <c r="B36" s="708" t="s">
        <v>1481</v>
      </c>
      <c r="C36" s="710">
        <v>152159.4</v>
      </c>
      <c r="D36" s="710">
        <v>248159.40000000002</v>
      </c>
      <c r="E36" s="710">
        <v>147013.4</v>
      </c>
      <c r="F36" s="710">
        <v>289459.40000000002</v>
      </c>
    </row>
    <row r="37" spans="1:6" ht="15.6" x14ac:dyDescent="0.25">
      <c r="A37" s="706">
        <v>8</v>
      </c>
      <c r="B37" s="708" t="s">
        <v>1482</v>
      </c>
      <c r="C37" s="710">
        <v>1366756.72</v>
      </c>
      <c r="D37" s="710">
        <v>2633852.7199999997</v>
      </c>
      <c r="E37" s="710">
        <v>1319996.17</v>
      </c>
      <c r="F37" s="710">
        <v>2709741.88</v>
      </c>
    </row>
    <row r="38" spans="1:6" ht="15.6" x14ac:dyDescent="0.25">
      <c r="A38" s="706">
        <v>9</v>
      </c>
      <c r="B38" s="708" t="s">
        <v>1483</v>
      </c>
      <c r="C38" s="710">
        <v>1108057.92</v>
      </c>
      <c r="D38" s="710">
        <v>1391702.1100000003</v>
      </c>
      <c r="E38" s="710">
        <v>1074311.6399999999</v>
      </c>
      <c r="F38" s="710">
        <v>1404600.2800000003</v>
      </c>
    </row>
    <row r="39" spans="1:6" ht="15.6" x14ac:dyDescent="0.25">
      <c r="A39" s="706">
        <v>10</v>
      </c>
      <c r="B39" s="708" t="s">
        <v>1484</v>
      </c>
      <c r="C39" s="710">
        <v>24315.59</v>
      </c>
      <c r="D39" s="710">
        <v>40190.49</v>
      </c>
      <c r="E39" s="710">
        <v>25222.73</v>
      </c>
      <c r="F39" s="710">
        <v>38276.86</v>
      </c>
    </row>
    <row r="40" spans="1:6" ht="15.6" x14ac:dyDescent="0.25">
      <c r="A40" s="706">
        <v>11</v>
      </c>
      <c r="B40" s="708" t="s">
        <v>1485</v>
      </c>
      <c r="C40" s="709"/>
      <c r="D40" s="709"/>
      <c r="E40" s="508"/>
      <c r="F40" s="709"/>
    </row>
    <row r="41" spans="1:6" ht="15.6" x14ac:dyDescent="0.25">
      <c r="A41" s="706">
        <v>12</v>
      </c>
      <c r="B41" s="708" t="s">
        <v>1486</v>
      </c>
      <c r="C41" s="709"/>
      <c r="D41" s="709"/>
      <c r="E41" s="508"/>
      <c r="F41" s="709"/>
    </row>
    <row r="42" spans="1:6" ht="26.4" x14ac:dyDescent="0.25">
      <c r="A42" s="706">
        <v>13</v>
      </c>
      <c r="B42" s="712" t="s">
        <v>1487</v>
      </c>
      <c r="C42" s="709"/>
      <c r="D42" s="709"/>
      <c r="E42" s="508"/>
      <c r="F42" s="508"/>
    </row>
    <row r="43" spans="1:6" ht="15.6" x14ac:dyDescent="0.25">
      <c r="A43" s="706">
        <v>14</v>
      </c>
      <c r="B43" s="708" t="s">
        <v>1488</v>
      </c>
      <c r="C43" s="707"/>
      <c r="D43" s="709"/>
      <c r="E43" s="508"/>
      <c r="F43" s="508"/>
    </row>
    <row r="44" spans="1:6" ht="15.6" x14ac:dyDescent="0.25">
      <c r="A44" s="708"/>
      <c r="B44" s="713" t="s">
        <v>1489</v>
      </c>
      <c r="C44" s="714">
        <v>10878938.505899999</v>
      </c>
      <c r="D44" s="714">
        <v>19485580.9034</v>
      </c>
      <c r="E44" s="714">
        <v>9867103.6759000011</v>
      </c>
      <c r="F44" s="714">
        <v>18265677.568300001</v>
      </c>
    </row>
    <row r="45" spans="1:6" ht="15.6" x14ac:dyDescent="0.3">
      <c r="A45" s="715"/>
      <c r="B45" s="716" t="s">
        <v>624</v>
      </c>
      <c r="C45" s="707"/>
      <c r="D45" s="508"/>
      <c r="E45" s="508"/>
      <c r="F45" s="508"/>
    </row>
    <row r="46" spans="1:6" ht="15.6" x14ac:dyDescent="0.3">
      <c r="A46" s="715"/>
      <c r="B46" s="717" t="s">
        <v>1490</v>
      </c>
      <c r="C46" s="718">
        <v>18596.476078461536</v>
      </c>
      <c r="D46" s="718">
        <v>16573.599475546482</v>
      </c>
      <c r="E46" s="718">
        <v>16258.203453451968</v>
      </c>
      <c r="F46" s="718">
        <v>15944.201787971371</v>
      </c>
    </row>
    <row r="47" spans="1:6" x14ac:dyDescent="0.25">
      <c r="A47" s="700"/>
      <c r="B47" s="700"/>
      <c r="C47" s="700"/>
      <c r="D47" s="700"/>
      <c r="E47" s="700"/>
      <c r="F47" s="70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1</vt:i4>
      </vt:variant>
    </vt:vector>
  </HeadingPairs>
  <TitlesOfParts>
    <vt:vector size="24" baseType="lpstr">
      <vt:lpstr>Себест 43</vt:lpstr>
      <vt:lpstr>Себест43 факт</vt:lpstr>
      <vt:lpstr>43</vt:lpstr>
      <vt:lpstr>Смета+200 руб</vt:lpstr>
      <vt:lpstr>Д2</vt:lpstr>
      <vt:lpstr>Ек</vt:lpstr>
      <vt:lpstr>Д</vt:lpstr>
      <vt:lpstr>Е</vt:lpstr>
      <vt:lpstr>ведомость затрат</vt:lpstr>
      <vt:lpstr>кладка</vt:lpstr>
      <vt:lpstr>МУ</vt:lpstr>
      <vt:lpstr>окна</vt:lpstr>
      <vt:lpstr>МЭ</vt:lpstr>
      <vt:lpstr>балконы</vt:lpstr>
      <vt:lpstr>фасад</vt:lpstr>
      <vt:lpstr>металл</vt:lpstr>
      <vt:lpstr>кровля</vt:lpstr>
      <vt:lpstr>лестницы</vt:lpstr>
      <vt:lpstr>арматура</vt:lpstr>
      <vt:lpstr>ЖБИ</vt:lpstr>
      <vt:lpstr>отделка</vt:lpstr>
      <vt:lpstr>внут.отделка</vt:lpstr>
      <vt:lpstr>пример</vt:lpstr>
      <vt:lpstr>пример!Область_печати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</dc:creator>
  <cp:lastModifiedBy>numerus</cp:lastModifiedBy>
  <cp:revision>0</cp:revision>
  <cp:lastPrinted>2016-07-29T05:09:11Z</cp:lastPrinted>
  <dcterms:created xsi:type="dcterms:W3CDTF">2014-04-04T11:44:53Z</dcterms:created>
  <dcterms:modified xsi:type="dcterms:W3CDTF">2017-09-11T15:40:00Z</dcterms:modified>
</cp:coreProperties>
</file>