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merus\Documents\ИнтерСтрой !!!\"/>
    </mc:Choice>
  </mc:AlternateContent>
  <bookViews>
    <workbookView xWindow="0" yWindow="0" windowWidth="18348" windowHeight="7608"/>
  </bookViews>
  <sheets>
    <sheet name="Себестоимость" sheetId="1" r:id="rId1"/>
    <sheet name="наряд" sheetId="3" r:id="rId2"/>
    <sheet name="форма наряда" sheetId="5" r:id="rId3"/>
    <sheet name="Финансирование" sheetId="2" r:id="rId4"/>
    <sheet name="Доработки InterStroi" sheetId="4" r:id="rId5"/>
    <sheet name="программа" sheetId="6" r:id="rId6"/>
    <sheet name="Лист3" sheetId="7" r:id="rId7"/>
  </sheets>
  <externalReferences>
    <externalReference r:id="rId8"/>
  </externalReferences>
  <definedNames>
    <definedName name="_xlnm.Print_Area" localSheetId="2">'форма наряда'!$A$1:$J$28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L35" i="1"/>
  <c r="L37" i="1" s="1"/>
  <c r="N36" i="1"/>
  <c r="N35" i="1"/>
  <c r="M19" i="1"/>
  <c r="N18" i="1"/>
  <c r="N17" i="1"/>
  <c r="N16" i="1"/>
  <c r="E10" i="7" l="1"/>
  <c r="C10" i="7"/>
  <c r="B10" i="7"/>
  <c r="C51" i="6" l="1"/>
  <c r="C52" i="6" s="1"/>
  <c r="C53" i="6" s="1"/>
  <c r="C54" i="6" s="1"/>
  <c r="C55" i="6" s="1"/>
  <c r="C56" i="6" s="1"/>
  <c r="C57" i="6" s="1"/>
  <c r="C58" i="6" s="1"/>
  <c r="C59" i="6" s="1"/>
  <c r="B51" i="6"/>
  <c r="B52" i="6" s="1"/>
  <c r="B53" i="6" s="1"/>
  <c r="B54" i="6" s="1"/>
  <c r="B55" i="6" s="1"/>
  <c r="B56" i="6" s="1"/>
  <c r="B57" i="6" s="1"/>
  <c r="B58" i="6" s="1"/>
  <c r="B59" i="6" s="1"/>
  <c r="I15" i="5" l="1"/>
  <c r="H15" i="5"/>
  <c r="H14" i="5"/>
  <c r="I12" i="5"/>
  <c r="H11" i="5"/>
  <c r="B8" i="5"/>
  <c r="C8" i="5" s="1"/>
  <c r="D8" i="5" s="1"/>
  <c r="E8" i="5" s="1"/>
  <c r="F8" i="5" s="1"/>
  <c r="G8" i="5" s="1"/>
  <c r="H8" i="5" s="1"/>
  <c r="I16" i="5" l="1"/>
  <c r="I17" i="5" s="1"/>
  <c r="K36" i="1" l="1"/>
  <c r="K19" i="1"/>
  <c r="L18" i="1"/>
  <c r="L17" i="1"/>
  <c r="L16" i="1"/>
  <c r="I31" i="1" l="1"/>
  <c r="I30" i="1"/>
  <c r="I29" i="1"/>
  <c r="H18" i="1"/>
  <c r="J23" i="1"/>
  <c r="J22" i="1"/>
  <c r="AA18" i="1"/>
  <c r="Y18" i="1"/>
  <c r="V18" i="1"/>
  <c r="S18" i="1"/>
  <c r="AB18" i="1" s="1"/>
  <c r="E18" i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J36" i="1"/>
  <c r="Z37" i="1"/>
  <c r="AA37" i="1" s="1"/>
  <c r="Q37" i="1"/>
  <c r="M18" i="1" l="1"/>
  <c r="K18" i="1"/>
  <c r="J18" i="1"/>
  <c r="AC18" i="1" s="1"/>
  <c r="N29" i="1"/>
  <c r="L29" i="1"/>
  <c r="N30" i="1"/>
  <c r="L30" i="1"/>
  <c r="N31" i="1"/>
  <c r="L31" i="1"/>
  <c r="I32" i="1"/>
  <c r="H29" i="1"/>
  <c r="H30" i="1"/>
  <c r="H31" i="1"/>
  <c r="J30" i="1" l="1"/>
  <c r="M30" i="1"/>
  <c r="K30" i="1"/>
  <c r="M29" i="1"/>
  <c r="K29" i="1"/>
  <c r="N32" i="1"/>
  <c r="L32" i="1"/>
  <c r="J31" i="1"/>
  <c r="M31" i="1"/>
  <c r="K31" i="1"/>
  <c r="H32" i="1"/>
  <c r="J29" i="1"/>
  <c r="J32" i="1" s="1"/>
  <c r="J33" i="1" s="1"/>
  <c r="M32" i="1" l="1"/>
  <c r="K32" i="1"/>
  <c r="I26" i="3"/>
  <c r="G26" i="3"/>
  <c r="I25" i="3"/>
  <c r="I24" i="3"/>
  <c r="I19" i="3"/>
  <c r="J19" i="3" s="1"/>
  <c r="I18" i="3"/>
  <c r="J18" i="3" s="1"/>
  <c r="I17" i="3"/>
  <c r="J17" i="3" s="1"/>
  <c r="H19" i="3"/>
  <c r="H17" i="3"/>
  <c r="H18" i="3"/>
  <c r="B19" i="3"/>
  <c r="B18" i="3"/>
  <c r="H14" i="3"/>
  <c r="G14" i="3"/>
  <c r="F14" i="3"/>
  <c r="K6" i="3"/>
  <c r="K5" i="3"/>
  <c r="K4" i="3"/>
  <c r="K1" i="3"/>
  <c r="V6" i="3"/>
  <c r="T6" i="3"/>
  <c r="Q6" i="3"/>
  <c r="N6" i="3"/>
  <c r="W6" i="3" s="1"/>
  <c r="I6" i="3"/>
  <c r="H6" i="3"/>
  <c r="J6" i="3" s="1"/>
  <c r="V5" i="3"/>
  <c r="Q5" i="3"/>
  <c r="N5" i="3"/>
  <c r="J5" i="3"/>
  <c r="I5" i="3"/>
  <c r="H5" i="3"/>
  <c r="V4" i="3"/>
  <c r="Q4" i="3"/>
  <c r="N4" i="3"/>
  <c r="T3" i="3"/>
  <c r="Q3" i="3"/>
  <c r="N3" i="3"/>
  <c r="F3" i="3"/>
  <c r="V3" i="3" s="1"/>
  <c r="E3" i="3"/>
  <c r="R5" i="3" s="1"/>
  <c r="T5" i="3" s="1"/>
  <c r="W3" i="3" l="1"/>
  <c r="X6" i="3"/>
  <c r="W4" i="3"/>
  <c r="X5" i="3"/>
  <c r="W5" i="3"/>
  <c r="R4" i="3"/>
  <c r="T4" i="3" s="1"/>
  <c r="H3" i="3"/>
  <c r="I3" i="3"/>
  <c r="E4" i="3"/>
  <c r="J3" i="3" l="1"/>
  <c r="X3" i="3" s="1"/>
  <c r="H4" i="3"/>
  <c r="I4" i="3"/>
  <c r="J4" i="3" l="1"/>
  <c r="X4" i="3" s="1"/>
  <c r="Q38" i="2"/>
  <c r="P38" i="2"/>
  <c r="O38" i="2"/>
  <c r="N38" i="2"/>
  <c r="M38" i="2"/>
  <c r="L38" i="2"/>
  <c r="Q20" i="2"/>
  <c r="P20" i="2"/>
  <c r="O20" i="2"/>
  <c r="N20" i="2"/>
  <c r="M20" i="2"/>
  <c r="L20" i="2"/>
  <c r="H37" i="2"/>
  <c r="D37" i="2"/>
  <c r="F32" i="2"/>
  <c r="E32" i="2"/>
  <c r="D32" i="2"/>
  <c r="C32" i="2"/>
  <c r="G32" i="2" s="1"/>
  <c r="F31" i="2"/>
  <c r="E31" i="2"/>
  <c r="D31" i="2"/>
  <c r="C31" i="2"/>
  <c r="G31" i="2" s="1"/>
  <c r="G30" i="2"/>
  <c r="F30" i="2"/>
  <c r="E30" i="2"/>
  <c r="D30" i="2"/>
  <c r="C30" i="2"/>
  <c r="G29" i="2"/>
  <c r="F29" i="2"/>
  <c r="E29" i="2"/>
  <c r="D29" i="2"/>
  <c r="C29" i="2"/>
  <c r="F28" i="2"/>
  <c r="E28" i="2"/>
  <c r="D28" i="2"/>
  <c r="C28" i="2"/>
  <c r="G28" i="2" s="1"/>
  <c r="F27" i="2"/>
  <c r="E27" i="2"/>
  <c r="D27" i="2"/>
  <c r="C27" i="2"/>
  <c r="G27" i="2" s="1"/>
  <c r="G26" i="2"/>
  <c r="F26" i="2"/>
  <c r="E26" i="2"/>
  <c r="D26" i="2"/>
  <c r="C26" i="2"/>
  <c r="G25" i="2"/>
  <c r="F25" i="2"/>
  <c r="E25" i="2"/>
  <c r="D25" i="2"/>
  <c r="C25" i="2"/>
  <c r="F24" i="2"/>
  <c r="F37" i="2" s="1"/>
  <c r="E24" i="2"/>
  <c r="E37" i="2" s="1"/>
  <c r="D24" i="2"/>
  <c r="C24" i="2"/>
  <c r="G24" i="2" s="1"/>
  <c r="H20" i="2"/>
  <c r="H19" i="2"/>
  <c r="H18" i="2"/>
  <c r="H17" i="2"/>
  <c r="H16" i="2"/>
  <c r="H15" i="2"/>
  <c r="F15" i="2"/>
  <c r="E15" i="2"/>
  <c r="D15" i="2"/>
  <c r="C15" i="2"/>
  <c r="G15" i="2" s="1"/>
  <c r="H14" i="2"/>
  <c r="F14" i="2"/>
  <c r="E14" i="2"/>
  <c r="D14" i="2"/>
  <c r="C14" i="2"/>
  <c r="G14" i="2" s="1"/>
  <c r="H13" i="2"/>
  <c r="F13" i="2"/>
  <c r="E13" i="2"/>
  <c r="D13" i="2"/>
  <c r="C13" i="2"/>
  <c r="G13" i="2" s="1"/>
  <c r="H12" i="2"/>
  <c r="F12" i="2"/>
  <c r="E12" i="2"/>
  <c r="D12" i="2"/>
  <c r="C12" i="2"/>
  <c r="G12" i="2" s="1"/>
  <c r="H11" i="2"/>
  <c r="F11" i="2"/>
  <c r="E11" i="2"/>
  <c r="D11" i="2"/>
  <c r="C11" i="2"/>
  <c r="G11" i="2" s="1"/>
  <c r="H10" i="2"/>
  <c r="G10" i="2"/>
  <c r="F10" i="2"/>
  <c r="E10" i="2"/>
  <c r="D10" i="2"/>
  <c r="C10" i="2"/>
  <c r="H9" i="2"/>
  <c r="F9" i="2"/>
  <c r="E9" i="2"/>
  <c r="D9" i="2"/>
  <c r="C9" i="2"/>
  <c r="G9" i="2" s="1"/>
  <c r="H8" i="2"/>
  <c r="F8" i="2"/>
  <c r="E8" i="2"/>
  <c r="D8" i="2"/>
  <c r="C8" i="2"/>
  <c r="G8" i="2" s="1"/>
  <c r="H7" i="2"/>
  <c r="G7" i="2"/>
  <c r="F7" i="2"/>
  <c r="F20" i="2" s="1"/>
  <c r="E7" i="2"/>
  <c r="E20" i="2" s="1"/>
  <c r="D7" i="2"/>
  <c r="D20" i="2" s="1"/>
  <c r="C7" i="2"/>
  <c r="C20" i="2" s="1"/>
  <c r="G4" i="2"/>
  <c r="H3" i="2"/>
  <c r="G3" i="2"/>
  <c r="C37" i="2" l="1"/>
  <c r="G37" i="2" s="1"/>
  <c r="G20" i="2"/>
  <c r="Y19" i="1" l="1"/>
  <c r="Y17" i="1"/>
  <c r="Y16" i="1"/>
  <c r="V17" i="1"/>
  <c r="V16" i="1"/>
  <c r="S19" i="1"/>
  <c r="S17" i="1"/>
  <c r="S16" i="1"/>
  <c r="T19" i="1"/>
  <c r="V19" i="1" s="1"/>
  <c r="AA19" i="1"/>
  <c r="AA17" i="1"/>
  <c r="E17" i="1"/>
  <c r="E19" i="1" s="1"/>
  <c r="I19" i="1" s="1"/>
  <c r="F16" i="1"/>
  <c r="N19" i="1" l="1"/>
  <c r="L19" i="1"/>
  <c r="I21" i="1"/>
  <c r="I26" i="1"/>
  <c r="J19" i="1"/>
  <c r="AA16" i="1"/>
  <c r="H16" i="1"/>
  <c r="J16" i="1"/>
  <c r="K8" i="2"/>
  <c r="K20" i="2" s="1"/>
  <c r="K38" i="2" s="1"/>
  <c r="AB17" i="1"/>
  <c r="AB19" i="1"/>
  <c r="AB16" i="1"/>
  <c r="H17" i="1"/>
  <c r="L26" i="1" l="1"/>
  <c r="L39" i="1" s="1"/>
  <c r="I39" i="1"/>
  <c r="M16" i="1"/>
  <c r="K16" i="1"/>
  <c r="H20" i="1"/>
  <c r="M17" i="1"/>
  <c r="K17" i="1"/>
  <c r="J20" i="1"/>
  <c r="H24" i="1"/>
  <c r="AC19" i="1"/>
  <c r="J17" i="1"/>
  <c r="H26" i="1"/>
  <c r="H35" i="1"/>
  <c r="J8" i="2"/>
  <c r="J20" i="2" s="1"/>
  <c r="AC16" i="1"/>
  <c r="K26" i="1" l="1"/>
  <c r="K35" i="1"/>
  <c r="J26" i="1"/>
  <c r="J27" i="1" s="1"/>
  <c r="I24" i="1"/>
  <c r="J24" i="1" s="1"/>
  <c r="J21" i="1"/>
  <c r="V4" i="1"/>
  <c r="AC17" i="1"/>
  <c r="H37" i="1"/>
  <c r="J35" i="1"/>
  <c r="I20" i="2"/>
  <c r="J38" i="2"/>
  <c r="J37" i="1" l="1"/>
  <c r="K37" i="1"/>
  <c r="K39" i="1"/>
  <c r="H39" i="1"/>
  <c r="J39" i="1" s="1"/>
  <c r="J40" i="1" s="1"/>
  <c r="S37" i="1"/>
  <c r="J38" i="1"/>
  <c r="J10" i="1"/>
  <c r="J9" i="1" s="1"/>
</calcChain>
</file>

<file path=xl/sharedStrings.xml><?xml version="1.0" encoding="utf-8"?>
<sst xmlns="http://schemas.openxmlformats.org/spreadsheetml/2006/main" count="428" uniqueCount="310">
  <si>
    <t>СОГЛАСОВАНО:</t>
  </si>
  <si>
    <t>УТВЕРЖДАЮ:</t>
  </si>
  <si>
    <t>_______________Лушин К.Н.</t>
  </si>
  <si>
    <t xml:space="preserve">Смета </t>
  </si>
  <si>
    <t xml:space="preserve">На строительство жилого дома № 41 в 10-м квартале Заволжского района г.Ульяновска
</t>
  </si>
  <si>
    <t>Стоимость 1 м2</t>
  </si>
  <si>
    <t>Общая продаваемая площадь (м2)</t>
  </si>
  <si>
    <t>квартир=</t>
  </si>
  <si>
    <t>Сметная стоимость</t>
  </si>
  <si>
    <t>№ п/п</t>
  </si>
  <si>
    <t>Наименование работ</t>
  </si>
  <si>
    <t>ед. изм.</t>
  </si>
  <si>
    <t>кол-во</t>
  </si>
  <si>
    <t>стоимость ед. (руб.)</t>
  </si>
  <si>
    <t>Итого (руб.)</t>
  </si>
  <si>
    <t>Всего (руб.)</t>
  </si>
  <si>
    <t>работа</t>
  </si>
  <si>
    <t xml:space="preserve">материалы </t>
  </si>
  <si>
    <t>материалы</t>
  </si>
  <si>
    <t>Раздел 3. Устройство монолитного ленточного ростверка РЛм1, РЛм2</t>
  </si>
  <si>
    <t>3.1</t>
  </si>
  <si>
    <t>Срубка свай</t>
  </si>
  <si>
    <t>шт</t>
  </si>
  <si>
    <t>3.2</t>
  </si>
  <si>
    <t>Устройство песчанного основания под ростверк</t>
  </si>
  <si>
    <t>м3</t>
  </si>
  <si>
    <t>Песок строительный 200 мм</t>
  </si>
  <si>
    <t>3.4</t>
  </si>
  <si>
    <t>Устройство РЛм1, РЛм2</t>
  </si>
  <si>
    <t>Бетон В15 F100 W4 с доставкой</t>
  </si>
  <si>
    <t>Каркасы арматурные, закладные детали</t>
  </si>
  <si>
    <t>т</t>
  </si>
  <si>
    <t>Пиломатериал</t>
  </si>
  <si>
    <t>м2</t>
  </si>
  <si>
    <t>Работа Крана</t>
  </si>
  <si>
    <t>маш/час</t>
  </si>
  <si>
    <t>Итого работа</t>
  </si>
  <si>
    <t>Итого материал</t>
  </si>
  <si>
    <t>Накладные расходы</t>
  </si>
  <si>
    <t>Сметная прибыль</t>
  </si>
  <si>
    <t>в т.ч. НДС 18%</t>
  </si>
  <si>
    <t>пог.м</t>
  </si>
  <si>
    <t>Раздел 10. Окна и витражи</t>
  </si>
  <si>
    <t>10.1</t>
  </si>
  <si>
    <t>Установка оконных блоков и дверей балконных</t>
  </si>
  <si>
    <t>Установка витража</t>
  </si>
  <si>
    <t>10.2</t>
  </si>
  <si>
    <t>Установка подоконных досок</t>
  </si>
  <si>
    <t>ИТОГО по разделу "Окна и витражи":</t>
  </si>
  <si>
    <t>НА РАСЦЕНКИ +8%</t>
  </si>
  <si>
    <t>З/п ИТР</t>
  </si>
  <si>
    <t>ВСЕГО ПО СМЕТЕ</t>
  </si>
  <si>
    <t>в т.ч. НДС18%</t>
  </si>
  <si>
    <t>05.01.2017</t>
  </si>
  <si>
    <t>Исполнитель</t>
  </si>
  <si>
    <t>Гичану</t>
  </si>
  <si>
    <t>кол-во по наряду</t>
  </si>
  <si>
    <t>06.01.2017</t>
  </si>
  <si>
    <t>07.01.2017</t>
  </si>
  <si>
    <t>08.01.2017</t>
  </si>
  <si>
    <t>Остаток по смете</t>
  </si>
  <si>
    <t>стоимость ед.</t>
  </si>
  <si>
    <t>Итого</t>
  </si>
  <si>
    <t>Муса</t>
  </si>
  <si>
    <t>РИК</t>
  </si>
  <si>
    <t>Металлоцентр</t>
  </si>
  <si>
    <t>Д2</t>
  </si>
  <si>
    <t>Ек</t>
  </si>
  <si>
    <t>Д</t>
  </si>
  <si>
    <t>Е</t>
  </si>
  <si>
    <t>∑ по секциям</t>
  </si>
  <si>
    <t>площадь</t>
  </si>
  <si>
    <t>кол-во квартир</t>
  </si>
  <si>
    <t>№п/п</t>
  </si>
  <si>
    <t>Наименование затрат</t>
  </si>
  <si>
    <t>Земляные работы</t>
  </si>
  <si>
    <t>Устройство фундаментов</t>
  </si>
  <si>
    <t>Устройство подвала ниже отм.0.00</t>
  </si>
  <si>
    <t>Строительство коробки, балконы, лестницы, козырьки</t>
  </si>
  <si>
    <t>Кровля</t>
  </si>
  <si>
    <t xml:space="preserve">Остекление оконных проёмов </t>
  </si>
  <si>
    <t>Двери</t>
  </si>
  <si>
    <t>Внутренняя отделка в том числе стяжка</t>
  </si>
  <si>
    <t>Отделка фасадов</t>
  </si>
  <si>
    <t>Устройство отмостки</t>
  </si>
  <si>
    <t>Газоснабжение</t>
  </si>
  <si>
    <t>Внутренние сети ВиК</t>
  </si>
  <si>
    <t>Внутренние сети отопления и вентиляции (в т.ч.газовые котлы)</t>
  </si>
  <si>
    <t>Внутренние сети эл/снабжения и освещения</t>
  </si>
  <si>
    <t>Итого стоимость СМР,руб.</t>
  </si>
  <si>
    <t>Дом №41</t>
  </si>
  <si>
    <t>Смета</t>
  </si>
  <si>
    <t>Факт</t>
  </si>
  <si>
    <t>Дом №42</t>
  </si>
  <si>
    <t>ИТОГО 10 квартал Ульянвоск</t>
  </si>
  <si>
    <t>Раздел 100. Организация работ</t>
  </si>
  <si>
    <t>100.1</t>
  </si>
  <si>
    <t>100.2</t>
  </si>
  <si>
    <t>скат</t>
  </si>
  <si>
    <t xml:space="preserve">срочные курсы абитуриентов </t>
  </si>
  <si>
    <t>секретные курсы автоматизации труда</t>
  </si>
  <si>
    <t>сложно кошкам аутентифицировать тренд</t>
  </si>
  <si>
    <t>выбрана работа</t>
  </si>
  <si>
    <t>решения</t>
  </si>
  <si>
    <t>1е</t>
  </si>
  <si>
    <t>выбор кол-ва</t>
  </si>
  <si>
    <t>задача - посчитать кол-во всего</t>
  </si>
  <si>
    <t>мах кол-во</t>
  </si>
  <si>
    <t>x</t>
  </si>
  <si>
    <t>остаток по смете</t>
  </si>
  <si>
    <t>объем</t>
  </si>
  <si>
    <t>ввод</t>
  </si>
  <si>
    <t>расчет материала</t>
  </si>
  <si>
    <t>простая пропорция</t>
  </si>
  <si>
    <t>=30/92*93.38</t>
  </si>
  <si>
    <t>=30/92*3,948033</t>
  </si>
  <si>
    <t>=30/92*1</t>
  </si>
  <si>
    <t>там округлено значение</t>
  </si>
  <si>
    <t>сохранять расчетные значения</t>
  </si>
  <si>
    <t>выводить округленные до копеек</t>
  </si>
  <si>
    <t>2е</t>
  </si>
  <si>
    <t>полностью</t>
  </si>
  <si>
    <t>Процент выполнения работы от общего объема</t>
  </si>
  <si>
    <t>=92-20</t>
  </si>
  <si>
    <t>остаток %</t>
  </si>
  <si>
    <t>=(92-20)*100/92</t>
  </si>
  <si>
    <t>выбор</t>
  </si>
  <si>
    <t>=40*92/100</t>
  </si>
  <si>
    <t>max кол-во%</t>
  </si>
  <si>
    <t>%</t>
  </si>
  <si>
    <t>дальше  расчет материала от полученного количества работ как в первом случае</t>
  </si>
  <si>
    <t>касса</t>
  </si>
  <si>
    <t>разделить права на ввод скана</t>
  </si>
  <si>
    <t>и</t>
  </si>
  <si>
    <t>ИТОГО по разделу "Организация работ":</t>
  </si>
  <si>
    <t>ИТОГО по разделу :</t>
  </si>
  <si>
    <t>просто итого по разделу :</t>
  </si>
  <si>
    <t>Итого по РаЗдЕлу " Строительные работы техподполья"</t>
  </si>
  <si>
    <t>РЕАЛИЗАЦИЯ (руб)</t>
  </si>
  <si>
    <t>Разделить модули</t>
  </si>
  <si>
    <t>модуль касса</t>
  </si>
  <si>
    <t>модуль Исполнители</t>
  </si>
  <si>
    <t>Модуль Исполнители</t>
  </si>
  <si>
    <t>ввести дательный падеж</t>
  </si>
  <si>
    <t>Админка</t>
  </si>
  <si>
    <t>Перспективные доработки</t>
  </si>
  <si>
    <t>Поле формула (FIELD1+FIELD2)*0,13</t>
  </si>
  <si>
    <t>Поле строковое объединение R1.R2</t>
  </si>
  <si>
    <t>Срочные доработки</t>
  </si>
  <si>
    <t>загрузка реализации</t>
  </si>
  <si>
    <t>Модуль Касса</t>
  </si>
  <si>
    <t>Обновление на хостинге</t>
  </si>
  <si>
    <t>ajax_jfield.php - изменен, может вызвать некорректную работу других модулей</t>
  </si>
  <si>
    <t>Вопросы по загрузке сметы</t>
  </si>
  <si>
    <t>выгрузка сметы в XLS</t>
  </si>
  <si>
    <t>Накладные расходы в смете=0 - грузить?</t>
  </si>
  <si>
    <t>Сметная прибыль - это информационная строка?</t>
  </si>
  <si>
    <t>триггеры подсчета реализации по базе</t>
  </si>
  <si>
    <t>доработки</t>
  </si>
  <si>
    <t>Title при загрузке строки без ошибок не пишеться</t>
  </si>
  <si>
    <t xml:space="preserve">меню привести в начальное положение, </t>
  </si>
  <si>
    <t>Load - после загрузки скрыть таблицу</t>
  </si>
  <si>
    <t>сделать кнопку load недоступной</t>
  </si>
  <si>
    <t>сделать контроль итого в сравнении с базой и вывести</t>
  </si>
  <si>
    <t>Администрирование</t>
  </si>
  <si>
    <t>2.0 Работа с объектами ENABLE</t>
  </si>
  <si>
    <t>Исправить программу выбора объектов с учетом ENABLE</t>
  </si>
  <si>
    <t>2.0 Добавить (редактировать) объект - id_object не выбирается если он в квартале только один (JQUERY)</t>
  </si>
  <si>
    <t>5.1.1 - нет add edit delete</t>
  </si>
  <si>
    <t>5.1.1.1 - нет add edit delete</t>
  </si>
  <si>
    <t>Поменять местами R2 R1</t>
  </si>
  <si>
    <t>6.1.1 выбор объекта - переход на пункт 6.1.1.0</t>
  </si>
  <si>
    <t>4.6 - Исполнитель - расширение таблицы - нет add edit delete</t>
  </si>
  <si>
    <t>Нужна роль администратора (admin)</t>
  </si>
  <si>
    <t>Новые дополнения</t>
  </si>
  <si>
    <t>Ваша команда</t>
  </si>
  <si>
    <t>Сообщения</t>
  </si>
  <si>
    <t>Пользователи - поле PASSWORD</t>
  </si>
  <si>
    <t>Пользователи, завети E_mail</t>
  </si>
  <si>
    <t>Пользователи грузить редактировать аватарки 100x100</t>
  </si>
  <si>
    <t>аватарка по умолчанию - 100x100 номер ID</t>
  </si>
  <si>
    <t>печать наряда со служебной запиской</t>
  </si>
  <si>
    <t>Кассовый ордер не заполняется (работа под Соловьевым)</t>
  </si>
  <si>
    <t>Кнопка закрыть не работает, в Гичану не переходит</t>
  </si>
  <si>
    <t>документация</t>
  </si>
  <si>
    <t>Создать объект от начала до конца</t>
  </si>
  <si>
    <t>табле - отправить - post по bool полям формы</t>
  </si>
  <si>
    <t>Наряды в админке</t>
  </si>
  <si>
    <t>Исполнитель:</t>
  </si>
  <si>
    <t>прим. *</t>
  </si>
  <si>
    <t>*</t>
  </si>
  <si>
    <t>В связи с потерей песка при прохождении ливневого паводка произошел перерасход песка с 10м3 до 20м3</t>
  </si>
  <si>
    <t>Заказчик:</t>
  </si>
  <si>
    <t>Объект:</t>
  </si>
  <si>
    <t>Раздел сметы</t>
  </si>
  <si>
    <t>НАРЯД № 100</t>
  </si>
  <si>
    <t>Период:</t>
  </si>
  <si>
    <t>Дом №41, 4й квартал, г. Волгоград</t>
  </si>
  <si>
    <t>FIO, name_TEAM</t>
  </si>
  <si>
    <t>name_company, adress</t>
  </si>
  <si>
    <t>implementer</t>
  </si>
  <si>
    <t>Примечание:</t>
  </si>
  <si>
    <t>Претензии к качеству произведенных работ:</t>
  </si>
  <si>
    <t xml:space="preserve">Претензии к состоянию подъотчетного оборудования: </t>
  </si>
  <si>
    <t>Согласовано</t>
  </si>
  <si>
    <t>Утверждаю</t>
  </si>
  <si>
    <t>Итого по наряду:</t>
  </si>
  <si>
    <t>Итого:</t>
  </si>
  <si>
    <t>В том числе НДС 18%:</t>
  </si>
  <si>
    <t>01.07.2017 - 15.07.2017</t>
  </si>
  <si>
    <t>Претензии к нарушению сроков исполнения:</t>
  </si>
  <si>
    <t>Ошибки</t>
  </si>
  <si>
    <t>Не грузиться паздел 100!!!</t>
  </si>
  <si>
    <t>Подпрограмма получения id начальников юзера</t>
  </si>
  <si>
    <t>загрузить смету</t>
  </si>
  <si>
    <t>организовать работу участка</t>
  </si>
  <si>
    <t>создать и провести наряд</t>
  </si>
  <si>
    <t>Базовый с реализацией поднять вверх</t>
  </si>
  <si>
    <t>суммировать реализацию</t>
  </si>
  <si>
    <t xml:space="preserve">загрузка реализации работ и материалов по количеству </t>
  </si>
  <si>
    <t>При выборе obj поля переход теряет данные (load xls)</t>
  </si>
  <si>
    <t>кому права на печать наряда</t>
  </si>
  <si>
    <t>e052423a88472e33dc3fb7e14e5bb8184cea2816</t>
  </si>
  <si>
    <t>edit</t>
  </si>
  <si>
    <t>add</t>
  </si>
  <si>
    <t>cc600b71f97ad418622ad4ec774b09b84b28945b</t>
  </si>
  <si>
    <t>Ошибка в заголовке таблицы по маске на таблицу от OBJ если маска на нее не распространяется</t>
  </si>
  <si>
    <t>при переходе по OBJ - Расскрыть дерево (дописать cukie если нет)</t>
  </si>
  <si>
    <t>5.2 NetworkError: 404 Not Found - http://www.interstroi.atsun.ru/PLUGIN/calendar/calendar2.gif"</t>
  </si>
  <si>
    <t>Многократный запрос пароля на авторизацию - CROME</t>
  </si>
  <si>
    <t>раздел 100, единицы измерения - если не заполнено грузиться 0</t>
  </si>
  <si>
    <t>Решено технологически</t>
  </si>
  <si>
    <t>Bold edit (add)</t>
  </si>
  <si>
    <t>Edit Add - money int по правому краю</t>
  </si>
  <si>
    <t>Поле child - если не указан параграф расширения - ни куда не переходить (без ссылки)</t>
  </si>
  <si>
    <t>5.1</t>
  </si>
  <si>
    <t>наименование полей</t>
  </si>
  <si>
    <t>http://www.interstroi.atsun.ru/sysadmin/?TREE=5.1.1&amp;DB=0&amp;li=1007&amp;FORM=sys</t>
  </si>
  <si>
    <t>Работа крана</t>
  </si>
  <si>
    <t>6.1.1 - привести в соответствие</t>
  </si>
  <si>
    <t>6.1</t>
  </si>
  <si>
    <t>привести в соответствие</t>
  </si>
  <si>
    <t>5.2.1</t>
  </si>
  <si>
    <t>5.2.1.1</t>
  </si>
  <si>
    <t>2.0</t>
  </si>
  <si>
    <t>При размножении формы ставить NONEDIT для формы Delete</t>
  </si>
  <si>
    <t>Помощ (послать письмо на почту)</t>
  </si>
  <si>
    <t>Сообщение</t>
  </si>
  <si>
    <t>на тестовом объекте</t>
  </si>
  <si>
    <t>организация доступа к объектам</t>
  </si>
  <si>
    <t>печать нарядов</t>
  </si>
  <si>
    <t>i_company</t>
  </si>
  <si>
    <t>наряд со служебной запиской</t>
  </si>
  <si>
    <t>формирование, исменение сметы(себестоимости)</t>
  </si>
  <si>
    <t>История реализации</t>
  </si>
  <si>
    <t>Контроль выполнения сметы (наряд на одну позицию)</t>
  </si>
  <si>
    <t>Наряды - кнопка печать - error</t>
  </si>
  <si>
    <t>Исполнители</t>
  </si>
  <si>
    <t>обнулить наряды, кассы</t>
  </si>
  <si>
    <t>объект без нарядов и без  реализации</t>
  </si>
  <si>
    <t>номер подраздела в смете</t>
  </si>
  <si>
    <t>оплачено по безналу</t>
  </si>
  <si>
    <t>кнопка</t>
  </si>
  <si>
    <t>вычача аванса исполнителю разовое</t>
  </si>
  <si>
    <t>4 уровень подписи - разрешение аванса</t>
  </si>
  <si>
    <t>3-уровень 50тыс в день</t>
  </si>
  <si>
    <t>выгрузка в еxcel</t>
  </si>
  <si>
    <t>эконормия-перерасход</t>
  </si>
  <si>
    <t>бухгал-кассир</t>
  </si>
  <si>
    <t>загрузка дома 36</t>
  </si>
  <si>
    <t>8 раздел</t>
  </si>
  <si>
    <t>суммы итого неверны</t>
  </si>
  <si>
    <t>5 раздел</t>
  </si>
  <si>
    <t>сумма работ</t>
  </si>
  <si>
    <t>итого материалы</t>
  </si>
  <si>
    <t>4.5</t>
  </si>
  <si>
    <t>4.2</t>
  </si>
  <si>
    <t>3.7</t>
  </si>
  <si>
    <t>Кирпич красный М-125</t>
  </si>
  <si>
    <t>неверно стоит номер</t>
  </si>
  <si>
    <t>Кладка приямков             Кирпич красный М125</t>
  </si>
  <si>
    <t>Гвозди 3*70мм</t>
  </si>
  <si>
    <t>кг</t>
  </si>
  <si>
    <t>4.1</t>
  </si>
  <si>
    <t>4.3</t>
  </si>
  <si>
    <t>Закладные детали</t>
  </si>
  <si>
    <t>тн</t>
  </si>
  <si>
    <t>35000.00</t>
  </si>
  <si>
    <t>31000.00</t>
  </si>
  <si>
    <t>49000.00</t>
  </si>
  <si>
    <t>43400.00</t>
  </si>
  <si>
    <t>не важная ошибка</t>
  </si>
  <si>
    <t>трубы</t>
  </si>
  <si>
    <t>Комплектующие</t>
  </si>
  <si>
    <t>38500.00</t>
  </si>
  <si>
    <t>Не нашла ошибку - потому что кол-во при контроле определяется как один - а при загрузке как ноль</t>
  </si>
  <si>
    <t>План на Молдованское</t>
  </si>
  <si>
    <t>Завести объект - Себестоимость</t>
  </si>
  <si>
    <t>Документация</t>
  </si>
  <si>
    <t>карта исполнителей работы с объектом</t>
  </si>
  <si>
    <t>при загрузке материалов писать displayOrder</t>
  </si>
  <si>
    <t>Если звездочка серая - нельзя нажать ссылку</t>
  </si>
  <si>
    <t>13</t>
  </si>
  <si>
    <t>14</t>
  </si>
  <si>
    <t>15</t>
  </si>
  <si>
    <t>16</t>
  </si>
  <si>
    <t>Выполнение (кол-во)</t>
  </si>
  <si>
    <t>График выполнения</t>
  </si>
  <si>
    <t>начало</t>
  </si>
  <si>
    <t>окончание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</si>
</sst>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₽_-;\-* #,##0.00_₽_-;_-* &quot;-&quot;??_₽_-;_-@_-"/>
    <numFmt numFmtId="164" formatCode="#,##0.00_р_."/>
    <numFmt numFmtId="165" formatCode="#,##0.00&quot;р.&quot;"/>
    <numFmt numFmtId="166" formatCode="_-* #,##0.00\ _₽_-;\-* #,##0.00\ _₽_-;_-* &quot;-&quot;??\ _₽_-;_-@_-"/>
    <numFmt numFmtId="167" formatCode="#,##0_ ;\-#,##0\ "/>
  </numFmts>
  <fonts count="54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SimSun"/>
      <family val="2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SimSun"/>
      <family val="2"/>
      <charset val="204"/>
    </font>
    <font>
      <sz val="12"/>
      <color rgb="FF00B05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FFC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sz val="12"/>
      <color theme="4"/>
      <name val="Times New Roman"/>
      <family val="1"/>
      <charset val="204"/>
    </font>
    <font>
      <sz val="11"/>
      <color theme="4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9"/>
      <color theme="9" tint="0.79998168889431442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4"/>
      <color theme="9" tint="0.79998168889431442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b/>
      <sz val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vertAlign val="superscript"/>
      <sz val="12"/>
      <color rgb="FF000000"/>
      <name val="Arial"/>
      <family val="2"/>
      <charset val="204"/>
    </font>
    <font>
      <b/>
      <vertAlign val="superscript"/>
      <sz val="10"/>
      <color rgb="FF80808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38562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80808"/>
      </left>
      <right style="thin">
        <color rgb="FF080808"/>
      </right>
      <top style="thick">
        <color rgb="FFBBBBBB"/>
      </top>
      <bottom style="thin">
        <color rgb="FF080808"/>
      </bottom>
      <diagonal/>
    </border>
    <border>
      <left style="thin">
        <color rgb="FF080808"/>
      </left>
      <right style="thick">
        <color rgb="FFBBBBBB"/>
      </right>
      <top style="thick">
        <color rgb="FFBBBBBB"/>
      </top>
      <bottom style="thin">
        <color rgb="FF080808"/>
      </bottom>
      <diagonal/>
    </border>
    <border>
      <left style="thin">
        <color rgb="FF080808"/>
      </left>
      <right/>
      <top style="thin">
        <color rgb="FF080808"/>
      </top>
      <bottom style="thin">
        <color rgb="FF080808"/>
      </bottom>
      <diagonal/>
    </border>
    <border>
      <left/>
      <right style="thin">
        <color rgb="FF080808"/>
      </right>
      <top style="thin">
        <color rgb="FF080808"/>
      </top>
      <bottom style="thin">
        <color rgb="FF080808"/>
      </bottom>
      <diagonal/>
    </border>
    <border>
      <left/>
      <right style="thick">
        <color rgb="FFBBBBBB"/>
      </right>
      <top style="thin">
        <color rgb="FF080808"/>
      </top>
      <bottom style="thin">
        <color rgb="FF080808"/>
      </bottom>
      <diagonal/>
    </border>
    <border>
      <left style="thin">
        <color rgb="FF080808"/>
      </left>
      <right style="thin">
        <color rgb="FF080808"/>
      </right>
      <top style="thin">
        <color rgb="FF080808"/>
      </top>
      <bottom style="thick">
        <color rgb="FFBBBBBB"/>
      </bottom>
      <diagonal/>
    </border>
    <border>
      <left style="thin">
        <color rgb="FF080808"/>
      </left>
      <right style="thick">
        <color rgb="FFBBBBBB"/>
      </right>
      <top style="thin">
        <color rgb="FF080808"/>
      </top>
      <bottom style="thick">
        <color rgb="FFBBBBBB"/>
      </bottom>
      <diagonal/>
    </border>
  </borders>
  <cellStyleXfs count="3">
    <xf numFmtId="0" fontId="0" fillId="0" borderId="0"/>
    <xf numFmtId="0" fontId="11" fillId="0" borderId="0"/>
    <xf numFmtId="43" fontId="17" fillId="0" borderId="0" applyFont="0" applyFill="0" applyBorder="0" applyAlignment="0" applyProtection="0"/>
  </cellStyleXfs>
  <cellXfs count="378">
    <xf numFmtId="0" fontId="0" fillId="0" borderId="0" xfId="0"/>
    <xf numFmtId="0" fontId="1" fillId="0" borderId="0" xfId="0" applyFont="1" applyFill="1"/>
    <xf numFmtId="4" fontId="1" fillId="0" borderId="0" xfId="0" applyNumberFormat="1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4" fontId="3" fillId="0" borderId="0" xfId="0" applyNumberFormat="1" applyFont="1" applyFill="1" applyAlignment="1">
      <alignment horizontal="right"/>
    </xf>
    <xf numFmtId="0" fontId="1" fillId="0" borderId="0" xfId="0" quotePrefix="1" applyFont="1" applyFill="1" applyAlignment="1">
      <alignment horizontal="left"/>
    </xf>
    <xf numFmtId="49" fontId="4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right" vertical="center" wrapText="1"/>
    </xf>
    <xf numFmtId="165" fontId="7" fillId="0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vertical="center" wrapText="1"/>
    </xf>
    <xf numFmtId="164" fontId="7" fillId="0" borderId="1" xfId="0" quotePrefix="1" applyNumberFormat="1" applyFont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left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2" xfId="0" quotePrefix="1" applyNumberFormat="1" applyFont="1" applyBorder="1" applyAlignment="1">
      <alignment horizontal="right" vertical="center" wrapText="1"/>
    </xf>
    <xf numFmtId="164" fontId="4" fillId="2" borderId="3" xfId="0" quotePrefix="1" applyNumberFormat="1" applyFont="1" applyFill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horizontal="right" vertical="center" wrapText="1"/>
    </xf>
    <xf numFmtId="164" fontId="9" fillId="2" borderId="4" xfId="0" applyNumberFormat="1" applyFont="1" applyFill="1" applyBorder="1" applyAlignment="1">
      <alignment vertical="center" wrapText="1"/>
    </xf>
    <xf numFmtId="164" fontId="9" fillId="2" borderId="5" xfId="0" applyNumberFormat="1" applyFont="1" applyFill="1" applyBorder="1" applyAlignment="1">
      <alignment vertical="center" wrapText="1"/>
    </xf>
    <xf numFmtId="164" fontId="8" fillId="0" borderId="0" xfId="0" applyNumberFormat="1" applyFont="1" applyFill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64" fontId="5" fillId="0" borderId="2" xfId="0" quotePrefix="1" applyNumberFormat="1" applyFont="1" applyFill="1" applyBorder="1" applyAlignment="1">
      <alignment horizontal="left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164" fontId="8" fillId="0" borderId="2" xfId="0" quotePrefix="1" applyNumberFormat="1" applyFont="1" applyFill="1" applyBorder="1" applyAlignment="1">
      <alignment horizontal="right" vertical="center" wrapText="1"/>
    </xf>
    <xf numFmtId="0" fontId="1" fillId="0" borderId="0" xfId="0" applyFont="1"/>
    <xf numFmtId="164" fontId="4" fillId="0" borderId="2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5" fillId="0" borderId="2" xfId="0" applyNumberFormat="1" applyFont="1" applyFill="1" applyBorder="1" applyAlignment="1">
      <alignment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Alignment="1">
      <alignment vertical="center" wrapText="1"/>
    </xf>
    <xf numFmtId="164" fontId="5" fillId="0" borderId="0" xfId="0" applyNumberFormat="1" applyFont="1" applyFill="1" applyBorder="1" applyAlignment="1">
      <alignment vertical="center" wrapText="1"/>
    </xf>
    <xf numFmtId="164" fontId="5" fillId="0" borderId="2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center" vertical="center" wrapText="1"/>
    </xf>
    <xf numFmtId="4" fontId="8" fillId="0" borderId="6" xfId="1" applyNumberFormat="1" applyFont="1" applyFill="1" applyBorder="1" applyAlignment="1">
      <alignment horizontal="center" vertical="center" wrapText="1"/>
    </xf>
    <xf numFmtId="164" fontId="8" fillId="0" borderId="6" xfId="0" applyNumberFormat="1" applyFont="1" applyFill="1" applyBorder="1" applyAlignment="1">
      <alignment horizontal="center" vertical="center" wrapText="1"/>
    </xf>
    <xf numFmtId="4" fontId="8" fillId="0" borderId="6" xfId="1" applyNumberFormat="1" applyFont="1" applyFill="1" applyBorder="1" applyAlignment="1">
      <alignment horizontal="right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right" vertical="center" wrapText="1"/>
    </xf>
    <xf numFmtId="164" fontId="5" fillId="0" borderId="2" xfId="0" quotePrefix="1" applyNumberFormat="1" applyFont="1" applyFill="1" applyBorder="1" applyAlignment="1">
      <alignment horizontal="right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164" fontId="5" fillId="6" borderId="2" xfId="0" quotePrefix="1" applyNumberFormat="1" applyFont="1" applyFill="1" applyBorder="1" applyAlignment="1">
      <alignment horizontal="right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right" vertical="center" wrapText="1"/>
    </xf>
    <xf numFmtId="4" fontId="5" fillId="6" borderId="2" xfId="0" applyNumberFormat="1" applyFont="1" applyFill="1" applyBorder="1" applyAlignment="1">
      <alignment horizontal="center" vertical="center" wrapText="1"/>
    </xf>
    <xf numFmtId="4" fontId="5" fillId="6" borderId="2" xfId="0" applyNumberFormat="1" applyFont="1" applyFill="1" applyBorder="1" applyAlignment="1">
      <alignment horizontal="right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5" fillId="0" borderId="6" xfId="0" quotePrefix="1" applyNumberFormat="1" applyFont="1" applyFill="1" applyBorder="1" applyAlignment="1">
      <alignment horizontal="right" vertical="center" wrapText="1"/>
    </xf>
    <xf numFmtId="164" fontId="5" fillId="0" borderId="7" xfId="0" quotePrefix="1" applyNumberFormat="1" applyFont="1" applyBorder="1" applyAlignment="1">
      <alignment horizontal="left" vertical="center" wrapText="1"/>
    </xf>
    <xf numFmtId="164" fontId="5" fillId="7" borderId="2" xfId="0" applyNumberFormat="1" applyFont="1" applyFill="1" applyBorder="1" applyAlignment="1">
      <alignment horizontal="right" vertical="center" wrapText="1"/>
    </xf>
    <xf numFmtId="164" fontId="5" fillId="0" borderId="2" xfId="0" quotePrefix="1" applyNumberFormat="1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right" vertical="center" wrapText="1"/>
    </xf>
    <xf numFmtId="164" fontId="4" fillId="2" borderId="3" xfId="0" applyNumberFormat="1" applyFont="1" applyFill="1" applyBorder="1" applyAlignment="1">
      <alignment vertical="center" wrapText="1"/>
    </xf>
    <xf numFmtId="164" fontId="5" fillId="0" borderId="2" xfId="0" quotePrefix="1" applyNumberFormat="1" applyFont="1" applyFill="1" applyBorder="1" applyAlignment="1">
      <alignment horizontal="center" vertical="center" wrapText="1"/>
    </xf>
    <xf numFmtId="164" fontId="3" fillId="9" borderId="2" xfId="0" applyNumberFormat="1" applyFont="1" applyFill="1" applyBorder="1" applyAlignment="1">
      <alignment horizontal="right" vertical="center" wrapText="1"/>
    </xf>
    <xf numFmtId="164" fontId="13" fillId="9" borderId="2" xfId="0" applyNumberFormat="1" applyFont="1" applyFill="1" applyBorder="1" applyAlignment="1">
      <alignment horizontal="right" vertical="center" wrapText="1"/>
    </xf>
    <xf numFmtId="49" fontId="8" fillId="0" borderId="0" xfId="0" applyNumberFormat="1" applyFont="1" applyAlignment="1">
      <alignment vertical="center" wrapText="1"/>
    </xf>
    <xf numFmtId="164" fontId="7" fillId="0" borderId="8" xfId="0" applyNumberFormat="1" applyFont="1" applyBorder="1" applyAlignment="1">
      <alignment vertical="center" wrapText="1"/>
    </xf>
    <xf numFmtId="164" fontId="5" fillId="0" borderId="8" xfId="0" applyNumberFormat="1" applyFont="1" applyBorder="1" applyAlignment="1">
      <alignment vertical="center" wrapText="1"/>
    </xf>
    <xf numFmtId="164" fontId="5" fillId="0" borderId="8" xfId="0" applyNumberFormat="1" applyFont="1" applyFill="1" applyBorder="1" applyAlignment="1">
      <alignment vertical="center" wrapText="1"/>
    </xf>
    <xf numFmtId="0" fontId="15" fillId="0" borderId="8" xfId="0" applyFont="1" applyFill="1" applyBorder="1"/>
    <xf numFmtId="49" fontId="5" fillId="0" borderId="8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Fill="1" applyAlignment="1">
      <alignment vertical="center" wrapText="1"/>
    </xf>
    <xf numFmtId="164" fontId="16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164" fontId="7" fillId="0" borderId="0" xfId="0" quotePrefix="1" applyNumberFormat="1" applyFont="1" applyFill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center" vertical="center" wrapText="1"/>
    </xf>
    <xf numFmtId="164" fontId="5" fillId="6" borderId="2" xfId="0" quotePrefix="1" applyNumberFormat="1" applyFont="1" applyFill="1" applyBorder="1" applyAlignment="1">
      <alignment horizontal="center" vertical="center" wrapText="1"/>
    </xf>
    <xf numFmtId="164" fontId="5" fillId="0" borderId="6" xfId="0" quotePrefix="1" applyNumberFormat="1" applyFont="1" applyFill="1" applyBorder="1" applyAlignment="1">
      <alignment horizontal="center" vertical="center" wrapText="1"/>
    </xf>
    <xf numFmtId="164" fontId="5" fillId="0" borderId="7" xfId="0" quotePrefix="1" applyNumberFormat="1" applyFont="1" applyBorder="1" applyAlignment="1">
      <alignment horizontal="center" vertical="center" wrapText="1"/>
    </xf>
    <xf numFmtId="164" fontId="5" fillId="0" borderId="2" xfId="0" quotePrefix="1" applyNumberFormat="1" applyFont="1" applyBorder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 wrapText="1"/>
    </xf>
    <xf numFmtId="0" fontId="18" fillId="0" borderId="0" xfId="0" quotePrefix="1" applyFont="1" applyAlignment="1">
      <alignment horizontal="left"/>
    </xf>
    <xf numFmtId="0" fontId="18" fillId="0" borderId="0" xfId="0" applyFont="1"/>
    <xf numFmtId="166" fontId="11" fillId="0" borderId="0" xfId="2" applyNumberFormat="1" applyFont="1"/>
    <xf numFmtId="0" fontId="0" fillId="0" borderId="0" xfId="0" applyFont="1"/>
    <xf numFmtId="166" fontId="19" fillId="0" borderId="2" xfId="2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8" fillId="0" borderId="0" xfId="0" applyFont="1" applyAlignment="1">
      <alignment horizontal="right"/>
    </xf>
    <xf numFmtId="0" fontId="20" fillId="0" borderId="2" xfId="0" applyFont="1" applyBorder="1" applyAlignment="1">
      <alignment horizontal="center"/>
    </xf>
    <xf numFmtId="4" fontId="21" fillId="0" borderId="2" xfId="0" applyNumberFormat="1" applyFont="1" applyBorder="1"/>
    <xf numFmtId="4" fontId="22" fillId="0" borderId="2" xfId="0" applyNumberFormat="1" applyFont="1" applyBorder="1"/>
    <xf numFmtId="167" fontId="20" fillId="0" borderId="2" xfId="2" applyNumberFormat="1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166" fontId="24" fillId="0" borderId="0" xfId="2" applyNumberFormat="1" applyFont="1"/>
    <xf numFmtId="0" fontId="20" fillId="0" borderId="0" xfId="0" applyFont="1"/>
    <xf numFmtId="0" fontId="0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4" fontId="20" fillId="0" borderId="0" xfId="0" applyNumberFormat="1" applyFont="1"/>
    <xf numFmtId="4" fontId="20" fillId="0" borderId="2" xfId="0" applyNumberFormat="1" applyFont="1" applyBorder="1"/>
    <xf numFmtId="0" fontId="8" fillId="0" borderId="2" xfId="0" applyFont="1" applyBorder="1" applyAlignment="1">
      <alignment vertical="center" wrapText="1"/>
    </xf>
    <xf numFmtId="0" fontId="22" fillId="0" borderId="2" xfId="0" applyFont="1" applyBorder="1"/>
    <xf numFmtId="0" fontId="1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4" fontId="19" fillId="0" borderId="2" xfId="0" applyNumberFormat="1" applyFont="1" applyBorder="1" applyAlignment="1">
      <alignment horizontal="center"/>
    </xf>
    <xf numFmtId="4" fontId="21" fillId="0" borderId="3" xfId="0" applyNumberFormat="1" applyFont="1" applyBorder="1"/>
    <xf numFmtId="14" fontId="0" fillId="0" borderId="2" xfId="0" applyNumberFormat="1" applyFont="1" applyBorder="1"/>
    <xf numFmtId="0" fontId="18" fillId="8" borderId="0" xfId="0" applyFont="1" applyFill="1"/>
    <xf numFmtId="0" fontId="8" fillId="8" borderId="10" xfId="0" applyFont="1" applyFill="1" applyBorder="1" applyAlignment="1">
      <alignment vertical="center"/>
    </xf>
    <xf numFmtId="0" fontId="0" fillId="8" borderId="0" xfId="0" applyFont="1" applyFill="1"/>
    <xf numFmtId="164" fontId="5" fillId="0" borderId="2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" fontId="2" fillId="0" borderId="0" xfId="0" applyNumberFormat="1" applyFont="1" applyFill="1"/>
    <xf numFmtId="164" fontId="5" fillId="0" borderId="6" xfId="0" quotePrefix="1" applyNumberFormat="1" applyFont="1" applyFill="1" applyBorder="1" applyAlignment="1">
      <alignment horizontal="left" vertical="center" wrapText="1"/>
    </xf>
    <xf numFmtId="164" fontId="26" fillId="0" borderId="2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164" fontId="8" fillId="10" borderId="0" xfId="0" applyNumberFormat="1" applyFont="1" applyFill="1" applyAlignment="1">
      <alignment vertical="center" wrapText="1"/>
    </xf>
    <xf numFmtId="0" fontId="0" fillId="10" borderId="0" xfId="0" applyFill="1"/>
    <xf numFmtId="49" fontId="4" fillId="2" borderId="0" xfId="0" applyNumberFormat="1" applyFont="1" applyFill="1" applyBorder="1" applyAlignment="1">
      <alignment horizontal="center" vertical="center" wrapText="1"/>
    </xf>
    <xf numFmtId="164" fontId="14" fillId="0" borderId="0" xfId="0" quotePrefix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10" borderId="0" xfId="0" applyNumberFormat="1" applyFill="1" applyBorder="1"/>
    <xf numFmtId="164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0" fillId="0" borderId="15" xfId="0" applyBorder="1"/>
    <xf numFmtId="0" fontId="0" fillId="0" borderId="0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 applyAlignment="1">
      <alignment horizontal="center"/>
    </xf>
    <xf numFmtId="0" fontId="25" fillId="0" borderId="0" xfId="0" applyFont="1" applyBorder="1" applyAlignment="1">
      <alignment horizontal="right"/>
    </xf>
    <xf numFmtId="4" fontId="0" fillId="0" borderId="0" xfId="0" applyNumberFormat="1" applyBorder="1"/>
    <xf numFmtId="9" fontId="25" fillId="0" borderId="0" xfId="0" applyNumberFormat="1" applyFont="1" applyBorder="1"/>
    <xf numFmtId="0" fontId="0" fillId="0" borderId="17" xfId="0" applyBorder="1" applyAlignment="1">
      <alignment horizontal="right"/>
    </xf>
    <xf numFmtId="1" fontId="25" fillId="0" borderId="17" xfId="0" applyNumberFormat="1" applyFont="1" applyBorder="1"/>
    <xf numFmtId="0" fontId="0" fillId="0" borderId="17" xfId="0" quotePrefix="1" applyBorder="1"/>
    <xf numFmtId="1" fontId="0" fillId="0" borderId="17" xfId="0" applyNumberFormat="1" applyBorder="1"/>
    <xf numFmtId="0" fontId="0" fillId="8" borderId="14" xfId="0" applyFill="1" applyBorder="1"/>
    <xf numFmtId="164" fontId="27" fillId="8" borderId="0" xfId="0" applyNumberFormat="1" applyFont="1" applyFill="1" applyBorder="1" applyAlignment="1">
      <alignment horizontal="right" vertical="center" wrapText="1"/>
    </xf>
    <xf numFmtId="0" fontId="0" fillId="8" borderId="0" xfId="0" applyFill="1" applyBorder="1"/>
    <xf numFmtId="0" fontId="0" fillId="8" borderId="0" xfId="0" quotePrefix="1" applyFill="1" applyBorder="1"/>
    <xf numFmtId="164" fontId="0" fillId="8" borderId="0" xfId="0" applyNumberFormat="1" applyFill="1" applyBorder="1"/>
    <xf numFmtId="0" fontId="0" fillId="8" borderId="15" xfId="0" applyFill="1" applyBorder="1"/>
    <xf numFmtId="164" fontId="28" fillId="8" borderId="0" xfId="0" applyNumberFormat="1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29" fillId="0" borderId="0" xfId="0" applyFont="1" applyBorder="1" applyAlignment="1">
      <alignment horizontal="right"/>
    </xf>
    <xf numFmtId="0" fontId="29" fillId="0" borderId="0" xfId="0" applyFont="1" applyBorder="1"/>
    <xf numFmtId="0" fontId="29" fillId="0" borderId="12" xfId="0" applyFont="1" applyBorder="1"/>
    <xf numFmtId="0" fontId="25" fillId="0" borderId="12" xfId="0" applyFont="1" applyBorder="1" applyAlignment="1">
      <alignment horizontal="right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right"/>
    </xf>
    <xf numFmtId="0" fontId="30" fillId="0" borderId="12" xfId="0" applyFont="1" applyBorder="1"/>
    <xf numFmtId="164" fontId="5" fillId="0" borderId="2" xfId="0" applyNumberFormat="1" applyFont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left" vertical="center" wrapText="1"/>
    </xf>
    <xf numFmtId="164" fontId="8" fillId="0" borderId="0" xfId="0" applyNumberFormat="1" applyFont="1" applyAlignment="1">
      <alignment horizontal="center" vertical="center" wrapText="1"/>
    </xf>
    <xf numFmtId="49" fontId="4" fillId="11" borderId="2" xfId="0" applyNumberFormat="1" applyFont="1" applyFill="1" applyBorder="1" applyAlignment="1">
      <alignment horizontal="center" vertical="center" wrapText="1"/>
    </xf>
    <xf numFmtId="164" fontId="5" fillId="11" borderId="2" xfId="0" applyNumberFormat="1" applyFont="1" applyFill="1" applyBorder="1" applyAlignment="1">
      <alignment horizontal="right" vertical="center" wrapText="1"/>
    </xf>
    <xf numFmtId="164" fontId="5" fillId="11" borderId="2" xfId="0" applyNumberFormat="1" applyFont="1" applyFill="1" applyBorder="1" applyAlignment="1">
      <alignment horizontal="center" vertical="center" wrapText="1"/>
    </xf>
    <xf numFmtId="164" fontId="8" fillId="11" borderId="0" xfId="0" applyNumberFormat="1" applyFont="1" applyFill="1" applyAlignment="1">
      <alignment vertical="center" wrapText="1"/>
    </xf>
    <xf numFmtId="164" fontId="5" fillId="11" borderId="8" xfId="0" applyNumberFormat="1" applyFont="1" applyFill="1" applyBorder="1" applyAlignment="1">
      <alignment vertical="center" wrapText="1"/>
    </xf>
    <xf numFmtId="164" fontId="5" fillId="11" borderId="6" xfId="0" quotePrefix="1" applyNumberFormat="1" applyFont="1" applyFill="1" applyBorder="1" applyAlignment="1">
      <alignment horizontal="right" vertical="center" wrapText="1"/>
    </xf>
    <xf numFmtId="164" fontId="5" fillId="11" borderId="6" xfId="0" quotePrefix="1" applyNumberFormat="1" applyFont="1" applyFill="1" applyBorder="1" applyAlignment="1">
      <alignment horizontal="center" vertical="center" wrapText="1"/>
    </xf>
    <xf numFmtId="164" fontId="5" fillId="11" borderId="2" xfId="0" applyNumberFormat="1" applyFont="1" applyFill="1" applyBorder="1" applyAlignment="1">
      <alignment vertical="center" wrapText="1"/>
    </xf>
    <xf numFmtId="49" fontId="31" fillId="12" borderId="2" xfId="0" applyNumberFormat="1" applyFont="1" applyFill="1" applyBorder="1" applyAlignment="1">
      <alignment horizontal="center" vertical="center" wrapText="1"/>
    </xf>
    <xf numFmtId="164" fontId="7" fillId="0" borderId="0" xfId="0" quotePrefix="1" applyNumberFormat="1" applyFont="1" applyFill="1" applyBorder="1" applyAlignment="1">
      <alignment horizontal="right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0" xfId="0" quotePrefix="1" applyNumberFormat="1" applyFont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164" fontId="9" fillId="2" borderId="5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 vertical="center" wrapText="1"/>
    </xf>
    <xf numFmtId="164" fontId="32" fillId="12" borderId="0" xfId="0" applyNumberFormat="1" applyFont="1" applyFill="1" applyAlignment="1">
      <alignment horizontal="right" vertical="center" wrapText="1"/>
    </xf>
    <xf numFmtId="164" fontId="33" fillId="12" borderId="0" xfId="0" applyNumberFormat="1" applyFont="1" applyFill="1" applyAlignment="1">
      <alignment horizontal="right" vertical="center" wrapText="1"/>
    </xf>
    <xf numFmtId="164" fontId="5" fillId="2" borderId="4" xfId="0" quotePrefix="1" applyNumberFormat="1" applyFont="1" applyFill="1" applyBorder="1" applyAlignment="1">
      <alignment horizontal="left" vertical="center" wrapText="1"/>
    </xf>
    <xf numFmtId="164" fontId="13" fillId="9" borderId="0" xfId="0" applyNumberFormat="1" applyFont="1" applyFill="1" applyBorder="1" applyAlignment="1">
      <alignment horizontal="right" vertical="center" wrapText="1"/>
    </xf>
    <xf numFmtId="164" fontId="5" fillId="13" borderId="2" xfId="0" applyNumberFormat="1" applyFont="1" applyFill="1" applyBorder="1" applyAlignment="1">
      <alignment horizontal="center" vertical="center" wrapText="1"/>
    </xf>
    <xf numFmtId="164" fontId="9" fillId="13" borderId="0" xfId="0" applyNumberFormat="1" applyFont="1" applyFill="1" applyBorder="1" applyAlignment="1">
      <alignment vertical="center" wrapText="1"/>
    </xf>
    <xf numFmtId="164" fontId="8" fillId="13" borderId="0" xfId="0" applyNumberFormat="1" applyFont="1" applyFill="1" applyBorder="1" applyAlignment="1">
      <alignment horizontal="right" vertical="center" wrapText="1"/>
    </xf>
    <xf numFmtId="164" fontId="5" fillId="14" borderId="6" xfId="0" applyNumberFormat="1" applyFont="1" applyFill="1" applyBorder="1" applyAlignment="1">
      <alignment horizontal="right" vertical="center" wrapText="1"/>
    </xf>
    <xf numFmtId="0" fontId="34" fillId="0" borderId="0" xfId="0" applyFont="1"/>
    <xf numFmtId="0" fontId="35" fillId="0" borderId="0" xfId="0" applyFont="1"/>
    <xf numFmtId="0" fontId="0" fillId="8" borderId="0" xfId="0" applyFill="1"/>
    <xf numFmtId="0" fontId="36" fillId="0" borderId="0" xfId="0" applyFont="1"/>
    <xf numFmtId="0" fontId="38" fillId="8" borderId="0" xfId="0" applyFont="1" applyFill="1"/>
    <xf numFmtId="0" fontId="0" fillId="4" borderId="0" xfId="0" applyFill="1"/>
    <xf numFmtId="0" fontId="38" fillId="4" borderId="0" xfId="0" applyFont="1" applyFill="1"/>
    <xf numFmtId="0" fontId="0" fillId="0" borderId="0" xfId="0" applyFill="1"/>
    <xf numFmtId="0" fontId="38" fillId="0" borderId="0" xfId="0" applyFont="1" applyFill="1"/>
    <xf numFmtId="0" fontId="39" fillId="0" borderId="0" xfId="0" applyFont="1"/>
    <xf numFmtId="0" fontId="0" fillId="15" borderId="0" xfId="0" applyFill="1"/>
    <xf numFmtId="164" fontId="5" fillId="13" borderId="0" xfId="0" applyNumberFormat="1" applyFont="1" applyFill="1" applyBorder="1" applyAlignment="1">
      <alignment horizontal="right" vertical="center" wrapText="1"/>
    </xf>
    <xf numFmtId="0" fontId="25" fillId="0" borderId="0" xfId="0" applyFont="1"/>
    <xf numFmtId="0" fontId="25" fillId="8" borderId="0" xfId="0" applyFont="1" applyFill="1"/>
    <xf numFmtId="0" fontId="25" fillId="0" borderId="0" xfId="0" applyFont="1" applyFill="1"/>
    <xf numFmtId="0" fontId="38" fillId="4" borderId="0" xfId="0" applyFont="1" applyFill="1" applyAlignment="1">
      <alignment horizontal="center"/>
    </xf>
    <xf numFmtId="0" fontId="38" fillId="4" borderId="0" xfId="0" applyFont="1" applyFill="1" applyAlignment="1">
      <alignment horizontal="right"/>
    </xf>
    <xf numFmtId="1" fontId="41" fillId="4" borderId="27" xfId="0" quotePrefix="1" applyNumberFormat="1" applyFont="1" applyFill="1" applyBorder="1" applyAlignment="1">
      <alignment horizontal="center" vertical="center" wrapText="1"/>
    </xf>
    <xf numFmtId="1" fontId="41" fillId="4" borderId="28" xfId="0" quotePrefix="1" applyNumberFormat="1" applyFont="1" applyFill="1" applyBorder="1" applyAlignment="1">
      <alignment horizontal="center" vertical="center" wrapText="1"/>
    </xf>
    <xf numFmtId="1" fontId="41" fillId="4" borderId="31" xfId="0" quotePrefix="1" applyNumberFormat="1" applyFont="1" applyFill="1" applyBorder="1" applyAlignment="1">
      <alignment horizontal="center" vertical="center" wrapText="1"/>
    </xf>
    <xf numFmtId="1" fontId="40" fillId="4" borderId="0" xfId="0" applyNumberFormat="1" applyFont="1" applyFill="1" applyAlignment="1">
      <alignment horizontal="center" vertical="center" wrapText="1"/>
    </xf>
    <xf numFmtId="49" fontId="8" fillId="4" borderId="0" xfId="0" applyNumberFormat="1" applyFont="1" applyFill="1" applyAlignment="1">
      <alignment vertical="center" wrapText="1"/>
    </xf>
    <xf numFmtId="164" fontId="8" fillId="4" borderId="0" xfId="0" applyNumberFormat="1" applyFont="1" applyFill="1" applyAlignment="1">
      <alignment vertical="center" wrapText="1"/>
    </xf>
    <xf numFmtId="164" fontId="44" fillId="4" borderId="22" xfId="0" applyNumberFormat="1" applyFont="1" applyFill="1" applyBorder="1" applyAlignment="1">
      <alignment horizontal="center" vertical="center" wrapText="1"/>
    </xf>
    <xf numFmtId="164" fontId="44" fillId="4" borderId="33" xfId="0" quotePrefix="1" applyNumberFormat="1" applyFont="1" applyFill="1" applyBorder="1" applyAlignment="1">
      <alignment horizontal="center" vertical="center" wrapText="1"/>
    </xf>
    <xf numFmtId="164" fontId="44" fillId="4" borderId="21" xfId="0" applyNumberFormat="1" applyFont="1" applyFill="1" applyBorder="1" applyAlignment="1">
      <alignment horizontal="center" vertical="center" wrapText="1"/>
    </xf>
    <xf numFmtId="164" fontId="44" fillId="4" borderId="26" xfId="0" applyNumberFormat="1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vertical="center"/>
    </xf>
    <xf numFmtId="49" fontId="43" fillId="4" borderId="7" xfId="0" applyNumberFormat="1" applyFont="1" applyFill="1" applyBorder="1" applyAlignment="1">
      <alignment horizontal="center" vertical="center" wrapText="1"/>
    </xf>
    <xf numFmtId="164" fontId="43" fillId="4" borderId="7" xfId="0" quotePrefix="1" applyNumberFormat="1" applyFont="1" applyFill="1" applyBorder="1" applyAlignment="1">
      <alignment horizontal="left" vertical="center" wrapText="1"/>
    </xf>
    <xf numFmtId="164" fontId="43" fillId="4" borderId="7" xfId="0" applyNumberFormat="1" applyFont="1" applyFill="1" applyBorder="1" applyAlignment="1">
      <alignment horizontal="center" vertical="center" wrapText="1"/>
    </xf>
    <xf numFmtId="164" fontId="42" fillId="4" borderId="7" xfId="0" applyNumberFormat="1" applyFont="1" applyFill="1" applyBorder="1" applyAlignment="1">
      <alignment horizontal="right" vertical="center" wrapText="1"/>
    </xf>
    <xf numFmtId="164" fontId="42" fillId="4" borderId="34" xfId="0" applyNumberFormat="1" applyFont="1" applyFill="1" applyBorder="1" applyAlignment="1">
      <alignment horizontal="right" vertical="center" wrapText="1"/>
    </xf>
    <xf numFmtId="164" fontId="42" fillId="4" borderId="29" xfId="0" applyNumberFormat="1" applyFont="1" applyFill="1" applyBorder="1" applyAlignment="1">
      <alignment horizontal="right" vertical="center" wrapText="1"/>
    </xf>
    <xf numFmtId="164" fontId="42" fillId="4" borderId="30" xfId="0" applyNumberFormat="1" applyFont="1" applyFill="1" applyBorder="1" applyAlignment="1">
      <alignment horizontal="right" vertical="center" wrapText="1"/>
    </xf>
    <xf numFmtId="0" fontId="42" fillId="4" borderId="0" xfId="0" applyFont="1" applyFill="1" applyAlignment="1">
      <alignment vertical="center"/>
    </xf>
    <xf numFmtId="0" fontId="42" fillId="4" borderId="20" xfId="0" applyFont="1" applyFill="1" applyBorder="1" applyAlignment="1">
      <alignment vertical="center"/>
    </xf>
    <xf numFmtId="0" fontId="42" fillId="4" borderId="2" xfId="0" applyFont="1" applyFill="1" applyBorder="1" applyAlignment="1">
      <alignment horizontal="center" vertical="center"/>
    </xf>
    <xf numFmtId="164" fontId="42" fillId="4" borderId="2" xfId="0" quotePrefix="1" applyNumberFormat="1" applyFont="1" applyFill="1" applyBorder="1" applyAlignment="1">
      <alignment horizontal="right" vertical="center" wrapText="1"/>
    </xf>
    <xf numFmtId="164" fontId="43" fillId="4" borderId="2" xfId="0" applyNumberFormat="1" applyFont="1" applyFill="1" applyBorder="1" applyAlignment="1">
      <alignment horizontal="center" vertical="center" wrapText="1"/>
    </xf>
    <xf numFmtId="164" fontId="42" fillId="4" borderId="2" xfId="0" applyNumberFormat="1" applyFont="1" applyFill="1" applyBorder="1" applyAlignment="1">
      <alignment horizontal="right" vertical="center" wrapText="1"/>
    </xf>
    <xf numFmtId="164" fontId="42" fillId="4" borderId="3" xfId="0" applyNumberFormat="1" applyFont="1" applyFill="1" applyBorder="1" applyAlignment="1">
      <alignment horizontal="right" vertical="center" wrapText="1"/>
    </xf>
    <xf numFmtId="164" fontId="42" fillId="4" borderId="20" xfId="0" applyNumberFormat="1" applyFont="1" applyFill="1" applyBorder="1" applyAlignment="1">
      <alignment horizontal="right" vertical="center" wrapText="1"/>
    </xf>
    <xf numFmtId="164" fontId="42" fillId="4" borderId="25" xfId="0" applyNumberFormat="1" applyFont="1" applyFill="1" applyBorder="1" applyAlignment="1">
      <alignment horizontal="right" vertical="center" wrapText="1"/>
    </xf>
    <xf numFmtId="0" fontId="42" fillId="4" borderId="25" xfId="0" applyFont="1" applyFill="1" applyBorder="1" applyAlignment="1">
      <alignment vertical="center"/>
    </xf>
    <xf numFmtId="0" fontId="38" fillId="4" borderId="0" xfId="0" applyFont="1" applyFill="1" applyAlignment="1">
      <alignment wrapText="1"/>
    </xf>
    <xf numFmtId="0" fontId="38" fillId="4" borderId="2" xfId="0" applyFont="1" applyFill="1" applyBorder="1" applyAlignment="1">
      <alignment horizontal="right"/>
    </xf>
    <xf numFmtId="0" fontId="46" fillId="4" borderId="0" xfId="0" applyFont="1" applyFill="1"/>
    <xf numFmtId="0" fontId="38" fillId="4" borderId="1" xfId="0" applyFont="1" applyFill="1" applyBorder="1"/>
    <xf numFmtId="0" fontId="38" fillId="4" borderId="1" xfId="0" applyFont="1" applyFill="1" applyBorder="1" applyAlignment="1">
      <alignment horizontal="center"/>
    </xf>
    <xf numFmtId="164" fontId="42" fillId="4" borderId="38" xfId="0" applyNumberFormat="1" applyFont="1" applyFill="1" applyBorder="1" applyAlignment="1">
      <alignment horizontal="right" vertical="center" wrapText="1"/>
    </xf>
    <xf numFmtId="0" fontId="42" fillId="4" borderId="39" xfId="0" applyFont="1" applyFill="1" applyBorder="1" applyAlignment="1">
      <alignment horizontal="right" vertical="center"/>
    </xf>
    <xf numFmtId="164" fontId="43" fillId="0" borderId="40" xfId="0" applyNumberFormat="1" applyFont="1" applyFill="1" applyBorder="1" applyAlignment="1">
      <alignment horizontal="right" vertical="center" wrapText="1"/>
    </xf>
    <xf numFmtId="4" fontId="43" fillId="4" borderId="41" xfId="0" applyNumberFormat="1" applyFont="1" applyFill="1" applyBorder="1"/>
    <xf numFmtId="0" fontId="42" fillId="4" borderId="38" xfId="0" applyFont="1" applyFill="1" applyBorder="1" applyAlignment="1">
      <alignment vertical="center"/>
    </xf>
    <xf numFmtId="49" fontId="43" fillId="4" borderId="6" xfId="0" applyNumberFormat="1" applyFont="1" applyFill="1" applyBorder="1" applyAlignment="1">
      <alignment horizontal="center" vertical="center" wrapText="1"/>
    </xf>
    <xf numFmtId="0" fontId="43" fillId="4" borderId="6" xfId="0" applyFont="1" applyFill="1" applyBorder="1" applyAlignment="1">
      <alignment vertical="center"/>
    </xf>
    <xf numFmtId="0" fontId="42" fillId="4" borderId="6" xfId="1" applyFont="1" applyFill="1" applyBorder="1" applyAlignment="1">
      <alignment horizontal="center" vertical="center" wrapText="1"/>
    </xf>
    <xf numFmtId="4" fontId="42" fillId="4" borderId="6" xfId="1" applyNumberFormat="1" applyFont="1" applyFill="1" applyBorder="1" applyAlignment="1">
      <alignment horizontal="right" vertical="center" wrapText="1"/>
    </xf>
    <xf numFmtId="164" fontId="42" fillId="4" borderId="6" xfId="0" applyNumberFormat="1" applyFont="1" applyFill="1" applyBorder="1" applyAlignment="1">
      <alignment horizontal="right" vertical="center" wrapText="1"/>
    </xf>
    <xf numFmtId="4" fontId="42" fillId="4" borderId="42" xfId="1" applyNumberFormat="1" applyFont="1" applyFill="1" applyBorder="1" applyAlignment="1">
      <alignment horizontal="right" vertical="center" wrapText="1"/>
    </xf>
    <xf numFmtId="1" fontId="41" fillId="4" borderId="31" xfId="0" applyNumberFormat="1" applyFont="1" applyFill="1" applyBorder="1" applyAlignment="1">
      <alignment horizontal="center" vertical="center" wrapText="1"/>
    </xf>
    <xf numFmtId="1" fontId="41" fillId="4" borderId="35" xfId="0" applyNumberFormat="1" applyFont="1" applyFill="1" applyBorder="1" applyAlignment="1">
      <alignment horizontal="center" vertical="center" wrapText="1"/>
    </xf>
    <xf numFmtId="0" fontId="42" fillId="4" borderId="41" xfId="0" applyFont="1" applyFill="1" applyBorder="1" applyAlignment="1">
      <alignment horizontal="center" vertical="center"/>
    </xf>
    <xf numFmtId="0" fontId="42" fillId="4" borderId="43" xfId="0" applyFont="1" applyFill="1" applyBorder="1" applyAlignment="1">
      <alignment horizontal="center" vertical="center"/>
    </xf>
    <xf numFmtId="0" fontId="42" fillId="4" borderId="44" xfId="0" applyFont="1" applyFill="1" applyBorder="1" applyAlignment="1">
      <alignment horizontal="center" vertical="center"/>
    </xf>
    <xf numFmtId="0" fontId="38" fillId="4" borderId="40" xfId="0" applyFont="1" applyFill="1" applyBorder="1" applyAlignment="1">
      <alignment horizontal="center"/>
    </xf>
    <xf numFmtId="164" fontId="42" fillId="4" borderId="21" xfId="0" applyNumberFormat="1" applyFont="1" applyFill="1" applyBorder="1" applyAlignment="1">
      <alignment horizontal="right" wrapText="1"/>
    </xf>
    <xf numFmtId="164" fontId="42" fillId="4" borderId="26" xfId="0" applyNumberFormat="1" applyFont="1" applyFill="1" applyBorder="1" applyAlignment="1">
      <alignment horizontal="right" vertical="center" wrapText="1"/>
    </xf>
    <xf numFmtId="0" fontId="42" fillId="4" borderId="0" xfId="0" applyFont="1" applyFill="1"/>
    <xf numFmtId="0" fontId="42" fillId="4" borderId="0" xfId="0" applyFont="1" applyFill="1" applyAlignment="1">
      <alignment horizontal="center"/>
    </xf>
    <xf numFmtId="0" fontId="42" fillId="4" borderId="0" xfId="0" applyFont="1" applyFill="1" applyAlignment="1">
      <alignment horizontal="right"/>
    </xf>
    <xf numFmtId="14" fontId="42" fillId="4" borderId="0" xfId="0" applyNumberFormat="1" applyFont="1" applyFill="1"/>
    <xf numFmtId="0" fontId="47" fillId="4" borderId="0" xfId="0" applyFont="1" applyFill="1"/>
    <xf numFmtId="0" fontId="47" fillId="4" borderId="0" xfId="0" applyFont="1" applyFill="1" applyAlignment="1">
      <alignment horizontal="center"/>
    </xf>
    <xf numFmtId="0" fontId="47" fillId="4" borderId="0" xfId="0" applyFont="1" applyFill="1" applyAlignment="1">
      <alignment horizontal="right"/>
    </xf>
    <xf numFmtId="0" fontId="48" fillId="4" borderId="0" xfId="0" applyFont="1" applyFill="1"/>
    <xf numFmtId="0" fontId="42" fillId="4" borderId="0" xfId="0" applyFont="1" applyFill="1" applyBorder="1" applyAlignment="1">
      <alignment horizontal="right" indent="1"/>
    </xf>
    <xf numFmtId="0" fontId="38" fillId="4" borderId="0" xfId="0" applyFont="1" applyFill="1" applyAlignment="1">
      <alignment horizontal="left"/>
    </xf>
    <xf numFmtId="0" fontId="34" fillId="0" borderId="0" xfId="0" applyFont="1" applyFill="1"/>
    <xf numFmtId="0" fontId="34" fillId="8" borderId="0" xfId="0" applyFont="1" applyFill="1"/>
    <xf numFmtId="0" fontId="37" fillId="8" borderId="0" xfId="0" applyFont="1" applyFill="1"/>
    <xf numFmtId="0" fontId="39" fillId="8" borderId="0" xfId="0" applyFont="1" applyFill="1"/>
    <xf numFmtId="0" fontId="25" fillId="4" borderId="0" xfId="0" applyFont="1" applyFill="1"/>
    <xf numFmtId="0" fontId="49" fillId="4" borderId="0" xfId="0" applyFont="1" applyFill="1"/>
    <xf numFmtId="0" fontId="38" fillId="10" borderId="0" xfId="0" applyFont="1" applyFill="1"/>
    <xf numFmtId="0" fontId="49" fillId="10" borderId="0" xfId="0" applyFont="1" applyFill="1"/>
    <xf numFmtId="0" fontId="46" fillId="10" borderId="0" xfId="0" applyFont="1" applyFill="1"/>
    <xf numFmtId="0" fontId="25" fillId="15" borderId="0" xfId="0" applyFont="1" applyFill="1"/>
    <xf numFmtId="0" fontId="0" fillId="16" borderId="0" xfId="0" applyFill="1"/>
    <xf numFmtId="0" fontId="25" fillId="16" borderId="0" xfId="0" applyFont="1" applyFill="1"/>
    <xf numFmtId="0" fontId="0" fillId="8" borderId="0" xfId="0" quotePrefix="1" applyFill="1"/>
    <xf numFmtId="0" fontId="46" fillId="8" borderId="0" xfId="0" applyFont="1" applyFill="1"/>
    <xf numFmtId="0" fontId="49" fillId="8" borderId="0" xfId="0" applyFont="1" applyFill="1"/>
    <xf numFmtId="16" fontId="0" fillId="0" borderId="0" xfId="0" quotePrefix="1" applyNumberFormat="1"/>
    <xf numFmtId="14" fontId="0" fillId="8" borderId="0" xfId="0" applyNumberFormat="1" applyFill="1"/>
    <xf numFmtId="0" fontId="0" fillId="0" borderId="0" xfId="0" quotePrefix="1"/>
    <xf numFmtId="14" fontId="0" fillId="8" borderId="0" xfId="0" quotePrefix="1" applyNumberFormat="1" applyFill="1"/>
    <xf numFmtId="16" fontId="0" fillId="8" borderId="0" xfId="0" quotePrefix="1" applyNumberFormat="1" applyFill="1"/>
    <xf numFmtId="49" fontId="44" fillId="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0" fontId="36" fillId="17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right"/>
    </xf>
    <xf numFmtId="0" fontId="50" fillId="0" borderId="0" xfId="0" applyFont="1" applyAlignment="1">
      <alignment horizontal="right" vertical="center" wrapText="1"/>
    </xf>
    <xf numFmtId="0" fontId="50" fillId="0" borderId="0" xfId="0" applyFont="1" applyAlignment="1">
      <alignment horizontal="center" vertical="center" wrapText="1"/>
    </xf>
    <xf numFmtId="17" fontId="50" fillId="17" borderId="0" xfId="0" applyNumberFormat="1" applyFont="1" applyFill="1" applyAlignment="1">
      <alignment horizontal="center" vertical="center" wrapText="1"/>
    </xf>
    <xf numFmtId="0" fontId="50" fillId="18" borderId="0" xfId="0" applyFont="1" applyFill="1" applyAlignment="1">
      <alignment horizontal="right" vertical="center" wrapText="1"/>
    </xf>
    <xf numFmtId="16" fontId="0" fillId="8" borderId="0" xfId="0" applyNumberFormat="1" applyFill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51" fillId="19" borderId="0" xfId="0" applyFont="1" applyFill="1" applyAlignment="1">
      <alignment horizontal="right" vertical="center" wrapText="1"/>
    </xf>
    <xf numFmtId="0" fontId="51" fillId="19" borderId="0" xfId="0" applyFont="1" applyFill="1" applyAlignment="1">
      <alignment horizontal="center" vertical="center" wrapText="1"/>
    </xf>
    <xf numFmtId="0" fontId="51" fillId="19" borderId="0" xfId="0" applyFont="1" applyFill="1" applyAlignment="1">
      <alignment horizontal="left" vertical="center" wrapText="1"/>
    </xf>
    <xf numFmtId="0" fontId="51" fillId="18" borderId="0" xfId="0" applyFont="1" applyFill="1" applyAlignment="1">
      <alignment horizontal="right" vertical="center" wrapText="1"/>
    </xf>
    <xf numFmtId="0" fontId="51" fillId="0" borderId="0" xfId="0" applyFont="1" applyAlignment="1">
      <alignment horizontal="right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2" borderId="4" xfId="0" quotePrefix="1" applyNumberFormat="1" applyFont="1" applyFill="1" applyBorder="1" applyAlignment="1">
      <alignment horizontal="left" vertical="center" wrapText="1"/>
    </xf>
    <xf numFmtId="49" fontId="12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164" fontId="5" fillId="13" borderId="8" xfId="0" applyNumberFormat="1" applyFont="1" applyFill="1" applyBorder="1" applyAlignment="1">
      <alignment horizontal="center" vertical="center" wrapText="1"/>
    </xf>
    <xf numFmtId="164" fontId="5" fillId="13" borderId="0" xfId="0" applyNumberFormat="1" applyFont="1" applyFill="1" applyBorder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Border="1" applyAlignment="1">
      <alignment horizontal="right" vertical="center" wrapText="1"/>
    </xf>
    <xf numFmtId="164" fontId="7" fillId="0" borderId="1" xfId="0" quotePrefix="1" applyNumberFormat="1" applyFont="1" applyFill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38" fillId="4" borderId="2" xfId="0" applyFont="1" applyFill="1" applyBorder="1" applyAlignment="1">
      <alignment horizontal="center"/>
    </xf>
    <xf numFmtId="0" fontId="38" fillId="4" borderId="3" xfId="0" applyFont="1" applyFill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/>
    </xf>
    <xf numFmtId="49" fontId="44" fillId="4" borderId="23" xfId="0" applyNumberFormat="1" applyFont="1" applyFill="1" applyBorder="1" applyAlignment="1">
      <alignment horizontal="center" vertical="center" wrapText="1"/>
    </xf>
    <xf numFmtId="49" fontId="44" fillId="4" borderId="21" xfId="0" applyNumberFormat="1" applyFont="1" applyFill="1" applyBorder="1" applyAlignment="1">
      <alignment horizontal="center" vertical="center" wrapText="1"/>
    </xf>
    <xf numFmtId="164" fontId="44" fillId="4" borderId="19" xfId="0" applyNumberFormat="1" applyFont="1" applyFill="1" applyBorder="1" applyAlignment="1">
      <alignment horizontal="center" vertical="center" wrapText="1"/>
    </xf>
    <xf numFmtId="164" fontId="44" fillId="4" borderId="22" xfId="0" applyNumberFormat="1" applyFont="1" applyFill="1" applyBorder="1" applyAlignment="1">
      <alignment horizontal="center" vertical="center" wrapText="1"/>
    </xf>
    <xf numFmtId="164" fontId="44" fillId="4" borderId="32" xfId="0" applyNumberFormat="1" applyFont="1" applyFill="1" applyBorder="1" applyAlignment="1">
      <alignment horizontal="center" vertical="center" wrapText="1"/>
    </xf>
    <xf numFmtId="0" fontId="38" fillId="4" borderId="21" xfId="0" applyFont="1" applyFill="1" applyBorder="1" applyAlignment="1">
      <alignment horizontal="right"/>
    </xf>
    <xf numFmtId="0" fontId="38" fillId="4" borderId="22" xfId="0" applyFont="1" applyFill="1" applyBorder="1" applyAlignment="1">
      <alignment horizontal="right"/>
    </xf>
    <xf numFmtId="0" fontId="38" fillId="4" borderId="33" xfId="0" applyFont="1" applyFill="1" applyBorder="1" applyAlignment="1">
      <alignment horizontal="right"/>
    </xf>
    <xf numFmtId="14" fontId="47" fillId="4" borderId="0" xfId="0" applyNumberFormat="1" applyFont="1" applyFill="1" applyAlignment="1">
      <alignment horizontal="center"/>
    </xf>
    <xf numFmtId="0" fontId="42" fillId="4" borderId="23" xfId="0" applyFont="1" applyFill="1" applyBorder="1" applyAlignment="1">
      <alignment horizontal="left"/>
    </xf>
    <xf numFmtId="0" fontId="42" fillId="4" borderId="19" xfId="0" applyFont="1" applyFill="1" applyBorder="1" applyAlignment="1">
      <alignment horizontal="left"/>
    </xf>
    <xf numFmtId="0" fontId="42" fillId="4" borderId="24" xfId="0" applyFont="1" applyFill="1" applyBorder="1" applyAlignment="1">
      <alignment horizontal="left"/>
    </xf>
    <xf numFmtId="0" fontId="42" fillId="4" borderId="20" xfId="0" applyFont="1" applyFill="1" applyBorder="1" applyAlignment="1">
      <alignment horizontal="left"/>
    </xf>
    <xf numFmtId="0" fontId="42" fillId="4" borderId="2" xfId="0" applyFont="1" applyFill="1" applyBorder="1" applyAlignment="1">
      <alignment horizontal="left"/>
    </xf>
    <xf numFmtId="0" fontId="42" fillId="4" borderId="25" xfId="0" applyFont="1" applyFill="1" applyBorder="1" applyAlignment="1">
      <alignment horizontal="left"/>
    </xf>
    <xf numFmtId="0" fontId="42" fillId="4" borderId="21" xfId="0" applyFont="1" applyFill="1" applyBorder="1" applyAlignment="1">
      <alignment horizontal="left"/>
    </xf>
    <xf numFmtId="0" fontId="42" fillId="4" borderId="22" xfId="0" applyFont="1" applyFill="1" applyBorder="1" applyAlignment="1">
      <alignment horizontal="left"/>
    </xf>
    <xf numFmtId="0" fontId="42" fillId="4" borderId="26" xfId="0" applyFont="1" applyFill="1" applyBorder="1" applyAlignment="1">
      <alignment horizontal="left"/>
    </xf>
    <xf numFmtId="0" fontId="45" fillId="4" borderId="2" xfId="0" applyFont="1" applyFill="1" applyBorder="1" applyAlignment="1">
      <alignment horizontal="left" vertical="center" wrapText="1"/>
    </xf>
    <xf numFmtId="0" fontId="45" fillId="4" borderId="3" xfId="0" applyFont="1" applyFill="1" applyBorder="1" applyAlignment="1">
      <alignment horizontal="left" vertical="center" wrapText="1"/>
    </xf>
    <xf numFmtId="49" fontId="44" fillId="4" borderId="35" xfId="0" applyNumberFormat="1" applyFont="1" applyFill="1" applyBorder="1" applyAlignment="1">
      <alignment horizontal="center" vertical="center" wrapText="1"/>
    </xf>
    <xf numFmtId="49" fontId="44" fillId="4" borderId="36" xfId="0" applyNumberFormat="1" applyFont="1" applyFill="1" applyBorder="1" applyAlignment="1">
      <alignment horizontal="center" vertical="center" wrapText="1"/>
    </xf>
    <xf numFmtId="164" fontId="44" fillId="4" borderId="28" xfId="0" applyNumberFormat="1" applyFont="1" applyFill="1" applyBorder="1" applyAlignment="1">
      <alignment horizontal="center" vertical="center" wrapText="1"/>
    </xf>
    <xf numFmtId="164" fontId="44" fillId="4" borderId="37" xfId="0" applyNumberFormat="1" applyFont="1" applyFill="1" applyBorder="1" applyAlignment="1">
      <alignment horizontal="center" vertical="center" wrapText="1"/>
    </xf>
    <xf numFmtId="164" fontId="44" fillId="4" borderId="23" xfId="0" applyNumberFormat="1" applyFont="1" applyFill="1" applyBorder="1" applyAlignment="1">
      <alignment horizontal="center" vertical="center" wrapText="1"/>
    </xf>
    <xf numFmtId="164" fontId="44" fillId="4" borderId="24" xfId="0" applyNumberFormat="1" applyFont="1" applyFill="1" applyBorder="1" applyAlignment="1">
      <alignment horizontal="center" vertical="center" wrapText="1"/>
    </xf>
    <xf numFmtId="0" fontId="52" fillId="0" borderId="47" xfId="0" applyFont="1" applyBorder="1" applyAlignment="1">
      <alignment horizontal="center" vertical="center" wrapText="1"/>
    </xf>
    <xf numFmtId="0" fontId="52" fillId="0" borderId="48" xfId="0" applyFont="1" applyBorder="1" applyAlignment="1">
      <alignment horizontal="center" vertical="center" wrapText="1"/>
    </xf>
    <xf numFmtId="0" fontId="52" fillId="0" borderId="50" xfId="0" applyFont="1" applyBorder="1" applyAlignment="1">
      <alignment horizontal="center" vertical="center" wrapText="1"/>
    </xf>
    <xf numFmtId="1" fontId="44" fillId="0" borderId="2" xfId="0" quotePrefix="1" applyNumberFormat="1" applyFont="1" applyFill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4" fillId="0" borderId="8" xfId="0" applyNumberFormat="1" applyFont="1" applyBorder="1" applyAlignment="1">
      <alignment horizontal="center" vertical="center" wrapText="1"/>
    </xf>
    <xf numFmtId="4" fontId="1" fillId="4" borderId="0" xfId="0" applyNumberFormat="1" applyFont="1" applyFill="1" applyAlignment="1">
      <alignment horizontal="right"/>
    </xf>
    <xf numFmtId="0" fontId="2" fillId="4" borderId="0" xfId="0" applyFont="1" applyFill="1"/>
    <xf numFmtId="165" fontId="7" fillId="4" borderId="0" xfId="0" applyNumberFormat="1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vertical="center" wrapText="1"/>
    </xf>
    <xf numFmtId="165" fontId="7" fillId="4" borderId="0" xfId="0" applyNumberFormat="1" applyFont="1" applyFill="1" applyBorder="1" applyAlignment="1">
      <alignment horizontal="center" vertical="center" wrapText="1"/>
    </xf>
    <xf numFmtId="0" fontId="53" fillId="4" borderId="45" xfId="0" applyFont="1" applyFill="1" applyBorder="1" applyAlignment="1">
      <alignment horizontal="center" vertical="center" wrapText="1"/>
    </xf>
    <xf numFmtId="0" fontId="53" fillId="4" borderId="46" xfId="0" applyFont="1" applyFill="1" applyBorder="1" applyAlignment="1">
      <alignment horizontal="center" vertical="center" wrapText="1"/>
    </xf>
    <xf numFmtId="0" fontId="52" fillId="4" borderId="47" xfId="0" applyFont="1" applyFill="1" applyBorder="1" applyAlignment="1">
      <alignment horizontal="center" vertical="center" wrapText="1"/>
    </xf>
    <xf numFmtId="0" fontId="52" fillId="4" borderId="49" xfId="0" applyFont="1" applyFill="1" applyBorder="1" applyAlignment="1">
      <alignment horizontal="center" vertical="center" wrapText="1"/>
    </xf>
    <xf numFmtId="0" fontId="52" fillId="4" borderId="50" xfId="0" applyFont="1" applyFill="1" applyBorder="1" applyAlignment="1">
      <alignment horizontal="center" vertical="center" wrapText="1"/>
    </xf>
    <xf numFmtId="0" fontId="52" fillId="4" borderId="51" xfId="0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vertical="center" wrapText="1"/>
    </xf>
    <xf numFmtId="14" fontId="8" fillId="4" borderId="0" xfId="0" applyNumberFormat="1" applyFont="1" applyFill="1" applyBorder="1" applyAlignment="1">
      <alignment horizontal="right" vertical="center" wrapText="1"/>
    </xf>
    <xf numFmtId="164" fontId="8" fillId="4" borderId="0" xfId="0" applyNumberFormat="1" applyFont="1" applyFill="1" applyBorder="1" applyAlignment="1">
      <alignment horizontal="right" vertical="center" wrapText="1"/>
    </xf>
    <xf numFmtId="164" fontId="5" fillId="4" borderId="0" xfId="0" applyNumberFormat="1" applyFont="1" applyFill="1" applyAlignment="1">
      <alignment vertical="center" wrapText="1"/>
    </xf>
    <xf numFmtId="164" fontId="5" fillId="4" borderId="0" xfId="0" applyNumberFormat="1" applyFont="1" applyFill="1" applyBorder="1" applyAlignment="1">
      <alignment horizontal="right" vertical="center" wrapText="1"/>
    </xf>
    <xf numFmtId="164" fontId="32" fillId="4" borderId="0" xfId="0" applyNumberFormat="1" applyFont="1" applyFill="1" applyAlignment="1">
      <alignment horizontal="right" vertical="center" wrapText="1"/>
    </xf>
    <xf numFmtId="164" fontId="13" fillId="4" borderId="0" xfId="0" applyNumberFormat="1" applyFont="1" applyFill="1" applyBorder="1" applyAlignment="1">
      <alignment horizontal="right" vertical="center" wrapText="1"/>
    </xf>
    <xf numFmtId="164" fontId="8" fillId="4" borderId="0" xfId="0" applyNumberFormat="1" applyFont="1" applyFill="1" applyAlignment="1">
      <alignment horizontal="center" vertical="center" wrapText="1"/>
    </xf>
  </cellXfs>
  <cellStyles count="3">
    <cellStyle name="Обычный" xfId="0" builtinId="0"/>
    <cellStyle name="Обычный 2 2" xfId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48;&#1085;&#1090;&#1077;&#1088;-&#1057;&#1090;&#1088;&#1086;&#1081;\&#1047;&#1072;&#1087;&#1072;&#1076;-2\10%20&#1082;&#1074;&#1072;&#1088;&#1090;&#1072;&#1083;\&#1057;&#1084;&#1077;&#1090;&#1099;\&#1089;&#1084;&#1077;&#1090;&#1072;_&#1076;&#1086;&#1084;%2041%20&#1054;&#1058;%20&#1042;&#1051;&#1040;&#1044;&#1048;&#1050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бест 41"/>
      <sheetName val="41"/>
      <sheetName val="ведомость затрат"/>
      <sheetName val="кровля"/>
      <sheetName val="кладка"/>
      <sheetName val="балконы"/>
      <sheetName val="МУ"/>
      <sheetName val="фасад"/>
      <sheetName val="окна"/>
      <sheetName val="внут.отделка"/>
      <sheetName val="лестницы"/>
      <sheetName val="МЭ"/>
      <sheetName val="ЖБИ"/>
      <sheetName val="металл"/>
      <sheetName val="арматура"/>
      <sheetName val="отделка"/>
      <sheetName val="пример"/>
      <sheetName val="Лист1"/>
    </sheetNames>
    <sheetDataSet>
      <sheetData sheetId="0"/>
      <sheetData sheetId="1">
        <row r="10">
          <cell r="C10">
            <v>1637.9</v>
          </cell>
        </row>
        <row r="51">
          <cell r="I51">
            <v>2272050.0960000004</v>
          </cell>
        </row>
        <row r="112">
          <cell r="I112">
            <v>1379811.5135000001</v>
          </cell>
        </row>
        <row r="179">
          <cell r="I179">
            <v>9272788.9560000002</v>
          </cell>
        </row>
        <row r="205">
          <cell r="I205">
            <v>3720232.8400000008</v>
          </cell>
        </row>
        <row r="229">
          <cell r="I229">
            <v>425120.15947000001</v>
          </cell>
        </row>
        <row r="296">
          <cell r="I296">
            <v>865080.05</v>
          </cell>
        </row>
        <row r="356">
          <cell r="I356">
            <v>2430284.0283336006</v>
          </cell>
        </row>
        <row r="362">
          <cell r="I362">
            <v>1443270.16</v>
          </cell>
        </row>
        <row r="380">
          <cell r="I380">
            <v>342236</v>
          </cell>
        </row>
        <row r="387">
          <cell r="I387">
            <v>1960957.2100000002</v>
          </cell>
        </row>
        <row r="415">
          <cell r="I415">
            <v>2489831.2270000004</v>
          </cell>
        </row>
        <row r="442">
          <cell r="I442">
            <v>56206.909999999996</v>
          </cell>
        </row>
        <row r="460">
          <cell r="I460">
            <v>385723.20000000007</v>
          </cell>
        </row>
        <row r="471">
          <cell r="I471">
            <v>92127.74</v>
          </cell>
        </row>
        <row r="572">
          <cell r="I572">
            <v>1727000</v>
          </cell>
        </row>
        <row r="593">
          <cell r="I593">
            <v>2512666.666666667</v>
          </cell>
        </row>
        <row r="622">
          <cell r="I622">
            <v>532000</v>
          </cell>
        </row>
        <row r="742">
          <cell r="I742">
            <v>1105000</v>
          </cell>
        </row>
        <row r="779">
          <cell r="I779">
            <v>1050000</v>
          </cell>
        </row>
        <row r="781">
          <cell r="I781">
            <v>34062386.756970271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K6">
            <v>145.59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40"/>
  <sheetViews>
    <sheetView tabSelected="1" topLeftCell="E17" zoomScale="85" zoomScaleNormal="85" workbookViewId="0">
      <selection activeCell="M35" sqref="M35"/>
    </sheetView>
  </sheetViews>
  <sheetFormatPr defaultColWidth="9.109375" defaultRowHeight="15.6" outlineLevelRow="1" x14ac:dyDescent="0.3"/>
  <cols>
    <col min="1" max="1" width="6" style="57" customWidth="1"/>
    <col min="2" max="2" width="50.88671875" style="15" customWidth="1"/>
    <col min="3" max="3" width="24.6640625" style="39" customWidth="1"/>
    <col min="4" max="4" width="13.33203125" style="33" customWidth="1"/>
    <col min="5" max="5" width="14.109375" style="33" customWidth="1"/>
    <col min="6" max="6" width="15" style="33" customWidth="1"/>
    <col min="7" max="7" width="14.88671875" style="62" customWidth="1"/>
    <col min="8" max="8" width="17.5546875" style="33" customWidth="1"/>
    <col min="9" max="9" width="18.88671875" style="33" customWidth="1"/>
    <col min="10" max="10" width="18.6640625" style="33" customWidth="1"/>
    <col min="11" max="14" width="18.6640625" style="168" customWidth="1"/>
    <col min="15" max="15" width="18.6640625" style="377" customWidth="1"/>
    <col min="16" max="16" width="16.5546875" style="215" customWidth="1"/>
    <col min="17" max="17" width="15.109375" style="15" customWidth="1"/>
    <col min="18" max="18" width="13.44140625" style="15" customWidth="1"/>
    <col min="19" max="19" width="13.5546875" style="15" customWidth="1"/>
    <col min="20" max="21" width="12" style="15" customWidth="1"/>
    <col min="22" max="22" width="14.44140625" style="15" customWidth="1"/>
    <col min="23" max="24" width="12" style="15" customWidth="1"/>
    <col min="25" max="25" width="13.5546875" style="15" customWidth="1"/>
    <col min="26" max="26" width="12" style="15" hidden="1" customWidth="1"/>
    <col min="27" max="27" width="13.5546875" style="15" hidden="1" customWidth="1"/>
    <col min="28" max="28" width="15.109375" style="69" customWidth="1"/>
    <col min="29" max="29" width="15.44140625" style="15" customWidth="1"/>
    <col min="30" max="16384" width="9.109375" style="15"/>
  </cols>
  <sheetData>
    <row r="1" spans="1:38" s="3" customFormat="1" ht="14.4" x14ac:dyDescent="0.25">
      <c r="A1" s="1"/>
      <c r="B1" s="1"/>
      <c r="C1" s="76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59"/>
      <c r="P1" s="360"/>
      <c r="AB1" s="71"/>
    </row>
    <row r="2" spans="1:38" s="3" customFormat="1" ht="27.75" customHeight="1" x14ac:dyDescent="0.25">
      <c r="A2" s="1"/>
      <c r="B2" s="4" t="s">
        <v>0</v>
      </c>
      <c r="C2" s="76"/>
      <c r="D2" s="1"/>
      <c r="E2" s="1"/>
      <c r="F2" s="1"/>
      <c r="G2" s="1"/>
      <c r="H2" s="5" t="s">
        <v>1</v>
      </c>
      <c r="I2" s="2"/>
      <c r="J2" s="2"/>
      <c r="K2" s="2"/>
      <c r="L2" s="2"/>
      <c r="M2" s="2"/>
      <c r="N2" s="2"/>
      <c r="O2" s="359"/>
      <c r="P2" s="360"/>
      <c r="AB2" s="71"/>
    </row>
    <row r="3" spans="1:38" s="3" customFormat="1" ht="14.4" x14ac:dyDescent="0.25">
      <c r="A3" s="1"/>
      <c r="B3" s="1"/>
      <c r="C3" s="76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359"/>
      <c r="P3" s="360"/>
      <c r="AB3" s="71"/>
    </row>
    <row r="4" spans="1:38" s="3" customFormat="1" ht="14.4" x14ac:dyDescent="0.25">
      <c r="A4" s="1"/>
      <c r="B4" s="1"/>
      <c r="C4" s="76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359"/>
      <c r="P4" s="360"/>
      <c r="V4" s="116">
        <f>J16+J16+J17</f>
        <v>211970.696</v>
      </c>
      <c r="AB4" s="71"/>
      <c r="AC4" s="3" t="s">
        <v>98</v>
      </c>
    </row>
    <row r="5" spans="1:38" s="3" customFormat="1" ht="14.4" x14ac:dyDescent="0.25">
      <c r="A5" s="1"/>
      <c r="B5" s="6"/>
      <c r="C5" s="83"/>
      <c r="D5" s="1"/>
      <c r="E5" s="1"/>
      <c r="F5" s="1"/>
      <c r="G5" s="1" t="s">
        <v>2</v>
      </c>
      <c r="H5" s="2"/>
      <c r="I5" s="2"/>
      <c r="J5" s="2"/>
      <c r="K5" s="2"/>
      <c r="L5" s="2"/>
      <c r="M5" s="2"/>
      <c r="N5" s="2"/>
      <c r="O5" s="359"/>
      <c r="P5" s="360"/>
      <c r="AB5" s="71"/>
      <c r="AC5" s="3" t="s">
        <v>99</v>
      </c>
    </row>
    <row r="6" spans="1:38" s="3" customFormat="1" ht="14.4" x14ac:dyDescent="0.25">
      <c r="A6" s="1"/>
      <c r="B6" s="1"/>
      <c r="C6" s="76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359"/>
      <c r="P6" s="360"/>
      <c r="AB6" s="71"/>
    </row>
    <row r="7" spans="1:38" s="3" customFormat="1" ht="14.4" x14ac:dyDescent="0.25">
      <c r="A7" s="1"/>
      <c r="B7" s="314" t="s">
        <v>3</v>
      </c>
      <c r="C7" s="314"/>
      <c r="D7" s="315"/>
      <c r="E7" s="315"/>
      <c r="F7" s="315"/>
      <c r="G7" s="315"/>
      <c r="H7" s="315"/>
      <c r="I7" s="315"/>
      <c r="J7" s="2"/>
      <c r="K7" s="2"/>
      <c r="L7" s="2"/>
      <c r="M7" s="2"/>
      <c r="N7" s="2"/>
      <c r="O7" s="359"/>
      <c r="P7" s="360"/>
      <c r="AB7" s="71"/>
    </row>
    <row r="8" spans="1:38" s="3" customFormat="1" ht="29.25" customHeight="1" x14ac:dyDescent="0.25">
      <c r="A8" s="1"/>
      <c r="B8" s="316" t="s">
        <v>4</v>
      </c>
      <c r="C8" s="316"/>
      <c r="D8" s="317"/>
      <c r="E8" s="317"/>
      <c r="F8" s="317"/>
      <c r="G8" s="317"/>
      <c r="H8" s="317"/>
      <c r="I8" s="317"/>
      <c r="J8" s="2"/>
      <c r="K8" s="2"/>
      <c r="L8" s="2"/>
      <c r="M8" s="2"/>
      <c r="N8" s="2"/>
      <c r="O8" s="359"/>
      <c r="P8" s="360"/>
      <c r="AB8" s="71"/>
      <c r="AC8" s="3" t="s">
        <v>100</v>
      </c>
    </row>
    <row r="9" spans="1:38" s="11" customFormat="1" ht="15.75" customHeight="1" x14ac:dyDescent="0.3">
      <c r="A9" s="7"/>
      <c r="B9" s="8"/>
      <c r="C9" s="8"/>
      <c r="D9" s="8"/>
      <c r="E9" s="8"/>
      <c r="F9" s="8"/>
      <c r="G9" s="9"/>
      <c r="H9" s="318" t="s">
        <v>5</v>
      </c>
      <c r="I9" s="318"/>
      <c r="J9" s="10" t="e">
        <f>J10/D10</f>
        <v>#REF!</v>
      </c>
      <c r="K9" s="10"/>
      <c r="L9" s="10"/>
      <c r="M9" s="10"/>
      <c r="N9" s="10"/>
      <c r="O9" s="361"/>
      <c r="P9" s="362"/>
      <c r="AB9" s="68"/>
    </row>
    <row r="10" spans="1:38" s="11" customFormat="1" ht="15.75" customHeight="1" x14ac:dyDescent="0.3">
      <c r="A10" s="319" t="s">
        <v>6</v>
      </c>
      <c r="B10" s="319"/>
      <c r="C10" s="77"/>
      <c r="D10" s="11">
        <v>1658.4</v>
      </c>
      <c r="E10" s="12" t="s">
        <v>7</v>
      </c>
      <c r="F10" s="13">
        <v>39</v>
      </c>
      <c r="G10" s="320" t="s">
        <v>8</v>
      </c>
      <c r="H10" s="320"/>
      <c r="I10" s="320"/>
      <c r="J10" s="14" t="e">
        <f>#REF!*1</f>
        <v>#REF!</v>
      </c>
      <c r="K10" s="14"/>
      <c r="L10" s="14"/>
      <c r="M10" s="14"/>
      <c r="N10" s="14"/>
      <c r="O10" s="363"/>
      <c r="P10" s="362"/>
      <c r="AB10" s="68"/>
      <c r="AC10" s="11" t="s">
        <v>101</v>
      </c>
    </row>
    <row r="11" spans="1:38" s="11" customFormat="1" ht="15.75" customHeight="1" thickBot="1" x14ac:dyDescent="0.35">
      <c r="A11" s="178"/>
      <c r="B11" s="178"/>
      <c r="C11" s="77"/>
      <c r="D11" s="179"/>
      <c r="E11" s="180"/>
      <c r="F11" s="13"/>
      <c r="G11" s="181"/>
      <c r="H11" s="181"/>
      <c r="I11" s="181"/>
      <c r="J11" s="14"/>
      <c r="K11" s="14"/>
      <c r="L11" s="14"/>
      <c r="M11" s="14"/>
      <c r="N11" s="14"/>
      <c r="O11" s="363"/>
      <c r="P11" s="362"/>
      <c r="AB11" s="68"/>
    </row>
    <row r="12" spans="1:38" s="357" customFormat="1" ht="15.75" customHeight="1" thickTop="1" x14ac:dyDescent="0.3">
      <c r="A12" s="355">
        <v>1</v>
      </c>
      <c r="B12" s="355">
        <f>A12+1</f>
        <v>2</v>
      </c>
      <c r="C12" s="355">
        <f t="shared" ref="C12:J12" si="0">B12+1</f>
        <v>3</v>
      </c>
      <c r="D12" s="355">
        <f t="shared" si="0"/>
        <v>4</v>
      </c>
      <c r="E12" s="355">
        <f t="shared" si="0"/>
        <v>5</v>
      </c>
      <c r="F12" s="355">
        <f t="shared" si="0"/>
        <v>6</v>
      </c>
      <c r="G12" s="355">
        <f t="shared" si="0"/>
        <v>7</v>
      </c>
      <c r="H12" s="355">
        <f t="shared" si="0"/>
        <v>8</v>
      </c>
      <c r="I12" s="355">
        <f t="shared" si="0"/>
        <v>9</v>
      </c>
      <c r="J12" s="355">
        <f t="shared" si="0"/>
        <v>10</v>
      </c>
      <c r="K12" s="355">
        <f>J12+1</f>
        <v>11</v>
      </c>
      <c r="L12" s="355">
        <f>K12+1</f>
        <v>12</v>
      </c>
      <c r="M12" s="356" t="s">
        <v>302</v>
      </c>
      <c r="N12" s="356" t="s">
        <v>303</v>
      </c>
      <c r="O12" s="364" t="s">
        <v>304</v>
      </c>
      <c r="P12" s="365" t="s">
        <v>305</v>
      </c>
      <c r="AB12" s="358"/>
    </row>
    <row r="13" spans="1:38" ht="25.5" customHeight="1" x14ac:dyDescent="0.3">
      <c r="A13" s="321" t="s">
        <v>9</v>
      </c>
      <c r="B13" s="308" t="s">
        <v>10</v>
      </c>
      <c r="C13" s="16"/>
      <c r="D13" s="308" t="s">
        <v>11</v>
      </c>
      <c r="E13" s="308" t="s">
        <v>12</v>
      </c>
      <c r="F13" s="308" t="s">
        <v>13</v>
      </c>
      <c r="G13" s="308"/>
      <c r="H13" s="308" t="s">
        <v>14</v>
      </c>
      <c r="I13" s="308"/>
      <c r="J13" s="308" t="s">
        <v>15</v>
      </c>
      <c r="K13" s="312" t="s">
        <v>138</v>
      </c>
      <c r="L13" s="313"/>
      <c r="M13" s="352" t="s">
        <v>306</v>
      </c>
      <c r="N13" s="353"/>
      <c r="O13" s="366" t="s">
        <v>307</v>
      </c>
      <c r="P13" s="367"/>
      <c r="Q13" s="311" t="s">
        <v>53</v>
      </c>
      <c r="R13" s="311"/>
      <c r="S13" s="311"/>
      <c r="T13" s="311" t="s">
        <v>57</v>
      </c>
      <c r="U13" s="311"/>
      <c r="V13" s="311"/>
      <c r="W13" s="311" t="s">
        <v>58</v>
      </c>
      <c r="X13" s="311"/>
      <c r="Y13" s="311"/>
      <c r="Z13" s="67" t="s">
        <v>59</v>
      </c>
      <c r="AA13" s="67"/>
      <c r="AB13" s="72"/>
      <c r="AC13" s="310" t="s">
        <v>60</v>
      </c>
      <c r="AD13" s="67"/>
      <c r="AE13" s="67"/>
      <c r="AF13" s="67"/>
      <c r="AG13" s="67"/>
      <c r="AH13" s="67"/>
      <c r="AI13" s="67"/>
      <c r="AJ13" s="67"/>
      <c r="AK13" s="67"/>
      <c r="AL13" s="67"/>
    </row>
    <row r="14" spans="1:38" ht="31.8" thickBot="1" x14ac:dyDescent="0.35">
      <c r="A14" s="321"/>
      <c r="B14" s="308"/>
      <c r="C14" s="16" t="s">
        <v>54</v>
      </c>
      <c r="D14" s="308"/>
      <c r="E14" s="308"/>
      <c r="F14" s="16" t="s">
        <v>16</v>
      </c>
      <c r="G14" s="17" t="s">
        <v>17</v>
      </c>
      <c r="H14" s="16" t="s">
        <v>16</v>
      </c>
      <c r="I14" s="16" t="s">
        <v>18</v>
      </c>
      <c r="J14" s="308"/>
      <c r="K14" s="189" t="s">
        <v>16</v>
      </c>
      <c r="L14" s="189" t="s">
        <v>18</v>
      </c>
      <c r="M14" s="354" t="s">
        <v>16</v>
      </c>
      <c r="N14" s="354" t="s">
        <v>18</v>
      </c>
      <c r="O14" s="368" t="s">
        <v>308</v>
      </c>
      <c r="P14" s="369" t="s">
        <v>309</v>
      </c>
      <c r="Q14" s="73" t="s">
        <v>56</v>
      </c>
      <c r="R14" s="73" t="s">
        <v>61</v>
      </c>
      <c r="S14" s="73" t="s">
        <v>62</v>
      </c>
      <c r="T14" s="73" t="s">
        <v>56</v>
      </c>
      <c r="U14" s="73" t="s">
        <v>61</v>
      </c>
      <c r="V14" s="73" t="s">
        <v>62</v>
      </c>
      <c r="W14" s="73" t="s">
        <v>56</v>
      </c>
      <c r="X14" s="73" t="s">
        <v>61</v>
      </c>
      <c r="Y14" s="73" t="s">
        <v>62</v>
      </c>
      <c r="Z14" s="73" t="s">
        <v>56</v>
      </c>
      <c r="AA14" s="67"/>
      <c r="AB14" s="72"/>
      <c r="AC14" s="310"/>
      <c r="AD14" s="67"/>
      <c r="AE14" s="67"/>
      <c r="AF14" s="67"/>
      <c r="AG14" s="67"/>
      <c r="AH14" s="67"/>
      <c r="AI14" s="67"/>
      <c r="AJ14" s="67"/>
      <c r="AK14" s="67"/>
      <c r="AL14" s="67"/>
    </row>
    <row r="15" spans="1:38" s="22" customFormat="1" ht="24" customHeight="1" thickTop="1" x14ac:dyDescent="0.3">
      <c r="A15" s="18"/>
      <c r="B15" s="309" t="s">
        <v>19</v>
      </c>
      <c r="C15" s="309"/>
      <c r="D15" s="309"/>
      <c r="E15" s="309"/>
      <c r="F15" s="309"/>
      <c r="G15" s="19"/>
      <c r="H15" s="19"/>
      <c r="I15" s="19"/>
      <c r="J15" s="183"/>
      <c r="K15" s="190"/>
      <c r="L15" s="190"/>
      <c r="M15" s="190"/>
      <c r="N15" s="190"/>
      <c r="O15" s="370"/>
      <c r="P15" s="215"/>
      <c r="AB15" s="70"/>
    </row>
    <row r="16" spans="1:38" s="22" customFormat="1" ht="24" customHeight="1" x14ac:dyDescent="0.3">
      <c r="A16" s="23" t="s">
        <v>20</v>
      </c>
      <c r="B16" s="24" t="s">
        <v>21</v>
      </c>
      <c r="C16" s="64" t="s">
        <v>55</v>
      </c>
      <c r="D16" s="25" t="s">
        <v>22</v>
      </c>
      <c r="E16" s="25">
        <v>263</v>
      </c>
      <c r="F16" s="25">
        <f>350</f>
        <v>350</v>
      </c>
      <c r="G16" s="26"/>
      <c r="H16" s="27">
        <f>F16*E16</f>
        <v>92050</v>
      </c>
      <c r="I16" s="27"/>
      <c r="J16" s="27">
        <f>H16+I16</f>
        <v>92050</v>
      </c>
      <c r="K16" s="191">
        <f>IF(H16&gt;0,H16/2,0)</f>
        <v>46025</v>
      </c>
      <c r="L16" s="191">
        <f>IF(I16&gt;0,I16/2,0)</f>
        <v>0</v>
      </c>
      <c r="M16" s="191">
        <f>IF(H16&gt;0,E16/2,0)</f>
        <v>131.5</v>
      </c>
      <c r="N16" s="191">
        <f>IF(I16&gt;0,E16/2,0)</f>
        <v>0</v>
      </c>
      <c r="O16" s="371">
        <v>43011</v>
      </c>
      <c r="P16" s="371">
        <v>43021</v>
      </c>
      <c r="Q16" s="22">
        <v>263</v>
      </c>
      <c r="R16" s="22">
        <v>350</v>
      </c>
      <c r="S16" s="22">
        <f>R16*Q16</f>
        <v>92050</v>
      </c>
      <c r="V16" s="22">
        <f>T16*U16</f>
        <v>0</v>
      </c>
      <c r="Y16" s="22">
        <f>W16*X16</f>
        <v>0</v>
      </c>
      <c r="AA16" s="22">
        <f>Z16*F16+Z16*G16</f>
        <v>0</v>
      </c>
      <c r="AB16" s="70">
        <f>S16+V16+Y16+AA16</f>
        <v>92050</v>
      </c>
      <c r="AC16" s="22">
        <f>J16-AB16</f>
        <v>0</v>
      </c>
    </row>
    <row r="17" spans="1:261" s="28" customFormat="1" ht="35.25" customHeight="1" outlineLevel="1" x14ac:dyDescent="0.3">
      <c r="A17" s="23" t="s">
        <v>23</v>
      </c>
      <c r="B17" s="24" t="s">
        <v>24</v>
      </c>
      <c r="C17" s="64" t="s">
        <v>55</v>
      </c>
      <c r="D17" s="25" t="s">
        <v>25</v>
      </c>
      <c r="E17" s="25">
        <f>173.7*0.2+75.36*0.2+(14.4+0.6+0.41+12.76+0.65*2+0.41*2+14.4+0.6+2*3+2*0.41+39.2+0.43+0.6+0.41+39.2+0.41+0.6+12.76+2*0.65+2*0.41)*0.41*0.2</f>
        <v>61.934880000000007</v>
      </c>
      <c r="F17" s="25">
        <v>450</v>
      </c>
      <c r="G17" s="27"/>
      <c r="H17" s="27">
        <f>F17*E17</f>
        <v>27870.696000000004</v>
      </c>
      <c r="I17" s="27"/>
      <c r="J17" s="27">
        <f>H17+I17</f>
        <v>27870.696000000004</v>
      </c>
      <c r="K17" s="191">
        <f t="shared" ref="K17:K37" si="1">IF(H17&gt;0,H17/2,0)</f>
        <v>13935.348000000002</v>
      </c>
      <c r="L17" s="191">
        <f t="shared" ref="L17:L37" si="2">IF(I17&gt;0,I17/2,0)</f>
        <v>0</v>
      </c>
      <c r="M17" s="191">
        <f t="shared" ref="M17:M18" si="3">IF(H17&gt;0,E17/2,0)</f>
        <v>30.967440000000003</v>
      </c>
      <c r="N17" s="191">
        <f t="shared" ref="N17:N18" si="4">IF(I17&gt;0,E17/2,0)</f>
        <v>0</v>
      </c>
      <c r="O17" s="372"/>
      <c r="P17" s="373"/>
      <c r="Q17" s="22">
        <v>58</v>
      </c>
      <c r="R17" s="22">
        <v>450</v>
      </c>
      <c r="S17" s="22">
        <f>R17*Q17</f>
        <v>26100</v>
      </c>
      <c r="T17" s="22"/>
      <c r="U17" s="22"/>
      <c r="V17" s="22">
        <f>T17*U17</f>
        <v>0</v>
      </c>
      <c r="W17" s="22"/>
      <c r="X17" s="22"/>
      <c r="Y17" s="22">
        <f>W17*X17</f>
        <v>0</v>
      </c>
      <c r="Z17" s="22"/>
      <c r="AA17" s="22">
        <f>Z17*F17+Z17*G17</f>
        <v>0</v>
      </c>
      <c r="AB17" s="70">
        <f>S17+V17+Y17+AA17</f>
        <v>26100</v>
      </c>
      <c r="AC17" s="22">
        <f>J17-AB17</f>
        <v>1770.6960000000036</v>
      </c>
    </row>
    <row r="18" spans="1:261" s="36" customFormat="1" outlineLevel="1" x14ac:dyDescent="0.3">
      <c r="A18" s="35"/>
      <c r="B18" s="41" t="s">
        <v>34</v>
      </c>
      <c r="C18" s="46"/>
      <c r="D18" s="42" t="s">
        <v>35</v>
      </c>
      <c r="E18" s="43">
        <f>2*10*8</f>
        <v>160</v>
      </c>
      <c r="F18" s="44">
        <v>1300</v>
      </c>
      <c r="G18" s="45"/>
      <c r="H18" s="27">
        <f>F18*E18</f>
        <v>208000</v>
      </c>
      <c r="I18" s="27"/>
      <c r="J18" s="27">
        <f>H18+I18</f>
        <v>208000</v>
      </c>
      <c r="K18" s="191">
        <f t="shared" si="1"/>
        <v>104000</v>
      </c>
      <c r="L18" s="191">
        <f t="shared" si="2"/>
        <v>0</v>
      </c>
      <c r="M18" s="191">
        <f t="shared" si="3"/>
        <v>80</v>
      </c>
      <c r="N18" s="191">
        <f t="shared" si="4"/>
        <v>0</v>
      </c>
      <c r="O18" s="372"/>
      <c r="P18" s="373"/>
      <c r="Q18" s="22"/>
      <c r="R18" s="22"/>
      <c r="S18" s="22">
        <f>R18*Q18</f>
        <v>0</v>
      </c>
      <c r="T18" s="22"/>
      <c r="U18" s="22"/>
      <c r="V18" s="22">
        <f>T18*U18</f>
        <v>0</v>
      </c>
      <c r="W18" s="22"/>
      <c r="X18" s="22"/>
      <c r="Y18" s="22">
        <f>W18*X18</f>
        <v>0</v>
      </c>
      <c r="Z18" s="22"/>
      <c r="AA18" s="22">
        <f>Z18*F18+Z18*G18</f>
        <v>0</v>
      </c>
      <c r="AB18" s="70">
        <f>S18+V18+Y18+AA18</f>
        <v>0</v>
      </c>
      <c r="AC18" s="22">
        <f>J18-AB18</f>
        <v>208000</v>
      </c>
    </row>
    <row r="19" spans="1:261" outlineLevel="1" x14ac:dyDescent="0.3">
      <c r="A19" s="29"/>
      <c r="B19" s="30" t="s">
        <v>26</v>
      </c>
      <c r="C19" s="64" t="s">
        <v>63</v>
      </c>
      <c r="D19" s="25" t="s">
        <v>25</v>
      </c>
      <c r="E19" s="26">
        <f>E17*1.1</f>
        <v>68.128368000000009</v>
      </c>
      <c r="F19" s="26"/>
      <c r="G19" s="27">
        <v>180</v>
      </c>
      <c r="H19" s="27"/>
      <c r="I19" s="27">
        <f>G19*E19</f>
        <v>12263.106240000001</v>
      </c>
      <c r="J19" s="27">
        <f>H19+I19</f>
        <v>12263.106240000001</v>
      </c>
      <c r="K19" s="191">
        <f t="shared" si="1"/>
        <v>0</v>
      </c>
      <c r="L19" s="191">
        <f t="shared" si="2"/>
        <v>6131.5531200000005</v>
      </c>
      <c r="M19" s="191">
        <f t="shared" ref="M19" si="5">IF(H19&gt;0,E19/2,0)</f>
        <v>0</v>
      </c>
      <c r="N19" s="191">
        <f t="shared" ref="N19" si="6">IF(I19&gt;0,E19/2,0)</f>
        <v>34.064184000000004</v>
      </c>
      <c r="O19" s="372"/>
      <c r="Q19" s="22"/>
      <c r="R19" s="22"/>
      <c r="S19" s="22">
        <f>R19*Q19</f>
        <v>0</v>
      </c>
      <c r="T19" s="22">
        <f>Q17*1.1</f>
        <v>63.800000000000004</v>
      </c>
      <c r="U19" s="74">
        <v>230</v>
      </c>
      <c r="V19" s="22">
        <f>T19*U19</f>
        <v>14674.000000000002</v>
      </c>
      <c r="W19" s="22"/>
      <c r="X19" s="22"/>
      <c r="Y19" s="22">
        <f>W19*X19</f>
        <v>0</v>
      </c>
      <c r="Z19" s="22"/>
      <c r="AA19" s="22">
        <f>Z19*F19+Z19*G19</f>
        <v>0</v>
      </c>
      <c r="AB19" s="70">
        <f>S19+V19+Y19+AA19</f>
        <v>14674.000000000002</v>
      </c>
      <c r="AC19" s="74">
        <f>J19-AB19</f>
        <v>-2410.8937600000008</v>
      </c>
    </row>
    <row r="20" spans="1:261" s="36" customFormat="1" outlineLevel="1" x14ac:dyDescent="0.3">
      <c r="A20" s="35"/>
      <c r="B20" s="47" t="s">
        <v>36</v>
      </c>
      <c r="C20" s="46"/>
      <c r="D20" s="42"/>
      <c r="E20" s="43"/>
      <c r="F20" s="44"/>
      <c r="G20" s="45"/>
      <c r="H20" s="47">
        <f>SUM(H16:H19)</f>
        <v>327920.696</v>
      </c>
      <c r="I20" s="182"/>
      <c r="J20" s="47">
        <f>H20</f>
        <v>327920.696</v>
      </c>
      <c r="K20" s="191"/>
      <c r="L20" s="191"/>
      <c r="M20" s="191"/>
      <c r="N20" s="191"/>
      <c r="O20" s="372"/>
      <c r="P20" s="373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70"/>
    </row>
    <row r="21" spans="1:261" s="36" customFormat="1" outlineLevel="1" x14ac:dyDescent="0.3">
      <c r="A21" s="35"/>
      <c r="B21" s="47" t="s">
        <v>37</v>
      </c>
      <c r="C21" s="46"/>
      <c r="D21" s="42"/>
      <c r="E21" s="43"/>
      <c r="F21" s="44"/>
      <c r="G21" s="45"/>
      <c r="H21" s="47"/>
      <c r="I21" s="47">
        <f>SUM(I16:I20)</f>
        <v>12263.106240000001</v>
      </c>
      <c r="J21" s="47">
        <f>I21</f>
        <v>12263.106240000001</v>
      </c>
      <c r="K21" s="191"/>
      <c r="L21" s="191"/>
      <c r="M21" s="191"/>
      <c r="N21" s="191"/>
      <c r="O21" s="372"/>
      <c r="P21" s="373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70"/>
    </row>
    <row r="22" spans="1:261" s="36" customFormat="1" outlineLevel="1" x14ac:dyDescent="0.3">
      <c r="A22" s="35"/>
      <c r="B22" s="192" t="s">
        <v>38</v>
      </c>
      <c r="C22" s="46"/>
      <c r="D22" s="42"/>
      <c r="E22" s="43"/>
      <c r="F22" s="44"/>
      <c r="G22" s="45"/>
      <c r="H22" s="47"/>
      <c r="I22" s="182"/>
      <c r="J22" s="47">
        <f>H22</f>
        <v>0</v>
      </c>
      <c r="K22" s="191"/>
      <c r="L22" s="191"/>
      <c r="M22" s="191"/>
      <c r="N22" s="191"/>
      <c r="O22" s="372"/>
      <c r="P22" s="373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70"/>
    </row>
    <row r="23" spans="1:261" s="36" customFormat="1" outlineLevel="1" x14ac:dyDescent="0.3">
      <c r="A23" s="35"/>
      <c r="B23" s="47" t="s">
        <v>39</v>
      </c>
      <c r="C23" s="46"/>
      <c r="D23" s="42"/>
      <c r="E23" s="43"/>
      <c r="F23" s="44"/>
      <c r="G23" s="45"/>
      <c r="H23" s="47"/>
      <c r="I23" s="182"/>
      <c r="J23" s="47">
        <f>H23</f>
        <v>0</v>
      </c>
      <c r="K23" s="191"/>
      <c r="L23" s="191"/>
      <c r="M23" s="191"/>
      <c r="N23" s="191"/>
      <c r="O23" s="372"/>
      <c r="P23" s="373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70"/>
    </row>
    <row r="24" spans="1:261" s="36" customFormat="1" ht="31.2" outlineLevel="1" x14ac:dyDescent="0.3">
      <c r="A24" s="35"/>
      <c r="B24" s="58" t="s">
        <v>137</v>
      </c>
      <c r="C24" s="46"/>
      <c r="D24" s="42"/>
      <c r="E24" s="43"/>
      <c r="F24" s="44"/>
      <c r="G24" s="45"/>
      <c r="H24" s="47">
        <f>H20</f>
        <v>327920.696</v>
      </c>
      <c r="I24" s="182">
        <f>I21</f>
        <v>12263.106240000001</v>
      </c>
      <c r="J24" s="47">
        <f>H24+I24</f>
        <v>340183.80223999999</v>
      </c>
      <c r="K24" s="191"/>
      <c r="L24" s="191"/>
      <c r="M24" s="191"/>
      <c r="N24" s="191"/>
      <c r="O24" s="372"/>
      <c r="P24" s="373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70"/>
    </row>
    <row r="25" spans="1:261" s="36" customFormat="1" outlineLevel="1" x14ac:dyDescent="0.3">
      <c r="A25" s="35"/>
      <c r="B25" s="58" t="s">
        <v>136</v>
      </c>
      <c r="C25" s="46"/>
      <c r="D25" s="42"/>
      <c r="E25" s="43"/>
      <c r="F25" s="44"/>
      <c r="G25" s="45"/>
      <c r="H25" s="47"/>
      <c r="I25" s="182"/>
      <c r="J25" s="47"/>
      <c r="K25" s="191"/>
      <c r="L25" s="191"/>
      <c r="M25" s="191"/>
      <c r="N25" s="191"/>
      <c r="O25" s="372"/>
      <c r="P25" s="373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70"/>
    </row>
    <row r="26" spans="1:261" s="22" customFormat="1" ht="15.6" customHeight="1" x14ac:dyDescent="0.3">
      <c r="A26" s="55" t="s">
        <v>133</v>
      </c>
      <c r="B26" s="52" t="s">
        <v>135</v>
      </c>
      <c r="C26" s="51"/>
      <c r="D26" s="51"/>
      <c r="E26" s="53"/>
      <c r="F26" s="53"/>
      <c r="G26" s="54"/>
      <c r="H26" s="54">
        <f>SUM(H16:H19)</f>
        <v>327920.696</v>
      </c>
      <c r="I26" s="54">
        <f>SUM(I16:I19)</f>
        <v>12263.106240000001</v>
      </c>
      <c r="J26" s="54">
        <f>SUM(J16:J19)</f>
        <v>340183.80223999999</v>
      </c>
      <c r="K26" s="204">
        <f t="shared" si="1"/>
        <v>163960.348</v>
      </c>
      <c r="L26" s="204">
        <f t="shared" si="2"/>
        <v>6131.5531200000005</v>
      </c>
      <c r="M26" s="204"/>
      <c r="N26" s="204"/>
      <c r="O26" s="374"/>
      <c r="P26" s="373"/>
      <c r="AB26" s="70"/>
    </row>
    <row r="27" spans="1:261" s="22" customFormat="1" ht="15.6" customHeight="1" x14ac:dyDescent="0.3">
      <c r="A27" s="55"/>
      <c r="B27" s="48" t="s">
        <v>40</v>
      </c>
      <c r="C27" s="64"/>
      <c r="D27" s="34"/>
      <c r="E27" s="25"/>
      <c r="F27" s="25"/>
      <c r="G27" s="38"/>
      <c r="H27" s="38"/>
      <c r="I27" s="38"/>
      <c r="J27" s="38">
        <f>ROUND(J26/1.18*0.18,2)</f>
        <v>51892.44</v>
      </c>
      <c r="K27" s="191"/>
      <c r="L27" s="191"/>
      <c r="M27" s="191"/>
      <c r="N27" s="191"/>
      <c r="O27" s="372"/>
      <c r="P27" s="215"/>
      <c r="AB27" s="70"/>
    </row>
    <row r="28" spans="1:261" ht="18.75" customHeight="1" x14ac:dyDescent="0.3">
      <c r="A28" s="18"/>
      <c r="B28" s="167" t="s">
        <v>42</v>
      </c>
      <c r="C28" s="78"/>
      <c r="D28" s="20"/>
      <c r="E28" s="20"/>
      <c r="F28" s="20"/>
      <c r="G28" s="19"/>
      <c r="H28" s="20"/>
      <c r="I28" s="20"/>
      <c r="J28" s="21"/>
      <c r="K28" s="191"/>
      <c r="L28" s="191"/>
      <c r="M28" s="191"/>
      <c r="N28" s="191"/>
      <c r="O28" s="372"/>
    </row>
    <row r="29" spans="1:261" s="31" customFormat="1" ht="31.2" outlineLevel="1" x14ac:dyDescent="0.25">
      <c r="A29" s="23" t="s">
        <v>43</v>
      </c>
      <c r="B29" s="59" t="s">
        <v>44</v>
      </c>
      <c r="C29" s="81"/>
      <c r="D29" s="166" t="s">
        <v>33</v>
      </c>
      <c r="E29" s="166">
        <v>252.19874999999996</v>
      </c>
      <c r="F29" s="40">
        <v>1200</v>
      </c>
      <c r="G29" s="60">
        <v>2900</v>
      </c>
      <c r="H29" s="26">
        <f>F29*E29</f>
        <v>302638.49999999994</v>
      </c>
      <c r="I29" s="26">
        <f>G29*E29</f>
        <v>731376.37499999988</v>
      </c>
      <c r="J29" s="56">
        <f>I29+H29</f>
        <v>1034014.8749999998</v>
      </c>
      <c r="K29" s="191">
        <f t="shared" si="1"/>
        <v>151319.24999999997</v>
      </c>
      <c r="L29" s="191">
        <f t="shared" si="2"/>
        <v>365688.18749999994</v>
      </c>
      <c r="M29" s="191">
        <f t="shared" ref="M29:M32" si="7">IF(H29&gt;0,E29/2,0)</f>
        <v>126.09937499999998</v>
      </c>
      <c r="N29" s="191">
        <f t="shared" ref="N29:N32" si="8">IF(I29&gt;0,E29/2,0)</f>
        <v>126.09937499999998</v>
      </c>
      <c r="O29" s="372"/>
      <c r="P29" s="215"/>
      <c r="S29" s="15"/>
      <c r="V29" s="15"/>
      <c r="Y29" s="15"/>
      <c r="AA29" s="15"/>
      <c r="AB29" s="69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</row>
    <row r="30" spans="1:261" s="31" customFormat="1" outlineLevel="1" x14ac:dyDescent="0.25">
      <c r="A30" s="55"/>
      <c r="B30" s="61" t="s">
        <v>45</v>
      </c>
      <c r="C30" s="82"/>
      <c r="D30" s="166" t="s">
        <v>33</v>
      </c>
      <c r="E30" s="166">
        <v>34.271999999999998</v>
      </c>
      <c r="F30" s="40">
        <v>1600</v>
      </c>
      <c r="G30" s="60">
        <v>4200</v>
      </c>
      <c r="H30" s="26">
        <f>F30*E30</f>
        <v>54835.199999999997</v>
      </c>
      <c r="I30" s="26">
        <f>G30*E30</f>
        <v>143942.39999999999</v>
      </c>
      <c r="J30" s="56">
        <f>I30+H30</f>
        <v>198777.59999999998</v>
      </c>
      <c r="K30" s="191">
        <f t="shared" si="1"/>
        <v>27417.599999999999</v>
      </c>
      <c r="L30" s="191">
        <f t="shared" si="2"/>
        <v>71971.199999999997</v>
      </c>
      <c r="M30" s="191">
        <f t="shared" si="7"/>
        <v>17.135999999999999</v>
      </c>
      <c r="N30" s="191">
        <f t="shared" si="8"/>
        <v>17.135999999999999</v>
      </c>
      <c r="O30" s="372"/>
      <c r="P30" s="2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9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</row>
    <row r="31" spans="1:261" s="31" customFormat="1" outlineLevel="1" x14ac:dyDescent="0.25">
      <c r="A31" s="23" t="s">
        <v>46</v>
      </c>
      <c r="B31" s="61" t="s">
        <v>47</v>
      </c>
      <c r="C31" s="82"/>
      <c r="D31" s="166" t="s">
        <v>41</v>
      </c>
      <c r="E31" s="39">
        <v>145.59</v>
      </c>
      <c r="F31" s="40">
        <v>150</v>
      </c>
      <c r="G31" s="60"/>
      <c r="H31" s="26">
        <f>F31*E31</f>
        <v>21838.5</v>
      </c>
      <c r="I31" s="26">
        <f>G31*E31</f>
        <v>0</v>
      </c>
      <c r="J31" s="56">
        <f>I31+H31</f>
        <v>21838.5</v>
      </c>
      <c r="K31" s="191">
        <f t="shared" si="1"/>
        <v>10919.25</v>
      </c>
      <c r="L31" s="191">
        <f t="shared" si="2"/>
        <v>0</v>
      </c>
      <c r="M31" s="191">
        <f t="shared" si="7"/>
        <v>72.795000000000002</v>
      </c>
      <c r="N31" s="191">
        <f t="shared" si="8"/>
        <v>0</v>
      </c>
      <c r="O31" s="372"/>
      <c r="P31" s="2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9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</row>
    <row r="32" spans="1:261" x14ac:dyDescent="0.3">
      <c r="A32" s="49" t="s">
        <v>133</v>
      </c>
      <c r="B32" s="50" t="s">
        <v>48</v>
      </c>
      <c r="C32" s="79"/>
      <c r="D32" s="51"/>
      <c r="E32" s="51"/>
      <c r="F32" s="51"/>
      <c r="G32" s="52"/>
      <c r="H32" s="51">
        <f>SUM(H29:H31)</f>
        <v>379312.19999999995</v>
      </c>
      <c r="I32" s="51">
        <f>SUM(I29:I31)</f>
        <v>875318.77499999991</v>
      </c>
      <c r="J32" s="51">
        <f>SUM(J29:J31)</f>
        <v>1254630.9749999996</v>
      </c>
      <c r="K32" s="204">
        <f t="shared" si="1"/>
        <v>189656.09999999998</v>
      </c>
      <c r="L32" s="204">
        <f t="shared" si="2"/>
        <v>437659.38749999995</v>
      </c>
      <c r="M32" s="191">
        <f t="shared" si="7"/>
        <v>0</v>
      </c>
      <c r="N32" s="191">
        <f t="shared" si="8"/>
        <v>0</v>
      </c>
      <c r="O32" s="374"/>
      <c r="P32" s="373"/>
      <c r="Q32" s="62"/>
      <c r="R32" s="62"/>
      <c r="T32" s="62"/>
      <c r="U32" s="62"/>
      <c r="W32" s="62"/>
      <c r="X32" s="62"/>
      <c r="Z32" s="62"/>
    </row>
    <row r="33" spans="1:28" ht="16.2" customHeight="1" x14ac:dyDescent="0.3">
      <c r="A33" s="55"/>
      <c r="B33" s="58" t="s">
        <v>40</v>
      </c>
      <c r="C33" s="80"/>
      <c r="D33" s="34"/>
      <c r="E33" s="25"/>
      <c r="F33" s="25"/>
      <c r="G33" s="38"/>
      <c r="H33" s="25"/>
      <c r="I33" s="25"/>
      <c r="J33" s="25">
        <f>ROUND(J32/1.18*0.18,2)</f>
        <v>191384.39</v>
      </c>
      <c r="K33" s="191"/>
      <c r="L33" s="191"/>
      <c r="M33" s="191"/>
      <c r="N33" s="191"/>
      <c r="O33" s="372"/>
    </row>
    <row r="34" spans="1:28" s="22" customFormat="1" ht="18.75" customHeight="1" x14ac:dyDescent="0.3">
      <c r="A34" s="63"/>
      <c r="B34" s="187" t="s">
        <v>95</v>
      </c>
      <c r="C34" s="78"/>
      <c r="D34" s="20"/>
      <c r="E34" s="20"/>
      <c r="F34" s="20"/>
      <c r="G34" s="19"/>
      <c r="H34" s="19"/>
      <c r="I34" s="19"/>
      <c r="J34" s="183"/>
      <c r="K34" s="191"/>
      <c r="L34" s="191"/>
      <c r="M34" s="191"/>
      <c r="N34" s="191"/>
      <c r="O34" s="372"/>
      <c r="P34" s="215"/>
      <c r="AB34" s="70"/>
    </row>
    <row r="35" spans="1:28" s="22" customFormat="1" ht="18.600000000000001" customHeight="1" x14ac:dyDescent="0.3">
      <c r="A35" s="29" t="s">
        <v>96</v>
      </c>
      <c r="B35" s="117" t="s">
        <v>49</v>
      </c>
      <c r="C35" s="80"/>
      <c r="D35" s="34"/>
      <c r="E35" s="25"/>
      <c r="F35" s="25"/>
      <c r="G35" s="38"/>
      <c r="H35" s="38">
        <f>(H16+H17)*0.08</f>
        <v>9593.6556799999998</v>
      </c>
      <c r="I35" s="38"/>
      <c r="J35" s="184">
        <f>H35</f>
        <v>9593.6556799999998</v>
      </c>
      <c r="K35" s="191">
        <f t="shared" si="1"/>
        <v>4796.8278399999999</v>
      </c>
      <c r="L35" s="191">
        <f t="shared" si="2"/>
        <v>0</v>
      </c>
      <c r="M35" s="191">
        <v>0.5</v>
      </c>
      <c r="N35" s="191">
        <f t="shared" ref="N35:N36" si="9">IF(I35&gt;0,E35/2,0)</f>
        <v>0</v>
      </c>
      <c r="O35" s="372"/>
      <c r="P35" s="215"/>
      <c r="AB35" s="70"/>
    </row>
    <row r="36" spans="1:28" s="22" customFormat="1" ht="18.600000000000001" customHeight="1" x14ac:dyDescent="0.3">
      <c r="A36" s="29" t="s">
        <v>97</v>
      </c>
      <c r="B36" s="117" t="s">
        <v>50</v>
      </c>
      <c r="C36" s="80"/>
      <c r="D36" s="34"/>
      <c r="E36" s="25"/>
      <c r="F36" s="25"/>
      <c r="G36" s="38"/>
      <c r="H36" s="38">
        <v>600000</v>
      </c>
      <c r="I36" s="38"/>
      <c r="J36" s="184">
        <f>H36</f>
        <v>600000</v>
      </c>
      <c r="K36" s="191">
        <f t="shared" si="1"/>
        <v>300000</v>
      </c>
      <c r="L36" s="191">
        <f t="shared" si="2"/>
        <v>0</v>
      </c>
      <c r="M36" s="191">
        <v>0.5</v>
      </c>
      <c r="N36" s="191">
        <f t="shared" si="9"/>
        <v>0</v>
      </c>
      <c r="O36" s="371">
        <v>43042</v>
      </c>
      <c r="P36" s="371">
        <v>43052</v>
      </c>
      <c r="AB36" s="70"/>
    </row>
    <row r="37" spans="1:28" s="172" customFormat="1" ht="26.4" customHeight="1" x14ac:dyDescent="0.3">
      <c r="A37" s="169" t="s">
        <v>133</v>
      </c>
      <c r="B37" s="170" t="s">
        <v>134</v>
      </c>
      <c r="C37" s="171"/>
      <c r="D37" s="171"/>
      <c r="E37" s="171"/>
      <c r="F37" s="171"/>
      <c r="G37" s="170"/>
      <c r="H37" s="170">
        <f>SUM(H35:H36)</f>
        <v>609593.65567999997</v>
      </c>
      <c r="I37" s="170"/>
      <c r="J37" s="170">
        <f>H37</f>
        <v>609593.65567999997</v>
      </c>
      <c r="K37" s="204">
        <f t="shared" si="1"/>
        <v>304796.82783999998</v>
      </c>
      <c r="L37" s="204">
        <f>SUM(L35:L36)</f>
        <v>0</v>
      </c>
      <c r="M37" s="204"/>
      <c r="N37" s="204"/>
      <c r="O37" s="374"/>
      <c r="P37" s="215"/>
      <c r="Q37" s="172">
        <f>90*4000+1150000</f>
        <v>1510000</v>
      </c>
      <c r="S37" s="172">
        <f>Q37-J37</f>
        <v>900406.34432000003</v>
      </c>
      <c r="Z37" s="172">
        <f>90*4000+1150000</f>
        <v>1510000</v>
      </c>
      <c r="AA37" s="172">
        <f>Z37-W37</f>
        <v>1510000</v>
      </c>
      <c r="AB37" s="173"/>
    </row>
    <row r="38" spans="1:28" s="172" customFormat="1" x14ac:dyDescent="0.3">
      <c r="A38" s="169"/>
      <c r="B38" s="174" t="s">
        <v>40</v>
      </c>
      <c r="C38" s="175"/>
      <c r="D38" s="176"/>
      <c r="E38" s="171"/>
      <c r="F38" s="171"/>
      <c r="G38" s="170"/>
      <c r="H38" s="170"/>
      <c r="I38" s="170"/>
      <c r="J38" s="170">
        <f>ROUND(J37/1.18*0.18,2)</f>
        <v>92988.86</v>
      </c>
      <c r="K38" s="191"/>
      <c r="L38" s="191"/>
      <c r="M38" s="191"/>
      <c r="N38" s="191"/>
      <c r="O38" s="372"/>
      <c r="P38" s="215"/>
      <c r="AB38" s="173"/>
    </row>
    <row r="39" spans="1:28" ht="17.399999999999999" x14ac:dyDescent="0.3">
      <c r="A39" s="177" t="s">
        <v>133</v>
      </c>
      <c r="B39" s="65" t="s">
        <v>51</v>
      </c>
      <c r="D39" s="168"/>
      <c r="E39" s="168"/>
      <c r="F39" s="168"/>
      <c r="H39" s="185">
        <f>SUMIF($A$15:$A37,$A39,H$15:H37)</f>
        <v>1316826.55168</v>
      </c>
      <c r="I39" s="185">
        <f>SUMIF($A$15:$A37,$A39,I$15:I37)</f>
        <v>887581.8812399999</v>
      </c>
      <c r="J39" s="186">
        <f>H39+I39</f>
        <v>2204408.4329200001</v>
      </c>
      <c r="K39" s="185">
        <f>SUMIF($A$15:$A37,$A39,K$15:K37)</f>
        <v>658413.27584000002</v>
      </c>
      <c r="L39" s="185">
        <f>SUMIF($A$15:$A37,$A39,L$15:L37)</f>
        <v>443790.94061999995</v>
      </c>
      <c r="M39" s="185"/>
      <c r="N39" s="185"/>
      <c r="O39" s="375"/>
    </row>
    <row r="40" spans="1:28" x14ac:dyDescent="0.3">
      <c r="B40" s="66" t="s">
        <v>52</v>
      </c>
      <c r="D40" s="168"/>
      <c r="E40" s="168"/>
      <c r="F40" s="168"/>
      <c r="H40" s="62"/>
      <c r="I40" s="62"/>
      <c r="J40" s="66">
        <f>J39/1.18*18/100</f>
        <v>336265.69315728813</v>
      </c>
      <c r="K40" s="188"/>
      <c r="L40" s="188"/>
      <c r="M40" s="188"/>
      <c r="N40" s="188"/>
      <c r="O40" s="376"/>
    </row>
  </sheetData>
  <mergeCells count="20">
    <mergeCell ref="A13:A14"/>
    <mergeCell ref="B13:B14"/>
    <mergeCell ref="D13:D14"/>
    <mergeCell ref="E13:E14"/>
    <mergeCell ref="F13:G13"/>
    <mergeCell ref="B7:I7"/>
    <mergeCell ref="B8:I8"/>
    <mergeCell ref="H9:I9"/>
    <mergeCell ref="A10:B10"/>
    <mergeCell ref="G10:I10"/>
    <mergeCell ref="J13:J14"/>
    <mergeCell ref="B15:F15"/>
    <mergeCell ref="H13:I13"/>
    <mergeCell ref="AC13:AC14"/>
    <mergeCell ref="Q13:S13"/>
    <mergeCell ref="T13:V13"/>
    <mergeCell ref="W13:Y13"/>
    <mergeCell ref="K13:L13"/>
    <mergeCell ref="M13:N13"/>
    <mergeCell ref="O13:P1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topLeftCell="A8" workbookViewId="0">
      <selection activeCell="C13" sqref="C13"/>
    </sheetView>
  </sheetViews>
  <sheetFormatPr defaultRowHeight="14.4" outlineLevelRow="1" x14ac:dyDescent="0.3"/>
  <cols>
    <col min="2" max="2" width="29.109375" customWidth="1"/>
    <col min="3" max="3" width="18.109375" customWidth="1"/>
    <col min="6" max="6" width="15.44140625" customWidth="1"/>
    <col min="7" max="7" width="19.33203125" customWidth="1"/>
    <col min="8" max="8" width="18.33203125" customWidth="1"/>
    <col min="9" max="9" width="14.44140625" customWidth="1"/>
    <col min="10" max="10" width="15.6640625" customWidth="1"/>
    <col min="11" max="11" width="12.77734375" style="122" customWidth="1"/>
  </cols>
  <sheetData>
    <row r="1" spans="1:256" s="15" customFormat="1" ht="25.5" customHeight="1" x14ac:dyDescent="0.3">
      <c r="A1" s="321" t="s">
        <v>9</v>
      </c>
      <c r="B1" s="308" t="s">
        <v>10</v>
      </c>
      <c r="C1" s="114"/>
      <c r="D1" s="308" t="s">
        <v>11</v>
      </c>
      <c r="E1" s="308" t="s">
        <v>12</v>
      </c>
      <c r="F1" s="308" t="s">
        <v>13</v>
      </c>
      <c r="G1" s="308"/>
      <c r="H1" s="308" t="s">
        <v>14</v>
      </c>
      <c r="I1" s="308"/>
      <c r="J1" s="308" t="s">
        <v>15</v>
      </c>
      <c r="K1" s="121" t="str">
        <f>X1</f>
        <v>Остаток по смете</v>
      </c>
      <c r="L1" s="311" t="s">
        <v>53</v>
      </c>
      <c r="M1" s="311"/>
      <c r="N1" s="311"/>
      <c r="O1" s="311" t="s">
        <v>57</v>
      </c>
      <c r="P1" s="311"/>
      <c r="Q1" s="311"/>
      <c r="R1" s="311" t="s">
        <v>58</v>
      </c>
      <c r="S1" s="311"/>
      <c r="T1" s="311"/>
      <c r="U1" s="67" t="s">
        <v>59</v>
      </c>
      <c r="V1" s="67"/>
      <c r="W1" s="72"/>
      <c r="X1" s="310" t="s">
        <v>60</v>
      </c>
      <c r="Y1" s="67"/>
      <c r="Z1" s="67"/>
      <c r="AA1" s="67"/>
      <c r="AB1" s="67"/>
      <c r="AC1" s="67"/>
      <c r="AD1" s="67"/>
      <c r="AE1" s="67"/>
      <c r="AF1" s="67"/>
      <c r="AG1" s="67"/>
    </row>
    <row r="2" spans="1:256" s="15" customFormat="1" ht="46.8" x14ac:dyDescent="0.3">
      <c r="A2" s="321"/>
      <c r="B2" s="308"/>
      <c r="C2" s="114" t="s">
        <v>54</v>
      </c>
      <c r="D2" s="308"/>
      <c r="E2" s="308"/>
      <c r="F2" s="114" t="s">
        <v>16</v>
      </c>
      <c r="G2" s="17" t="s">
        <v>17</v>
      </c>
      <c r="H2" s="114" t="s">
        <v>16</v>
      </c>
      <c r="I2" s="114" t="s">
        <v>18</v>
      </c>
      <c r="J2" s="308"/>
      <c r="K2" s="121"/>
      <c r="L2" s="115" t="s">
        <v>56</v>
      </c>
      <c r="M2" s="115" t="s">
        <v>61</v>
      </c>
      <c r="N2" s="115" t="s">
        <v>62</v>
      </c>
      <c r="O2" s="115" t="s">
        <v>56</v>
      </c>
      <c r="P2" s="115" t="s">
        <v>61</v>
      </c>
      <c r="Q2" s="115" t="s">
        <v>62</v>
      </c>
      <c r="R2" s="115" t="s">
        <v>56</v>
      </c>
      <c r="S2" s="115" t="s">
        <v>61</v>
      </c>
      <c r="T2" s="115" t="s">
        <v>62</v>
      </c>
      <c r="U2" s="115" t="s">
        <v>56</v>
      </c>
      <c r="V2" s="67"/>
      <c r="W2" s="72"/>
      <c r="X2" s="310"/>
      <c r="Y2" s="67"/>
      <c r="Z2" s="67"/>
      <c r="AA2" s="67"/>
      <c r="AB2" s="67"/>
      <c r="AC2" s="67"/>
      <c r="AD2" s="67"/>
      <c r="AE2" s="67"/>
      <c r="AF2" s="67"/>
      <c r="AG2" s="67"/>
    </row>
    <row r="3" spans="1:256" s="31" customFormat="1" ht="22.2" customHeight="1" outlineLevel="1" x14ac:dyDescent="0.25">
      <c r="A3" s="23" t="s">
        <v>27</v>
      </c>
      <c r="B3" s="24" t="s">
        <v>28</v>
      </c>
      <c r="C3" s="64" t="s">
        <v>55</v>
      </c>
      <c r="D3" s="25" t="s">
        <v>25</v>
      </c>
      <c r="E3" s="118">
        <f>25+67</f>
        <v>92</v>
      </c>
      <c r="F3" s="25">
        <f>2500</f>
        <v>2500</v>
      </c>
      <c r="G3" s="27"/>
      <c r="H3" s="26">
        <f>F3*E3</f>
        <v>230000</v>
      </c>
      <c r="I3" s="26">
        <f>G3*E3</f>
        <v>0</v>
      </c>
      <c r="J3" s="27">
        <f>H3+I3</f>
        <v>230000</v>
      </c>
      <c r="K3" s="121">
        <v>20</v>
      </c>
      <c r="L3" s="22"/>
      <c r="M3" s="22"/>
      <c r="N3" s="22">
        <f>M3*L3</f>
        <v>0</v>
      </c>
      <c r="O3" s="22"/>
      <c r="P3" s="22"/>
      <c r="Q3" s="22">
        <f>O3*P3</f>
        <v>0</v>
      </c>
      <c r="R3" s="22">
        <v>92</v>
      </c>
      <c r="S3" s="22">
        <v>2500</v>
      </c>
      <c r="T3" s="22">
        <f>R3*S3</f>
        <v>230000</v>
      </c>
      <c r="U3" s="22"/>
      <c r="V3" s="22">
        <f>U3*F3+U3*G3</f>
        <v>0</v>
      </c>
      <c r="W3" s="70">
        <f>N3+Q3+T3+V3</f>
        <v>230000</v>
      </c>
      <c r="X3" s="22">
        <f>J3-W3</f>
        <v>0</v>
      </c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</row>
    <row r="4" spans="1:256" s="31" customFormat="1" ht="31.2" outlineLevel="1" x14ac:dyDescent="0.25">
      <c r="A4" s="32"/>
      <c r="B4" s="27" t="s">
        <v>29</v>
      </c>
      <c r="C4" s="25" t="s">
        <v>64</v>
      </c>
      <c r="D4" s="26" t="s">
        <v>25</v>
      </c>
      <c r="E4" s="119">
        <f>E3*1.015</f>
        <v>93.38</v>
      </c>
      <c r="F4" s="26"/>
      <c r="G4" s="27">
        <v>4600</v>
      </c>
      <c r="H4" s="26">
        <f>F4*E4</f>
        <v>0</v>
      </c>
      <c r="I4" s="26">
        <f>G4*E4</f>
        <v>429548</v>
      </c>
      <c r="J4" s="27">
        <f>H4+I4</f>
        <v>429548</v>
      </c>
      <c r="K4" s="121">
        <f>$K$3/$E$3*E4</f>
        <v>20.299999999999997</v>
      </c>
      <c r="L4" s="22"/>
      <c r="M4" s="22"/>
      <c r="N4" s="22">
        <f>M4*L4</f>
        <v>0</v>
      </c>
      <c r="O4" s="22"/>
      <c r="P4" s="22"/>
      <c r="Q4" s="22">
        <f>O4*P4</f>
        <v>0</v>
      </c>
      <c r="R4" s="22">
        <f>R3/E3*E4</f>
        <v>93.38</v>
      </c>
      <c r="S4" s="22">
        <v>4600</v>
      </c>
      <c r="T4" s="22">
        <f>R4*S4</f>
        <v>429548</v>
      </c>
      <c r="U4" s="22"/>
      <c r="V4" s="22">
        <f>U4*F4+U4*G4</f>
        <v>0</v>
      </c>
      <c r="W4" s="70">
        <f>N4+Q4+T4+V4</f>
        <v>429548</v>
      </c>
      <c r="X4" s="22">
        <f>J4-W4</f>
        <v>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</row>
    <row r="5" spans="1:256" s="22" customFormat="1" ht="20.25" customHeight="1" outlineLevel="1" x14ac:dyDescent="0.3">
      <c r="A5" s="29"/>
      <c r="B5" s="30" t="s">
        <v>30</v>
      </c>
      <c r="C5" s="64" t="s">
        <v>65</v>
      </c>
      <c r="D5" s="26" t="s">
        <v>31</v>
      </c>
      <c r="E5" s="120">
        <v>3.9480330000000015</v>
      </c>
      <c r="F5" s="26"/>
      <c r="G5" s="27">
        <v>35000</v>
      </c>
      <c r="H5" s="26">
        <f>F5*E5</f>
        <v>0</v>
      </c>
      <c r="I5" s="26">
        <f>G5*E5</f>
        <v>138181.15500000006</v>
      </c>
      <c r="J5" s="27">
        <f>H5+I5</f>
        <v>138181.15500000006</v>
      </c>
      <c r="K5" s="121">
        <f>$K$3/$E$3*E5</f>
        <v>0.85826804347826113</v>
      </c>
      <c r="N5" s="22">
        <f>M5*L5</f>
        <v>0</v>
      </c>
      <c r="Q5" s="22">
        <f>O5*P5</f>
        <v>0</v>
      </c>
      <c r="R5" s="22">
        <f>R3/E3*E5</f>
        <v>3.9480330000000015</v>
      </c>
      <c r="S5" s="22">
        <v>35000</v>
      </c>
      <c r="T5" s="22">
        <f>R5*S5</f>
        <v>138181.15500000006</v>
      </c>
      <c r="V5" s="22">
        <f>U5*F5+U5*G5</f>
        <v>0</v>
      </c>
      <c r="W5" s="70">
        <f>N5+Q5+T5+V5</f>
        <v>138181.15500000006</v>
      </c>
      <c r="X5" s="22">
        <f>J5-W5</f>
        <v>0</v>
      </c>
    </row>
    <row r="6" spans="1:256" s="15" customFormat="1" ht="15.6" outlineLevel="1" x14ac:dyDescent="0.3">
      <c r="A6" s="32"/>
      <c r="B6" s="27" t="s">
        <v>32</v>
      </c>
      <c r="C6" s="25"/>
      <c r="D6" s="26" t="s">
        <v>25</v>
      </c>
      <c r="E6" s="119">
        <v>1</v>
      </c>
      <c r="F6" s="26"/>
      <c r="G6" s="27">
        <v>7500</v>
      </c>
      <c r="H6" s="26">
        <f>F6*E6</f>
        <v>0</v>
      </c>
      <c r="I6" s="26">
        <f>G6*E6</f>
        <v>7500</v>
      </c>
      <c r="J6" s="27">
        <f>H6+I6</f>
        <v>7500</v>
      </c>
      <c r="K6" s="121">
        <f>$K$3/$E$3*E6</f>
        <v>0.21739130434782608</v>
      </c>
      <c r="L6" s="22"/>
      <c r="M6" s="22"/>
      <c r="N6" s="22">
        <f>M6*L6</f>
        <v>0</v>
      </c>
      <c r="O6" s="22"/>
      <c r="P6" s="22"/>
      <c r="Q6" s="22">
        <f>O6*P6</f>
        <v>0</v>
      </c>
      <c r="R6" s="22">
        <v>1</v>
      </c>
      <c r="S6" s="75">
        <v>7000</v>
      </c>
      <c r="T6" s="22">
        <f>R6*S6</f>
        <v>7000</v>
      </c>
      <c r="U6" s="22"/>
      <c r="V6" s="22">
        <f>U6*F6+U6*G6</f>
        <v>0</v>
      </c>
      <c r="W6" s="70">
        <f>N6+Q6+T6+V6</f>
        <v>7000</v>
      </c>
      <c r="X6" s="75">
        <f>J6-W6</f>
        <v>500</v>
      </c>
    </row>
    <row r="9" spans="1:256" x14ac:dyDescent="0.3">
      <c r="B9" s="163" t="s">
        <v>102</v>
      </c>
      <c r="I9">
        <v>92</v>
      </c>
      <c r="J9">
        <v>100</v>
      </c>
    </row>
    <row r="10" spans="1:256" ht="15.6" x14ac:dyDescent="0.3">
      <c r="A10" s="23" t="s">
        <v>27</v>
      </c>
      <c r="B10" s="24" t="s">
        <v>28</v>
      </c>
      <c r="I10">
        <v>20</v>
      </c>
      <c r="J10" t="s">
        <v>108</v>
      </c>
    </row>
    <row r="11" spans="1:256" x14ac:dyDescent="0.3">
      <c r="A11" s="123"/>
      <c r="B11" s="124" t="s">
        <v>106</v>
      </c>
    </row>
    <row r="12" spans="1:256" ht="15" thickBot="1" x14ac:dyDescent="0.35">
      <c r="B12" s="164" t="s">
        <v>103</v>
      </c>
      <c r="F12" t="s">
        <v>109</v>
      </c>
      <c r="G12" s="125" t="s">
        <v>110</v>
      </c>
      <c r="H12" s="125" t="s">
        <v>107</v>
      </c>
      <c r="I12" s="125" t="s">
        <v>111</v>
      </c>
    </row>
    <row r="13" spans="1:256" x14ac:dyDescent="0.3">
      <c r="A13" s="126"/>
      <c r="B13" s="161" t="s">
        <v>104</v>
      </c>
      <c r="C13" s="165" t="s">
        <v>105</v>
      </c>
      <c r="D13" s="127"/>
      <c r="E13" s="127"/>
      <c r="F13" s="127"/>
      <c r="G13" s="127"/>
      <c r="H13" s="127"/>
      <c r="I13" s="127"/>
      <c r="J13" s="128"/>
    </row>
    <row r="14" spans="1:256" x14ac:dyDescent="0.3">
      <c r="A14" s="129"/>
      <c r="B14" s="130"/>
      <c r="C14" s="131"/>
      <c r="D14" s="132" t="s">
        <v>25</v>
      </c>
      <c r="E14" s="131"/>
      <c r="F14" s="133">
        <f>K3</f>
        <v>20</v>
      </c>
      <c r="G14" s="134">
        <f>E3</f>
        <v>92</v>
      </c>
      <c r="H14" s="135">
        <f>G14-F14</f>
        <v>72</v>
      </c>
      <c r="I14" s="136">
        <v>30</v>
      </c>
      <c r="J14" s="137"/>
    </row>
    <row r="15" spans="1:256" x14ac:dyDescent="0.3">
      <c r="A15" s="129"/>
      <c r="B15" s="158" t="s">
        <v>112</v>
      </c>
      <c r="C15" s="159" t="s">
        <v>113</v>
      </c>
      <c r="D15" s="132"/>
      <c r="E15" s="131"/>
      <c r="F15" s="131"/>
      <c r="G15" s="138" t="s">
        <v>114</v>
      </c>
      <c r="H15" s="131"/>
      <c r="I15" s="131"/>
      <c r="J15" s="137"/>
    </row>
    <row r="16" spans="1:256" x14ac:dyDescent="0.3">
      <c r="A16" s="129"/>
      <c r="B16" s="131"/>
      <c r="C16" s="131"/>
      <c r="D16" s="131"/>
      <c r="E16" s="131"/>
      <c r="F16" s="131"/>
      <c r="G16" s="131"/>
      <c r="H16" s="131"/>
      <c r="I16" s="131"/>
      <c r="J16" s="137"/>
    </row>
    <row r="17" spans="1:10" ht="31.2" x14ac:dyDescent="0.3">
      <c r="A17" s="150"/>
      <c r="B17" s="151" t="s">
        <v>29</v>
      </c>
      <c r="C17" s="152"/>
      <c r="D17" s="152"/>
      <c r="E17" s="152"/>
      <c r="F17" s="152"/>
      <c r="G17" s="153" t="s">
        <v>114</v>
      </c>
      <c r="H17" s="154">
        <f>E4</f>
        <v>93.38</v>
      </c>
      <c r="I17" s="152">
        <f>$I$14/$E$3*E4</f>
        <v>30.45</v>
      </c>
      <c r="J17" s="155">
        <f>ROUND(I17,2)</f>
        <v>30.45</v>
      </c>
    </row>
    <row r="18" spans="1:10" x14ac:dyDescent="0.3">
      <c r="A18" s="150"/>
      <c r="B18" s="156" t="str">
        <f>B5</f>
        <v>Каркасы арматурные, закладные детали</v>
      </c>
      <c r="C18" s="152"/>
      <c r="D18" s="152"/>
      <c r="E18" s="152"/>
      <c r="F18" s="157" t="s">
        <v>117</v>
      </c>
      <c r="G18" s="153" t="s">
        <v>115</v>
      </c>
      <c r="H18" s="154">
        <f>E5</f>
        <v>3.9480330000000015</v>
      </c>
      <c r="I18" s="152">
        <f>$I$14/$E$3*E5</f>
        <v>1.2874020652173919</v>
      </c>
      <c r="J18" s="155">
        <f>ROUND(I18,2)</f>
        <v>1.29</v>
      </c>
    </row>
    <row r="19" spans="1:10" x14ac:dyDescent="0.3">
      <c r="A19" s="150"/>
      <c r="B19" s="156" t="str">
        <f>B6</f>
        <v>Пиломатериал</v>
      </c>
      <c r="C19" s="152"/>
      <c r="D19" s="152"/>
      <c r="E19" s="152"/>
      <c r="F19" s="152"/>
      <c r="G19" s="153" t="s">
        <v>116</v>
      </c>
      <c r="H19" s="154">
        <f>E6</f>
        <v>1</v>
      </c>
      <c r="I19" s="152">
        <f>$I$14/$E$3*E6</f>
        <v>0.32608695652173914</v>
      </c>
      <c r="J19" s="155">
        <f>ROUND(I19,2)</f>
        <v>0.33</v>
      </c>
    </row>
    <row r="20" spans="1:10" x14ac:dyDescent="0.3">
      <c r="A20" s="129"/>
      <c r="B20" s="131"/>
      <c r="C20" s="131"/>
      <c r="D20" s="131"/>
      <c r="E20" s="131"/>
      <c r="F20" s="131"/>
      <c r="G20" s="131"/>
      <c r="H20" s="131"/>
      <c r="I20" s="131"/>
      <c r="J20" s="137"/>
    </row>
    <row r="21" spans="1:10" x14ac:dyDescent="0.3">
      <c r="A21" s="129"/>
      <c r="B21" s="131"/>
      <c r="C21" s="131"/>
      <c r="D21" s="131"/>
      <c r="E21" s="131"/>
      <c r="F21" s="131"/>
      <c r="G21" s="131"/>
      <c r="H21" s="131"/>
      <c r="I21" s="131" t="s">
        <v>118</v>
      </c>
      <c r="J21" s="137"/>
    </row>
    <row r="22" spans="1:10" ht="15" thickBot="1" x14ac:dyDescent="0.35">
      <c r="A22" s="139"/>
      <c r="B22" s="140"/>
      <c r="C22" s="140"/>
      <c r="D22" s="140"/>
      <c r="E22" s="140"/>
      <c r="F22" s="140"/>
      <c r="G22" s="140"/>
      <c r="H22" s="140"/>
      <c r="I22" s="140" t="s">
        <v>119</v>
      </c>
      <c r="J22" s="141"/>
    </row>
    <row r="23" spans="1:10" x14ac:dyDescent="0.3">
      <c r="A23" s="126"/>
      <c r="B23" s="161" t="s">
        <v>120</v>
      </c>
      <c r="C23" s="160" t="s">
        <v>122</v>
      </c>
      <c r="D23" s="127"/>
      <c r="E23" s="127"/>
      <c r="F23" s="127"/>
      <c r="G23" s="127" t="s">
        <v>128</v>
      </c>
      <c r="H23" s="127"/>
      <c r="I23" s="142" t="s">
        <v>12</v>
      </c>
      <c r="J23" s="128"/>
    </row>
    <row r="24" spans="1:10" x14ac:dyDescent="0.3">
      <c r="A24" s="129"/>
      <c r="B24" s="130" t="s">
        <v>126</v>
      </c>
      <c r="C24" s="143" t="s">
        <v>121</v>
      </c>
      <c r="D24" s="131"/>
      <c r="E24" s="131"/>
      <c r="F24" s="131"/>
      <c r="G24" s="131"/>
      <c r="H24" s="138" t="s">
        <v>123</v>
      </c>
      <c r="I24" s="144">
        <f>E3-K3</f>
        <v>72</v>
      </c>
      <c r="J24" s="137"/>
    </row>
    <row r="25" spans="1:10" x14ac:dyDescent="0.3">
      <c r="A25" s="129"/>
      <c r="B25" s="130" t="s">
        <v>111</v>
      </c>
      <c r="C25" s="145">
        <v>1</v>
      </c>
      <c r="D25" s="131"/>
      <c r="E25" s="131"/>
      <c r="F25" s="131"/>
      <c r="G25" s="131"/>
      <c r="H25" s="138" t="s">
        <v>123</v>
      </c>
      <c r="I25" s="144">
        <f>E3-K3</f>
        <v>72</v>
      </c>
      <c r="J25" s="137"/>
    </row>
    <row r="26" spans="1:10" ht="15" thickBot="1" x14ac:dyDescent="0.35">
      <c r="A26" s="139"/>
      <c r="B26" s="146" t="s">
        <v>111</v>
      </c>
      <c r="C26" s="147">
        <v>40</v>
      </c>
      <c r="D26" s="140" t="s">
        <v>129</v>
      </c>
      <c r="E26" s="140" t="s">
        <v>124</v>
      </c>
      <c r="F26" s="148" t="s">
        <v>125</v>
      </c>
      <c r="G26" s="140">
        <f>ROUND((E3-K3)*100/E3,2)</f>
        <v>78.260000000000005</v>
      </c>
      <c r="H26" s="148" t="s">
        <v>127</v>
      </c>
      <c r="I26" s="149">
        <f>C26*E3/100</f>
        <v>36.799999999999997</v>
      </c>
      <c r="J26" s="141"/>
    </row>
    <row r="27" spans="1:10" x14ac:dyDescent="0.3">
      <c r="C27" s="162" t="s">
        <v>130</v>
      </c>
    </row>
  </sheetData>
  <mergeCells count="11">
    <mergeCell ref="J1:J2"/>
    <mergeCell ref="L1:N1"/>
    <mergeCell ref="O1:Q1"/>
    <mergeCell ref="R1:T1"/>
    <mergeCell ref="X1:X2"/>
    <mergeCell ref="H1:I1"/>
    <mergeCell ref="A1:A2"/>
    <mergeCell ref="B1:B2"/>
    <mergeCell ref="D1:D2"/>
    <mergeCell ref="E1:E2"/>
    <mergeCell ref="F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workbookViewId="0">
      <selection activeCell="N7" sqref="N7"/>
    </sheetView>
  </sheetViews>
  <sheetFormatPr defaultRowHeight="14.4" x14ac:dyDescent="0.3"/>
  <cols>
    <col min="1" max="1" width="4.109375" style="199" customWidth="1"/>
    <col min="2" max="2" width="7.5546875" style="208" customWidth="1"/>
    <col min="3" max="3" width="41.5546875" style="199" customWidth="1"/>
    <col min="4" max="4" width="9.77734375" style="199" customWidth="1"/>
    <col min="5" max="5" width="9.109375" style="209" customWidth="1"/>
    <col min="6" max="6" width="11.44140625" style="199" customWidth="1"/>
    <col min="7" max="7" width="11.21875" style="199" customWidth="1"/>
    <col min="8" max="8" width="13.5546875" style="199" customWidth="1"/>
    <col min="9" max="9" width="12.21875" style="199" customWidth="1"/>
    <col min="10" max="10" width="6.21875" style="208" customWidth="1"/>
    <col min="11" max="16384" width="8.88671875" style="199"/>
  </cols>
  <sheetData>
    <row r="1" spans="1:12" s="266" customFormat="1" ht="18" x14ac:dyDescent="0.35">
      <c r="B1" s="267"/>
      <c r="D1" s="269" t="s">
        <v>195</v>
      </c>
      <c r="E1" s="268"/>
      <c r="I1" s="334">
        <v>42940</v>
      </c>
      <c r="J1" s="334"/>
    </row>
    <row r="2" spans="1:12" s="262" customFormat="1" ht="16.2" thickBot="1" x14ac:dyDescent="0.35">
      <c r="B2" s="263"/>
      <c r="E2" s="264"/>
      <c r="I2" s="265"/>
      <c r="J2" s="263"/>
    </row>
    <row r="3" spans="1:12" s="262" customFormat="1" ht="15.6" x14ac:dyDescent="0.3">
      <c r="B3" s="263"/>
      <c r="C3" s="270" t="s">
        <v>196</v>
      </c>
      <c r="D3" s="335" t="s">
        <v>209</v>
      </c>
      <c r="E3" s="336"/>
      <c r="F3" s="336"/>
      <c r="G3" s="336"/>
      <c r="H3" s="336"/>
      <c r="I3" s="336"/>
      <c r="J3" s="337"/>
    </row>
    <row r="4" spans="1:12" s="262" customFormat="1" ht="15.6" x14ac:dyDescent="0.3">
      <c r="B4" s="263"/>
      <c r="C4" s="270" t="s">
        <v>193</v>
      </c>
      <c r="D4" s="338" t="s">
        <v>197</v>
      </c>
      <c r="E4" s="339"/>
      <c r="F4" s="339"/>
      <c r="G4" s="339"/>
      <c r="H4" s="339"/>
      <c r="I4" s="339"/>
      <c r="J4" s="340"/>
    </row>
    <row r="5" spans="1:12" s="262" customFormat="1" ht="15.6" x14ac:dyDescent="0.3">
      <c r="B5" s="263"/>
      <c r="C5" s="270" t="s">
        <v>192</v>
      </c>
      <c r="D5" s="338" t="s">
        <v>199</v>
      </c>
      <c r="E5" s="339"/>
      <c r="F5" s="339"/>
      <c r="G5" s="339"/>
      <c r="H5" s="339"/>
      <c r="I5" s="339"/>
      <c r="J5" s="340"/>
    </row>
    <row r="6" spans="1:12" s="262" customFormat="1" ht="16.2" thickBot="1" x14ac:dyDescent="0.35">
      <c r="B6" s="263"/>
      <c r="C6" s="270" t="s">
        <v>188</v>
      </c>
      <c r="D6" s="341" t="s">
        <v>198</v>
      </c>
      <c r="E6" s="342"/>
      <c r="F6" s="342"/>
      <c r="G6" s="342"/>
      <c r="H6" s="342"/>
      <c r="I6" s="342"/>
      <c r="J6" s="343"/>
    </row>
    <row r="7" spans="1:12" ht="15" thickBot="1" x14ac:dyDescent="0.35"/>
    <row r="8" spans="1:12" s="213" customFormat="1" ht="9" customHeight="1" thickBot="1" x14ac:dyDescent="0.35">
      <c r="A8" s="210">
        <v>1</v>
      </c>
      <c r="B8" s="211">
        <f>A8+1</f>
        <v>2</v>
      </c>
      <c r="C8" s="211">
        <f t="shared" ref="C8:H8" si="0">B8+1</f>
        <v>3</v>
      </c>
      <c r="D8" s="211">
        <f t="shared" si="0"/>
        <v>4</v>
      </c>
      <c r="E8" s="211">
        <f t="shared" si="0"/>
        <v>5</v>
      </c>
      <c r="F8" s="211">
        <f t="shared" si="0"/>
        <v>6</v>
      </c>
      <c r="G8" s="212">
        <f t="shared" si="0"/>
        <v>7</v>
      </c>
      <c r="H8" s="210">
        <f t="shared" si="0"/>
        <v>8</v>
      </c>
      <c r="I8" s="254">
        <v>9</v>
      </c>
      <c r="J8" s="255">
        <v>10</v>
      </c>
    </row>
    <row r="9" spans="1:12" s="215" customFormat="1" ht="25.5" customHeight="1" x14ac:dyDescent="0.3">
      <c r="A9" s="326" t="s">
        <v>9</v>
      </c>
      <c r="B9" s="348" t="s">
        <v>194</v>
      </c>
      <c r="C9" s="328" t="s">
        <v>10</v>
      </c>
      <c r="D9" s="328" t="s">
        <v>11</v>
      </c>
      <c r="E9" s="328" t="s">
        <v>12</v>
      </c>
      <c r="F9" s="328" t="s">
        <v>13</v>
      </c>
      <c r="G9" s="330"/>
      <c r="H9" s="350" t="s">
        <v>14</v>
      </c>
      <c r="I9" s="351"/>
      <c r="J9" s="346" t="s">
        <v>189</v>
      </c>
      <c r="K9" s="214"/>
      <c r="L9" s="214"/>
    </row>
    <row r="10" spans="1:12" s="215" customFormat="1" ht="31.2" customHeight="1" thickBot="1" x14ac:dyDescent="0.35">
      <c r="A10" s="327"/>
      <c r="B10" s="349"/>
      <c r="C10" s="329"/>
      <c r="D10" s="329"/>
      <c r="E10" s="329"/>
      <c r="F10" s="216" t="s">
        <v>16</v>
      </c>
      <c r="G10" s="217" t="s">
        <v>17</v>
      </c>
      <c r="H10" s="218" t="s">
        <v>16</v>
      </c>
      <c r="I10" s="219" t="s">
        <v>18</v>
      </c>
      <c r="J10" s="347"/>
      <c r="K10" s="214"/>
      <c r="L10" s="214"/>
    </row>
    <row r="11" spans="1:12" s="228" customFormat="1" ht="31.2" x14ac:dyDescent="0.3">
      <c r="A11" s="220">
        <v>1</v>
      </c>
      <c r="B11" s="221" t="s">
        <v>23</v>
      </c>
      <c r="C11" s="222" t="s">
        <v>24</v>
      </c>
      <c r="D11" s="223" t="s">
        <v>25</v>
      </c>
      <c r="E11" s="224">
        <v>5</v>
      </c>
      <c r="F11" s="224">
        <v>450</v>
      </c>
      <c r="G11" s="225"/>
      <c r="H11" s="226">
        <f>F11*E11</f>
        <v>2250</v>
      </c>
      <c r="I11" s="227"/>
      <c r="J11" s="256"/>
    </row>
    <row r="12" spans="1:12" s="228" customFormat="1" ht="15.6" x14ac:dyDescent="0.3">
      <c r="A12" s="229">
        <v>2</v>
      </c>
      <c r="B12" s="230"/>
      <c r="C12" s="231" t="s">
        <v>26</v>
      </c>
      <c r="D12" s="232" t="s">
        <v>25</v>
      </c>
      <c r="E12" s="233">
        <v>20</v>
      </c>
      <c r="F12" s="233"/>
      <c r="G12" s="234">
        <v>180</v>
      </c>
      <c r="H12" s="235"/>
      <c r="I12" s="236">
        <f>G12*E12</f>
        <v>3600</v>
      </c>
      <c r="J12" s="257" t="s">
        <v>190</v>
      </c>
    </row>
    <row r="13" spans="1:12" s="228" customFormat="1" ht="32.4" customHeight="1" x14ac:dyDescent="0.3">
      <c r="A13" s="229"/>
      <c r="B13" s="230" t="s">
        <v>190</v>
      </c>
      <c r="C13" s="344" t="s">
        <v>191</v>
      </c>
      <c r="D13" s="344"/>
      <c r="E13" s="344"/>
      <c r="F13" s="344"/>
      <c r="G13" s="345"/>
      <c r="H13" s="229"/>
      <c r="I13" s="237"/>
      <c r="J13" s="257"/>
    </row>
    <row r="14" spans="1:12" s="228" customFormat="1" ht="30" customHeight="1" x14ac:dyDescent="0.3">
      <c r="A14" s="247">
        <v>3</v>
      </c>
      <c r="B14" s="248" t="s">
        <v>23</v>
      </c>
      <c r="C14" s="249" t="s">
        <v>34</v>
      </c>
      <c r="D14" s="250" t="s">
        <v>35</v>
      </c>
      <c r="E14" s="251">
        <v>50</v>
      </c>
      <c r="F14" s="252">
        <v>1300</v>
      </c>
      <c r="G14" s="253"/>
      <c r="H14" s="243">
        <f>F14*E14</f>
        <v>65000</v>
      </c>
      <c r="I14" s="244"/>
      <c r="J14" s="258"/>
    </row>
    <row r="15" spans="1:12" ht="16.2" thickBot="1" x14ac:dyDescent="0.35">
      <c r="A15" s="331" t="s">
        <v>207</v>
      </c>
      <c r="B15" s="332"/>
      <c r="C15" s="332"/>
      <c r="D15" s="332"/>
      <c r="E15" s="332"/>
      <c r="F15" s="332"/>
      <c r="G15" s="333"/>
      <c r="H15" s="260">
        <f>SUM(H11:H14)</f>
        <v>67250</v>
      </c>
      <c r="I15" s="261">
        <f>SUM(I11:I14)</f>
        <v>3600</v>
      </c>
      <c r="J15" s="259"/>
    </row>
    <row r="16" spans="1:12" ht="15.6" x14ac:dyDescent="0.3">
      <c r="G16" s="209" t="s">
        <v>206</v>
      </c>
      <c r="I16" s="246">
        <f>H15+I15</f>
        <v>70850</v>
      </c>
    </row>
    <row r="17" spans="3:10" ht="16.2" thickBot="1" x14ac:dyDescent="0.35">
      <c r="G17" s="209" t="s">
        <v>208</v>
      </c>
      <c r="I17" s="245">
        <f>ROUND(I16/1.18*0.18,2)</f>
        <v>10807.63</v>
      </c>
    </row>
    <row r="18" spans="3:10" x14ac:dyDescent="0.3">
      <c r="C18" s="240" t="s">
        <v>201</v>
      </c>
    </row>
    <row r="19" spans="3:10" x14ac:dyDescent="0.3">
      <c r="C19" s="199" t="s">
        <v>202</v>
      </c>
      <c r="D19" s="322"/>
      <c r="E19" s="322"/>
      <c r="F19" s="322"/>
    </row>
    <row r="20" spans="3:10" x14ac:dyDescent="0.3">
      <c r="C20" s="238" t="s">
        <v>210</v>
      </c>
      <c r="D20" s="323"/>
      <c r="E20" s="324"/>
      <c r="F20" s="325"/>
    </row>
    <row r="21" spans="3:10" ht="28.8" x14ac:dyDescent="0.3">
      <c r="C21" s="238" t="s">
        <v>203</v>
      </c>
      <c r="D21" s="323"/>
      <c r="E21" s="324"/>
      <c r="F21" s="325"/>
    </row>
    <row r="23" spans="3:10" x14ac:dyDescent="0.3">
      <c r="E23" s="271" t="s">
        <v>54</v>
      </c>
      <c r="H23" s="241" t="s">
        <v>200</v>
      </c>
      <c r="I23" s="241"/>
      <c r="J23" s="242"/>
    </row>
    <row r="24" spans="3:10" x14ac:dyDescent="0.3">
      <c r="E24" s="271"/>
    </row>
    <row r="25" spans="3:10" x14ac:dyDescent="0.3">
      <c r="E25" s="271" t="s">
        <v>204</v>
      </c>
      <c r="H25" s="241"/>
      <c r="I25" s="241"/>
      <c r="J25" s="242"/>
    </row>
    <row r="26" spans="3:10" x14ac:dyDescent="0.3">
      <c r="E26" s="271"/>
    </row>
    <row r="27" spans="3:10" x14ac:dyDescent="0.3">
      <c r="E27" s="271" t="s">
        <v>205</v>
      </c>
      <c r="H27" s="241"/>
      <c r="I27" s="241"/>
      <c r="J27" s="242"/>
    </row>
  </sheetData>
  <mergeCells count="18">
    <mergeCell ref="J9:J10"/>
    <mergeCell ref="B9:B10"/>
    <mergeCell ref="H9:I9"/>
    <mergeCell ref="I1:J1"/>
    <mergeCell ref="D3:J3"/>
    <mergeCell ref="D4:J4"/>
    <mergeCell ref="D5:J5"/>
    <mergeCell ref="D6:J6"/>
    <mergeCell ref="D19:F19"/>
    <mergeCell ref="D21:F21"/>
    <mergeCell ref="D20:F20"/>
    <mergeCell ref="A9:A10"/>
    <mergeCell ref="C9:C10"/>
    <mergeCell ref="D9:D10"/>
    <mergeCell ref="E9:E10"/>
    <mergeCell ref="F9:G9"/>
    <mergeCell ref="A15:G15"/>
    <mergeCell ref="C13:G13"/>
  </mergeCells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H8" sqref="H8"/>
    </sheetView>
  </sheetViews>
  <sheetFormatPr defaultColWidth="9.109375" defaultRowHeight="14.4" x14ac:dyDescent="0.3"/>
  <cols>
    <col min="1" max="1" width="10.44140625" style="87" customWidth="1"/>
    <col min="2" max="2" width="55.44140625" style="87" customWidth="1"/>
    <col min="3" max="3" width="20.33203125" style="87" hidden="1" customWidth="1"/>
    <col min="4" max="4" width="17.6640625" style="87" hidden="1" customWidth="1"/>
    <col min="5" max="5" width="16.44140625" style="87" hidden="1" customWidth="1"/>
    <col min="6" max="6" width="17.6640625" style="87" hidden="1" customWidth="1"/>
    <col min="7" max="7" width="16.6640625" style="87" hidden="1" customWidth="1"/>
    <col min="8" max="8" width="16.88671875" style="87" customWidth="1"/>
    <col min="9" max="9" width="15.44140625" style="87" customWidth="1"/>
    <col min="10" max="10" width="10.88671875" style="87" customWidth="1"/>
    <col min="11" max="11" width="10.44140625" style="87" customWidth="1"/>
    <col min="12" max="12" width="10.33203125" style="87" customWidth="1"/>
    <col min="13" max="14" width="11" style="87" customWidth="1"/>
    <col min="15" max="15" width="11.6640625" style="87" customWidth="1"/>
    <col min="16" max="16" width="10.88671875" style="87" customWidth="1"/>
    <col min="17" max="17" width="10.44140625" style="87" customWidth="1"/>
    <col min="18" max="16384" width="9.109375" style="87"/>
  </cols>
  <sheetData>
    <row r="1" spans="1:17" ht="15.6" x14ac:dyDescent="0.3">
      <c r="A1" s="84"/>
      <c r="B1" s="85"/>
      <c r="C1" s="86"/>
      <c r="D1"/>
      <c r="E1"/>
      <c r="F1"/>
    </row>
    <row r="2" spans="1:17" ht="15.6" x14ac:dyDescent="0.3">
      <c r="A2" s="85"/>
      <c r="B2" s="111" t="s">
        <v>90</v>
      </c>
      <c r="C2" s="88" t="s">
        <v>66</v>
      </c>
      <c r="D2" s="89" t="s">
        <v>67</v>
      </c>
      <c r="E2" s="89" t="s">
        <v>68</v>
      </c>
      <c r="F2" s="89" t="s">
        <v>69</v>
      </c>
      <c r="G2" s="90" t="s">
        <v>70</v>
      </c>
      <c r="H2" s="89" t="s">
        <v>91</v>
      </c>
      <c r="I2" s="89" t="s">
        <v>92</v>
      </c>
      <c r="J2" s="110">
        <v>42741</v>
      </c>
      <c r="K2" s="110">
        <v>42742</v>
      </c>
      <c r="L2" s="110">
        <v>42743</v>
      </c>
      <c r="M2" s="110">
        <v>42744</v>
      </c>
      <c r="N2" s="110">
        <v>42745</v>
      </c>
      <c r="O2" s="110">
        <v>42746</v>
      </c>
      <c r="P2" s="110">
        <v>42747</v>
      </c>
      <c r="Q2" s="110">
        <v>42748</v>
      </c>
    </row>
    <row r="3" spans="1:17" ht="15.6" x14ac:dyDescent="0.3">
      <c r="A3" s="85"/>
      <c r="B3" s="91" t="s">
        <v>71</v>
      </c>
      <c r="C3" s="92">
        <v>585</v>
      </c>
      <c r="D3" s="92">
        <v>1175.7</v>
      </c>
      <c r="E3" s="92">
        <v>606.90000000000009</v>
      </c>
      <c r="F3" s="92">
        <v>1145.5999999999999</v>
      </c>
      <c r="G3" s="93">
        <f>SUM(C3:F3)</f>
        <v>3513.2000000000003</v>
      </c>
      <c r="H3" s="94">
        <f>'[1]41'!C10</f>
        <v>1637.9</v>
      </c>
      <c r="I3" s="94"/>
      <c r="J3" s="99"/>
      <c r="K3" s="99"/>
      <c r="L3" s="99"/>
      <c r="M3" s="99"/>
      <c r="N3" s="99"/>
      <c r="O3" s="99"/>
      <c r="P3" s="99"/>
      <c r="Q3" s="99"/>
    </row>
    <row r="4" spans="1:17" ht="15.6" x14ac:dyDescent="0.3">
      <c r="A4" s="85"/>
      <c r="B4" s="91" t="s">
        <v>72</v>
      </c>
      <c r="C4" s="95">
        <v>18</v>
      </c>
      <c r="D4" s="92">
        <v>30</v>
      </c>
      <c r="E4" s="92">
        <v>12</v>
      </c>
      <c r="F4" s="92">
        <v>30</v>
      </c>
      <c r="G4" s="93">
        <f>SUM(C4:F4)</f>
        <v>90</v>
      </c>
      <c r="H4" s="92">
        <v>39</v>
      </c>
      <c r="I4" s="92"/>
      <c r="J4" s="99"/>
      <c r="K4" s="99"/>
      <c r="L4" s="99"/>
      <c r="M4" s="99"/>
      <c r="N4" s="99"/>
      <c r="O4" s="99"/>
      <c r="P4" s="99"/>
      <c r="Q4" s="99"/>
    </row>
    <row r="5" spans="1:17" ht="15.6" x14ac:dyDescent="0.3">
      <c r="A5" s="96" t="s">
        <v>73</v>
      </c>
      <c r="B5" s="96" t="s">
        <v>74</v>
      </c>
      <c r="C5" s="97"/>
      <c r="D5" s="98"/>
      <c r="E5" s="98"/>
      <c r="F5" s="98"/>
      <c r="H5" s="99"/>
      <c r="I5" s="99"/>
      <c r="J5" s="99"/>
      <c r="K5" s="99"/>
      <c r="L5" s="99"/>
      <c r="M5" s="99"/>
      <c r="N5" s="99"/>
      <c r="O5" s="99"/>
      <c r="P5" s="99"/>
      <c r="Q5" s="99"/>
    </row>
    <row r="6" spans="1:17" ht="15.6" x14ac:dyDescent="0.3">
      <c r="A6" s="100">
        <v>1</v>
      </c>
      <c r="B6" s="101" t="s">
        <v>75</v>
      </c>
      <c r="C6" s="97"/>
      <c r="D6" s="102"/>
      <c r="E6" s="98"/>
      <c r="F6" s="98"/>
      <c r="H6" s="99"/>
      <c r="I6" s="99"/>
      <c r="J6" s="99"/>
      <c r="K6" s="99"/>
      <c r="L6" s="99"/>
      <c r="M6" s="99"/>
      <c r="N6" s="99"/>
      <c r="O6" s="99"/>
      <c r="P6" s="99"/>
      <c r="Q6" s="99"/>
    </row>
    <row r="7" spans="1:17" ht="15.6" x14ac:dyDescent="0.3">
      <c r="A7" s="100">
        <v>2</v>
      </c>
      <c r="B7" s="101" t="s">
        <v>76</v>
      </c>
      <c r="C7" s="103" t="e">
        <f>#REF!</f>
        <v>#REF!</v>
      </c>
      <c r="D7" s="103" t="e">
        <f>#REF!</f>
        <v>#REF!</v>
      </c>
      <c r="E7" s="103" t="e">
        <f>#REF!</f>
        <v>#REF!</v>
      </c>
      <c r="F7" s="103" t="e">
        <f>#REF!</f>
        <v>#REF!</v>
      </c>
      <c r="G7" s="93" t="e">
        <f>SUM(C7:F7)</f>
        <v>#REF!</v>
      </c>
      <c r="H7" s="94">
        <f>'[1]41'!I51</f>
        <v>2272050.0960000004</v>
      </c>
      <c r="I7" s="94"/>
      <c r="J7" s="99"/>
      <c r="K7" s="99"/>
      <c r="L7" s="99"/>
      <c r="M7" s="99"/>
      <c r="N7" s="99"/>
      <c r="O7" s="99"/>
      <c r="P7" s="99"/>
      <c r="Q7" s="99"/>
    </row>
    <row r="8" spans="1:17" ht="15.6" x14ac:dyDescent="0.3">
      <c r="A8" s="100">
        <v>3</v>
      </c>
      <c r="B8" s="101" t="s">
        <v>77</v>
      </c>
      <c r="C8" s="103" t="e">
        <f>#REF!</f>
        <v>#REF!</v>
      </c>
      <c r="D8" s="103" t="e">
        <f>#REF!</f>
        <v>#REF!</v>
      </c>
      <c r="E8" s="103" t="e">
        <f>#REF!</f>
        <v>#REF!</v>
      </c>
      <c r="F8" s="103" t="e">
        <f>#REF!</f>
        <v>#REF!</v>
      </c>
      <c r="G8" s="93" t="e">
        <f t="shared" ref="G8:G15" si="0">SUM(C8:F8)</f>
        <v>#REF!</v>
      </c>
      <c r="H8" s="94">
        <f>'[1]41'!I112</f>
        <v>1379811.5135000001</v>
      </c>
      <c r="I8" s="94"/>
      <c r="J8" s="99" t="e">
        <f>Себестоимость!#REF!</f>
        <v>#REF!</v>
      </c>
      <c r="K8" s="99" t="e">
        <f>Себестоимость!#REF!</f>
        <v>#REF!</v>
      </c>
      <c r="L8" s="99"/>
      <c r="M8" s="99"/>
      <c r="N8" s="99"/>
      <c r="O8" s="99"/>
      <c r="P8" s="99"/>
      <c r="Q8" s="99"/>
    </row>
    <row r="9" spans="1:17" ht="15.6" x14ac:dyDescent="0.3">
      <c r="A9" s="100">
        <v>4</v>
      </c>
      <c r="B9" s="101" t="s">
        <v>78</v>
      </c>
      <c r="C9" s="103" t="e">
        <f>#REF!+#REF!+#REF!+#REF!</f>
        <v>#REF!</v>
      </c>
      <c r="D9" s="103" t="e">
        <f>#REF!+#REF!+#REF!+#REF!</f>
        <v>#REF!</v>
      </c>
      <c r="E9" s="103" t="e">
        <f>#REF!+#REF!+#REF!+#REF!</f>
        <v>#REF!</v>
      </c>
      <c r="F9" s="103" t="e">
        <f>#REF!+#REF!+#REF!+#REF!</f>
        <v>#REF!</v>
      </c>
      <c r="G9" s="93" t="e">
        <f t="shared" si="0"/>
        <v>#REF!</v>
      </c>
      <c r="H9" s="94">
        <f>'[1]41'!I179+'[1]41'!I205+'[1]41'!I229+'[1]41'!I296</f>
        <v>14283222.00547</v>
      </c>
      <c r="I9" s="94"/>
      <c r="J9" s="99"/>
      <c r="K9" s="99"/>
      <c r="L9" s="99"/>
      <c r="M9" s="99"/>
      <c r="N9" s="99"/>
      <c r="O9" s="99"/>
      <c r="P9" s="99"/>
      <c r="Q9" s="99"/>
    </row>
    <row r="10" spans="1:17" ht="15.6" x14ac:dyDescent="0.3">
      <c r="A10" s="100">
        <v>5</v>
      </c>
      <c r="B10" s="101" t="s">
        <v>79</v>
      </c>
      <c r="C10" s="103" t="e">
        <f>#REF!</f>
        <v>#REF!</v>
      </c>
      <c r="D10" s="103" t="e">
        <f>#REF!</f>
        <v>#REF!</v>
      </c>
      <c r="E10" s="103" t="e">
        <f>#REF!</f>
        <v>#REF!</v>
      </c>
      <c r="F10" s="103" t="e">
        <f>#REF!</f>
        <v>#REF!</v>
      </c>
      <c r="G10" s="93" t="e">
        <f t="shared" si="0"/>
        <v>#REF!</v>
      </c>
      <c r="H10" s="94">
        <f>'[1]41'!I356</f>
        <v>2430284.0283336006</v>
      </c>
      <c r="I10" s="94"/>
      <c r="J10" s="99"/>
      <c r="K10" s="99"/>
      <c r="L10" s="99"/>
      <c r="M10" s="99"/>
      <c r="N10" s="99"/>
      <c r="O10" s="99"/>
      <c r="P10" s="99"/>
      <c r="Q10" s="99"/>
    </row>
    <row r="11" spans="1:17" ht="15.6" x14ac:dyDescent="0.3">
      <c r="A11" s="100">
        <v>6</v>
      </c>
      <c r="B11" s="104" t="s">
        <v>80</v>
      </c>
      <c r="C11" s="103" t="e">
        <f>#REF!</f>
        <v>#REF!</v>
      </c>
      <c r="D11" s="103" t="e">
        <f>#REF!</f>
        <v>#REF!</v>
      </c>
      <c r="E11" s="103" t="e">
        <f>#REF!</f>
        <v>#REF!</v>
      </c>
      <c r="F11" s="103" t="e">
        <f>#REF!</f>
        <v>#REF!</v>
      </c>
      <c r="G11" s="93" t="e">
        <f t="shared" si="0"/>
        <v>#REF!</v>
      </c>
      <c r="H11" s="94">
        <f>'[1]41'!I362</f>
        <v>1443270.16</v>
      </c>
      <c r="I11" s="94"/>
      <c r="J11" s="99"/>
      <c r="K11" s="99"/>
      <c r="L11" s="99"/>
      <c r="M11" s="99"/>
      <c r="N11" s="99"/>
      <c r="O11" s="99"/>
      <c r="P11" s="99"/>
      <c r="Q11" s="99"/>
    </row>
    <row r="12" spans="1:17" ht="15.6" x14ac:dyDescent="0.3">
      <c r="A12" s="100">
        <v>7</v>
      </c>
      <c r="B12" s="101" t="s">
        <v>81</v>
      </c>
      <c r="C12" s="103" t="e">
        <f>#REF!</f>
        <v>#REF!</v>
      </c>
      <c r="D12" s="103" t="e">
        <f>#REF!</f>
        <v>#REF!</v>
      </c>
      <c r="E12" s="103" t="e">
        <f>#REF!</f>
        <v>#REF!</v>
      </c>
      <c r="F12" s="103" t="e">
        <f>#REF!</f>
        <v>#REF!</v>
      </c>
      <c r="G12" s="93" t="e">
        <f t="shared" si="0"/>
        <v>#REF!</v>
      </c>
      <c r="H12" s="94">
        <f>'[1]41'!I380</f>
        <v>342236</v>
      </c>
      <c r="I12" s="94"/>
      <c r="J12" s="99"/>
      <c r="K12" s="99"/>
      <c r="L12" s="99"/>
      <c r="M12" s="99"/>
      <c r="N12" s="99"/>
      <c r="O12" s="99"/>
      <c r="P12" s="99"/>
      <c r="Q12" s="99"/>
    </row>
    <row r="13" spans="1:17" ht="15.6" x14ac:dyDescent="0.3">
      <c r="A13" s="100">
        <v>8</v>
      </c>
      <c r="B13" s="101" t="s">
        <v>82</v>
      </c>
      <c r="C13" s="103" t="e">
        <f>#REF!+#REF!+#REF!</f>
        <v>#REF!</v>
      </c>
      <c r="D13" s="103" t="e">
        <f>#REF!+#REF!+#REF!</f>
        <v>#REF!</v>
      </c>
      <c r="E13" s="103" t="e">
        <f>#REF!+#REF!+#REF!</f>
        <v>#REF!</v>
      </c>
      <c r="F13" s="103" t="e">
        <f>#REF!+#REF!+#REF!</f>
        <v>#REF!</v>
      </c>
      <c r="G13" s="93" t="e">
        <f t="shared" si="0"/>
        <v>#REF!</v>
      </c>
      <c r="H13" s="94">
        <f>'[1]41'!I415+'[1]41'!I442+'[1]41'!I460</f>
        <v>2931761.3370000008</v>
      </c>
      <c r="I13" s="94"/>
      <c r="J13" s="99"/>
      <c r="K13" s="99"/>
      <c r="L13" s="99"/>
      <c r="M13" s="99"/>
      <c r="N13" s="99"/>
      <c r="O13" s="99"/>
      <c r="P13" s="99"/>
      <c r="Q13" s="99"/>
    </row>
    <row r="14" spans="1:17" ht="15.6" x14ac:dyDescent="0.3">
      <c r="A14" s="100">
        <v>9</v>
      </c>
      <c r="B14" s="101" t="s">
        <v>83</v>
      </c>
      <c r="C14" s="103" t="e">
        <f>#REF!</f>
        <v>#REF!</v>
      </c>
      <c r="D14" s="103" t="e">
        <f>#REF!</f>
        <v>#REF!</v>
      </c>
      <c r="E14" s="103" t="e">
        <f>#REF!</f>
        <v>#REF!</v>
      </c>
      <c r="F14" s="103" t="e">
        <f>#REF!</f>
        <v>#REF!</v>
      </c>
      <c r="G14" s="93" t="e">
        <f t="shared" si="0"/>
        <v>#REF!</v>
      </c>
      <c r="H14" s="94">
        <f>'[1]41'!I387</f>
        <v>1960957.2100000002</v>
      </c>
      <c r="I14" s="94"/>
      <c r="J14" s="99"/>
      <c r="K14" s="99"/>
      <c r="L14" s="99"/>
      <c r="M14" s="99"/>
      <c r="N14" s="99"/>
      <c r="O14" s="99"/>
      <c r="P14" s="99"/>
      <c r="Q14" s="99"/>
    </row>
    <row r="15" spans="1:17" ht="15.6" x14ac:dyDescent="0.3">
      <c r="A15" s="100">
        <v>10</v>
      </c>
      <c r="B15" s="101" t="s">
        <v>84</v>
      </c>
      <c r="C15" s="103" t="e">
        <f>#REF!</f>
        <v>#REF!</v>
      </c>
      <c r="D15" s="103" t="e">
        <f>#REF!</f>
        <v>#REF!</v>
      </c>
      <c r="E15" s="103" t="e">
        <f>#REF!</f>
        <v>#REF!</v>
      </c>
      <c r="F15" s="103" t="e">
        <f>#REF!</f>
        <v>#REF!</v>
      </c>
      <c r="G15" s="93" t="e">
        <f t="shared" si="0"/>
        <v>#REF!</v>
      </c>
      <c r="H15" s="94">
        <f>'[1]41'!I471</f>
        <v>92127.74</v>
      </c>
      <c r="I15" s="94"/>
      <c r="J15" s="99"/>
      <c r="K15" s="99"/>
      <c r="L15" s="99"/>
      <c r="M15" s="99"/>
      <c r="N15" s="99"/>
      <c r="O15" s="99"/>
      <c r="P15" s="99"/>
      <c r="Q15" s="99"/>
    </row>
    <row r="16" spans="1:17" ht="15.6" x14ac:dyDescent="0.3">
      <c r="A16" s="100">
        <v>11</v>
      </c>
      <c r="B16" s="101" t="s">
        <v>85</v>
      </c>
      <c r="C16" s="102"/>
      <c r="D16" s="102"/>
      <c r="E16" s="98"/>
      <c r="F16" s="102"/>
      <c r="H16" s="105">
        <f>'[1]41'!I779</f>
        <v>1050000</v>
      </c>
      <c r="I16" s="105"/>
      <c r="J16" s="99"/>
      <c r="K16" s="99"/>
      <c r="L16" s="99"/>
      <c r="M16" s="99"/>
      <c r="N16" s="99"/>
      <c r="O16" s="99"/>
      <c r="P16" s="99"/>
      <c r="Q16" s="99"/>
    </row>
    <row r="17" spans="1:17" ht="15.6" x14ac:dyDescent="0.3">
      <c r="A17" s="100">
        <v>12</v>
      </c>
      <c r="B17" s="101" t="s">
        <v>86</v>
      </c>
      <c r="C17" s="102"/>
      <c r="D17" s="102"/>
      <c r="E17" s="98"/>
      <c r="F17" s="102"/>
      <c r="H17" s="105">
        <f>'[1]41'!I742</f>
        <v>1105000</v>
      </c>
      <c r="I17" s="105"/>
      <c r="J17" s="99"/>
      <c r="K17" s="99"/>
      <c r="L17" s="99"/>
      <c r="M17" s="99"/>
      <c r="N17" s="99"/>
      <c r="O17" s="99"/>
      <c r="P17" s="99"/>
      <c r="Q17" s="99"/>
    </row>
    <row r="18" spans="1:17" ht="15.6" x14ac:dyDescent="0.3">
      <c r="A18" s="100">
        <v>13</v>
      </c>
      <c r="B18" s="106" t="s">
        <v>87</v>
      </c>
      <c r="C18" s="102"/>
      <c r="D18" s="102"/>
      <c r="E18" s="98"/>
      <c r="F18" s="98"/>
      <c r="H18" s="105">
        <f>'[1]41'!I622+'[1]41'!I593</f>
        <v>3044666.666666667</v>
      </c>
      <c r="I18" s="105"/>
      <c r="J18" s="99"/>
      <c r="K18" s="99"/>
      <c r="L18" s="99"/>
      <c r="M18" s="99"/>
      <c r="N18" s="99"/>
      <c r="O18" s="99"/>
      <c r="P18" s="99"/>
      <c r="Q18" s="99"/>
    </row>
    <row r="19" spans="1:17" ht="15.6" x14ac:dyDescent="0.3">
      <c r="A19" s="100">
        <v>14</v>
      </c>
      <c r="B19" s="101" t="s">
        <v>88</v>
      </c>
      <c r="C19" s="97"/>
      <c r="D19" s="102"/>
      <c r="E19" s="98"/>
      <c r="F19" s="98"/>
      <c r="H19" s="105">
        <f>'[1]41'!I572</f>
        <v>1727000</v>
      </c>
      <c r="I19" s="105"/>
      <c r="J19" s="99"/>
      <c r="K19" s="99"/>
      <c r="L19" s="99"/>
      <c r="M19" s="99"/>
      <c r="N19" s="99"/>
      <c r="O19" s="99"/>
      <c r="P19" s="99"/>
      <c r="Q19" s="99"/>
    </row>
    <row r="20" spans="1:17" ht="15.6" x14ac:dyDescent="0.3">
      <c r="A20" s="101"/>
      <c r="B20" s="107" t="s">
        <v>89</v>
      </c>
      <c r="C20" s="108" t="e">
        <f>SUM(C6:C19)</f>
        <v>#REF!</v>
      </c>
      <c r="D20" s="108" t="e">
        <f>SUM(D6:D19)</f>
        <v>#REF!</v>
      </c>
      <c r="E20" s="108" t="e">
        <f>SUM(E6:E19)</f>
        <v>#REF!</v>
      </c>
      <c r="F20" s="108" t="e">
        <f>SUM(F6:F19)</f>
        <v>#REF!</v>
      </c>
      <c r="G20" s="109" t="e">
        <f>SUM(C20:F20)</f>
        <v>#REF!</v>
      </c>
      <c r="H20" s="94">
        <f>'[1]41'!I781</f>
        <v>34062386.756970271</v>
      </c>
      <c r="I20" s="94" t="e">
        <f>SUM(J20:Q20)</f>
        <v>#REF!</v>
      </c>
      <c r="J20" s="99" t="e">
        <f>SUM(J5:J19)</f>
        <v>#REF!</v>
      </c>
      <c r="K20" s="99" t="e">
        <f t="shared" ref="K20:Q20" si="1">SUM(K5:K19)</f>
        <v>#REF!</v>
      </c>
      <c r="L20" s="99">
        <f t="shared" si="1"/>
        <v>0</v>
      </c>
      <c r="M20" s="99">
        <f t="shared" si="1"/>
        <v>0</v>
      </c>
      <c r="N20" s="99">
        <f t="shared" si="1"/>
        <v>0</v>
      </c>
      <c r="O20" s="99">
        <f t="shared" si="1"/>
        <v>0</v>
      </c>
      <c r="P20" s="99">
        <f t="shared" si="1"/>
        <v>0</v>
      </c>
      <c r="Q20" s="99">
        <f t="shared" si="1"/>
        <v>0</v>
      </c>
    </row>
    <row r="21" spans="1:17" ht="15.6" x14ac:dyDescent="0.3">
      <c r="B21" s="111" t="s">
        <v>93</v>
      </c>
    </row>
    <row r="22" spans="1:17" ht="15.6" x14ac:dyDescent="0.3">
      <c r="A22" s="96" t="s">
        <v>73</v>
      </c>
      <c r="B22" s="96" t="s">
        <v>74</v>
      </c>
      <c r="C22" s="97"/>
      <c r="D22" s="98"/>
      <c r="E22" s="98"/>
      <c r="F22" s="98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1:17" ht="15.6" x14ac:dyDescent="0.3">
      <c r="A23" s="100">
        <v>1</v>
      </c>
      <c r="B23" s="101" t="s">
        <v>75</v>
      </c>
      <c r="C23" s="97"/>
      <c r="D23" s="102"/>
      <c r="E23" s="98"/>
      <c r="F23" s="98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1:17" ht="15.6" x14ac:dyDescent="0.3">
      <c r="A24" s="100">
        <v>2</v>
      </c>
      <c r="B24" s="101" t="s">
        <v>76</v>
      </c>
      <c r="C24" s="103" t="e">
        <f>#REF!</f>
        <v>#REF!</v>
      </c>
      <c r="D24" s="103" t="e">
        <f>#REF!</f>
        <v>#REF!</v>
      </c>
      <c r="E24" s="103" t="e">
        <f>#REF!</f>
        <v>#REF!</v>
      </c>
      <c r="F24" s="103" t="e">
        <f>#REF!</f>
        <v>#REF!</v>
      </c>
      <c r="G24" s="93" t="e">
        <f>SUM(C24:F24)</f>
        <v>#REF!</v>
      </c>
      <c r="H24" s="94">
        <v>6864457.3700000001</v>
      </c>
      <c r="I24" s="94"/>
      <c r="J24" s="99"/>
      <c r="K24" s="99"/>
      <c r="L24" s="99"/>
      <c r="M24" s="99"/>
      <c r="N24" s="99"/>
      <c r="O24" s="99"/>
      <c r="P24" s="99"/>
      <c r="Q24" s="99"/>
    </row>
    <row r="25" spans="1:17" ht="15.6" x14ac:dyDescent="0.3">
      <c r="A25" s="100">
        <v>3</v>
      </c>
      <c r="B25" s="101" t="s">
        <v>77</v>
      </c>
      <c r="C25" s="103" t="e">
        <f>#REF!</f>
        <v>#REF!</v>
      </c>
      <c r="D25" s="103" t="e">
        <f>#REF!</f>
        <v>#REF!</v>
      </c>
      <c r="E25" s="103" t="e">
        <f>#REF!</f>
        <v>#REF!</v>
      </c>
      <c r="F25" s="103" t="e">
        <f>#REF!</f>
        <v>#REF!</v>
      </c>
      <c r="G25" s="93" t="e">
        <f t="shared" ref="G25:G32" si="2">SUM(C25:F25)</f>
        <v>#REF!</v>
      </c>
      <c r="H25" s="94">
        <v>1401102.02</v>
      </c>
      <c r="I25" s="94"/>
      <c r="J25" s="99"/>
      <c r="K25" s="99"/>
      <c r="L25" s="99"/>
      <c r="M25" s="99"/>
      <c r="N25" s="99"/>
      <c r="O25" s="99"/>
      <c r="P25" s="99"/>
      <c r="Q25" s="99"/>
    </row>
    <row r="26" spans="1:17" ht="15.6" x14ac:dyDescent="0.3">
      <c r="A26" s="100">
        <v>4</v>
      </c>
      <c r="B26" s="101" t="s">
        <v>78</v>
      </c>
      <c r="C26" s="103" t="e">
        <f>#REF!+#REF!+#REF!+#REF!</f>
        <v>#REF!</v>
      </c>
      <c r="D26" s="103" t="e">
        <f>#REF!+#REF!+#REF!+#REF!</f>
        <v>#REF!</v>
      </c>
      <c r="E26" s="103" t="e">
        <f>#REF!+#REF!+#REF!+#REF!</f>
        <v>#REF!</v>
      </c>
      <c r="F26" s="103" t="e">
        <f>#REF!+#REF!+#REF!+#REF!</f>
        <v>#REF!</v>
      </c>
      <c r="G26" s="93" t="e">
        <f t="shared" si="2"/>
        <v>#REF!</v>
      </c>
      <c r="H26" s="94">
        <v>14253181.68</v>
      </c>
      <c r="I26" s="94"/>
      <c r="J26" s="99"/>
      <c r="K26" s="99"/>
      <c r="L26" s="99"/>
      <c r="M26" s="99"/>
      <c r="N26" s="99"/>
      <c r="O26" s="99"/>
      <c r="P26" s="99"/>
      <c r="Q26" s="99"/>
    </row>
    <row r="27" spans="1:17" ht="15.6" x14ac:dyDescent="0.3">
      <c r="A27" s="100">
        <v>5</v>
      </c>
      <c r="B27" s="101" t="s">
        <v>79</v>
      </c>
      <c r="C27" s="103" t="e">
        <f>#REF!</f>
        <v>#REF!</v>
      </c>
      <c r="D27" s="103" t="e">
        <f>#REF!</f>
        <v>#REF!</v>
      </c>
      <c r="E27" s="103" t="e">
        <f>#REF!</f>
        <v>#REF!</v>
      </c>
      <c r="F27" s="103" t="e">
        <f>#REF!</f>
        <v>#REF!</v>
      </c>
      <c r="G27" s="93" t="e">
        <f t="shared" si="2"/>
        <v>#REF!</v>
      </c>
      <c r="H27" s="94">
        <v>2398265.79</v>
      </c>
      <c r="I27" s="94"/>
      <c r="J27" s="99"/>
      <c r="K27" s="99"/>
      <c r="L27" s="99"/>
      <c r="M27" s="99"/>
      <c r="N27" s="99"/>
      <c r="O27" s="99"/>
      <c r="P27" s="99"/>
      <c r="Q27" s="99"/>
    </row>
    <row r="28" spans="1:17" ht="15.6" x14ac:dyDescent="0.3">
      <c r="A28" s="100">
        <v>6</v>
      </c>
      <c r="B28" s="104" t="s">
        <v>80</v>
      </c>
      <c r="C28" s="103" t="e">
        <f>#REF!</f>
        <v>#REF!</v>
      </c>
      <c r="D28" s="103" t="e">
        <f>#REF!</f>
        <v>#REF!</v>
      </c>
      <c r="E28" s="103" t="e">
        <f>#REF!</f>
        <v>#REF!</v>
      </c>
      <c r="F28" s="103" t="e">
        <f>#REF!</f>
        <v>#REF!</v>
      </c>
      <c r="G28" s="93" t="e">
        <f t="shared" si="2"/>
        <v>#REF!</v>
      </c>
      <c r="H28" s="94">
        <v>1443270.16</v>
      </c>
      <c r="I28" s="94"/>
      <c r="J28" s="99"/>
      <c r="K28" s="99"/>
      <c r="L28" s="99"/>
      <c r="M28" s="99"/>
      <c r="N28" s="99"/>
      <c r="O28" s="99"/>
      <c r="P28" s="99"/>
      <c r="Q28" s="99"/>
    </row>
    <row r="29" spans="1:17" ht="15.6" x14ac:dyDescent="0.3">
      <c r="A29" s="100">
        <v>7</v>
      </c>
      <c r="B29" s="101" t="s">
        <v>81</v>
      </c>
      <c r="C29" s="103" t="e">
        <f>#REF!</f>
        <v>#REF!</v>
      </c>
      <c r="D29" s="103" t="e">
        <f>#REF!</f>
        <v>#REF!</v>
      </c>
      <c r="E29" s="103" t="e">
        <f>#REF!</f>
        <v>#REF!</v>
      </c>
      <c r="F29" s="103" t="e">
        <f>#REF!</f>
        <v>#REF!</v>
      </c>
      <c r="G29" s="93" t="e">
        <f t="shared" si="2"/>
        <v>#REF!</v>
      </c>
      <c r="H29" s="94">
        <v>342236</v>
      </c>
      <c r="I29" s="94"/>
      <c r="J29" s="99"/>
      <c r="K29" s="99"/>
      <c r="L29" s="99"/>
      <c r="M29" s="99"/>
      <c r="N29" s="99"/>
      <c r="O29" s="99"/>
      <c r="P29" s="99"/>
      <c r="Q29" s="99"/>
    </row>
    <row r="30" spans="1:17" ht="15.6" x14ac:dyDescent="0.3">
      <c r="A30" s="100">
        <v>8</v>
      </c>
      <c r="B30" s="101" t="s">
        <v>82</v>
      </c>
      <c r="C30" s="103" t="e">
        <f>#REF!+#REF!+#REF!</f>
        <v>#REF!</v>
      </c>
      <c r="D30" s="103" t="e">
        <f>#REF!+#REF!+#REF!</f>
        <v>#REF!</v>
      </c>
      <c r="E30" s="103" t="e">
        <f>#REF!+#REF!+#REF!</f>
        <v>#REF!</v>
      </c>
      <c r="F30" s="103" t="e">
        <f>#REF!+#REF!+#REF!</f>
        <v>#REF!</v>
      </c>
      <c r="G30" s="93" t="e">
        <f t="shared" si="2"/>
        <v>#REF!</v>
      </c>
      <c r="H30" s="94">
        <v>2557591.61</v>
      </c>
      <c r="I30" s="94"/>
      <c r="J30" s="99"/>
      <c r="K30" s="99"/>
      <c r="L30" s="99"/>
      <c r="M30" s="99"/>
      <c r="N30" s="99"/>
      <c r="O30" s="99"/>
      <c r="P30" s="99"/>
      <c r="Q30" s="99"/>
    </row>
    <row r="31" spans="1:17" ht="15.6" x14ac:dyDescent="0.3">
      <c r="A31" s="100">
        <v>9</v>
      </c>
      <c r="B31" s="101" t="s">
        <v>83</v>
      </c>
      <c r="C31" s="103" t="e">
        <f>#REF!</f>
        <v>#REF!</v>
      </c>
      <c r="D31" s="103" t="e">
        <f>#REF!</f>
        <v>#REF!</v>
      </c>
      <c r="E31" s="103" t="e">
        <f>#REF!</f>
        <v>#REF!</v>
      </c>
      <c r="F31" s="103" t="e">
        <f>#REF!</f>
        <v>#REF!</v>
      </c>
      <c r="G31" s="93" t="e">
        <f t="shared" si="2"/>
        <v>#REF!</v>
      </c>
      <c r="H31" s="94">
        <v>1941645.58</v>
      </c>
      <c r="I31" s="94"/>
      <c r="J31" s="99"/>
      <c r="K31" s="99"/>
      <c r="L31" s="99"/>
      <c r="M31" s="99"/>
      <c r="N31" s="99"/>
      <c r="O31" s="99"/>
      <c r="P31" s="99"/>
      <c r="Q31" s="99"/>
    </row>
    <row r="32" spans="1:17" ht="15.6" x14ac:dyDescent="0.3">
      <c r="A32" s="100">
        <v>10</v>
      </c>
      <c r="B32" s="101" t="s">
        <v>84</v>
      </c>
      <c r="C32" s="103" t="e">
        <f>#REF!</f>
        <v>#REF!</v>
      </c>
      <c r="D32" s="103" t="e">
        <f>#REF!</f>
        <v>#REF!</v>
      </c>
      <c r="E32" s="103" t="e">
        <f>#REF!</f>
        <v>#REF!</v>
      </c>
      <c r="F32" s="103" t="e">
        <f>#REF!</f>
        <v>#REF!</v>
      </c>
      <c r="G32" s="93" t="e">
        <f t="shared" si="2"/>
        <v>#REF!</v>
      </c>
      <c r="H32" s="94">
        <v>92127.74</v>
      </c>
      <c r="I32" s="94"/>
      <c r="J32" s="99"/>
      <c r="K32" s="99"/>
      <c r="L32" s="99"/>
      <c r="M32" s="99"/>
      <c r="N32" s="99"/>
      <c r="O32" s="99"/>
      <c r="P32" s="99"/>
      <c r="Q32" s="99"/>
    </row>
    <row r="33" spans="1:17" ht="15.6" x14ac:dyDescent="0.3">
      <c r="A33" s="100">
        <v>11</v>
      </c>
      <c r="B33" s="101" t="s">
        <v>85</v>
      </c>
      <c r="C33" s="102"/>
      <c r="D33" s="102"/>
      <c r="E33" s="98"/>
      <c r="F33" s="102"/>
      <c r="H33" s="105">
        <v>1050000</v>
      </c>
      <c r="I33" s="105"/>
      <c r="J33" s="99"/>
      <c r="K33" s="99"/>
      <c r="L33" s="99"/>
      <c r="M33" s="99"/>
      <c r="N33" s="99"/>
      <c r="O33" s="99"/>
      <c r="P33" s="99"/>
      <c r="Q33" s="99"/>
    </row>
    <row r="34" spans="1:17" ht="15.6" x14ac:dyDescent="0.3">
      <c r="A34" s="100">
        <v>12</v>
      </c>
      <c r="B34" s="101" t="s">
        <v>86</v>
      </c>
      <c r="C34" s="102"/>
      <c r="D34" s="102"/>
      <c r="E34" s="98"/>
      <c r="F34" s="102"/>
      <c r="H34" s="105">
        <v>1105000</v>
      </c>
      <c r="I34" s="105"/>
      <c r="J34" s="99"/>
      <c r="K34" s="99"/>
      <c r="L34" s="99"/>
      <c r="M34" s="99"/>
      <c r="N34" s="99"/>
      <c r="O34" s="99"/>
      <c r="P34" s="99"/>
      <c r="Q34" s="99"/>
    </row>
    <row r="35" spans="1:17" ht="15.6" x14ac:dyDescent="0.3">
      <c r="A35" s="100">
        <v>13</v>
      </c>
      <c r="B35" s="106" t="s">
        <v>87</v>
      </c>
      <c r="C35" s="102"/>
      <c r="D35" s="102"/>
      <c r="E35" s="98"/>
      <c r="F35" s="98"/>
      <c r="H35" s="105">
        <v>3044666.67</v>
      </c>
      <c r="I35" s="105"/>
      <c r="J35" s="99"/>
      <c r="K35" s="99"/>
      <c r="L35" s="99"/>
      <c r="M35" s="99"/>
      <c r="N35" s="99"/>
      <c r="O35" s="99"/>
      <c r="P35" s="99"/>
      <c r="Q35" s="99"/>
    </row>
    <row r="36" spans="1:17" ht="15.6" x14ac:dyDescent="0.3">
      <c r="A36" s="100">
        <v>14</v>
      </c>
      <c r="B36" s="101" t="s">
        <v>88</v>
      </c>
      <c r="C36" s="97"/>
      <c r="D36" s="102"/>
      <c r="E36" s="98"/>
      <c r="F36" s="98"/>
      <c r="H36" s="105">
        <v>1727000</v>
      </c>
      <c r="I36" s="105"/>
      <c r="J36" s="99"/>
      <c r="K36" s="99"/>
      <c r="L36" s="99"/>
      <c r="M36" s="99"/>
      <c r="N36" s="99"/>
      <c r="O36" s="99"/>
      <c r="P36" s="99"/>
      <c r="Q36" s="99"/>
    </row>
    <row r="37" spans="1:17" ht="15.6" x14ac:dyDescent="0.3">
      <c r="A37" s="101"/>
      <c r="B37" s="107" t="s">
        <v>89</v>
      </c>
      <c r="C37" s="108" t="e">
        <f>SUM(C23:C36)</f>
        <v>#REF!</v>
      </c>
      <c r="D37" s="108" t="e">
        <f>SUM(D23:D36)</f>
        <v>#REF!</v>
      </c>
      <c r="E37" s="108" t="e">
        <f>SUM(E23:E36)</f>
        <v>#REF!</v>
      </c>
      <c r="F37" s="108" t="e">
        <f>SUM(F23:F36)</f>
        <v>#REF!</v>
      </c>
      <c r="G37" s="109" t="e">
        <f>SUM(C37:F37)</f>
        <v>#REF!</v>
      </c>
      <c r="H37" s="94">
        <f>SUM(H24:H36)</f>
        <v>38220544.619999997</v>
      </c>
      <c r="I37" s="94"/>
      <c r="J37" s="99"/>
      <c r="K37" s="99"/>
      <c r="L37" s="99"/>
      <c r="M37" s="99"/>
      <c r="N37" s="99"/>
      <c r="O37" s="99"/>
      <c r="P37" s="99"/>
      <c r="Q37" s="99"/>
    </row>
    <row r="38" spans="1:17" s="113" customFormat="1" ht="15.6" x14ac:dyDescent="0.3">
      <c r="B38" s="112" t="s">
        <v>94</v>
      </c>
      <c r="J38" s="113" t="e">
        <f>J20+J37</f>
        <v>#REF!</v>
      </c>
      <c r="K38" s="113" t="e">
        <f t="shared" ref="K38:Q38" si="3">K20+K37</f>
        <v>#REF!</v>
      </c>
      <c r="L38" s="113">
        <f t="shared" si="3"/>
        <v>0</v>
      </c>
      <c r="M38" s="113">
        <f t="shared" si="3"/>
        <v>0</v>
      </c>
      <c r="N38" s="113">
        <f t="shared" si="3"/>
        <v>0</v>
      </c>
      <c r="O38" s="113">
        <f t="shared" si="3"/>
        <v>0</v>
      </c>
      <c r="P38" s="113">
        <f t="shared" si="3"/>
        <v>0</v>
      </c>
      <c r="Q38" s="113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opLeftCell="A82" workbookViewId="0">
      <selection activeCell="N105" sqref="N105"/>
    </sheetView>
  </sheetViews>
  <sheetFormatPr defaultRowHeight="14.4" x14ac:dyDescent="0.3"/>
  <cols>
    <col min="1" max="1" width="3.77734375" customWidth="1"/>
    <col min="2" max="2" width="4.44140625" customWidth="1"/>
    <col min="3" max="3" width="5" customWidth="1"/>
    <col min="4" max="4" width="7.5546875" customWidth="1"/>
    <col min="20" max="20" width="8.88671875" style="205"/>
  </cols>
  <sheetData>
    <row r="1" spans="1:20" x14ac:dyDescent="0.3">
      <c r="B1" s="193" t="s">
        <v>151</v>
      </c>
    </row>
    <row r="2" spans="1:20" x14ac:dyDescent="0.3">
      <c r="C2" t="s">
        <v>152</v>
      </c>
    </row>
    <row r="3" spans="1:20" x14ac:dyDescent="0.3">
      <c r="B3" s="193" t="s">
        <v>184</v>
      </c>
    </row>
    <row r="4" spans="1:20" x14ac:dyDescent="0.3">
      <c r="A4">
        <v>1</v>
      </c>
      <c r="C4" s="202" t="s">
        <v>185</v>
      </c>
    </row>
    <row r="5" spans="1:20" x14ac:dyDescent="0.3">
      <c r="A5">
        <v>2</v>
      </c>
      <c r="C5" t="s">
        <v>214</v>
      </c>
    </row>
    <row r="6" spans="1:20" x14ac:dyDescent="0.3">
      <c r="A6">
        <v>3</v>
      </c>
      <c r="C6" t="s">
        <v>215</v>
      </c>
    </row>
    <row r="7" spans="1:20" x14ac:dyDescent="0.3">
      <c r="A7">
        <v>4</v>
      </c>
      <c r="C7" t="s">
        <v>216</v>
      </c>
    </row>
    <row r="8" spans="1:20" x14ac:dyDescent="0.3">
      <c r="A8">
        <v>5</v>
      </c>
    </row>
    <row r="9" spans="1:20" x14ac:dyDescent="0.3">
      <c r="A9">
        <v>6</v>
      </c>
    </row>
    <row r="11" spans="1:20" x14ac:dyDescent="0.3">
      <c r="B11" s="193" t="s">
        <v>139</v>
      </c>
    </row>
    <row r="12" spans="1:20" x14ac:dyDescent="0.3">
      <c r="A12">
        <v>1</v>
      </c>
      <c r="C12" t="s">
        <v>140</v>
      </c>
    </row>
    <row r="13" spans="1:20" x14ac:dyDescent="0.3">
      <c r="A13">
        <v>2</v>
      </c>
      <c r="C13" t="s">
        <v>141</v>
      </c>
    </row>
    <row r="14" spans="1:20" s="195" customFormat="1" x14ac:dyDescent="0.3">
      <c r="A14" s="195">
        <v>3</v>
      </c>
      <c r="C14" s="195" t="s">
        <v>246</v>
      </c>
      <c r="T14" s="206"/>
    </row>
    <row r="15" spans="1:20" x14ac:dyDescent="0.3">
      <c r="B15" s="193" t="s">
        <v>174</v>
      </c>
    </row>
    <row r="16" spans="1:20" x14ac:dyDescent="0.3">
      <c r="A16">
        <v>0</v>
      </c>
      <c r="B16" s="193"/>
      <c r="C16" t="s">
        <v>181</v>
      </c>
    </row>
    <row r="17" spans="1:20" s="195" customFormat="1" x14ac:dyDescent="0.3">
      <c r="B17" s="273">
        <v>1</v>
      </c>
      <c r="D17" s="195" t="s">
        <v>221</v>
      </c>
      <c r="T17" s="206"/>
    </row>
    <row r="18" spans="1:20" x14ac:dyDescent="0.3">
      <c r="A18">
        <v>2</v>
      </c>
      <c r="B18" s="193"/>
      <c r="C18" t="s">
        <v>175</v>
      </c>
    </row>
    <row r="19" spans="1:20" x14ac:dyDescent="0.3">
      <c r="A19">
        <v>3</v>
      </c>
      <c r="B19" s="193"/>
      <c r="C19" t="s">
        <v>176</v>
      </c>
    </row>
    <row r="20" spans="1:20" x14ac:dyDescent="0.3">
      <c r="B20" s="193"/>
    </row>
    <row r="22" spans="1:20" x14ac:dyDescent="0.3">
      <c r="B22" s="193" t="s">
        <v>142</v>
      </c>
    </row>
    <row r="23" spans="1:20" x14ac:dyDescent="0.3">
      <c r="A23">
        <v>1</v>
      </c>
      <c r="C23" t="s">
        <v>143</v>
      </c>
    </row>
    <row r="25" spans="1:20" x14ac:dyDescent="0.3">
      <c r="B25" s="193" t="s">
        <v>150</v>
      </c>
    </row>
    <row r="26" spans="1:20" x14ac:dyDescent="0.3">
      <c r="A26">
        <v>1</v>
      </c>
      <c r="C26" t="s">
        <v>132</v>
      </c>
    </row>
    <row r="27" spans="1:20" x14ac:dyDescent="0.3">
      <c r="A27">
        <v>2</v>
      </c>
      <c r="C27" t="s">
        <v>182</v>
      </c>
    </row>
    <row r="28" spans="1:20" x14ac:dyDescent="0.3">
      <c r="A28">
        <v>3</v>
      </c>
      <c r="C28" t="s">
        <v>183</v>
      </c>
    </row>
    <row r="29" spans="1:20" x14ac:dyDescent="0.3">
      <c r="B29" s="194" t="s">
        <v>144</v>
      </c>
    </row>
    <row r="30" spans="1:20" x14ac:dyDescent="0.3">
      <c r="C30" s="193" t="s">
        <v>145</v>
      </c>
    </row>
    <row r="31" spans="1:20" x14ac:dyDescent="0.3">
      <c r="A31">
        <v>1</v>
      </c>
      <c r="D31" t="s">
        <v>146</v>
      </c>
    </row>
    <row r="32" spans="1:20" x14ac:dyDescent="0.3">
      <c r="A32">
        <v>2</v>
      </c>
      <c r="D32" t="s">
        <v>147</v>
      </c>
    </row>
    <row r="33" spans="1:20" s="282" customFormat="1" x14ac:dyDescent="0.3">
      <c r="A33" s="282">
        <v>3</v>
      </c>
      <c r="D33" s="282" t="s">
        <v>154</v>
      </c>
      <c r="T33" s="283"/>
    </row>
    <row r="34" spans="1:20" x14ac:dyDescent="0.3">
      <c r="A34">
        <v>4</v>
      </c>
      <c r="D34" t="s">
        <v>186</v>
      </c>
    </row>
    <row r="35" spans="1:20" x14ac:dyDescent="0.3">
      <c r="C35" s="193" t="s">
        <v>148</v>
      </c>
    </row>
    <row r="36" spans="1:20" s="195" customFormat="1" x14ac:dyDescent="0.3">
      <c r="A36" s="195">
        <v>1</v>
      </c>
      <c r="D36" s="195" t="s">
        <v>149</v>
      </c>
      <c r="T36" s="206"/>
    </row>
    <row r="37" spans="1:20" s="282" customFormat="1" x14ac:dyDescent="0.3">
      <c r="A37" s="282">
        <v>1</v>
      </c>
      <c r="B37" s="282">
        <v>1</v>
      </c>
      <c r="E37" s="282" t="s">
        <v>219</v>
      </c>
      <c r="T37" s="283"/>
    </row>
    <row r="38" spans="1:20" s="195" customFormat="1" x14ac:dyDescent="0.3">
      <c r="A38" s="195">
        <v>2</v>
      </c>
      <c r="D38" s="275" t="s">
        <v>157</v>
      </c>
      <c r="T38" s="206"/>
    </row>
    <row r="39" spans="1:20" s="195" customFormat="1" x14ac:dyDescent="0.3">
      <c r="A39" s="195">
        <v>3</v>
      </c>
      <c r="D39" s="195" t="s">
        <v>161</v>
      </c>
      <c r="T39" s="206"/>
    </row>
    <row r="40" spans="1:20" s="195" customFormat="1" x14ac:dyDescent="0.3">
      <c r="B40" s="195">
        <v>1</v>
      </c>
      <c r="E40" s="195" t="s">
        <v>160</v>
      </c>
      <c r="T40" s="206"/>
    </row>
    <row r="41" spans="1:20" s="195" customFormat="1" x14ac:dyDescent="0.3">
      <c r="B41" s="195">
        <v>2</v>
      </c>
      <c r="E41" s="195" t="s">
        <v>162</v>
      </c>
      <c r="T41" s="206"/>
    </row>
    <row r="42" spans="1:20" s="203" customFormat="1" x14ac:dyDescent="0.3">
      <c r="B42" s="203">
        <v>3</v>
      </c>
      <c r="E42" s="203" t="s">
        <v>163</v>
      </c>
      <c r="T42" s="281"/>
    </row>
    <row r="43" spans="1:20" x14ac:dyDescent="0.3">
      <c r="B43">
        <v>4</v>
      </c>
      <c r="E43" t="s">
        <v>218</v>
      </c>
    </row>
    <row r="44" spans="1:20" s="195" customFormat="1" x14ac:dyDescent="0.3">
      <c r="B44" s="195">
        <v>5</v>
      </c>
      <c r="E44" s="195" t="s">
        <v>217</v>
      </c>
      <c r="T44" s="206"/>
    </row>
    <row r="45" spans="1:20" s="195" customFormat="1" x14ac:dyDescent="0.3">
      <c r="A45" s="195">
        <v>4</v>
      </c>
      <c r="D45" s="285" t="s">
        <v>177</v>
      </c>
      <c r="L45" s="284" t="s">
        <v>222</v>
      </c>
      <c r="T45" s="206"/>
    </row>
    <row r="46" spans="1:20" s="195" customFormat="1" x14ac:dyDescent="0.3">
      <c r="B46" s="195">
        <v>1</v>
      </c>
      <c r="D46" s="274"/>
      <c r="E46" s="195" t="s">
        <v>223</v>
      </c>
      <c r="L46" s="284" t="s">
        <v>222</v>
      </c>
      <c r="T46" s="206"/>
    </row>
    <row r="47" spans="1:20" s="195" customFormat="1" x14ac:dyDescent="0.3">
      <c r="B47" s="195">
        <v>2</v>
      </c>
      <c r="D47" s="274"/>
      <c r="E47" s="195" t="s">
        <v>224</v>
      </c>
      <c r="L47" s="284" t="s">
        <v>225</v>
      </c>
      <c r="T47" s="206"/>
    </row>
    <row r="48" spans="1:20" s="195" customFormat="1" x14ac:dyDescent="0.3">
      <c r="A48" s="195">
        <v>5</v>
      </c>
      <c r="D48" s="197" t="s">
        <v>178</v>
      </c>
      <c r="T48" s="206"/>
    </row>
    <row r="49" spans="1:20" s="195" customFormat="1" x14ac:dyDescent="0.3">
      <c r="A49" s="195">
        <v>6</v>
      </c>
      <c r="D49" s="197" t="s">
        <v>179</v>
      </c>
      <c r="T49" s="206"/>
    </row>
    <row r="50" spans="1:20" s="200" customFormat="1" x14ac:dyDescent="0.3">
      <c r="B50" s="200">
        <v>1</v>
      </c>
      <c r="D50" s="201"/>
      <c r="E50" s="200" t="s">
        <v>180</v>
      </c>
      <c r="T50" s="207"/>
    </row>
    <row r="51" spans="1:20" s="200" customFormat="1" x14ac:dyDescent="0.3">
      <c r="C51" s="272" t="s">
        <v>211</v>
      </c>
      <c r="D51" s="201"/>
      <c r="T51" s="207"/>
    </row>
    <row r="52" spans="1:20" s="195" customFormat="1" x14ac:dyDescent="0.3">
      <c r="A52" s="195">
        <v>1</v>
      </c>
      <c r="C52" s="273"/>
      <c r="D52" s="274" t="s">
        <v>212</v>
      </c>
      <c r="T52" s="206"/>
    </row>
    <row r="53" spans="1:20" s="113" customFormat="1" x14ac:dyDescent="0.3">
      <c r="C53" s="273"/>
      <c r="D53" s="197" t="s">
        <v>230</v>
      </c>
    </row>
    <row r="54" spans="1:20" s="278" customFormat="1" x14ac:dyDescent="0.3">
      <c r="A54" s="278">
        <v>2</v>
      </c>
      <c r="C54" s="279"/>
      <c r="D54" s="278" t="s">
        <v>220</v>
      </c>
      <c r="L54" s="278" t="s">
        <v>231</v>
      </c>
      <c r="T54" s="280"/>
    </row>
    <row r="55" spans="1:20" s="199" customFormat="1" x14ac:dyDescent="0.3">
      <c r="A55" s="199">
        <v>3</v>
      </c>
      <c r="C55" s="277"/>
      <c r="D55" s="199" t="s">
        <v>226</v>
      </c>
      <c r="T55" s="240"/>
    </row>
    <row r="56" spans="1:20" s="199" customFormat="1" x14ac:dyDescent="0.3">
      <c r="A56" s="199">
        <v>4</v>
      </c>
      <c r="C56" s="277"/>
      <c r="D56" s="199" t="s">
        <v>227</v>
      </c>
      <c r="T56" s="240"/>
    </row>
    <row r="57" spans="1:20" s="199" customFormat="1" x14ac:dyDescent="0.3">
      <c r="A57" s="199">
        <v>5</v>
      </c>
      <c r="C57" s="277"/>
      <c r="D57" s="199" t="s">
        <v>228</v>
      </c>
      <c r="T57" s="240"/>
    </row>
    <row r="58" spans="1:20" s="197" customFormat="1" x14ac:dyDescent="0.3">
      <c r="A58" s="197">
        <v>6</v>
      </c>
      <c r="C58" s="286"/>
      <c r="D58" s="197" t="s">
        <v>229</v>
      </c>
      <c r="T58" s="285"/>
    </row>
    <row r="59" spans="1:20" s="199" customFormat="1" x14ac:dyDescent="0.3">
      <c r="A59" s="199">
        <v>7</v>
      </c>
      <c r="C59" s="277"/>
      <c r="D59" s="199" t="s">
        <v>232</v>
      </c>
      <c r="T59" s="240"/>
    </row>
    <row r="60" spans="1:20" s="197" customFormat="1" x14ac:dyDescent="0.3">
      <c r="A60" s="197">
        <v>8</v>
      </c>
      <c r="C60" s="286"/>
      <c r="D60" s="197" t="s">
        <v>234</v>
      </c>
      <c r="T60" s="285"/>
    </row>
    <row r="61" spans="1:20" s="199" customFormat="1" x14ac:dyDescent="0.3">
      <c r="C61" s="277"/>
      <c r="D61" s="196" t="s">
        <v>237</v>
      </c>
      <c r="T61" s="240"/>
    </row>
    <row r="62" spans="1:20" x14ac:dyDescent="0.3">
      <c r="C62" s="193" t="s">
        <v>158</v>
      </c>
    </row>
    <row r="63" spans="1:20" x14ac:dyDescent="0.3">
      <c r="C63" s="193"/>
    </row>
    <row r="64" spans="1:20" s="282" customFormat="1" x14ac:dyDescent="0.3">
      <c r="A64" s="282">
        <v>1</v>
      </c>
      <c r="D64" s="282" t="s">
        <v>159</v>
      </c>
      <c r="T64" s="283"/>
    </row>
    <row r="65" spans="1:20" s="195" customFormat="1" x14ac:dyDescent="0.3">
      <c r="A65" s="195">
        <v>2</v>
      </c>
      <c r="D65" s="195" t="s">
        <v>213</v>
      </c>
      <c r="T65" s="206"/>
    </row>
    <row r="66" spans="1:20" s="198" customFormat="1" x14ac:dyDescent="0.3">
      <c r="A66" s="198">
        <v>3</v>
      </c>
      <c r="D66" s="198" t="s">
        <v>233</v>
      </c>
      <c r="T66" s="276"/>
    </row>
    <row r="67" spans="1:20" s="198" customFormat="1" x14ac:dyDescent="0.3">
      <c r="A67" s="198">
        <v>4</v>
      </c>
      <c r="D67" s="198" t="s">
        <v>245</v>
      </c>
      <c r="T67" s="276"/>
    </row>
    <row r="68" spans="1:20" x14ac:dyDescent="0.3">
      <c r="C68" s="193" t="s">
        <v>153</v>
      </c>
    </row>
    <row r="69" spans="1:20" s="282" customFormat="1" x14ac:dyDescent="0.3">
      <c r="A69" s="282">
        <v>1</v>
      </c>
      <c r="D69" s="282" t="s">
        <v>155</v>
      </c>
      <c r="T69" s="283"/>
    </row>
    <row r="70" spans="1:20" s="282" customFormat="1" x14ac:dyDescent="0.3">
      <c r="A70" s="282">
        <v>2</v>
      </c>
      <c r="D70" s="282" t="s">
        <v>156</v>
      </c>
      <c r="T70" s="283"/>
    </row>
    <row r="71" spans="1:20" s="282" customFormat="1" x14ac:dyDescent="0.3">
      <c r="A71" s="282">
        <v>3</v>
      </c>
      <c r="D71" s="282" t="s">
        <v>238</v>
      </c>
      <c r="T71" s="283"/>
    </row>
    <row r="72" spans="1:20" x14ac:dyDescent="0.3">
      <c r="C72" s="193" t="s">
        <v>164</v>
      </c>
    </row>
    <row r="73" spans="1:20" s="195" customFormat="1" x14ac:dyDescent="0.3">
      <c r="A73" s="195">
        <v>1</v>
      </c>
      <c r="D73" s="195" t="s">
        <v>165</v>
      </c>
      <c r="T73" s="206"/>
    </row>
    <row r="74" spans="1:20" s="195" customFormat="1" x14ac:dyDescent="0.3">
      <c r="B74" s="195">
        <v>1</v>
      </c>
      <c r="E74" s="195" t="s">
        <v>166</v>
      </c>
      <c r="T74" s="206"/>
    </row>
    <row r="75" spans="1:20" x14ac:dyDescent="0.3">
      <c r="A75">
        <v>2</v>
      </c>
      <c r="D75" t="s">
        <v>167</v>
      </c>
    </row>
    <row r="76" spans="1:20" s="195" customFormat="1" x14ac:dyDescent="0.3">
      <c r="D76" s="195">
        <v>5</v>
      </c>
      <c r="E76" s="195" t="s">
        <v>236</v>
      </c>
      <c r="T76" s="206"/>
    </row>
    <row r="77" spans="1:20" s="195" customFormat="1" x14ac:dyDescent="0.3">
      <c r="D77" s="291" t="s">
        <v>235</v>
      </c>
      <c r="E77" s="195" t="s">
        <v>236</v>
      </c>
      <c r="T77" s="206"/>
    </row>
    <row r="78" spans="1:20" s="195" customFormat="1" x14ac:dyDescent="0.3">
      <c r="A78" s="195">
        <v>4</v>
      </c>
      <c r="D78" s="288" t="s">
        <v>168</v>
      </c>
      <c r="T78" s="206"/>
    </row>
    <row r="79" spans="1:20" s="195" customFormat="1" x14ac:dyDescent="0.3">
      <c r="A79" s="195">
        <v>5</v>
      </c>
      <c r="D79" s="195" t="s">
        <v>169</v>
      </c>
      <c r="T79" s="206"/>
    </row>
    <row r="80" spans="1:20" s="195" customFormat="1" x14ac:dyDescent="0.3">
      <c r="A80" s="195">
        <v>6</v>
      </c>
      <c r="D80" s="195" t="s">
        <v>172</v>
      </c>
      <c r="T80" s="206"/>
    </row>
    <row r="81" spans="1:20" s="195" customFormat="1" x14ac:dyDescent="0.3">
      <c r="A81" s="195">
        <v>7</v>
      </c>
      <c r="D81" s="195" t="s">
        <v>170</v>
      </c>
      <c r="T81" s="206"/>
    </row>
    <row r="82" spans="1:20" s="195" customFormat="1" x14ac:dyDescent="0.3">
      <c r="A82" s="195">
        <v>8</v>
      </c>
      <c r="D82" s="195" t="s">
        <v>171</v>
      </c>
      <c r="T82" s="206"/>
    </row>
    <row r="83" spans="1:20" s="195" customFormat="1" x14ac:dyDescent="0.3">
      <c r="A83" s="195">
        <v>9</v>
      </c>
      <c r="D83" s="195" t="s">
        <v>173</v>
      </c>
      <c r="T83" s="206"/>
    </row>
    <row r="84" spans="1:20" s="195" customFormat="1" x14ac:dyDescent="0.3">
      <c r="A84" s="195">
        <v>10</v>
      </c>
      <c r="D84" s="195" t="s">
        <v>187</v>
      </c>
      <c r="T84" s="206"/>
    </row>
    <row r="85" spans="1:20" s="195" customFormat="1" x14ac:dyDescent="0.3">
      <c r="A85" s="195">
        <v>11</v>
      </c>
      <c r="D85" s="195" t="s">
        <v>239</v>
      </c>
      <c r="T85" s="206"/>
    </row>
    <row r="86" spans="1:20" s="195" customFormat="1" x14ac:dyDescent="0.3">
      <c r="A86" s="195">
        <v>12</v>
      </c>
      <c r="D86" s="195">
        <v>6</v>
      </c>
      <c r="E86" s="195" t="s">
        <v>241</v>
      </c>
      <c r="T86" s="206"/>
    </row>
    <row r="87" spans="1:20" s="195" customFormat="1" x14ac:dyDescent="0.3">
      <c r="A87" s="195">
        <v>13</v>
      </c>
      <c r="D87" s="291" t="s">
        <v>240</v>
      </c>
      <c r="E87" s="195" t="s">
        <v>241</v>
      </c>
      <c r="T87" s="206"/>
    </row>
    <row r="88" spans="1:20" s="195" customFormat="1" x14ac:dyDescent="0.3">
      <c r="D88" s="290" t="s">
        <v>242</v>
      </c>
      <c r="E88" s="195" t="s">
        <v>241</v>
      </c>
      <c r="T88" s="206"/>
    </row>
    <row r="89" spans="1:20" s="195" customFormat="1" x14ac:dyDescent="0.3">
      <c r="D89" s="284" t="s">
        <v>243</v>
      </c>
      <c r="E89" s="195" t="s">
        <v>241</v>
      </c>
      <c r="T89" s="206"/>
    </row>
    <row r="90" spans="1:20" s="195" customFormat="1" x14ac:dyDescent="0.3">
      <c r="D90" s="195">
        <v>2</v>
      </c>
      <c r="E90" s="195" t="s">
        <v>241</v>
      </c>
      <c r="T90" s="206"/>
    </row>
    <row r="91" spans="1:20" s="195" customFormat="1" x14ac:dyDescent="0.3">
      <c r="D91" s="284" t="s">
        <v>244</v>
      </c>
      <c r="E91" s="195" t="s">
        <v>241</v>
      </c>
      <c r="T91" s="206"/>
    </row>
    <row r="92" spans="1:20" s="195" customFormat="1" x14ac:dyDescent="0.3">
      <c r="D92" s="195">
        <v>3</v>
      </c>
      <c r="E92" s="195" t="s">
        <v>241</v>
      </c>
      <c r="T92" s="206"/>
    </row>
    <row r="93" spans="1:20" s="195" customFormat="1" x14ac:dyDescent="0.3">
      <c r="D93" s="284" t="s">
        <v>20</v>
      </c>
      <c r="E93" s="195" t="s">
        <v>241</v>
      </c>
      <c r="T93" s="206"/>
    </row>
    <row r="94" spans="1:20" s="195" customFormat="1" x14ac:dyDescent="0.3">
      <c r="D94" s="284" t="s">
        <v>20</v>
      </c>
      <c r="E94" s="195" t="s">
        <v>241</v>
      </c>
      <c r="T94" s="206"/>
    </row>
    <row r="95" spans="1:20" x14ac:dyDescent="0.3">
      <c r="B95" t="s">
        <v>296</v>
      </c>
    </row>
    <row r="96" spans="1:20" x14ac:dyDescent="0.3">
      <c r="C96" t="s">
        <v>266</v>
      </c>
    </row>
    <row r="97" spans="3:20" x14ac:dyDescent="0.3">
      <c r="C97" t="s">
        <v>268</v>
      </c>
    </row>
    <row r="98" spans="3:20" x14ac:dyDescent="0.3">
      <c r="C98" t="s">
        <v>267</v>
      </c>
    </row>
    <row r="99" spans="3:20" s="195" customFormat="1" x14ac:dyDescent="0.3">
      <c r="C99" s="195" t="s">
        <v>297</v>
      </c>
      <c r="T99" s="206"/>
    </row>
    <row r="100" spans="3:20" x14ac:dyDescent="0.3">
      <c r="C100" t="s">
        <v>298</v>
      </c>
    </row>
    <row r="101" spans="3:20" x14ac:dyDescent="0.3">
      <c r="C101" t="s">
        <v>299</v>
      </c>
    </row>
    <row r="102" spans="3:20" x14ac:dyDescent="0.3">
      <c r="C102" t="s">
        <v>300</v>
      </c>
    </row>
    <row r="103" spans="3:20" x14ac:dyDescent="0.3">
      <c r="C103" t="s">
        <v>301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opLeftCell="A22" workbookViewId="0">
      <selection activeCell="B31" sqref="B31:B33"/>
    </sheetView>
  </sheetViews>
  <sheetFormatPr defaultRowHeight="14.4" x14ac:dyDescent="0.3"/>
  <sheetData>
    <row r="2" spans="2:3" x14ac:dyDescent="0.3">
      <c r="B2" t="s">
        <v>248</v>
      </c>
    </row>
    <row r="3" spans="2:3" x14ac:dyDescent="0.3">
      <c r="C3" t="s">
        <v>259</v>
      </c>
    </row>
    <row r="4" spans="2:3" x14ac:dyDescent="0.3">
      <c r="C4" t="s">
        <v>258</v>
      </c>
    </row>
    <row r="5" spans="2:3" x14ac:dyDescent="0.3">
      <c r="C5" t="s">
        <v>249</v>
      </c>
    </row>
    <row r="6" spans="2:3" x14ac:dyDescent="0.3">
      <c r="C6" t="s">
        <v>216</v>
      </c>
    </row>
    <row r="7" spans="2:3" x14ac:dyDescent="0.3">
      <c r="C7" t="s">
        <v>254</v>
      </c>
    </row>
    <row r="8" spans="2:3" x14ac:dyDescent="0.3">
      <c r="C8" t="s">
        <v>255</v>
      </c>
    </row>
    <row r="9" spans="2:3" x14ac:dyDescent="0.3">
      <c r="C9" t="s">
        <v>250</v>
      </c>
    </row>
    <row r="11" spans="2:3" x14ac:dyDescent="0.3">
      <c r="C11" t="s">
        <v>252</v>
      </c>
    </row>
    <row r="13" spans="2:3" x14ac:dyDescent="0.3">
      <c r="C13" t="s">
        <v>131</v>
      </c>
    </row>
    <row r="14" spans="2:3" x14ac:dyDescent="0.3">
      <c r="C14" t="s">
        <v>257</v>
      </c>
    </row>
    <row r="15" spans="2:3" x14ac:dyDescent="0.3">
      <c r="C15" t="s">
        <v>253</v>
      </c>
    </row>
    <row r="17" spans="2:10" x14ac:dyDescent="0.3">
      <c r="B17" t="s">
        <v>247</v>
      </c>
    </row>
    <row r="21" spans="2:10" x14ac:dyDescent="0.3">
      <c r="B21" s="196" t="s">
        <v>256</v>
      </c>
    </row>
    <row r="23" spans="2:10" x14ac:dyDescent="0.3">
      <c r="B23" t="s">
        <v>260</v>
      </c>
    </row>
    <row r="26" spans="2:10" x14ac:dyDescent="0.3">
      <c r="B26" t="s">
        <v>251</v>
      </c>
    </row>
    <row r="28" spans="2:10" x14ac:dyDescent="0.3">
      <c r="B28" t="s">
        <v>263</v>
      </c>
      <c r="F28" t="s">
        <v>264</v>
      </c>
      <c r="J28" t="s">
        <v>265</v>
      </c>
    </row>
    <row r="29" spans="2:10" x14ac:dyDescent="0.3">
      <c r="B29" t="s">
        <v>261</v>
      </c>
      <c r="E29" t="s">
        <v>262</v>
      </c>
    </row>
    <row r="31" spans="2:10" x14ac:dyDescent="0.3">
      <c r="B31" t="s">
        <v>266</v>
      </c>
    </row>
    <row r="32" spans="2:10" x14ac:dyDescent="0.3">
      <c r="B32" t="s">
        <v>268</v>
      </c>
    </row>
    <row r="33" spans="1:9" x14ac:dyDescent="0.3">
      <c r="B33" t="s">
        <v>267</v>
      </c>
    </row>
    <row r="35" spans="1:9" x14ac:dyDescent="0.3">
      <c r="B35" s="205" t="s">
        <v>269</v>
      </c>
    </row>
    <row r="36" spans="1:9" x14ac:dyDescent="0.3">
      <c r="A36" t="s">
        <v>270</v>
      </c>
      <c r="B36" t="s">
        <v>271</v>
      </c>
    </row>
    <row r="37" spans="1:9" x14ac:dyDescent="0.3">
      <c r="A37" t="s">
        <v>272</v>
      </c>
      <c r="B37" t="s">
        <v>273</v>
      </c>
    </row>
    <row r="38" spans="1:9" x14ac:dyDescent="0.3">
      <c r="A38" s="287" t="s">
        <v>275</v>
      </c>
      <c r="B38" t="s">
        <v>274</v>
      </c>
      <c r="H38">
        <v>7</v>
      </c>
    </row>
    <row r="39" spans="1:9" x14ac:dyDescent="0.3">
      <c r="A39" s="287" t="s">
        <v>276</v>
      </c>
      <c r="B39" t="s">
        <v>274</v>
      </c>
      <c r="H39">
        <v>5</v>
      </c>
    </row>
    <row r="40" spans="1:9" x14ac:dyDescent="0.3">
      <c r="B40" s="292" t="s">
        <v>277</v>
      </c>
      <c r="C40" s="239" t="s">
        <v>278</v>
      </c>
      <c r="F40" t="s">
        <v>279</v>
      </c>
    </row>
    <row r="41" spans="1:9" x14ac:dyDescent="0.3">
      <c r="B41" t="s">
        <v>280</v>
      </c>
    </row>
    <row r="42" spans="1:9" x14ac:dyDescent="0.3">
      <c r="B42" s="293" t="s">
        <v>281</v>
      </c>
      <c r="C42" s="294" t="s">
        <v>282</v>
      </c>
      <c r="D42" s="295">
        <v>5</v>
      </c>
      <c r="E42" s="296"/>
      <c r="F42" s="296">
        <v>64.900000000000006</v>
      </c>
    </row>
    <row r="43" spans="1:9" ht="43.2" x14ac:dyDescent="0.3">
      <c r="A43" s="297" t="s">
        <v>285</v>
      </c>
      <c r="B43" s="298" t="s">
        <v>286</v>
      </c>
      <c r="C43" s="299">
        <v>14611</v>
      </c>
      <c r="D43" s="297" t="s">
        <v>287</v>
      </c>
      <c r="E43" s="297" t="s">
        <v>288</v>
      </c>
      <c r="F43" s="300" t="s">
        <v>289</v>
      </c>
      <c r="G43" s="297" t="s">
        <v>290</v>
      </c>
      <c r="I43" s="297" t="s">
        <v>291</v>
      </c>
    </row>
    <row r="46" spans="1:9" x14ac:dyDescent="0.3">
      <c r="B46" s="287" t="s">
        <v>283</v>
      </c>
      <c r="C46">
        <v>4</v>
      </c>
    </row>
    <row r="47" spans="1:9" x14ac:dyDescent="0.3">
      <c r="B47" s="289" t="s">
        <v>276</v>
      </c>
      <c r="C47">
        <v>5</v>
      </c>
    </row>
    <row r="48" spans="1:9" x14ac:dyDescent="0.3">
      <c r="B48" s="289" t="s">
        <v>284</v>
      </c>
      <c r="C48">
        <v>6</v>
      </c>
    </row>
    <row r="49" spans="1:10" x14ac:dyDescent="0.3">
      <c r="B49" s="289" t="s">
        <v>275</v>
      </c>
      <c r="C49">
        <v>7</v>
      </c>
    </row>
    <row r="50" spans="1:10" x14ac:dyDescent="0.3">
      <c r="B50">
        <v>5</v>
      </c>
      <c r="C50">
        <v>8</v>
      </c>
    </row>
    <row r="51" spans="1:10" x14ac:dyDescent="0.3">
      <c r="B51">
        <f>B50+1</f>
        <v>6</v>
      </c>
      <c r="C51">
        <f>C50+1</f>
        <v>9</v>
      </c>
    </row>
    <row r="52" spans="1:10" x14ac:dyDescent="0.3">
      <c r="B52">
        <f t="shared" ref="B52:B57" si="0">B51+1</f>
        <v>7</v>
      </c>
      <c r="C52">
        <f t="shared" ref="C52:C57" si="1">C51+1</f>
        <v>10</v>
      </c>
    </row>
    <row r="53" spans="1:10" x14ac:dyDescent="0.3">
      <c r="B53">
        <f t="shared" si="0"/>
        <v>8</v>
      </c>
      <c r="C53">
        <f t="shared" si="1"/>
        <v>11</v>
      </c>
    </row>
    <row r="54" spans="1:10" x14ac:dyDescent="0.3">
      <c r="B54">
        <f t="shared" si="0"/>
        <v>9</v>
      </c>
      <c r="C54">
        <f t="shared" si="1"/>
        <v>12</v>
      </c>
    </row>
    <row r="55" spans="1:10" x14ac:dyDescent="0.3">
      <c r="B55">
        <f t="shared" si="0"/>
        <v>10</v>
      </c>
      <c r="C55">
        <f t="shared" si="1"/>
        <v>13</v>
      </c>
    </row>
    <row r="56" spans="1:10" x14ac:dyDescent="0.3">
      <c r="B56">
        <f t="shared" si="0"/>
        <v>11</v>
      </c>
      <c r="C56">
        <f t="shared" si="1"/>
        <v>14</v>
      </c>
    </row>
    <row r="57" spans="1:10" x14ac:dyDescent="0.3">
      <c r="B57">
        <f t="shared" si="0"/>
        <v>12</v>
      </c>
      <c r="C57">
        <f t="shared" si="1"/>
        <v>15</v>
      </c>
    </row>
    <row r="58" spans="1:10" x14ac:dyDescent="0.3">
      <c r="B58">
        <f>B57+1</f>
        <v>13</v>
      </c>
      <c r="C58">
        <f>C57+1</f>
        <v>16</v>
      </c>
    </row>
    <row r="59" spans="1:10" x14ac:dyDescent="0.3">
      <c r="B59">
        <f>B58+1</f>
        <v>14</v>
      </c>
      <c r="C59">
        <f>C58+1</f>
        <v>17</v>
      </c>
    </row>
    <row r="60" spans="1:10" x14ac:dyDescent="0.3">
      <c r="A60" t="s">
        <v>295</v>
      </c>
    </row>
    <row r="61" spans="1:10" ht="28.8" x14ac:dyDescent="0.3">
      <c r="A61" s="301">
        <v>42871</v>
      </c>
      <c r="B61" s="302"/>
      <c r="C61" s="303" t="s">
        <v>293</v>
      </c>
      <c r="D61" s="304"/>
      <c r="E61" s="305"/>
      <c r="F61" s="303"/>
      <c r="G61" s="303" t="s">
        <v>294</v>
      </c>
      <c r="H61" s="306"/>
      <c r="I61" s="303" t="s">
        <v>294</v>
      </c>
      <c r="J61" s="307" t="s">
        <v>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0"/>
  <sheetViews>
    <sheetView workbookViewId="0">
      <selection activeCell="E11" sqref="E11"/>
    </sheetView>
  </sheetViews>
  <sheetFormatPr defaultRowHeight="14.4" x14ac:dyDescent="0.3"/>
  <sheetData>
    <row r="6" spans="1:5" x14ac:dyDescent="0.3">
      <c r="B6">
        <v>4200</v>
      </c>
      <c r="C6" t="s">
        <v>292</v>
      </c>
    </row>
    <row r="7" spans="1:5" x14ac:dyDescent="0.3">
      <c r="B7">
        <v>730</v>
      </c>
    </row>
    <row r="8" spans="1:5" x14ac:dyDescent="0.3">
      <c r="B8">
        <v>730</v>
      </c>
    </row>
    <row r="9" spans="1:5" x14ac:dyDescent="0.3">
      <c r="B9">
        <v>730</v>
      </c>
    </row>
    <row r="10" spans="1:5" x14ac:dyDescent="0.3">
      <c r="A10">
        <v>25200</v>
      </c>
      <c r="B10">
        <f>SUM(B6:B9)</f>
        <v>6390</v>
      </c>
      <c r="C10">
        <f>A10-B10</f>
        <v>18810</v>
      </c>
      <c r="D10">
        <v>2</v>
      </c>
      <c r="E10">
        <f>C10/D10</f>
        <v>9405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Себестоимость</vt:lpstr>
      <vt:lpstr>наряд</vt:lpstr>
      <vt:lpstr>форма наряда</vt:lpstr>
      <vt:lpstr>Финансирование</vt:lpstr>
      <vt:lpstr>Доработки InterStroi</vt:lpstr>
      <vt:lpstr>программа</vt:lpstr>
      <vt:lpstr>Лист3</vt:lpstr>
      <vt:lpstr>'форма наряда'!Область_печати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Большой Э</dc:creator>
  <cp:lastModifiedBy>numerus</cp:lastModifiedBy>
  <cp:lastPrinted>2017-07-24T17:06:06Z</cp:lastPrinted>
  <dcterms:created xsi:type="dcterms:W3CDTF">2017-01-05T08:20:35Z</dcterms:created>
  <dcterms:modified xsi:type="dcterms:W3CDTF">2017-10-04T07:38:08Z</dcterms:modified>
</cp:coreProperties>
</file>