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iCO\CCM\"/>
    </mc:Choice>
  </mc:AlternateContent>
  <bookViews>
    <workbookView xWindow="0" yWindow="0" windowWidth="22752" windowHeight="8327"/>
  </bookViews>
  <sheets>
    <sheet name="Смета-329 846 796" sheetId="14" r:id="rId1"/>
    <sheet name="жд №6-Смета-335 804 796 упр" sheetId="12" r:id="rId2"/>
  </sheets>
  <definedNames>
    <definedName name="_xlnm._FilterDatabase" localSheetId="0" hidden="1">'Смета-329 846 796'!$A$17:$R$285</definedName>
    <definedName name="_xlnm.Print_Titles" localSheetId="1">'жд №6-Смета-335 804 796 упр'!$17:$18</definedName>
    <definedName name="_xlnm.Print_Titles" localSheetId="0">'Смета-329 846 796'!$17:$18</definedName>
    <definedName name="_xlnm.Print_Area" localSheetId="1">'жд №6-Смета-335 804 796 упр'!$A$1:$I$279</definedName>
    <definedName name="_xlnm.Print_Area" localSheetId="0">'Смета-329 846 796'!$A$1:$I$285</definedName>
  </definedNames>
  <calcPr calcId="162913"/>
</workbook>
</file>

<file path=xl/calcChain.xml><?xml version="1.0" encoding="utf-8"?>
<calcChain xmlns="http://schemas.openxmlformats.org/spreadsheetml/2006/main">
  <c r="P280" i="14" l="1"/>
  <c r="V286" i="14"/>
  <c r="U286" i="14"/>
  <c r="U283" i="14"/>
  <c r="S287" i="14"/>
  <c r="U287" i="14" s="1"/>
  <c r="G273" i="14"/>
  <c r="G272" i="14"/>
  <c r="G271" i="14"/>
  <c r="G270" i="14"/>
  <c r="G269" i="14"/>
  <c r="G267" i="14"/>
  <c r="G266" i="14"/>
  <c r="G265" i="14"/>
  <c r="I270" i="14" l="1"/>
  <c r="G274" i="14"/>
  <c r="AE285" i="14"/>
  <c r="AD285" i="14"/>
  <c r="AC285" i="14"/>
  <c r="AC284" i="14"/>
  <c r="AH276" i="14"/>
  <c r="AJ276" i="14" s="1"/>
  <c r="AJ284" i="14" s="1"/>
  <c r="AJ285" i="14" s="1"/>
  <c r="AC276" i="14"/>
  <c r="AB276" i="14"/>
  <c r="AB284" i="14" s="1"/>
  <c r="AB285" i="14" s="1"/>
  <c r="AE276" i="14"/>
  <c r="G276" i="14"/>
  <c r="AD274" i="14"/>
  <c r="AC274" i="14"/>
  <c r="AC273" i="14"/>
  <c r="F273" i="14"/>
  <c r="H273" i="14" s="1"/>
  <c r="I273" i="14" s="1"/>
  <c r="AC272" i="14"/>
  <c r="F272" i="14"/>
  <c r="AD272" i="14"/>
  <c r="AC271" i="14"/>
  <c r="F271" i="14"/>
  <c r="AD271" i="14"/>
  <c r="AC270" i="14"/>
  <c r="AD270" i="14"/>
  <c r="H270" i="14"/>
  <c r="AE270" i="14" s="1"/>
  <c r="AC269" i="14"/>
  <c r="F269" i="14"/>
  <c r="H269" i="14" s="1"/>
  <c r="AF268" i="14"/>
  <c r="AC268" i="14"/>
  <c r="AE268" i="14"/>
  <c r="AC267" i="14"/>
  <c r="AD267" i="14"/>
  <c r="AC266" i="14"/>
  <c r="H266" i="14"/>
  <c r="AC265" i="14"/>
  <c r="AD265" i="14"/>
  <c r="H265" i="14"/>
  <c r="I265" i="14" s="1"/>
  <c r="AF264" i="14"/>
  <c r="AC264" i="14"/>
  <c r="AD264" i="14"/>
  <c r="AC263" i="14"/>
  <c r="H262" i="14"/>
  <c r="G262" i="14"/>
  <c r="AC261" i="14"/>
  <c r="H261" i="14"/>
  <c r="G261" i="14"/>
  <c r="AD261" i="14" s="1"/>
  <c r="AF260" i="14"/>
  <c r="AC260" i="14"/>
  <c r="AE260" i="14"/>
  <c r="AC259" i="14"/>
  <c r="AH256" i="14"/>
  <c r="AJ256" i="14" s="1"/>
  <c r="AJ259" i="14" s="1"/>
  <c r="AC256" i="14"/>
  <c r="Z255" i="14"/>
  <c r="H255" i="14"/>
  <c r="AB255" i="14" s="1"/>
  <c r="G255" i="14"/>
  <c r="AC253" i="14"/>
  <c r="AC252" i="14"/>
  <c r="D252" i="14"/>
  <c r="D254" i="14" s="1"/>
  <c r="H254" i="14" s="1"/>
  <c r="I254" i="14" s="1"/>
  <c r="AC251" i="14"/>
  <c r="AE251" i="14"/>
  <c r="G251" i="14"/>
  <c r="I251" i="14" s="1"/>
  <c r="AF251" i="14" s="1"/>
  <c r="D250" i="14"/>
  <c r="H250" i="14" s="1"/>
  <c r="I250" i="14" s="1"/>
  <c r="D249" i="14"/>
  <c r="H249" i="14" s="1"/>
  <c r="I249" i="14" s="1"/>
  <c r="D248" i="14"/>
  <c r="H248" i="14" s="1"/>
  <c r="I248" i="14" s="1"/>
  <c r="D247" i="14"/>
  <c r="H247" i="14" s="1"/>
  <c r="I247" i="14" s="1"/>
  <c r="AC246" i="14"/>
  <c r="G246" i="14"/>
  <c r="AC245" i="14"/>
  <c r="AD245" i="14"/>
  <c r="H245" i="14"/>
  <c r="I245" i="14" s="1"/>
  <c r="AF245" i="14" s="1"/>
  <c r="AC244" i="14"/>
  <c r="D244" i="14"/>
  <c r="H244" i="14"/>
  <c r="I244" i="14" s="1"/>
  <c r="AF244" i="14" s="1"/>
  <c r="AC243" i="14"/>
  <c r="D243" i="14"/>
  <c r="G243" i="14" s="1"/>
  <c r="AC242" i="14"/>
  <c r="H242" i="14"/>
  <c r="AE242" i="14" s="1"/>
  <c r="G242" i="14"/>
  <c r="AD242" i="14" s="1"/>
  <c r="AC241" i="14"/>
  <c r="H241" i="14"/>
  <c r="AE241" i="14" s="1"/>
  <c r="G241" i="14"/>
  <c r="AD241" i="14" s="1"/>
  <c r="AC240" i="14"/>
  <c r="H240" i="14"/>
  <c r="G240" i="14"/>
  <c r="AD240" i="14" s="1"/>
  <c r="AC239" i="14"/>
  <c r="H239" i="14"/>
  <c r="I239" i="14" s="1"/>
  <c r="AF239" i="14" s="1"/>
  <c r="AC238" i="14"/>
  <c r="D238" i="14"/>
  <c r="H238" i="14" s="1"/>
  <c r="AC236" i="14"/>
  <c r="H236" i="14"/>
  <c r="G236" i="14"/>
  <c r="H235" i="14"/>
  <c r="G235" i="14"/>
  <c r="AC234" i="14"/>
  <c r="H234" i="14"/>
  <c r="AE234" i="14" s="1"/>
  <c r="G234" i="14"/>
  <c r="AD234" i="14" s="1"/>
  <c r="H232" i="14"/>
  <c r="G232" i="14"/>
  <c r="AC231" i="14"/>
  <c r="H231" i="14"/>
  <c r="AE231" i="14" s="1"/>
  <c r="G231" i="14"/>
  <c r="AD231" i="14" s="1"/>
  <c r="AC230" i="14"/>
  <c r="H230" i="14"/>
  <c r="AE230" i="14" s="1"/>
  <c r="G230" i="14"/>
  <c r="AC229" i="14"/>
  <c r="H229" i="14"/>
  <c r="G229" i="14"/>
  <c r="D228" i="14"/>
  <c r="H228" i="14" s="1"/>
  <c r="I228" i="14" s="1"/>
  <c r="H227" i="14"/>
  <c r="I227" i="14" s="1"/>
  <c r="G226" i="14"/>
  <c r="I226" i="14" s="1"/>
  <c r="D225" i="14"/>
  <c r="H225" i="14" s="1"/>
  <c r="D224" i="14"/>
  <c r="H224" i="14" s="1"/>
  <c r="G223" i="14"/>
  <c r="I223" i="14" s="1"/>
  <c r="AF221" i="14"/>
  <c r="AC221" i="14"/>
  <c r="AE221" i="14"/>
  <c r="AC220" i="14"/>
  <c r="AC219" i="14"/>
  <c r="Z218" i="14"/>
  <c r="H218" i="14"/>
  <c r="AB218" i="14" s="1"/>
  <c r="G218" i="14"/>
  <c r="AA218" i="14" s="1"/>
  <c r="Z217" i="14"/>
  <c r="H217" i="14"/>
  <c r="G217" i="14"/>
  <c r="I217" i="14" s="1"/>
  <c r="AC217" i="14" s="1"/>
  <c r="Z216" i="14"/>
  <c r="D216" i="14"/>
  <c r="G216" i="14" s="1"/>
  <c r="Z215" i="14"/>
  <c r="D215" i="14"/>
  <c r="G215" i="14" s="1"/>
  <c r="AA215" i="14" s="1"/>
  <c r="AC214" i="14"/>
  <c r="H214" i="14"/>
  <c r="G214" i="14"/>
  <c r="AF213" i="14"/>
  <c r="AC213" i="14"/>
  <c r="AE213" i="14"/>
  <c r="AD213" i="14"/>
  <c r="AC212" i="14"/>
  <c r="AC211" i="14"/>
  <c r="AC210" i="14"/>
  <c r="H210" i="14"/>
  <c r="G210" i="14"/>
  <c r="AD210" i="14" s="1"/>
  <c r="AC209" i="14"/>
  <c r="H209" i="14"/>
  <c r="AE209" i="14" s="1"/>
  <c r="G209" i="14"/>
  <c r="AF208" i="14"/>
  <c r="AC208" i="14"/>
  <c r="AE208" i="14"/>
  <c r="AD208" i="14"/>
  <c r="AC207" i="14"/>
  <c r="AC204" i="14"/>
  <c r="H203" i="14"/>
  <c r="G203" i="14"/>
  <c r="H202" i="14"/>
  <c r="G202" i="14"/>
  <c r="H201" i="14"/>
  <c r="G201" i="14"/>
  <c r="D200" i="14"/>
  <c r="D199" i="14"/>
  <c r="G199" i="14" s="1"/>
  <c r="AC198" i="14"/>
  <c r="H198" i="14"/>
  <c r="G198" i="14"/>
  <c r="AD198" i="14" s="1"/>
  <c r="AC197" i="14"/>
  <c r="H197" i="14"/>
  <c r="G197" i="14"/>
  <c r="AC196" i="14"/>
  <c r="H196" i="14"/>
  <c r="G196" i="14"/>
  <c r="AF195" i="14"/>
  <c r="AC195" i="14"/>
  <c r="AE195" i="14"/>
  <c r="AC194" i="14"/>
  <c r="AC191" i="14"/>
  <c r="G190" i="14"/>
  <c r="F190" i="14"/>
  <c r="H190" i="14" s="1"/>
  <c r="H189" i="14"/>
  <c r="G189" i="14"/>
  <c r="G188" i="14"/>
  <c r="F188" i="14"/>
  <c r="H188" i="14" s="1"/>
  <c r="H187" i="14"/>
  <c r="G187" i="14"/>
  <c r="H186" i="14"/>
  <c r="G186" i="14"/>
  <c r="G185" i="14"/>
  <c r="F185" i="14"/>
  <c r="H185" i="14" s="1"/>
  <c r="G184" i="14"/>
  <c r="F184" i="14"/>
  <c r="H184" i="14" s="1"/>
  <c r="G183" i="14"/>
  <c r="F183" i="14"/>
  <c r="H183" i="14" s="1"/>
  <c r="H182" i="14"/>
  <c r="G182" i="14"/>
  <c r="H181" i="14"/>
  <c r="G181" i="14"/>
  <c r="H180" i="14"/>
  <c r="G180" i="14"/>
  <c r="G179" i="14"/>
  <c r="F179" i="14"/>
  <c r="H179" i="14" s="1"/>
  <c r="G178" i="14"/>
  <c r="F178" i="14"/>
  <c r="H178" i="14" s="1"/>
  <c r="G177" i="14"/>
  <c r="F177" i="14"/>
  <c r="H177" i="14" s="1"/>
  <c r="G176" i="14"/>
  <c r="F176" i="14"/>
  <c r="H176" i="14" s="1"/>
  <c r="G175" i="14"/>
  <c r="F175" i="14"/>
  <c r="H175" i="14" s="1"/>
  <c r="G174" i="14"/>
  <c r="F174" i="14"/>
  <c r="H174" i="14" s="1"/>
  <c r="G173" i="14"/>
  <c r="F173" i="14"/>
  <c r="H173" i="14" s="1"/>
  <c r="G172" i="14"/>
  <c r="F172" i="14"/>
  <c r="H172" i="14" s="1"/>
  <c r="G171" i="14"/>
  <c r="F171" i="14"/>
  <c r="H171" i="14" s="1"/>
  <c r="G170" i="14"/>
  <c r="F170" i="14"/>
  <c r="H170" i="14" s="1"/>
  <c r="AC168" i="14"/>
  <c r="AC165" i="14"/>
  <c r="AC164" i="14"/>
  <c r="H164" i="14"/>
  <c r="AE164" i="14" s="1"/>
  <c r="G164" i="14"/>
  <c r="AD164" i="14" s="1"/>
  <c r="AC163" i="14"/>
  <c r="H163" i="14"/>
  <c r="AE163" i="14" s="1"/>
  <c r="G163" i="14"/>
  <c r="AD163" i="14" s="1"/>
  <c r="AC162" i="14"/>
  <c r="H162" i="14"/>
  <c r="G162" i="14"/>
  <c r="AD162" i="14" s="1"/>
  <c r="H161" i="14"/>
  <c r="G161" i="14"/>
  <c r="AI160" i="14"/>
  <c r="AH160" i="14"/>
  <c r="AH165" i="14" s="1"/>
  <c r="AJ165" i="14" s="1"/>
  <c r="AJ168" i="14" s="1"/>
  <c r="AC160" i="14"/>
  <c r="H160" i="14"/>
  <c r="AE160" i="14" s="1"/>
  <c r="G160" i="14"/>
  <c r="AD160" i="14" s="1"/>
  <c r="AI159" i="14"/>
  <c r="AH159" i="14"/>
  <c r="AF159" i="14"/>
  <c r="AC159" i="14"/>
  <c r="AE159" i="14"/>
  <c r="AC158" i="14"/>
  <c r="AC155" i="14"/>
  <c r="AI154" i="14"/>
  <c r="AH154" i="14"/>
  <c r="AC154" i="14"/>
  <c r="D154" i="14"/>
  <c r="AI153" i="14"/>
  <c r="AH153" i="14"/>
  <c r="AC153" i="14"/>
  <c r="D153" i="14"/>
  <c r="H153" i="14" s="1"/>
  <c r="AI152" i="14"/>
  <c r="AH152" i="14"/>
  <c r="AC152" i="14"/>
  <c r="H152" i="14"/>
  <c r="G152" i="14"/>
  <c r="AI151" i="14"/>
  <c r="AH151" i="14"/>
  <c r="AC151" i="14"/>
  <c r="H151" i="14"/>
  <c r="G151" i="14"/>
  <c r="AI150" i="14"/>
  <c r="AH150" i="14"/>
  <c r="AC150" i="14"/>
  <c r="AB150" i="14"/>
  <c r="H150" i="14"/>
  <c r="AE150" i="14" s="1"/>
  <c r="G150" i="14"/>
  <c r="AD150" i="14" s="1"/>
  <c r="AI149" i="14"/>
  <c r="AH149" i="14"/>
  <c r="AF149" i="14"/>
  <c r="AC149" i="14"/>
  <c r="AE149" i="14"/>
  <c r="AD149" i="14"/>
  <c r="AC148" i="14"/>
  <c r="AC147" i="14"/>
  <c r="AI146" i="14"/>
  <c r="AH146" i="14"/>
  <c r="AC146" i="14"/>
  <c r="AB146" i="14"/>
  <c r="H146" i="14"/>
  <c r="G146" i="14"/>
  <c r="AD146" i="14" s="1"/>
  <c r="AI145" i="14"/>
  <c r="AH145" i="14"/>
  <c r="AC145" i="14"/>
  <c r="D145" i="14"/>
  <c r="H145" i="14" s="1"/>
  <c r="I145" i="14" s="1"/>
  <c r="AF145" i="14" s="1"/>
  <c r="AI144" i="14"/>
  <c r="AH144" i="14"/>
  <c r="AC144" i="14"/>
  <c r="D144" i="14"/>
  <c r="H144" i="14" s="1"/>
  <c r="AI143" i="14"/>
  <c r="AH143" i="14"/>
  <c r="AC143" i="14"/>
  <c r="G143" i="14"/>
  <c r="AD143" i="14" s="1"/>
  <c r="D141" i="14"/>
  <c r="G141" i="14" s="1"/>
  <c r="I141" i="14" s="1"/>
  <c r="D140" i="14"/>
  <c r="H140" i="14" s="1"/>
  <c r="I140" i="14" s="1"/>
  <c r="G139" i="14"/>
  <c r="I139" i="14" s="1"/>
  <c r="H138" i="14"/>
  <c r="I138" i="14" s="1"/>
  <c r="AI136" i="14"/>
  <c r="AH136" i="14"/>
  <c r="AC136" i="14"/>
  <c r="AB136" i="14"/>
  <c r="AI135" i="14"/>
  <c r="AH135" i="14"/>
  <c r="AB135" i="14"/>
  <c r="AI134" i="14"/>
  <c r="AH134" i="14"/>
  <c r="AC134" i="14"/>
  <c r="AB134" i="14"/>
  <c r="D134" i="14"/>
  <c r="AI133" i="14"/>
  <c r="AH133" i="14"/>
  <c r="AF133" i="14"/>
  <c r="AE133" i="14"/>
  <c r="AD133" i="14"/>
  <c r="AC133" i="14"/>
  <c r="AC132" i="14"/>
  <c r="AC129" i="14"/>
  <c r="AI128" i="14"/>
  <c r="AH128" i="14"/>
  <c r="AC128" i="14"/>
  <c r="H128" i="14"/>
  <c r="AE128" i="14" s="1"/>
  <c r="G128" i="14"/>
  <c r="AD128" i="14" s="1"/>
  <c r="AI127" i="14"/>
  <c r="AH127" i="14"/>
  <c r="AC127" i="14"/>
  <c r="H127" i="14"/>
  <c r="AE127" i="14" s="1"/>
  <c r="G127" i="14"/>
  <c r="AI126" i="14"/>
  <c r="AH126" i="14"/>
  <c r="AC126" i="14"/>
  <c r="AB126" i="14"/>
  <c r="H126" i="14"/>
  <c r="AE126" i="14" s="1"/>
  <c r="G126" i="14"/>
  <c r="AD126" i="14" s="1"/>
  <c r="AI125" i="14"/>
  <c r="AH125" i="14"/>
  <c r="AC125" i="14"/>
  <c r="D125" i="14"/>
  <c r="H125" i="14" s="1"/>
  <c r="I125" i="14" s="1"/>
  <c r="AF125" i="14" s="1"/>
  <c r="AI124" i="14"/>
  <c r="AH124" i="14"/>
  <c r="AC124" i="14"/>
  <c r="D124" i="14"/>
  <c r="H124" i="14" s="1"/>
  <c r="I124" i="14" s="1"/>
  <c r="AF124" i="14" s="1"/>
  <c r="AI123" i="14"/>
  <c r="AH123" i="14"/>
  <c r="AC123" i="14"/>
  <c r="G123" i="14"/>
  <c r="I123" i="14" s="1"/>
  <c r="AF123" i="14" s="1"/>
  <c r="AI122" i="14"/>
  <c r="AH122" i="14"/>
  <c r="AC122" i="14"/>
  <c r="AB122" i="14"/>
  <c r="D122" i="14"/>
  <c r="H122" i="14" s="1"/>
  <c r="I122" i="14" s="1"/>
  <c r="AI121" i="14"/>
  <c r="AH121" i="14"/>
  <c r="AC121" i="14"/>
  <c r="AB121" i="14"/>
  <c r="D121" i="14"/>
  <c r="H121" i="14" s="1"/>
  <c r="I121" i="14" s="1"/>
  <c r="AI120" i="14"/>
  <c r="AH120" i="14"/>
  <c r="AC120" i="14"/>
  <c r="AB120" i="14"/>
  <c r="G120" i="14"/>
  <c r="I120" i="14" s="1"/>
  <c r="H119" i="14"/>
  <c r="I119" i="14" s="1"/>
  <c r="AI118" i="14"/>
  <c r="AH118" i="14"/>
  <c r="AC118" i="14"/>
  <c r="AB118" i="14"/>
  <c r="D118" i="14"/>
  <c r="H118" i="14" s="1"/>
  <c r="I118" i="14" s="1"/>
  <c r="AI117" i="14"/>
  <c r="AH117" i="14"/>
  <c r="AC117" i="14"/>
  <c r="AB117" i="14"/>
  <c r="D117" i="14"/>
  <c r="H117" i="14" s="1"/>
  <c r="AI116" i="14"/>
  <c r="AH116" i="14"/>
  <c r="AC116" i="14"/>
  <c r="AB116" i="14"/>
  <c r="G116" i="14"/>
  <c r="I116" i="14" s="1"/>
  <c r="AF115" i="14"/>
  <c r="AE115" i="14"/>
  <c r="AD115" i="14"/>
  <c r="AC115" i="14"/>
  <c r="AC114" i="14"/>
  <c r="AH111" i="14"/>
  <c r="AJ111" i="14" s="1"/>
  <c r="AJ114" i="14" s="1"/>
  <c r="AC111" i="14"/>
  <c r="D110" i="14"/>
  <c r="G110" i="14" s="1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I102" i="14" s="1"/>
  <c r="H101" i="14"/>
  <c r="I101" i="14" s="1"/>
  <c r="D99" i="14"/>
  <c r="D100" i="14" s="1"/>
  <c r="H100" i="14" s="1"/>
  <c r="I100" i="14" s="1"/>
  <c r="H93" i="14"/>
  <c r="I93" i="14" s="1"/>
  <c r="H92" i="14"/>
  <c r="I92" i="14" s="1"/>
  <c r="G91" i="14"/>
  <c r="I91" i="14" s="1"/>
  <c r="H90" i="14"/>
  <c r="I90" i="14" s="1"/>
  <c r="G89" i="14"/>
  <c r="I89" i="14" s="1"/>
  <c r="D88" i="14"/>
  <c r="H88" i="14" s="1"/>
  <c r="I88" i="14" s="1"/>
  <c r="D87" i="14"/>
  <c r="H87" i="14" s="1"/>
  <c r="I87" i="14" s="1"/>
  <c r="G86" i="14"/>
  <c r="I86" i="14" s="1"/>
  <c r="D85" i="14"/>
  <c r="H85" i="14" s="1"/>
  <c r="I85" i="14" s="1"/>
  <c r="H84" i="14"/>
  <c r="G84" i="14"/>
  <c r="H83" i="14"/>
  <c r="I83" i="14" s="1"/>
  <c r="D82" i="14"/>
  <c r="H82" i="14" s="1"/>
  <c r="I82" i="14" s="1"/>
  <c r="G81" i="14"/>
  <c r="I81" i="14" s="1"/>
  <c r="H80" i="14"/>
  <c r="I80" i="14" s="1"/>
  <c r="D79" i="14"/>
  <c r="H79" i="14"/>
  <c r="I79" i="14" s="1"/>
  <c r="D78" i="14"/>
  <c r="H78" i="14" s="1"/>
  <c r="I78" i="14" s="1"/>
  <c r="D77" i="14"/>
  <c r="G77" i="14" s="1"/>
  <c r="I77" i="14" s="1"/>
  <c r="H76" i="14"/>
  <c r="I76" i="14" s="1"/>
  <c r="D75" i="14"/>
  <c r="H75" i="14" s="1"/>
  <c r="I75" i="14" s="1"/>
  <c r="H74" i="14"/>
  <c r="G74" i="14"/>
  <c r="H73" i="14"/>
  <c r="I73" i="14" s="1"/>
  <c r="H72" i="14"/>
  <c r="I72" i="14" s="1"/>
  <c r="D71" i="14"/>
  <c r="H71" i="14" s="1"/>
  <c r="I71" i="14" s="1"/>
  <c r="G70" i="14"/>
  <c r="I70" i="14" s="1"/>
  <c r="H69" i="14"/>
  <c r="I69" i="14" s="1"/>
  <c r="H68" i="14"/>
  <c r="I68" i="14" s="1"/>
  <c r="H67" i="14"/>
  <c r="I67" i="14" s="1"/>
  <c r="H66" i="14"/>
  <c r="I66" i="14" s="1"/>
  <c r="D65" i="14"/>
  <c r="H64" i="14"/>
  <c r="I64" i="14" s="1"/>
  <c r="D63" i="14"/>
  <c r="H63" i="14" s="1"/>
  <c r="I63" i="14" s="1"/>
  <c r="D62" i="14"/>
  <c r="H62" i="14" s="1"/>
  <c r="I62" i="14" s="1"/>
  <c r="D61" i="14"/>
  <c r="H61" i="14" s="1"/>
  <c r="I61" i="14" s="1"/>
  <c r="D60" i="14"/>
  <c r="H54" i="14"/>
  <c r="I54" i="14" s="1"/>
  <c r="D53" i="14"/>
  <c r="H53" i="14" s="1"/>
  <c r="I53" i="14" s="1"/>
  <c r="G52" i="14"/>
  <c r="I52" i="14" s="1"/>
  <c r="H51" i="14"/>
  <c r="I51" i="14" s="1"/>
  <c r="D50" i="14"/>
  <c r="H50" i="14" s="1"/>
  <c r="I50" i="14" s="1"/>
  <c r="D49" i="14"/>
  <c r="H49" i="14" s="1"/>
  <c r="I49" i="14" s="1"/>
  <c r="G48" i="14"/>
  <c r="I48" i="14" s="1"/>
  <c r="H47" i="14"/>
  <c r="I47" i="14" s="1"/>
  <c r="D46" i="14"/>
  <c r="H46" i="14" s="1"/>
  <c r="I46" i="14" s="1"/>
  <c r="G45" i="14"/>
  <c r="I45" i="14" s="1"/>
  <c r="D44" i="14"/>
  <c r="H44" i="14" s="1"/>
  <c r="I44" i="14" s="1"/>
  <c r="H43" i="14"/>
  <c r="I43" i="14" s="1"/>
  <c r="G42" i="14"/>
  <c r="I42" i="14" s="1"/>
  <c r="H41" i="14"/>
  <c r="I41" i="14" s="1"/>
  <c r="H40" i="14"/>
  <c r="I40" i="14" s="1"/>
  <c r="D39" i="14"/>
  <c r="H39" i="14" s="1"/>
  <c r="I39" i="14" s="1"/>
  <c r="H38" i="14"/>
  <c r="G38" i="14"/>
  <c r="D37" i="14"/>
  <c r="H37" i="14" s="1"/>
  <c r="G36" i="14"/>
  <c r="I36" i="14" s="1"/>
  <c r="H30" i="14"/>
  <c r="G30" i="14"/>
  <c r="H29" i="14"/>
  <c r="G29" i="14"/>
  <c r="I28" i="14"/>
  <c r="H28" i="14"/>
  <c r="D27" i="14"/>
  <c r="I27" i="14" s="1"/>
  <c r="H21" i="14"/>
  <c r="G21" i="14"/>
  <c r="H20" i="14"/>
  <c r="G20" i="14"/>
  <c r="H28" i="12"/>
  <c r="G29" i="12"/>
  <c r="I29" i="12" s="1"/>
  <c r="H29" i="12"/>
  <c r="G30" i="12"/>
  <c r="H30" i="12"/>
  <c r="G21" i="12"/>
  <c r="H21" i="12"/>
  <c r="I21" i="12" s="1"/>
  <c r="H20" i="12"/>
  <c r="G20" i="12"/>
  <c r="H202" i="12"/>
  <c r="I202" i="12" s="1"/>
  <c r="G202" i="12"/>
  <c r="S201" i="12"/>
  <c r="H201" i="12"/>
  <c r="G201" i="12"/>
  <c r="D215" i="12"/>
  <c r="D216" i="12"/>
  <c r="H216" i="12"/>
  <c r="BX216" i="12" s="1"/>
  <c r="BV218" i="12"/>
  <c r="T218" i="12"/>
  <c r="S218" i="12"/>
  <c r="H218" i="12"/>
  <c r="G218" i="12"/>
  <c r="I218" i="12" s="1"/>
  <c r="BV217" i="12"/>
  <c r="T217" i="12"/>
  <c r="S217" i="12"/>
  <c r="H217" i="12"/>
  <c r="G217" i="12"/>
  <c r="BV216" i="12"/>
  <c r="T216" i="12"/>
  <c r="S216" i="12"/>
  <c r="BW216" i="12" s="1"/>
  <c r="BV215" i="12"/>
  <c r="T215" i="12"/>
  <c r="S215" i="12"/>
  <c r="U215" i="12" s="1"/>
  <c r="BV255" i="12"/>
  <c r="T255" i="12"/>
  <c r="S255" i="12"/>
  <c r="H255" i="12"/>
  <c r="G255" i="12"/>
  <c r="D249" i="12"/>
  <c r="H249" i="12" s="1"/>
  <c r="I249" i="12" s="1"/>
  <c r="D248" i="12"/>
  <c r="H248" i="12" s="1"/>
  <c r="I248" i="12" s="1"/>
  <c r="D247" i="12"/>
  <c r="H247" i="12"/>
  <c r="I247" i="12" s="1"/>
  <c r="D250" i="12"/>
  <c r="H250" i="12"/>
  <c r="I250" i="12" s="1"/>
  <c r="BY230" i="12"/>
  <c r="AI230" i="12"/>
  <c r="AH230" i="12"/>
  <c r="W230" i="12"/>
  <c r="V230" i="12"/>
  <c r="H230" i="12"/>
  <c r="G230" i="12"/>
  <c r="I230" i="12" s="1"/>
  <c r="D228" i="12"/>
  <c r="H228" i="12" s="1"/>
  <c r="I228" i="12" s="1"/>
  <c r="F190" i="12"/>
  <c r="H190" i="12"/>
  <c r="G190" i="12"/>
  <c r="D154" i="12"/>
  <c r="H154" i="12"/>
  <c r="D153" i="12"/>
  <c r="H153" i="12" s="1"/>
  <c r="D141" i="12"/>
  <c r="G141" i="12" s="1"/>
  <c r="I141" i="12" s="1"/>
  <c r="D140" i="12"/>
  <c r="H140" i="12" s="1"/>
  <c r="I140" i="12"/>
  <c r="G139" i="12"/>
  <c r="I139" i="12" s="1"/>
  <c r="CA279" i="12"/>
  <c r="BZ279" i="12"/>
  <c r="BY279" i="12"/>
  <c r="CA278" i="12"/>
  <c r="BZ278" i="12"/>
  <c r="BY278" i="12"/>
  <c r="CD276" i="12"/>
  <c r="CF276" i="12" s="1"/>
  <c r="CF278" i="12" s="1"/>
  <c r="CF279" i="12" s="1"/>
  <c r="BY276" i="12"/>
  <c r="BX276" i="12"/>
  <c r="BX278" i="12" s="1"/>
  <c r="BX279" i="12"/>
  <c r="AN276" i="12"/>
  <c r="AP276" i="12" s="1"/>
  <c r="AP278" i="12" s="1"/>
  <c r="AP279" i="12" s="1"/>
  <c r="AL276" i="12"/>
  <c r="AI276" i="12"/>
  <c r="AH276" i="12"/>
  <c r="AF276" i="12"/>
  <c r="AD276" i="12"/>
  <c r="AD278" i="12" s="1"/>
  <c r="AD279" i="12" s="1"/>
  <c r="Z276" i="12"/>
  <c r="Z278" i="12"/>
  <c r="Z279" i="12" s="1"/>
  <c r="X276" i="12"/>
  <c r="G276" i="12"/>
  <c r="BZ274" i="12"/>
  <c r="BY274" i="12"/>
  <c r="X274" i="12"/>
  <c r="BY273" i="12"/>
  <c r="AO273" i="12"/>
  <c r="AP273" i="12" s="1"/>
  <c r="AG273" i="12"/>
  <c r="W273" i="12"/>
  <c r="F273" i="12"/>
  <c r="V273" i="12" s="1"/>
  <c r="BZ273" i="12" s="1"/>
  <c r="BY272" i="12"/>
  <c r="AO272" i="12"/>
  <c r="AP272" i="12" s="1"/>
  <c r="W272" i="12"/>
  <c r="F272" i="12"/>
  <c r="V272" i="12" s="1"/>
  <c r="BZ272" i="12" s="1"/>
  <c r="BY271" i="12"/>
  <c r="AO271" i="12"/>
  <c r="AP271" i="12"/>
  <c r="W271" i="12"/>
  <c r="F271" i="12"/>
  <c r="BY270" i="12"/>
  <c r="AO270" i="12"/>
  <c r="AP270" i="12" s="1"/>
  <c r="W270" i="12"/>
  <c r="V270" i="12"/>
  <c r="BZ270" i="12"/>
  <c r="H270" i="12"/>
  <c r="BY269" i="12"/>
  <c r="W269" i="12"/>
  <c r="F269" i="12"/>
  <c r="H269" i="12" s="1"/>
  <c r="I269" i="12" s="1"/>
  <c r="CB268" i="12"/>
  <c r="BY268" i="12"/>
  <c r="W268" i="12"/>
  <c r="CA268" i="12" s="1"/>
  <c r="V268" i="12"/>
  <c r="BY267" i="12"/>
  <c r="W267" i="12"/>
  <c r="V267" i="12"/>
  <c r="BY266" i="12"/>
  <c r="W266" i="12"/>
  <c r="V266" i="12"/>
  <c r="I266" i="12"/>
  <c r="CB266" i="12" s="1"/>
  <c r="H266" i="12"/>
  <c r="BY265" i="12"/>
  <c r="W265" i="12"/>
  <c r="V265" i="12"/>
  <c r="BZ265" i="12" s="1"/>
  <c r="H265" i="12"/>
  <c r="I265" i="12" s="1"/>
  <c r="CB264" i="12"/>
  <c r="BY264" i="12"/>
  <c r="W264" i="12"/>
  <c r="CA264" i="12"/>
  <c r="V264" i="12"/>
  <c r="BZ264" i="12"/>
  <c r="BY263" i="12"/>
  <c r="W263" i="12"/>
  <c r="V263" i="12"/>
  <c r="H262" i="12"/>
  <c r="G262" i="12"/>
  <c r="BY261" i="12"/>
  <c r="W261" i="12"/>
  <c r="V261" i="12"/>
  <c r="H261" i="12"/>
  <c r="G261" i="12"/>
  <c r="CB260" i="12"/>
  <c r="BY260" i="12"/>
  <c r="W260" i="12"/>
  <c r="CA260" i="12"/>
  <c r="V260" i="12"/>
  <c r="BZ260" i="12"/>
  <c r="BY259" i="12"/>
  <c r="W259" i="12"/>
  <c r="V259" i="12"/>
  <c r="X259" i="12" s="1"/>
  <c r="CD256" i="12"/>
  <c r="CF256" i="12" s="1"/>
  <c r="CF259" i="12" s="1"/>
  <c r="BY256" i="12"/>
  <c r="W256" i="12"/>
  <c r="X256" i="12" s="1"/>
  <c r="V256" i="12"/>
  <c r="BY253" i="12"/>
  <c r="AI253" i="12"/>
  <c r="AJ253" i="12" s="1"/>
  <c r="AH253" i="12"/>
  <c r="W253" i="12"/>
  <c r="V253" i="12"/>
  <c r="BY252" i="12"/>
  <c r="AI252" i="12"/>
  <c r="AJ252" i="12" s="1"/>
  <c r="AH252" i="12"/>
  <c r="W252" i="12"/>
  <c r="V252" i="12"/>
  <c r="D252" i="12"/>
  <c r="D254" i="12" s="1"/>
  <c r="H254" i="12" s="1"/>
  <c r="I254" i="12" s="1"/>
  <c r="BY251" i="12"/>
  <c r="W251" i="12"/>
  <c r="CA251" i="12"/>
  <c r="V251" i="12"/>
  <c r="G251" i="12"/>
  <c r="I251" i="12" s="1"/>
  <c r="CB251" i="12" s="1"/>
  <c r="BY246" i="12"/>
  <c r="AI246" i="12"/>
  <c r="AH246" i="12"/>
  <c r="W246" i="12"/>
  <c r="V246" i="12"/>
  <c r="BZ246" i="12" s="1"/>
  <c r="G246" i="12"/>
  <c r="I246" i="12" s="1"/>
  <c r="CB246" i="12" s="1"/>
  <c r="BY245" i="12"/>
  <c r="W245" i="12"/>
  <c r="V245" i="12"/>
  <c r="H245" i="12"/>
  <c r="BY244" i="12"/>
  <c r="AI244" i="12"/>
  <c r="AH244" i="12"/>
  <c r="W244" i="12"/>
  <c r="V244" i="12"/>
  <c r="D244" i="12"/>
  <c r="H244" i="12" s="1"/>
  <c r="BY243" i="12"/>
  <c r="AI243" i="12"/>
  <c r="AH243" i="12"/>
  <c r="W243" i="12"/>
  <c r="V243" i="12"/>
  <c r="D243" i="12"/>
  <c r="G243" i="12"/>
  <c r="BY242" i="12"/>
  <c r="AH242" i="12"/>
  <c r="W242" i="12"/>
  <c r="V242" i="12"/>
  <c r="H242" i="12"/>
  <c r="G242" i="12"/>
  <c r="BZ242" i="12" s="1"/>
  <c r="BY241" i="12"/>
  <c r="AI241" i="12"/>
  <c r="AH241" i="12"/>
  <c r="AJ241" i="12" s="1"/>
  <c r="W241" i="12"/>
  <c r="V241" i="12"/>
  <c r="H241" i="12"/>
  <c r="G241" i="12"/>
  <c r="BY240" i="12"/>
  <c r="AI240" i="12"/>
  <c r="AH240" i="12"/>
  <c r="W240" i="12"/>
  <c r="V240" i="12"/>
  <c r="H240" i="12"/>
  <c r="G240" i="12"/>
  <c r="BY239" i="12"/>
  <c r="AI239" i="12"/>
  <c r="AH239" i="12"/>
  <c r="W239" i="12"/>
  <c r="V239" i="12"/>
  <c r="H239" i="12"/>
  <c r="I239" i="12" s="1"/>
  <c r="CB239" i="12" s="1"/>
  <c r="BY238" i="12"/>
  <c r="AI238" i="12"/>
  <c r="AH238" i="12"/>
  <c r="W238" i="12"/>
  <c r="V238" i="12"/>
  <c r="D238" i="12"/>
  <c r="H238" i="12" s="1"/>
  <c r="BY236" i="12"/>
  <c r="AI236" i="12"/>
  <c r="AH236" i="12"/>
  <c r="AJ236" i="12" s="1"/>
  <c r="W236" i="12"/>
  <c r="V236" i="12"/>
  <c r="H236" i="12"/>
  <c r="I236" i="12" s="1"/>
  <c r="CB236" i="12" s="1"/>
  <c r="G236" i="12"/>
  <c r="H235" i="12"/>
  <c r="G235" i="12"/>
  <c r="BY234" i="12"/>
  <c r="AI234" i="12"/>
  <c r="AH234" i="12"/>
  <c r="W234" i="12"/>
  <c r="V234" i="12"/>
  <c r="BZ234" i="12" s="1"/>
  <c r="H234" i="12"/>
  <c r="G234" i="12"/>
  <c r="AI232" i="12"/>
  <c r="AH232" i="12"/>
  <c r="W232" i="12"/>
  <c r="V232" i="12"/>
  <c r="H232" i="12"/>
  <c r="G232" i="12"/>
  <c r="BY231" i="12"/>
  <c r="AI231" i="12"/>
  <c r="AH231" i="12"/>
  <c r="W231" i="12"/>
  <c r="V231" i="12"/>
  <c r="X231" i="12" s="1"/>
  <c r="H231" i="12"/>
  <c r="BY229" i="12"/>
  <c r="AI229" i="12"/>
  <c r="AH229" i="12"/>
  <c r="W229" i="12"/>
  <c r="V229" i="12"/>
  <c r="H227" i="12"/>
  <c r="I227" i="12"/>
  <c r="G226" i="12"/>
  <c r="I226" i="12"/>
  <c r="D225" i="12"/>
  <c r="H225" i="12" s="1"/>
  <c r="I225" i="12" s="1"/>
  <c r="D224" i="12"/>
  <c r="H224" i="12" s="1"/>
  <c r="G223" i="12"/>
  <c r="CB221" i="12"/>
  <c r="BY221" i="12"/>
  <c r="W221" i="12"/>
  <c r="CA221" i="12" s="1"/>
  <c r="V221" i="12"/>
  <c r="BY220" i="12"/>
  <c r="W220" i="12"/>
  <c r="X220" i="12" s="1"/>
  <c r="V220" i="12"/>
  <c r="BY219" i="12"/>
  <c r="W219" i="12"/>
  <c r="V219" i="12"/>
  <c r="BY214" i="12"/>
  <c r="W214" i="12"/>
  <c r="V214" i="12"/>
  <c r="H214" i="12"/>
  <c r="G214" i="12"/>
  <c r="CB213" i="12"/>
  <c r="BY213" i="12"/>
  <c r="W213" i="12"/>
  <c r="CA213" i="12" s="1"/>
  <c r="V213" i="12"/>
  <c r="BY212" i="12"/>
  <c r="W212" i="12"/>
  <c r="V212" i="12"/>
  <c r="BY211" i="12"/>
  <c r="W211" i="12"/>
  <c r="V211" i="12"/>
  <c r="BY210" i="12"/>
  <c r="W210" i="12"/>
  <c r="V210" i="12"/>
  <c r="H210" i="12"/>
  <c r="G210" i="12"/>
  <c r="BY209" i="12"/>
  <c r="W209" i="12"/>
  <c r="V209" i="12"/>
  <c r="H209" i="12"/>
  <c r="G209" i="12"/>
  <c r="CB208" i="12"/>
  <c r="BY208" i="12"/>
  <c r="W208" i="12"/>
  <c r="CA208" i="12"/>
  <c r="V208" i="12"/>
  <c r="X208" i="12" s="1"/>
  <c r="BY207" i="12"/>
  <c r="W207" i="12"/>
  <c r="V207" i="12"/>
  <c r="BY204" i="12"/>
  <c r="W204" i="12"/>
  <c r="V204" i="12"/>
  <c r="H203" i="12"/>
  <c r="G203" i="12"/>
  <c r="V200" i="12"/>
  <c r="D200" i="12"/>
  <c r="H200" i="12"/>
  <c r="V199" i="12"/>
  <c r="D199" i="12"/>
  <c r="BY198" i="12"/>
  <c r="W198" i="12"/>
  <c r="V198" i="12"/>
  <c r="H198" i="12"/>
  <c r="G198" i="12"/>
  <c r="BY197" i="12"/>
  <c r="W197" i="12"/>
  <c r="V197" i="12"/>
  <c r="H197" i="12"/>
  <c r="G197" i="12"/>
  <c r="BY196" i="12"/>
  <c r="W196" i="12"/>
  <c r="V196" i="12"/>
  <c r="H196" i="12"/>
  <c r="G196" i="12"/>
  <c r="I196" i="12" s="1"/>
  <c r="CB196" i="12" s="1"/>
  <c r="CB195" i="12"/>
  <c r="BY195" i="12"/>
  <c r="W195" i="12"/>
  <c r="CA195" i="12" s="1"/>
  <c r="V195" i="12"/>
  <c r="BY194" i="12"/>
  <c r="W194" i="12"/>
  <c r="V194" i="12"/>
  <c r="X194" i="12" s="1"/>
  <c r="BY191" i="12"/>
  <c r="W191" i="12"/>
  <c r="V191" i="12"/>
  <c r="H189" i="12"/>
  <c r="G189" i="12"/>
  <c r="G188" i="12"/>
  <c r="F188" i="12"/>
  <c r="H188" i="12"/>
  <c r="I188" i="12" s="1"/>
  <c r="H187" i="12"/>
  <c r="G187" i="12"/>
  <c r="H186" i="12"/>
  <c r="I186" i="12" s="1"/>
  <c r="G186" i="12"/>
  <c r="G185" i="12"/>
  <c r="F185" i="12"/>
  <c r="H185" i="12" s="1"/>
  <c r="I185" i="12" s="1"/>
  <c r="G184" i="12"/>
  <c r="I184" i="12" s="1"/>
  <c r="F184" i="12"/>
  <c r="H184" i="12"/>
  <c r="G183" i="12"/>
  <c r="F183" i="12"/>
  <c r="H183" i="12" s="1"/>
  <c r="H182" i="12"/>
  <c r="G182" i="12"/>
  <c r="H181" i="12"/>
  <c r="G181" i="12"/>
  <c r="H180" i="12"/>
  <c r="G180" i="12"/>
  <c r="I180" i="12" s="1"/>
  <c r="G179" i="12"/>
  <c r="F179" i="12"/>
  <c r="H179" i="12"/>
  <c r="G178" i="12"/>
  <c r="F178" i="12"/>
  <c r="H178" i="12" s="1"/>
  <c r="I178" i="12" s="1"/>
  <c r="G177" i="12"/>
  <c r="F177" i="12"/>
  <c r="H177" i="12" s="1"/>
  <c r="G176" i="12"/>
  <c r="F176" i="12"/>
  <c r="H176" i="12"/>
  <c r="I176" i="12" s="1"/>
  <c r="G175" i="12"/>
  <c r="F175" i="12"/>
  <c r="H175" i="12"/>
  <c r="I175" i="12" s="1"/>
  <c r="G174" i="12"/>
  <c r="F174" i="12"/>
  <c r="H174" i="12"/>
  <c r="G173" i="12"/>
  <c r="F173" i="12"/>
  <c r="H173" i="12" s="1"/>
  <c r="G172" i="12"/>
  <c r="F172" i="12"/>
  <c r="H172" i="12" s="1"/>
  <c r="G171" i="12"/>
  <c r="F171" i="12"/>
  <c r="H171" i="12" s="1"/>
  <c r="I171" i="12" s="1"/>
  <c r="G170" i="12"/>
  <c r="I170" i="12" s="1"/>
  <c r="F170" i="12"/>
  <c r="H170" i="12"/>
  <c r="BY168" i="12"/>
  <c r="W168" i="12"/>
  <c r="V168" i="12"/>
  <c r="BY165" i="12"/>
  <c r="W165" i="12"/>
  <c r="V165" i="12"/>
  <c r="BY164" i="12"/>
  <c r="W164" i="12"/>
  <c r="V164" i="12"/>
  <c r="H164" i="12"/>
  <c r="G164" i="12"/>
  <c r="BY163" i="12"/>
  <c r="W163" i="12"/>
  <c r="V163" i="12"/>
  <c r="X163" i="12" s="1"/>
  <c r="H163" i="12"/>
  <c r="G163" i="12"/>
  <c r="BY162" i="12"/>
  <c r="AO162" i="12"/>
  <c r="AN162" i="12"/>
  <c r="AI162" i="12"/>
  <c r="AH162" i="12"/>
  <c r="W162" i="12"/>
  <c r="V162" i="12"/>
  <c r="H162" i="12"/>
  <c r="G162" i="12"/>
  <c r="H161" i="12"/>
  <c r="G161" i="12"/>
  <c r="CE160" i="12"/>
  <c r="CD160" i="12"/>
  <c r="CD165" i="12"/>
  <c r="CF165" i="12" s="1"/>
  <c r="CF168" i="12" s="1"/>
  <c r="BY160" i="12"/>
  <c r="AO160" i="12"/>
  <c r="AN160" i="12"/>
  <c r="W160" i="12"/>
  <c r="V160" i="12"/>
  <c r="H160" i="12"/>
  <c r="H165" i="12" s="1"/>
  <c r="G160" i="12"/>
  <c r="CE159" i="12"/>
  <c r="CD159" i="12"/>
  <c r="CF159" i="12" s="1"/>
  <c r="CB159" i="12"/>
  <c r="BY159" i="12"/>
  <c r="W159" i="12"/>
  <c r="CA159" i="12" s="1"/>
  <c r="V159" i="12"/>
  <c r="BZ159" i="12" s="1"/>
  <c r="BY158" i="12"/>
  <c r="W158" i="12"/>
  <c r="V158" i="12"/>
  <c r="BY155" i="12"/>
  <c r="W155" i="12"/>
  <c r="V155" i="12"/>
  <c r="CE154" i="12"/>
  <c r="CF154" i="12" s="1"/>
  <c r="CD154" i="12"/>
  <c r="BY154" i="12"/>
  <c r="W154" i="12"/>
  <c r="V154" i="12"/>
  <c r="CE153" i="12"/>
  <c r="CD153" i="12"/>
  <c r="BY153" i="12"/>
  <c r="W153" i="12"/>
  <c r="V153" i="12"/>
  <c r="CE152" i="12"/>
  <c r="CD152" i="12"/>
  <c r="CF152" i="12" s="1"/>
  <c r="BY152" i="12"/>
  <c r="W152" i="12"/>
  <c r="V152" i="12"/>
  <c r="H152" i="12"/>
  <c r="G152" i="12"/>
  <c r="BZ152" i="12" s="1"/>
  <c r="CE151" i="12"/>
  <c r="CD151" i="12"/>
  <c r="CF151" i="12"/>
  <c r="BY151" i="12"/>
  <c r="W151" i="12"/>
  <c r="V151" i="12"/>
  <c r="H151" i="12"/>
  <c r="G151" i="12"/>
  <c r="I151" i="12" s="1"/>
  <c r="CE150" i="12"/>
  <c r="CD150" i="12"/>
  <c r="BY150" i="12"/>
  <c r="BX150" i="12"/>
  <c r="W150" i="12"/>
  <c r="V150" i="12"/>
  <c r="H150" i="12"/>
  <c r="G150" i="12"/>
  <c r="BZ150" i="12" s="1"/>
  <c r="CE149" i="12"/>
  <c r="CD149" i="12"/>
  <c r="CB149" i="12"/>
  <c r="BY149" i="12"/>
  <c r="W149" i="12"/>
  <c r="CA149" i="12"/>
  <c r="V149" i="12"/>
  <c r="BY148" i="12"/>
  <c r="BY147" i="12"/>
  <c r="CE146" i="12"/>
  <c r="CD146" i="12"/>
  <c r="CF146" i="12" s="1"/>
  <c r="BY146" i="12"/>
  <c r="BX146" i="12"/>
  <c r="AO146" i="12"/>
  <c r="AN146" i="12"/>
  <c r="AL146" i="12"/>
  <c r="AC146" i="12"/>
  <c r="AB146" i="12"/>
  <c r="Z146" i="12"/>
  <c r="W146" i="12"/>
  <c r="V146" i="12"/>
  <c r="H146" i="12"/>
  <c r="G146" i="12"/>
  <c r="CE145" i="12"/>
  <c r="CF145" i="12" s="1"/>
  <c r="CD145" i="12"/>
  <c r="BY145" i="12"/>
  <c r="AO145" i="12"/>
  <c r="AP145" i="12" s="1"/>
  <c r="AN145" i="12"/>
  <c r="AL145" i="12"/>
  <c r="AC145" i="12"/>
  <c r="AB145" i="12"/>
  <c r="Z145" i="12"/>
  <c r="W145" i="12"/>
  <c r="V145" i="12"/>
  <c r="D145" i="12"/>
  <c r="H145" i="12" s="1"/>
  <c r="CE144" i="12"/>
  <c r="CD144" i="12"/>
  <c r="BY144" i="12"/>
  <c r="AO144" i="12"/>
  <c r="AP144" i="12" s="1"/>
  <c r="AN144" i="12"/>
  <c r="AL144" i="12"/>
  <c r="AC144" i="12"/>
  <c r="AB144" i="12"/>
  <c r="Z144" i="12"/>
  <c r="W144" i="12"/>
  <c r="V144" i="12"/>
  <c r="D144" i="12"/>
  <c r="H144" i="12" s="1"/>
  <c r="CE143" i="12"/>
  <c r="CD143" i="12"/>
  <c r="CF143" i="12" s="1"/>
  <c r="BY143" i="12"/>
  <c r="AO143" i="12"/>
  <c r="AN143" i="12"/>
  <c r="AL143" i="12"/>
  <c r="AC143" i="12"/>
  <c r="AD143" i="12" s="1"/>
  <c r="AB143" i="12"/>
  <c r="Z143" i="12"/>
  <c r="W143" i="12"/>
  <c r="V143" i="12"/>
  <c r="G143" i="12"/>
  <c r="H138" i="12"/>
  <c r="I138" i="12" s="1"/>
  <c r="CE136" i="12"/>
  <c r="CD136" i="12"/>
  <c r="BY136" i="12"/>
  <c r="BX136" i="12"/>
  <c r="AO136" i="12"/>
  <c r="AN136" i="12"/>
  <c r="AL136" i="12"/>
  <c r="AG136" i="12"/>
  <c r="AC136" i="12"/>
  <c r="AB136" i="12"/>
  <c r="Z136" i="12"/>
  <c r="W136" i="12"/>
  <c r="V136" i="12"/>
  <c r="CE135" i="12"/>
  <c r="CD135" i="12"/>
  <c r="BX135" i="12"/>
  <c r="AO135" i="12"/>
  <c r="AP135" i="12" s="1"/>
  <c r="AN135" i="12"/>
  <c r="AL135" i="12"/>
  <c r="AG135" i="12"/>
  <c r="AH135" i="12" s="1"/>
  <c r="AE135" i="12"/>
  <c r="AF135" i="12"/>
  <c r="AC135" i="12"/>
  <c r="AB135" i="12"/>
  <c r="AD135" i="12" s="1"/>
  <c r="Y135" i="12"/>
  <c r="W135" i="12"/>
  <c r="V135" i="12"/>
  <c r="CE134" i="12"/>
  <c r="CD134" i="12"/>
  <c r="BY134" i="12"/>
  <c r="BX134" i="12"/>
  <c r="AO134" i="12"/>
  <c r="AP134" i="12" s="1"/>
  <c r="AN134" i="12"/>
  <c r="AL134" i="12"/>
  <c r="AI134" i="12"/>
  <c r="AH134" i="12"/>
  <c r="AF134" i="12"/>
  <c r="AC134" i="12"/>
  <c r="AB134" i="12"/>
  <c r="Z134" i="12"/>
  <c r="V134" i="12"/>
  <c r="X134" i="12"/>
  <c r="D134" i="12"/>
  <c r="D137" i="12" s="1"/>
  <c r="H137" i="12" s="1"/>
  <c r="I137" i="12" s="1"/>
  <c r="CE133" i="12"/>
  <c r="CD133" i="12"/>
  <c r="CB133" i="12"/>
  <c r="CA133" i="12"/>
  <c r="BZ133" i="12"/>
  <c r="BY133" i="12"/>
  <c r="X133" i="12"/>
  <c r="BY132" i="12"/>
  <c r="BY129" i="12"/>
  <c r="CE128" i="12"/>
  <c r="CD128" i="12"/>
  <c r="BY128" i="12"/>
  <c r="AO128" i="12"/>
  <c r="AN128" i="12"/>
  <c r="AL128" i="12"/>
  <c r="AI128" i="12"/>
  <c r="AJ128" i="12" s="1"/>
  <c r="AH128" i="12"/>
  <c r="AF128" i="12"/>
  <c r="AC128" i="12"/>
  <c r="AB128" i="12"/>
  <c r="H128" i="12"/>
  <c r="G128" i="12"/>
  <c r="CE127" i="12"/>
  <c r="CD127" i="12"/>
  <c r="CF127" i="12" s="1"/>
  <c r="BY127" i="12"/>
  <c r="AO127" i="12"/>
  <c r="AN127" i="12"/>
  <c r="AL127" i="12"/>
  <c r="AI127" i="12"/>
  <c r="AJ127" i="12" s="1"/>
  <c r="AH127" i="12"/>
  <c r="AF127" i="12"/>
  <c r="AC127" i="12"/>
  <c r="AB127" i="12"/>
  <c r="H127" i="12"/>
  <c r="G127" i="12"/>
  <c r="CE126" i="12"/>
  <c r="CD126" i="12"/>
  <c r="CF126" i="12" s="1"/>
  <c r="BY126" i="12"/>
  <c r="BX126" i="12"/>
  <c r="AO126" i="12"/>
  <c r="AN126" i="12"/>
  <c r="AL126" i="12"/>
  <c r="AF126" i="12"/>
  <c r="AC126" i="12"/>
  <c r="AB126" i="12"/>
  <c r="Z126" i="12"/>
  <c r="W126" i="12"/>
  <c r="V126" i="12"/>
  <c r="H126" i="12"/>
  <c r="G126" i="12"/>
  <c r="CE125" i="12"/>
  <c r="CD125" i="12"/>
  <c r="BY125" i="12"/>
  <c r="AO125" i="12"/>
  <c r="AN125" i="12"/>
  <c r="AL125" i="12"/>
  <c r="AC125" i="12"/>
  <c r="AB125" i="12"/>
  <c r="Z125" i="12"/>
  <c r="W125" i="12"/>
  <c r="V125" i="12"/>
  <c r="X125" i="12" s="1"/>
  <c r="D125" i="12"/>
  <c r="H125" i="12"/>
  <c r="I125" i="12"/>
  <c r="CB125" i="12" s="1"/>
  <c r="CE124" i="12"/>
  <c r="CD124" i="12"/>
  <c r="BY124" i="12"/>
  <c r="AO124" i="12"/>
  <c r="AN124" i="12"/>
  <c r="AP124" i="12" s="1"/>
  <c r="AL124" i="12"/>
  <c r="AC124" i="12"/>
  <c r="AB124" i="12"/>
  <c r="Z124" i="12"/>
  <c r="W124" i="12"/>
  <c r="V124" i="12"/>
  <c r="D124" i="12"/>
  <c r="H124" i="12"/>
  <c r="CE123" i="12"/>
  <c r="CD123" i="12"/>
  <c r="BY123" i="12"/>
  <c r="AO123" i="12"/>
  <c r="AN123" i="12"/>
  <c r="AL123" i="12"/>
  <c r="AC123" i="12"/>
  <c r="AB123" i="12"/>
  <c r="Z123" i="12"/>
  <c r="W123" i="12"/>
  <c r="V123" i="12"/>
  <c r="G123" i="12"/>
  <c r="I123" i="12" s="1"/>
  <c r="CE122" i="12"/>
  <c r="CD122" i="12"/>
  <c r="BY122" i="12"/>
  <c r="BX122" i="12"/>
  <c r="AO122" i="12"/>
  <c r="AN122" i="12"/>
  <c r="AP122" i="12" s="1"/>
  <c r="AL122" i="12"/>
  <c r="AG122" i="12"/>
  <c r="AH122" i="12"/>
  <c r="AC122" i="12"/>
  <c r="AB122" i="12"/>
  <c r="Z122" i="12"/>
  <c r="W122" i="12"/>
  <c r="V122" i="12"/>
  <c r="X122" i="12" s="1"/>
  <c r="D122" i="12"/>
  <c r="H122" i="12" s="1"/>
  <c r="CE121" i="12"/>
  <c r="CD121" i="12"/>
  <c r="BY121" i="12"/>
  <c r="BX121" i="12"/>
  <c r="AO121" i="12"/>
  <c r="AN121" i="12"/>
  <c r="AL121" i="12"/>
  <c r="AG121" i="12"/>
  <c r="AH121" i="12"/>
  <c r="AC121" i="12"/>
  <c r="AB121" i="12"/>
  <c r="AD121" i="12" s="1"/>
  <c r="Z121" i="12"/>
  <c r="W121" i="12"/>
  <c r="V121" i="12"/>
  <c r="D121" i="12"/>
  <c r="H121" i="12" s="1"/>
  <c r="CE120" i="12"/>
  <c r="CD120" i="12"/>
  <c r="BY120" i="12"/>
  <c r="BX120" i="12"/>
  <c r="AO120" i="12"/>
  <c r="AN120" i="12"/>
  <c r="AP120" i="12" s="1"/>
  <c r="AL120" i="12"/>
  <c r="AI120" i="12"/>
  <c r="AH120" i="12"/>
  <c r="AC120" i="12"/>
  <c r="AB120" i="12"/>
  <c r="AD120" i="12" s="1"/>
  <c r="Z120" i="12"/>
  <c r="W120" i="12"/>
  <c r="V120" i="12"/>
  <c r="G120" i="12"/>
  <c r="H119" i="12"/>
  <c r="I119" i="12"/>
  <c r="CE118" i="12"/>
  <c r="CD118" i="12"/>
  <c r="CF118" i="12" s="1"/>
  <c r="BY118" i="12"/>
  <c r="BX118" i="12"/>
  <c r="AO118" i="12"/>
  <c r="AP118" i="12" s="1"/>
  <c r="AN118" i="12"/>
  <c r="AL118" i="12"/>
  <c r="AG118" i="12"/>
  <c r="AF118" i="12"/>
  <c r="AC118" i="12"/>
  <c r="AD118" i="12" s="1"/>
  <c r="AB118" i="12"/>
  <c r="Z118" i="12"/>
  <c r="W118" i="12"/>
  <c r="X118" i="12" s="1"/>
  <c r="V118" i="12"/>
  <c r="D118" i="12"/>
  <c r="H118" i="12"/>
  <c r="I118" i="12" s="1"/>
  <c r="CB118" i="12" s="1"/>
  <c r="CE117" i="12"/>
  <c r="CF117" i="12" s="1"/>
  <c r="CD117" i="12"/>
  <c r="BY117" i="12"/>
  <c r="BX117" i="12"/>
  <c r="AO117" i="12"/>
  <c r="AN117" i="12"/>
  <c r="AL117" i="12"/>
  <c r="AG117" i="12"/>
  <c r="AH117" i="12"/>
  <c r="AF117" i="12"/>
  <c r="AC117" i="12"/>
  <c r="AB117" i="12"/>
  <c r="Z117" i="12"/>
  <c r="W117" i="12"/>
  <c r="V117" i="12"/>
  <c r="D117" i="12"/>
  <c r="H117" i="12"/>
  <c r="CE116" i="12"/>
  <c r="CD116" i="12"/>
  <c r="BY116" i="12"/>
  <c r="BX116" i="12"/>
  <c r="AO116" i="12"/>
  <c r="AN116" i="12"/>
  <c r="AL116" i="12"/>
  <c r="AI116" i="12"/>
  <c r="AJ116" i="12" s="1"/>
  <c r="AH116" i="12"/>
  <c r="AF116" i="12"/>
  <c r="AC116" i="12"/>
  <c r="AB116" i="12"/>
  <c r="Z116" i="12"/>
  <c r="W116" i="12"/>
  <c r="V116" i="12"/>
  <c r="G116" i="12"/>
  <c r="I116" i="12" s="1"/>
  <c r="CB115" i="12"/>
  <c r="CA115" i="12"/>
  <c r="BZ115" i="12"/>
  <c r="BY115" i="12"/>
  <c r="X115" i="12"/>
  <c r="BY114" i="12"/>
  <c r="CD111" i="12"/>
  <c r="CF111" i="12" s="1"/>
  <c r="CF114" i="12" s="1"/>
  <c r="BY111" i="12"/>
  <c r="AN111" i="12"/>
  <c r="AP111" i="12" s="1"/>
  <c r="AP114" i="12" s="1"/>
  <c r="AH111" i="12"/>
  <c r="AJ111" i="12"/>
  <c r="AJ114" i="12" s="1"/>
  <c r="AB111" i="12"/>
  <c r="AD111" i="12"/>
  <c r="AD114" i="12" s="1"/>
  <c r="V111" i="12"/>
  <c r="X111" i="12"/>
  <c r="X114" i="12" s="1"/>
  <c r="H109" i="12"/>
  <c r="H108" i="12"/>
  <c r="G108" i="12"/>
  <c r="H107" i="12"/>
  <c r="I107" i="12" s="1"/>
  <c r="G107" i="12"/>
  <c r="H106" i="12"/>
  <c r="G106" i="12"/>
  <c r="H105" i="12"/>
  <c r="G105" i="12"/>
  <c r="H104" i="12"/>
  <c r="G104" i="12"/>
  <c r="H103" i="12"/>
  <c r="G103" i="12"/>
  <c r="H102" i="12"/>
  <c r="I102" i="12"/>
  <c r="H101" i="12"/>
  <c r="I101" i="12"/>
  <c r="D99" i="12"/>
  <c r="D100" i="12"/>
  <c r="H100" i="12"/>
  <c r="H93" i="12"/>
  <c r="I93" i="12" s="1"/>
  <c r="H92" i="12"/>
  <c r="I92" i="12" s="1"/>
  <c r="G91" i="12"/>
  <c r="I91" i="12" s="1"/>
  <c r="H90" i="12"/>
  <c r="I90" i="12"/>
  <c r="G89" i="12"/>
  <c r="I89" i="12" s="1"/>
  <c r="D88" i="12"/>
  <c r="H88" i="12" s="1"/>
  <c r="I88" i="12"/>
  <c r="D87" i="12"/>
  <c r="H87" i="12"/>
  <c r="I87" i="12"/>
  <c r="G86" i="12"/>
  <c r="I86" i="12" s="1"/>
  <c r="D85" i="12"/>
  <c r="H85" i="12" s="1"/>
  <c r="I85" i="12"/>
  <c r="H84" i="12"/>
  <c r="G84" i="12"/>
  <c r="H83" i="12"/>
  <c r="I83" i="12" s="1"/>
  <c r="D82" i="12"/>
  <c r="H82" i="12"/>
  <c r="I82" i="12" s="1"/>
  <c r="G81" i="12"/>
  <c r="I81" i="12" s="1"/>
  <c r="H80" i="12"/>
  <c r="I80" i="12"/>
  <c r="D79" i="12"/>
  <c r="H79" i="12" s="1"/>
  <c r="I79" i="12" s="1"/>
  <c r="D78" i="12"/>
  <c r="H78" i="12"/>
  <c r="I78" i="12" s="1"/>
  <c r="D77" i="12"/>
  <c r="G77" i="12"/>
  <c r="I77" i="12" s="1"/>
  <c r="H76" i="12"/>
  <c r="I76" i="12"/>
  <c r="D75" i="12"/>
  <c r="H75" i="12"/>
  <c r="I75" i="12" s="1"/>
  <c r="H74" i="12"/>
  <c r="G74" i="12"/>
  <c r="I74" i="12" s="1"/>
  <c r="H73" i="12"/>
  <c r="I73" i="12" s="1"/>
  <c r="H72" i="12"/>
  <c r="I72" i="12" s="1"/>
  <c r="D71" i="12"/>
  <c r="H71" i="12" s="1"/>
  <c r="I71" i="12" s="1"/>
  <c r="G70" i="12"/>
  <c r="I70" i="12" s="1"/>
  <c r="H69" i="12"/>
  <c r="I69" i="12"/>
  <c r="H68" i="12"/>
  <c r="I68" i="12"/>
  <c r="H67" i="12"/>
  <c r="I67" i="12"/>
  <c r="H66" i="12"/>
  <c r="D65" i="12"/>
  <c r="G65" i="12"/>
  <c r="I65" i="12" s="1"/>
  <c r="H64" i="12"/>
  <c r="I64" i="12" s="1"/>
  <c r="D63" i="12"/>
  <c r="H63" i="12"/>
  <c r="I63" i="12" s="1"/>
  <c r="D62" i="12"/>
  <c r="H62" i="12"/>
  <c r="D61" i="12"/>
  <c r="H61" i="12"/>
  <c r="I61" i="12" s="1"/>
  <c r="D60" i="12"/>
  <c r="D58" i="12"/>
  <c r="H54" i="12"/>
  <c r="I54" i="12" s="1"/>
  <c r="D53" i="12"/>
  <c r="H53" i="12" s="1"/>
  <c r="I53" i="12" s="1"/>
  <c r="I55" i="12" s="1"/>
  <c r="G52" i="12"/>
  <c r="I52" i="12"/>
  <c r="H51" i="12"/>
  <c r="I51" i="12" s="1"/>
  <c r="D50" i="12"/>
  <c r="H50" i="12"/>
  <c r="I50" i="12" s="1"/>
  <c r="D49" i="12"/>
  <c r="H49" i="12" s="1"/>
  <c r="I49" i="12" s="1"/>
  <c r="G48" i="12"/>
  <c r="I48" i="12" s="1"/>
  <c r="H47" i="12"/>
  <c r="I47" i="12"/>
  <c r="D46" i="12"/>
  <c r="H46" i="12"/>
  <c r="I46" i="12" s="1"/>
  <c r="G45" i="12"/>
  <c r="I45" i="12"/>
  <c r="D44" i="12"/>
  <c r="H44" i="12" s="1"/>
  <c r="I44" i="12" s="1"/>
  <c r="H43" i="12"/>
  <c r="I43" i="12"/>
  <c r="G42" i="12"/>
  <c r="I42" i="12"/>
  <c r="H41" i="12"/>
  <c r="I41" i="12" s="1"/>
  <c r="H40" i="12"/>
  <c r="I40" i="12"/>
  <c r="D39" i="12"/>
  <c r="H39" i="12"/>
  <c r="I39" i="12" s="1"/>
  <c r="H38" i="12"/>
  <c r="G38" i="12"/>
  <c r="D37" i="12"/>
  <c r="H37" i="12"/>
  <c r="G36" i="12"/>
  <c r="I36" i="12" s="1"/>
  <c r="I28" i="12"/>
  <c r="D27" i="12"/>
  <c r="I27" i="12"/>
  <c r="I20" i="12"/>
  <c r="G27" i="12"/>
  <c r="X204" i="12"/>
  <c r="X241" i="12"/>
  <c r="I30" i="12"/>
  <c r="I201" i="12"/>
  <c r="X229" i="12"/>
  <c r="AJ238" i="12"/>
  <c r="D142" i="12"/>
  <c r="H142" i="12"/>
  <c r="I142" i="12" s="1"/>
  <c r="X196" i="12"/>
  <c r="BZ209" i="12"/>
  <c r="CA261" i="12"/>
  <c r="CF120" i="12"/>
  <c r="CF122" i="12"/>
  <c r="I174" i="12"/>
  <c r="I179" i="12"/>
  <c r="I181" i="12"/>
  <c r="X207" i="12"/>
  <c r="X219" i="12"/>
  <c r="U216" i="12"/>
  <c r="CA151" i="12"/>
  <c r="G216" i="12"/>
  <c r="I126" i="12"/>
  <c r="CB126" i="12"/>
  <c r="AP128" i="12"/>
  <c r="CF149" i="12"/>
  <c r="U255" i="12"/>
  <c r="I217" i="12"/>
  <c r="BY217" i="12"/>
  <c r="CA164" i="12"/>
  <c r="U218" i="12"/>
  <c r="I22" i="12"/>
  <c r="X121" i="12"/>
  <c r="AD134" i="12"/>
  <c r="X160" i="12"/>
  <c r="BW218" i="12"/>
  <c r="BX217" i="12"/>
  <c r="BX218" i="12"/>
  <c r="BY218" i="12"/>
  <c r="X158" i="12"/>
  <c r="I103" i="12"/>
  <c r="G154" i="12"/>
  <c r="I187" i="12"/>
  <c r="AJ232" i="12"/>
  <c r="BX255" i="12"/>
  <c r="I108" i="12"/>
  <c r="AP117" i="12"/>
  <c r="AP123" i="12"/>
  <c r="BZ151" i="12"/>
  <c r="I172" i="12"/>
  <c r="X210" i="12"/>
  <c r="I234" i="12"/>
  <c r="CB234" i="12"/>
  <c r="BZ243" i="12"/>
  <c r="D253" i="12"/>
  <c r="H253" i="12" s="1"/>
  <c r="CA253" i="12" s="1"/>
  <c r="H263" i="12"/>
  <c r="CA263" i="12"/>
  <c r="CF144" i="12"/>
  <c r="X146" i="12"/>
  <c r="CA196" i="12"/>
  <c r="CA123" i="12"/>
  <c r="AP127" i="12"/>
  <c r="BY135" i="12"/>
  <c r="X155" i="12"/>
  <c r="I177" i="12"/>
  <c r="AJ240" i="12"/>
  <c r="X242" i="12"/>
  <c r="I106" i="12"/>
  <c r="AI122" i="12"/>
  <c r="AJ122" i="12" s="1"/>
  <c r="CF134" i="12"/>
  <c r="AJ239" i="12"/>
  <c r="CA241" i="12"/>
  <c r="H252" i="12"/>
  <c r="X253" i="12"/>
  <c r="D97" i="12"/>
  <c r="G99" i="12"/>
  <c r="I99" i="12"/>
  <c r="CA116" i="12"/>
  <c r="X117" i="12"/>
  <c r="CA120" i="12"/>
  <c r="AJ120" i="12"/>
  <c r="AI121" i="12"/>
  <c r="CA121" i="12"/>
  <c r="CF125" i="12"/>
  <c r="AD126" i="12"/>
  <c r="AD128" i="12"/>
  <c r="I146" i="12"/>
  <c r="CB146" i="12"/>
  <c r="CF153" i="12"/>
  <c r="CA163" i="12"/>
  <c r="X234" i="12"/>
  <c r="G238" i="12"/>
  <c r="I238" i="12"/>
  <c r="CB238" i="12" s="1"/>
  <c r="I241" i="12"/>
  <c r="CB241" i="12" s="1"/>
  <c r="V269" i="12"/>
  <c r="BZ269" i="12"/>
  <c r="AJ230" i="12"/>
  <c r="CB230" i="12"/>
  <c r="BZ230" i="12"/>
  <c r="AP143" i="12"/>
  <c r="BZ144" i="12"/>
  <c r="X145" i="12"/>
  <c r="AD146" i="12"/>
  <c r="I190" i="12"/>
  <c r="AD144" i="12"/>
  <c r="CA150" i="12"/>
  <c r="I161" i="12"/>
  <c r="BZ245" i="12"/>
  <c r="CA265" i="12"/>
  <c r="V271" i="12"/>
  <c r="BZ271" i="12"/>
  <c r="H271" i="12"/>
  <c r="I271" i="12"/>
  <c r="CB271" i="12"/>
  <c r="AP125" i="12"/>
  <c r="CB151" i="12"/>
  <c r="I209" i="12"/>
  <c r="CB209" i="12"/>
  <c r="I243" i="12"/>
  <c r="CB243" i="12" s="1"/>
  <c r="AJ243" i="12"/>
  <c r="X265" i="12"/>
  <c r="CA266" i="12"/>
  <c r="H272" i="12"/>
  <c r="I272" i="12" s="1"/>
  <c r="CB272" i="12" s="1"/>
  <c r="H31" i="12"/>
  <c r="H34" i="12" s="1"/>
  <c r="CB116" i="12"/>
  <c r="AI117" i="12"/>
  <c r="AJ117" i="12"/>
  <c r="X120" i="12"/>
  <c r="CF123" i="12"/>
  <c r="X124" i="12"/>
  <c r="CA152" i="12"/>
  <c r="H168" i="12"/>
  <c r="CA168" i="12"/>
  <c r="AH165" i="12"/>
  <c r="AJ165" i="12"/>
  <c r="AJ168" i="12" s="1"/>
  <c r="CA198" i="12"/>
  <c r="G200" i="12"/>
  <c r="I200" i="12"/>
  <c r="BZ208" i="12"/>
  <c r="BZ210" i="12"/>
  <c r="CA231" i="12"/>
  <c r="BZ253" i="12"/>
  <c r="BZ120" i="12"/>
  <c r="Z135" i="12"/>
  <c r="X144" i="12"/>
  <c r="X152" i="12"/>
  <c r="X153" i="12"/>
  <c r="CA154" i="12"/>
  <c r="AP160" i="12"/>
  <c r="CF160" i="12"/>
  <c r="AJ162" i="12"/>
  <c r="G191" i="12"/>
  <c r="G192" i="12" s="1"/>
  <c r="I192" i="12"/>
  <c r="X198" i="12"/>
  <c r="X211" i="12"/>
  <c r="G231" i="12"/>
  <c r="I231" i="12" s="1"/>
  <c r="CB231" i="12"/>
  <c r="CA238" i="12"/>
  <c r="AJ246" i="12"/>
  <c r="AH118" i="12"/>
  <c r="AH129" i="12"/>
  <c r="AJ129" i="12" s="1"/>
  <c r="AJ132" i="12"/>
  <c r="AI118" i="12"/>
  <c r="CA118" i="12"/>
  <c r="X149" i="12"/>
  <c r="BZ149" i="12"/>
  <c r="I38" i="12"/>
  <c r="I104" i="12"/>
  <c r="AP121" i="12"/>
  <c r="CF121" i="12"/>
  <c r="AD125" i="12"/>
  <c r="CF128" i="12"/>
  <c r="CF135" i="12"/>
  <c r="AP136" i="12"/>
  <c r="AD145" i="12"/>
  <c r="CF150" i="12"/>
  <c r="X151" i="12"/>
  <c r="AP162" i="12"/>
  <c r="X168" i="12"/>
  <c r="I189" i="12"/>
  <c r="BZ198" i="12"/>
  <c r="G211" i="12"/>
  <c r="X212" i="12"/>
  <c r="AJ229" i="12"/>
  <c r="CA234" i="12"/>
  <c r="I235" i="12"/>
  <c r="X236" i="12"/>
  <c r="CA243" i="12"/>
  <c r="I262" i="12"/>
  <c r="I117" i="12"/>
  <c r="CB117" i="12" s="1"/>
  <c r="I121" i="12"/>
  <c r="CB121" i="12" s="1"/>
  <c r="H55" i="12"/>
  <c r="H58" i="12" s="1"/>
  <c r="I37" i="12"/>
  <c r="CF116" i="12"/>
  <c r="AI136" i="12"/>
  <c r="AH136" i="12"/>
  <c r="BZ136" i="12" s="1"/>
  <c r="BZ214" i="12"/>
  <c r="BZ244" i="12"/>
  <c r="X244" i="12"/>
  <c r="G22" i="12"/>
  <c r="G55" i="12"/>
  <c r="G60" i="12"/>
  <c r="AD116" i="12"/>
  <c r="BZ122" i="12"/>
  <c r="CA125" i="12"/>
  <c r="BZ127" i="12"/>
  <c r="I127" i="12"/>
  <c r="CB127" i="12"/>
  <c r="AN147" i="12"/>
  <c r="AP147" i="12"/>
  <c r="AP148" i="12"/>
  <c r="AI135" i="12"/>
  <c r="AJ135" i="12"/>
  <c r="I145" i="12"/>
  <c r="CB145" i="12" s="1"/>
  <c r="CA145" i="12"/>
  <c r="AB147" i="12"/>
  <c r="AD147" i="12" s="1"/>
  <c r="AD148" i="12" s="1"/>
  <c r="I163" i="12"/>
  <c r="CB163" i="12"/>
  <c r="BZ163" i="12"/>
  <c r="AN165" i="12"/>
  <c r="AP165" i="12"/>
  <c r="AP168" i="12"/>
  <c r="H211" i="12"/>
  <c r="CA210" i="12"/>
  <c r="I223" i="12"/>
  <c r="BZ252" i="12"/>
  <c r="X252" i="12"/>
  <c r="I62" i="12"/>
  <c r="I100" i="12"/>
  <c r="G109" i="12"/>
  <c r="I109" i="12"/>
  <c r="X116" i="12"/>
  <c r="BZ116" i="12"/>
  <c r="I120" i="12"/>
  <c r="CB120" i="12" s="1"/>
  <c r="BZ121" i="12"/>
  <c r="I128" i="12"/>
  <c r="CB128" i="12"/>
  <c r="BZ128" i="12"/>
  <c r="I150" i="12"/>
  <c r="CB150" i="12"/>
  <c r="X150" i="12"/>
  <c r="X159" i="12"/>
  <c r="CA246" i="12"/>
  <c r="X246" i="12"/>
  <c r="BZ261" i="12"/>
  <c r="I261" i="12"/>
  <c r="CB261" i="12" s="1"/>
  <c r="X261" i="12"/>
  <c r="X272" i="12"/>
  <c r="I84" i="12"/>
  <c r="I105" i="12"/>
  <c r="D110" i="12"/>
  <c r="H110" i="12" s="1"/>
  <c r="H111" i="12" s="1"/>
  <c r="AN129" i="12"/>
  <c r="AP129" i="12"/>
  <c r="AP132" i="12" s="1"/>
  <c r="AP116" i="12"/>
  <c r="AD122" i="12"/>
  <c r="X123" i="12"/>
  <c r="G129" i="12"/>
  <c r="X136" i="12"/>
  <c r="BZ143" i="12"/>
  <c r="I143" i="12"/>
  <c r="CB143" i="12"/>
  <c r="BZ145" i="12"/>
  <c r="CA146" i="12"/>
  <c r="AP146" i="12"/>
  <c r="BZ146" i="12"/>
  <c r="G153" i="12"/>
  <c r="G155" i="12" s="1"/>
  <c r="X154" i="12"/>
  <c r="CD155" i="12"/>
  <c r="CF155" i="12"/>
  <c r="CF158" i="12"/>
  <c r="BZ160" i="12"/>
  <c r="I160" i="12"/>
  <c r="CB160" i="12" s="1"/>
  <c r="CA160" i="12"/>
  <c r="X165" i="12"/>
  <c r="I198" i="12"/>
  <c r="CB198" i="12"/>
  <c r="X214" i="12"/>
  <c r="AJ231" i="12"/>
  <c r="AH256" i="12"/>
  <c r="AJ256" i="12"/>
  <c r="AJ259" i="12" s="1"/>
  <c r="CA236" i="12"/>
  <c r="BZ241" i="12"/>
  <c r="G263" i="12"/>
  <c r="I263" i="12" s="1"/>
  <c r="J263" i="12" s="1"/>
  <c r="CB265" i="12"/>
  <c r="I267" i="12"/>
  <c r="X266" i="12"/>
  <c r="BZ266" i="12"/>
  <c r="X267" i="12"/>
  <c r="BZ267" i="12"/>
  <c r="AJ276" i="12"/>
  <c r="AJ278" i="12" s="1"/>
  <c r="AJ279" i="12" s="1"/>
  <c r="CA276" i="12"/>
  <c r="CD147" i="12"/>
  <c r="CF147" i="12" s="1"/>
  <c r="CF148" i="12" s="1"/>
  <c r="I183" i="12"/>
  <c r="X195" i="12"/>
  <c r="BZ195" i="12"/>
  <c r="I242" i="12"/>
  <c r="CB242" i="12"/>
  <c r="CA242" i="12"/>
  <c r="CB123" i="12"/>
  <c r="AD123" i="12"/>
  <c r="CF124" i="12"/>
  <c r="CF133" i="12"/>
  <c r="AD136" i="12"/>
  <c r="CF136" i="12"/>
  <c r="I152" i="12"/>
  <c r="CB152" i="12"/>
  <c r="I164" i="12"/>
  <c r="CB164" i="12"/>
  <c r="I182" i="12"/>
  <c r="BZ196" i="12"/>
  <c r="I203" i="12"/>
  <c r="X221" i="12"/>
  <c r="BZ221" i="12"/>
  <c r="AJ234" i="12"/>
  <c r="BZ240" i="12"/>
  <c r="I240" i="12"/>
  <c r="CB240" i="12"/>
  <c r="AJ244" i="12"/>
  <c r="I245" i="12"/>
  <c r="CB245" i="12" s="1"/>
  <c r="I270" i="12"/>
  <c r="X270" i="12" s="1"/>
  <c r="CA270" i="12"/>
  <c r="H273" i="12"/>
  <c r="BZ276" i="12"/>
  <c r="G277" i="12"/>
  <c r="I277" i="12" s="1"/>
  <c r="I276" i="12"/>
  <c r="CB276" i="12"/>
  <c r="I210" i="12"/>
  <c r="CB210" i="12" s="1"/>
  <c r="X213" i="12"/>
  <c r="BZ213" i="12"/>
  <c r="H229" i="12"/>
  <c r="I229" i="12" s="1"/>
  <c r="CB229" i="12" s="1"/>
  <c r="CA229" i="12"/>
  <c r="G229" i="12"/>
  <c r="X232" i="12"/>
  <c r="BZ236" i="12"/>
  <c r="X243" i="12"/>
  <c r="X263" i="12"/>
  <c r="X278" i="12" s="1"/>
  <c r="X279" i="12" s="1"/>
  <c r="X264" i="12"/>
  <c r="CB269" i="12"/>
  <c r="X269" i="12"/>
  <c r="CA269" i="12"/>
  <c r="I232" i="12"/>
  <c r="CA239" i="12"/>
  <c r="X260" i="12"/>
  <c r="H267" i="12"/>
  <c r="CA267" i="12" s="1"/>
  <c r="I252" i="12"/>
  <c r="CB252" i="12" s="1"/>
  <c r="CA271" i="12"/>
  <c r="G24" i="12"/>
  <c r="I24" i="12"/>
  <c r="G23" i="12"/>
  <c r="G25" i="12" s="1"/>
  <c r="I216" i="12"/>
  <c r="BY216" i="12"/>
  <c r="I253" i="12"/>
  <c r="CB253" i="12" s="1"/>
  <c r="X271" i="12"/>
  <c r="H274" i="12"/>
  <c r="CA274" i="12"/>
  <c r="G193" i="12"/>
  <c r="I193" i="12"/>
  <c r="CA117" i="12"/>
  <c r="G256" i="12"/>
  <c r="BZ256" i="12" s="1"/>
  <c r="G258" i="12"/>
  <c r="I258" i="12" s="1"/>
  <c r="AJ121" i="12"/>
  <c r="BZ154" i="12"/>
  <c r="CA165" i="12"/>
  <c r="BZ118" i="12"/>
  <c r="AJ118" i="12"/>
  <c r="BZ231" i="12"/>
  <c r="BZ211" i="12"/>
  <c r="BZ263" i="12"/>
  <c r="I153" i="12"/>
  <c r="CB153" i="12" s="1"/>
  <c r="BZ153" i="12"/>
  <c r="CB270" i="12"/>
  <c r="AA270" i="12"/>
  <c r="CA211" i="12"/>
  <c r="H212" i="12"/>
  <c r="CA212" i="12" s="1"/>
  <c r="I60" i="12"/>
  <c r="BZ229" i="12"/>
  <c r="J267" i="12"/>
  <c r="CB267" i="12"/>
  <c r="G110" i="12"/>
  <c r="G111" i="12" s="1"/>
  <c r="BZ111" i="12" s="1"/>
  <c r="I211" i="12"/>
  <c r="G56" i="12"/>
  <c r="I56" i="12" s="1"/>
  <c r="G57" i="12"/>
  <c r="I57" i="12"/>
  <c r="CA273" i="12"/>
  <c r="I273" i="12"/>
  <c r="CB273" i="12" s="1"/>
  <c r="AH147" i="12"/>
  <c r="AJ147" i="12" s="1"/>
  <c r="AJ148" i="12" s="1"/>
  <c r="G130" i="12"/>
  <c r="I130" i="12"/>
  <c r="G131" i="12"/>
  <c r="I131" i="12"/>
  <c r="G212" i="12"/>
  <c r="BZ212" i="12"/>
  <c r="AJ136" i="12"/>
  <c r="G194" i="12"/>
  <c r="BZ194" i="12"/>
  <c r="G257" i="12"/>
  <c r="I257" i="12"/>
  <c r="I212" i="12"/>
  <c r="CB211" i="12"/>
  <c r="G132" i="12"/>
  <c r="BZ132" i="12" s="1"/>
  <c r="G157" i="12"/>
  <c r="I157" i="12" s="1"/>
  <c r="G58" i="12"/>
  <c r="G259" i="12"/>
  <c r="BZ259" i="12"/>
  <c r="J212" i="12"/>
  <c r="AD253" i="14"/>
  <c r="I236" i="14"/>
  <c r="AF236" i="14" s="1"/>
  <c r="H272" i="14"/>
  <c r="AC135" i="14"/>
  <c r="G238" i="14"/>
  <c r="AD238" i="14" s="1"/>
  <c r="AE134" i="14"/>
  <c r="AD195" i="14"/>
  <c r="AD118" i="14"/>
  <c r="AD144" i="14"/>
  <c r="AE214" i="14"/>
  <c r="I187" i="14"/>
  <c r="AB217" i="14"/>
  <c r="I229" i="14"/>
  <c r="AF229" i="14" s="1"/>
  <c r="AD246" i="14"/>
  <c r="AD273" i="14"/>
  <c r="AD117" i="14"/>
  <c r="AD197" i="14"/>
  <c r="I197" i="14"/>
  <c r="AF197" i="14" s="1"/>
  <c r="G200" i="14"/>
  <c r="H200" i="14"/>
  <c r="AD221" i="14"/>
  <c r="AD121" i="14"/>
  <c r="D136" i="14"/>
  <c r="H136" i="14" s="1"/>
  <c r="D137" i="14"/>
  <c r="H137" i="14" s="1"/>
  <c r="I137" i="14" s="1"/>
  <c r="G134" i="14"/>
  <c r="AE143" i="14"/>
  <c r="G99" i="14"/>
  <c r="I99" i="14" s="1"/>
  <c r="AE116" i="14"/>
  <c r="AD125" i="14"/>
  <c r="H154" i="14"/>
  <c r="AE154" i="14" s="1"/>
  <c r="G154" i="14"/>
  <c r="AD154" i="14" s="1"/>
  <c r="H199" i="14"/>
  <c r="I246" i="14"/>
  <c r="AF246" i="14" s="1"/>
  <c r="H271" i="14"/>
  <c r="AE271" i="14" s="1"/>
  <c r="AD159" i="14"/>
  <c r="AD268" i="14"/>
  <c r="AE197" i="14"/>
  <c r="AE240" i="14"/>
  <c r="AD244" i="14"/>
  <c r="H215" i="14"/>
  <c r="AB215" i="14" s="1"/>
  <c r="AE236" i="14"/>
  <c r="AE123" i="14"/>
  <c r="AD124" i="14"/>
  <c r="AE210" i="14"/>
  <c r="AE246" i="14"/>
  <c r="AD252" i="14"/>
  <c r="AD122" i="14"/>
  <c r="AD127" i="14"/>
  <c r="AD269" i="14"/>
  <c r="G60" i="14"/>
  <c r="I60" i="14" s="1"/>
  <c r="AD145" i="14"/>
  <c r="AD214" i="14"/>
  <c r="AD260" i="14"/>
  <c r="AD136" i="14"/>
  <c r="AD236" i="14"/>
  <c r="AD239" i="14"/>
  <c r="AE264" i="14"/>
  <c r="G27" i="14"/>
  <c r="AE120" i="14"/>
  <c r="AE152" i="14"/>
  <c r="I179" i="14"/>
  <c r="AD229" i="14"/>
  <c r="D135" i="14"/>
  <c r="H135" i="14" s="1"/>
  <c r="AE243" i="14"/>
  <c r="AE245" i="14"/>
  <c r="AD266" i="14"/>
  <c r="G278" i="14"/>
  <c r="I278" i="14" s="1"/>
  <c r="AD276" i="14"/>
  <c r="I276" i="14"/>
  <c r="I214" i="14"/>
  <c r="AF214" i="14" s="1"/>
  <c r="AE229" i="14"/>
  <c r="AD135" i="14"/>
  <c r="G191" i="14" l="1"/>
  <c r="AE266" i="14"/>
  <c r="I266" i="14"/>
  <c r="AF266" i="14" s="1"/>
  <c r="I232" i="14"/>
  <c r="I224" i="14"/>
  <c r="H256" i="14"/>
  <c r="I272" i="14"/>
  <c r="AF272" i="14" s="1"/>
  <c r="I271" i="14"/>
  <c r="H191" i="14"/>
  <c r="I269" i="14"/>
  <c r="AF269" i="14" s="1"/>
  <c r="AD243" i="14"/>
  <c r="I243" i="14"/>
  <c r="AF243" i="14" s="1"/>
  <c r="H216" i="14"/>
  <c r="AB216" i="14" s="1"/>
  <c r="D142" i="14"/>
  <c r="H142" i="14" s="1"/>
  <c r="I142" i="14" s="1"/>
  <c r="G153" i="14"/>
  <c r="AD153" i="14" s="1"/>
  <c r="I218" i="14"/>
  <c r="AC218" i="14" s="1"/>
  <c r="I103" i="14"/>
  <c r="I202" i="14"/>
  <c r="I262" i="14"/>
  <c r="I255" i="14"/>
  <c r="AC255" i="14" s="1"/>
  <c r="I143" i="14"/>
  <c r="AF143" i="14" s="1"/>
  <c r="AE124" i="14"/>
  <c r="I180" i="14"/>
  <c r="AE118" i="14"/>
  <c r="H252" i="14"/>
  <c r="AE252" i="14" s="1"/>
  <c r="AJ136" i="14"/>
  <c r="AJ143" i="14"/>
  <c r="AJ145" i="14"/>
  <c r="I176" i="14"/>
  <c r="AF276" i="14"/>
  <c r="H263" i="14"/>
  <c r="AE263" i="14" s="1"/>
  <c r="H267" i="14"/>
  <c r="AE267" i="14" s="1"/>
  <c r="I172" i="14"/>
  <c r="D253" i="14"/>
  <c r="H253" i="14" s="1"/>
  <c r="I253" i="14" s="1"/>
  <c r="AF253" i="14" s="1"/>
  <c r="I29" i="14"/>
  <c r="I38" i="14"/>
  <c r="I105" i="14"/>
  <c r="I175" i="14"/>
  <c r="I201" i="14"/>
  <c r="I21" i="14"/>
  <c r="AE153" i="14"/>
  <c r="I84" i="14"/>
  <c r="AJ120" i="14"/>
  <c r="I151" i="14"/>
  <c r="AF151" i="14" s="1"/>
  <c r="AJ152" i="14"/>
  <c r="I160" i="14"/>
  <c r="AF160" i="14" s="1"/>
  <c r="I162" i="14"/>
  <c r="AF162" i="14" s="1"/>
  <c r="I173" i="14"/>
  <c r="I177" i="14"/>
  <c r="I181" i="14"/>
  <c r="AD196" i="14"/>
  <c r="G204" i="14"/>
  <c r="P206" i="14" s="1"/>
  <c r="R206" i="14" s="1"/>
  <c r="AE196" i="14"/>
  <c r="H204" i="14"/>
  <c r="AJ151" i="14"/>
  <c r="I170" i="14"/>
  <c r="I150" i="14"/>
  <c r="AF150" i="14" s="1"/>
  <c r="AE244" i="14"/>
  <c r="AE239" i="14"/>
  <c r="AJ117" i="14"/>
  <c r="AF120" i="14"/>
  <c r="AJ121" i="14"/>
  <c r="I183" i="14"/>
  <c r="I215" i="14"/>
  <c r="AC215" i="14" s="1"/>
  <c r="I104" i="14"/>
  <c r="I108" i="14"/>
  <c r="I154" i="14"/>
  <c r="AF154" i="14" s="1"/>
  <c r="I109" i="14"/>
  <c r="I152" i="14"/>
  <c r="AF152" i="14" s="1"/>
  <c r="I210" i="14"/>
  <c r="AF210" i="14" s="1"/>
  <c r="AE269" i="14"/>
  <c r="I128" i="14"/>
  <c r="AF128" i="14" s="1"/>
  <c r="AD251" i="14"/>
  <c r="AE265" i="14"/>
  <c r="I126" i="14"/>
  <c r="AF126" i="14" s="1"/>
  <c r="AA217" i="14"/>
  <c r="G211" i="14"/>
  <c r="G212" i="14" s="1"/>
  <c r="AD212" i="14" s="1"/>
  <c r="I267" i="14"/>
  <c r="AF267" i="14" s="1"/>
  <c r="H110" i="14"/>
  <c r="I110" i="14" s="1"/>
  <c r="I30" i="14"/>
  <c r="I74" i="14"/>
  <c r="I106" i="14"/>
  <c r="AD123" i="14"/>
  <c r="AE125" i="14"/>
  <c r="G22" i="14"/>
  <c r="P23" i="14" s="1"/>
  <c r="I107" i="14"/>
  <c r="AJ135" i="14"/>
  <c r="AJ144" i="14"/>
  <c r="AJ126" i="14"/>
  <c r="AE151" i="14"/>
  <c r="AF122" i="14"/>
  <c r="AF270" i="14"/>
  <c r="AE272" i="14"/>
  <c r="I240" i="14"/>
  <c r="AF240" i="14" s="1"/>
  <c r="H31" i="14"/>
  <c r="H34" i="14" s="1"/>
  <c r="AJ134" i="14"/>
  <c r="I185" i="14"/>
  <c r="H211" i="14"/>
  <c r="AE211" i="14" s="1"/>
  <c r="H155" i="14"/>
  <c r="AE155" i="14" s="1"/>
  <c r="I163" i="14"/>
  <c r="AF163" i="14" s="1"/>
  <c r="I178" i="14"/>
  <c r="I182" i="14"/>
  <c r="I190" i="14"/>
  <c r="I199" i="14"/>
  <c r="I235" i="14"/>
  <c r="G263" i="14"/>
  <c r="AD120" i="14"/>
  <c r="I146" i="14"/>
  <c r="AF146" i="14" s="1"/>
  <c r="AJ153" i="14"/>
  <c r="AJ160" i="14"/>
  <c r="AF271" i="14"/>
  <c r="H165" i="14"/>
  <c r="H168" i="14" s="1"/>
  <c r="AE168" i="14" s="1"/>
  <c r="I20" i="14"/>
  <c r="AJ123" i="14"/>
  <c r="AJ125" i="14"/>
  <c r="AJ128" i="14"/>
  <c r="AJ133" i="14"/>
  <c r="AE162" i="14"/>
  <c r="AF118" i="14"/>
  <c r="AJ150" i="14"/>
  <c r="AJ159" i="14"/>
  <c r="I184" i="14"/>
  <c r="AE261" i="14"/>
  <c r="H129" i="14"/>
  <c r="AE117" i="14"/>
  <c r="I117" i="14"/>
  <c r="AF117" i="14" s="1"/>
  <c r="AE146" i="14"/>
  <c r="I231" i="14"/>
  <c r="AF231" i="14" s="1"/>
  <c r="AJ116" i="14"/>
  <c r="I161" i="14"/>
  <c r="I171" i="14"/>
  <c r="AA255" i="14"/>
  <c r="G31" i="14"/>
  <c r="P32" i="14" s="1"/>
  <c r="R32" i="14" s="1"/>
  <c r="AD152" i="14"/>
  <c r="AJ118" i="14"/>
  <c r="AF121" i="14"/>
  <c r="AJ122" i="14"/>
  <c r="AJ146" i="14"/>
  <c r="AJ149" i="14"/>
  <c r="G155" i="14"/>
  <c r="P156" i="14" s="1"/>
  <c r="R156" i="14" s="1"/>
  <c r="AH155" i="14"/>
  <c r="AJ155" i="14" s="1"/>
  <c r="AJ158" i="14" s="1"/>
  <c r="AJ154" i="14"/>
  <c r="AE122" i="14"/>
  <c r="I127" i="14"/>
  <c r="AF127" i="14" s="1"/>
  <c r="I174" i="14"/>
  <c r="I242" i="14"/>
  <c r="AF242" i="14" s="1"/>
  <c r="G111" i="14"/>
  <c r="P113" i="14" s="1"/>
  <c r="R113" i="14" s="1"/>
  <c r="I189" i="14"/>
  <c r="I198" i="14"/>
  <c r="AF198" i="14" s="1"/>
  <c r="I203" i="14"/>
  <c r="AE135" i="14"/>
  <c r="I135" i="14"/>
  <c r="AF135" i="14" s="1"/>
  <c r="H55" i="14"/>
  <c r="H58" i="14" s="1"/>
  <c r="I37" i="14"/>
  <c r="I55" i="14" s="1"/>
  <c r="I58" i="14" s="1"/>
  <c r="I136" i="14"/>
  <c r="AF136" i="14" s="1"/>
  <c r="AE136" i="14"/>
  <c r="AF273" i="14"/>
  <c r="AE273" i="14"/>
  <c r="I144" i="14"/>
  <c r="AF144" i="14" s="1"/>
  <c r="AE144" i="14"/>
  <c r="I234" i="14"/>
  <c r="AF234" i="14" s="1"/>
  <c r="AJ124" i="14"/>
  <c r="G55" i="14"/>
  <c r="P56" i="14" s="1"/>
  <c r="R56" i="14" s="1"/>
  <c r="AD151" i="14"/>
  <c r="AE121" i="14"/>
  <c r="I200" i="14"/>
  <c r="I186" i="14"/>
  <c r="I164" i="14"/>
  <c r="AF164" i="14" s="1"/>
  <c r="AD191" i="14"/>
  <c r="G165" i="14"/>
  <c r="AH147" i="14"/>
  <c r="AJ147" i="14" s="1"/>
  <c r="AJ148" i="14" s="1"/>
  <c r="H274" i="14"/>
  <c r="AE274" i="14" s="1"/>
  <c r="AE145" i="14"/>
  <c r="G256" i="14"/>
  <c r="P258" i="14" s="1"/>
  <c r="R258" i="14" s="1"/>
  <c r="AD116" i="14"/>
  <c r="AH129" i="14"/>
  <c r="AJ129" i="14" s="1"/>
  <c r="AJ132" i="14" s="1"/>
  <c r="G129" i="14"/>
  <c r="I241" i="14"/>
  <c r="AF241" i="14" s="1"/>
  <c r="I261" i="14"/>
  <c r="AF261" i="14" s="1"/>
  <c r="I196" i="14"/>
  <c r="AF196" i="14" s="1"/>
  <c r="AA216" i="14"/>
  <c r="G219" i="14"/>
  <c r="H94" i="14"/>
  <c r="H97" i="14" s="1"/>
  <c r="AJ127" i="14"/>
  <c r="I58" i="12"/>
  <c r="AE198" i="14"/>
  <c r="I209" i="14"/>
  <c r="AF209" i="14" s="1"/>
  <c r="AD209" i="14"/>
  <c r="I225" i="14"/>
  <c r="AD230" i="14"/>
  <c r="I230" i="14"/>
  <c r="AF230" i="14" s="1"/>
  <c r="I238" i="14"/>
  <c r="AF238" i="14" s="1"/>
  <c r="AE238" i="14"/>
  <c r="I134" i="14"/>
  <c r="AF134" i="14" s="1"/>
  <c r="AD134" i="14"/>
  <c r="G147" i="14"/>
  <c r="D136" i="12"/>
  <c r="H136" i="12" s="1"/>
  <c r="G94" i="12"/>
  <c r="H155" i="12"/>
  <c r="I154" i="12"/>
  <c r="CB154" i="12" s="1"/>
  <c r="AF116" i="14"/>
  <c r="X251" i="12"/>
  <c r="BZ251" i="12"/>
  <c r="BZ268" i="12"/>
  <c r="X268" i="12"/>
  <c r="G65" i="14"/>
  <c r="J277" i="12"/>
  <c r="CD129" i="12"/>
  <c r="CF129" i="12" s="1"/>
  <c r="CF132" i="12" s="1"/>
  <c r="I224" i="12"/>
  <c r="H256" i="12"/>
  <c r="X238" i="12"/>
  <c r="BZ238" i="12"/>
  <c r="G113" i="12"/>
  <c r="I113" i="12" s="1"/>
  <c r="G112" i="12"/>
  <c r="I112" i="12" s="1"/>
  <c r="CB263" i="12"/>
  <c r="H114" i="12"/>
  <c r="CA114" i="12" s="1"/>
  <c r="CA111" i="12"/>
  <c r="I66" i="12"/>
  <c r="H94" i="12"/>
  <c r="H97" i="12" s="1"/>
  <c r="H129" i="12"/>
  <c r="CA122" i="12"/>
  <c r="I122" i="12"/>
  <c r="CB122" i="12" s="1"/>
  <c r="BZ123" i="12"/>
  <c r="V129" i="12"/>
  <c r="BZ124" i="12"/>
  <c r="AB129" i="12"/>
  <c r="AD129" i="12" s="1"/>
  <c r="AD132" i="12" s="1"/>
  <c r="AD124" i="12"/>
  <c r="BZ126" i="12"/>
  <c r="X126" i="12"/>
  <c r="AP126" i="12"/>
  <c r="CA126" i="12"/>
  <c r="AD127" i="12"/>
  <c r="CA127" i="12"/>
  <c r="G134" i="12"/>
  <c r="D135" i="12"/>
  <c r="H135" i="12" s="1"/>
  <c r="CA134" i="12"/>
  <c r="AJ134" i="12"/>
  <c r="BZ135" i="12"/>
  <c r="X135" i="12"/>
  <c r="V147" i="12"/>
  <c r="X147" i="12" s="1"/>
  <c r="X148" i="12" s="1"/>
  <c r="CA144" i="12"/>
  <c r="I144" i="12"/>
  <c r="CB144" i="12" s="1"/>
  <c r="BZ162" i="12"/>
  <c r="G165" i="12"/>
  <c r="I162" i="12"/>
  <c r="CB162" i="12" s="1"/>
  <c r="BZ164" i="12"/>
  <c r="X164" i="12"/>
  <c r="I173" i="12"/>
  <c r="H191" i="12"/>
  <c r="BZ191" i="12"/>
  <c r="X191" i="12"/>
  <c r="CA214" i="12"/>
  <c r="I214" i="12"/>
  <c r="CB214" i="12" s="1"/>
  <c r="I110" i="12"/>
  <c r="I111" i="12" s="1"/>
  <c r="I94" i="12"/>
  <c r="BZ155" i="12"/>
  <c r="I155" i="12"/>
  <c r="G156" i="12"/>
  <c r="I156" i="12" s="1"/>
  <c r="G31" i="12"/>
  <c r="G199" i="12"/>
  <c r="H199" i="12"/>
  <c r="H204" i="12" s="1"/>
  <c r="X230" i="12"/>
  <c r="CA230" i="12"/>
  <c r="U217" i="12"/>
  <c r="BW217" i="12"/>
  <c r="CB212" i="12"/>
  <c r="I23" i="12"/>
  <c r="I25" i="12" s="1"/>
  <c r="CA252" i="12"/>
  <c r="CA197" i="12"/>
  <c r="X197" i="12"/>
  <c r="I124" i="12"/>
  <c r="CB124" i="12" s="1"/>
  <c r="CA124" i="12"/>
  <c r="CA128" i="12"/>
  <c r="CA162" i="12"/>
  <c r="X162" i="12"/>
  <c r="G215" i="12"/>
  <c r="H215" i="12"/>
  <c r="BX215" i="12" s="1"/>
  <c r="I274" i="12"/>
  <c r="AD117" i="12"/>
  <c r="BZ117" i="12"/>
  <c r="I255" i="12"/>
  <c r="BY255" i="12" s="1"/>
  <c r="BW255" i="12"/>
  <c r="AA273" i="12"/>
  <c r="CA272" i="12"/>
  <c r="BZ125" i="12"/>
  <c r="CA143" i="12"/>
  <c r="X143" i="12"/>
  <c r="X209" i="12"/>
  <c r="CA209" i="12"/>
  <c r="X239" i="12"/>
  <c r="BZ239" i="12"/>
  <c r="X240" i="12"/>
  <c r="CA240" i="12"/>
  <c r="I197" i="12"/>
  <c r="CB197" i="12" s="1"/>
  <c r="BZ197" i="12"/>
  <c r="I244" i="12"/>
  <c r="CB244" i="12" s="1"/>
  <c r="CA244" i="12"/>
  <c r="CA245" i="12"/>
  <c r="X245" i="12"/>
  <c r="CA153" i="12"/>
  <c r="I188" i="14"/>
  <c r="H219" i="14" l="1"/>
  <c r="AE219" i="14" s="1"/>
  <c r="I216" i="14"/>
  <c r="AC216" i="14" s="1"/>
  <c r="H147" i="14"/>
  <c r="H148" i="14" s="1"/>
  <c r="AE148" i="14" s="1"/>
  <c r="I191" i="14"/>
  <c r="AF191" i="14" s="1"/>
  <c r="AE253" i="14"/>
  <c r="I153" i="14"/>
  <c r="AF153" i="14" s="1"/>
  <c r="I22" i="14"/>
  <c r="H158" i="14"/>
  <c r="AE158" i="14" s="1"/>
  <c r="I252" i="14"/>
  <c r="AF252" i="14" s="1"/>
  <c r="I263" i="14"/>
  <c r="AF263" i="14" s="1"/>
  <c r="P57" i="14"/>
  <c r="R57" i="14" s="1"/>
  <c r="AE165" i="14"/>
  <c r="AD263" i="14"/>
  <c r="P33" i="14"/>
  <c r="R33" i="14" s="1"/>
  <c r="H212" i="14"/>
  <c r="AE212" i="14" s="1"/>
  <c r="I111" i="14"/>
  <c r="AF111" i="14" s="1"/>
  <c r="I31" i="14"/>
  <c r="I34" i="14" s="1"/>
  <c r="P24" i="14"/>
  <c r="AD111" i="14"/>
  <c r="H111" i="14"/>
  <c r="H114" i="14" s="1"/>
  <c r="AE114" i="14" s="1"/>
  <c r="AF265" i="14"/>
  <c r="I211" i="14"/>
  <c r="H220" i="14"/>
  <c r="AE220" i="14" s="1"/>
  <c r="AD211" i="14"/>
  <c r="P112" i="14"/>
  <c r="R112" i="14" s="1"/>
  <c r="I219" i="14"/>
  <c r="AF219" i="14" s="1"/>
  <c r="AD204" i="14"/>
  <c r="P205" i="14"/>
  <c r="R205" i="14" s="1"/>
  <c r="P157" i="14"/>
  <c r="R157" i="14" s="1"/>
  <c r="I274" i="14"/>
  <c r="AF274" i="14" s="1"/>
  <c r="I155" i="14"/>
  <c r="G158" i="14"/>
  <c r="AD158" i="14" s="1"/>
  <c r="G114" i="14"/>
  <c r="AD114" i="14" s="1"/>
  <c r="AD155" i="14"/>
  <c r="AE129" i="14"/>
  <c r="H132" i="14"/>
  <c r="AE132" i="14" s="1"/>
  <c r="P257" i="14"/>
  <c r="R257" i="14" s="1"/>
  <c r="R23" i="14"/>
  <c r="G25" i="14"/>
  <c r="I256" i="14"/>
  <c r="I259" i="14" s="1"/>
  <c r="G58" i="14"/>
  <c r="G34" i="14"/>
  <c r="G220" i="14"/>
  <c r="AD220" i="14" s="1"/>
  <c r="AD219" i="14"/>
  <c r="AD129" i="14"/>
  <c r="I129" i="14"/>
  <c r="P131" i="14"/>
  <c r="R131" i="14" s="1"/>
  <c r="P130" i="14"/>
  <c r="R130" i="14" s="1"/>
  <c r="P167" i="14"/>
  <c r="R167" i="14" s="1"/>
  <c r="AD165" i="14"/>
  <c r="I165" i="14"/>
  <c r="P166" i="14"/>
  <c r="R166" i="14" s="1"/>
  <c r="AD256" i="14"/>
  <c r="P192" i="14"/>
  <c r="P193" i="14"/>
  <c r="R193" i="14" s="1"/>
  <c r="H194" i="14"/>
  <c r="AE194" i="14" s="1"/>
  <c r="AE191" i="14"/>
  <c r="CB111" i="12"/>
  <c r="I114" i="12"/>
  <c r="G158" i="12"/>
  <c r="BZ158" i="12" s="1"/>
  <c r="X129" i="12"/>
  <c r="X132" i="12" s="1"/>
  <c r="BZ129" i="12"/>
  <c r="H259" i="12"/>
  <c r="CA259" i="12" s="1"/>
  <c r="CA256" i="12"/>
  <c r="I256" i="12"/>
  <c r="J58" i="12"/>
  <c r="J25" i="12"/>
  <c r="I199" i="12"/>
  <c r="G204" i="12"/>
  <c r="I158" i="12"/>
  <c r="CB155" i="12"/>
  <c r="H259" i="14"/>
  <c r="AE259" i="14" s="1"/>
  <c r="AE256" i="14"/>
  <c r="CA204" i="12"/>
  <c r="H207" i="12"/>
  <c r="CA207" i="12" s="1"/>
  <c r="I31" i="12"/>
  <c r="G33" i="12"/>
  <c r="I33" i="12" s="1"/>
  <c r="G32" i="12"/>
  <c r="I32" i="12" s="1"/>
  <c r="H219" i="12"/>
  <c r="I65" i="14"/>
  <c r="I94" i="14" s="1"/>
  <c r="G94" i="14"/>
  <c r="CA155" i="12"/>
  <c r="H158" i="12"/>
  <c r="CA158" i="12" s="1"/>
  <c r="G259" i="14"/>
  <c r="AD259" i="14" s="1"/>
  <c r="BW215" i="12"/>
  <c r="I215" i="12"/>
  <c r="BY215" i="12" s="1"/>
  <c r="G219" i="12"/>
  <c r="G167" i="12"/>
  <c r="I167" i="12" s="1"/>
  <c r="G166" i="12"/>
  <c r="I166" i="12" s="1"/>
  <c r="I165" i="12"/>
  <c r="BZ165" i="12"/>
  <c r="I129" i="12"/>
  <c r="CA129" i="12"/>
  <c r="H132" i="12"/>
  <c r="CA132" i="12" s="1"/>
  <c r="G114" i="12"/>
  <c r="BZ114" i="12" s="1"/>
  <c r="G96" i="12"/>
  <c r="I96" i="12" s="1"/>
  <c r="G97" i="12"/>
  <c r="G95" i="12"/>
  <c r="I95" i="12" s="1"/>
  <c r="I97" i="12" s="1"/>
  <c r="G207" i="14"/>
  <c r="AD207" i="14" s="1"/>
  <c r="I135" i="12"/>
  <c r="CB135" i="12" s="1"/>
  <c r="CA135" i="12"/>
  <c r="H147" i="12"/>
  <c r="CA136" i="12"/>
  <c r="I136" i="12"/>
  <c r="CB136" i="12" s="1"/>
  <c r="BZ134" i="12"/>
  <c r="I134" i="12"/>
  <c r="CB134" i="12" s="1"/>
  <c r="G147" i="12"/>
  <c r="AD147" i="14"/>
  <c r="G148" i="14"/>
  <c r="AD148" i="14" s="1"/>
  <c r="H207" i="14"/>
  <c r="AE207" i="14" s="1"/>
  <c r="I204" i="14"/>
  <c r="AE204" i="14"/>
  <c r="J274" i="12"/>
  <c r="CB274" i="12"/>
  <c r="CA191" i="12"/>
  <c r="H194" i="12"/>
  <c r="CA194" i="12" s="1"/>
  <c r="I191" i="12"/>
  <c r="AE147" i="14" l="1"/>
  <c r="I147" i="14"/>
  <c r="I148" i="14" s="1"/>
  <c r="I114" i="14"/>
  <c r="AF114" i="14" s="1"/>
  <c r="H284" i="14"/>
  <c r="AE284" i="14" s="1"/>
  <c r="AE111" i="14"/>
  <c r="I220" i="14"/>
  <c r="AF220" i="14" s="1"/>
  <c r="R24" i="14"/>
  <c r="AF256" i="14"/>
  <c r="AF211" i="14"/>
  <c r="I212" i="14"/>
  <c r="I25" i="14"/>
  <c r="AF155" i="14"/>
  <c r="I158" i="14"/>
  <c r="G168" i="14"/>
  <c r="AD168" i="14" s="1"/>
  <c r="I168" i="14"/>
  <c r="AF165" i="14"/>
  <c r="I132" i="14"/>
  <c r="AF129" i="14"/>
  <c r="R192" i="14"/>
  <c r="I194" i="14" s="1"/>
  <c r="G194" i="14"/>
  <c r="AD194" i="14" s="1"/>
  <c r="G132" i="14"/>
  <c r="AD132" i="14" s="1"/>
  <c r="J97" i="12"/>
  <c r="I168" i="12"/>
  <c r="CB165" i="12"/>
  <c r="CA219" i="12"/>
  <c r="H220" i="12"/>
  <c r="CA220" i="12" s="1"/>
  <c r="G148" i="12"/>
  <c r="BZ148" i="12" s="1"/>
  <c r="BZ147" i="12"/>
  <c r="I147" i="12"/>
  <c r="G168" i="12"/>
  <c r="BZ168" i="12" s="1"/>
  <c r="G34" i="12"/>
  <c r="CB158" i="12"/>
  <c r="J158" i="12"/>
  <c r="AF147" i="14"/>
  <c r="G205" i="12"/>
  <c r="I205" i="12" s="1"/>
  <c r="BZ204" i="12"/>
  <c r="I204" i="12"/>
  <c r="G206" i="12"/>
  <c r="I206" i="12" s="1"/>
  <c r="AF259" i="14"/>
  <c r="I34" i="12"/>
  <c r="I259" i="12"/>
  <c r="CB256" i="12"/>
  <c r="I207" i="14"/>
  <c r="AF204" i="14"/>
  <c r="CB191" i="12"/>
  <c r="I194" i="12"/>
  <c r="CB129" i="12"/>
  <c r="I132" i="12"/>
  <c r="P95" i="14"/>
  <c r="P96" i="14"/>
  <c r="R96" i="14" s="1"/>
  <c r="J114" i="12"/>
  <c r="CB114" i="12"/>
  <c r="CA147" i="12"/>
  <c r="H148" i="12"/>
  <c r="CA148" i="12" s="1"/>
  <c r="BZ219" i="12"/>
  <c r="I219" i="12"/>
  <c r="G220" i="12"/>
  <c r="BZ220" i="12" s="1"/>
  <c r="P281" i="14" l="1"/>
  <c r="G281" i="14" s="1"/>
  <c r="I281" i="14" s="1"/>
  <c r="G280" i="14"/>
  <c r="AF212" i="14"/>
  <c r="R95" i="14"/>
  <c r="R280" i="14" s="1"/>
  <c r="AF158" i="14"/>
  <c r="I97" i="14"/>
  <c r="AF194" i="14"/>
  <c r="AF132" i="14"/>
  <c r="AF168" i="14"/>
  <c r="I220" i="12"/>
  <c r="CB219" i="12"/>
  <c r="J34" i="12"/>
  <c r="I207" i="12"/>
  <c r="CB204" i="12"/>
  <c r="J168" i="12"/>
  <c r="CB168" i="12"/>
  <c r="AF207" i="14"/>
  <c r="G97" i="14"/>
  <c r="G207" i="12"/>
  <c r="BZ207" i="12" s="1"/>
  <c r="AF148" i="14"/>
  <c r="J132" i="12"/>
  <c r="CB132" i="12"/>
  <c r="J194" i="12"/>
  <c r="CB194" i="12"/>
  <c r="J259" i="12"/>
  <c r="CB259" i="12"/>
  <c r="I148" i="12"/>
  <c r="CB147" i="12"/>
  <c r="R281" i="14" l="1"/>
  <c r="G282" i="14"/>
  <c r="G284" i="14" s="1"/>
  <c r="I280" i="14"/>
  <c r="I282" i="14" s="1"/>
  <c r="I284" i="14" s="1"/>
  <c r="S289" i="14" s="1"/>
  <c r="CB207" i="12"/>
  <c r="J207" i="12"/>
  <c r="J278" i="12"/>
  <c r="J280" i="12" s="1"/>
  <c r="K255" i="12" s="1"/>
  <c r="K256" i="12" s="1"/>
  <c r="I278" i="12"/>
  <c r="CB148" i="12"/>
  <c r="J148" i="12"/>
  <c r="CB220" i="12"/>
  <c r="J220" i="12"/>
  <c r="S284" i="14" l="1"/>
  <c r="AD284" i="14"/>
  <c r="I16" i="14"/>
  <c r="I285" i="14"/>
  <c r="AF285" i="14" s="1"/>
  <c r="AF284" i="14"/>
  <c r="CB278" i="12"/>
  <c r="I16" i="12"/>
  <c r="K30" i="12" s="1"/>
  <c r="K32" i="12" s="1"/>
  <c r="K33" i="12" s="1"/>
  <c r="I279" i="12"/>
  <c r="CB279" i="12" s="1"/>
</calcChain>
</file>

<file path=xl/sharedStrings.xml><?xml version="1.0" encoding="utf-8"?>
<sst xmlns="http://schemas.openxmlformats.org/spreadsheetml/2006/main" count="1245" uniqueCount="400">
  <si>
    <t>СОГЛАСОВАНО:</t>
  </si>
  <si>
    <t>УТВЕРЖДАЮ:</t>
  </si>
  <si>
    <t>№ п/п</t>
  </si>
  <si>
    <t>Наименование работ</t>
  </si>
  <si>
    <t>Ед. изм.</t>
  </si>
  <si>
    <t>3.6</t>
  </si>
  <si>
    <t>м2</t>
  </si>
  <si>
    <t>м3</t>
  </si>
  <si>
    <t>тн</t>
  </si>
  <si>
    <t>шт</t>
  </si>
  <si>
    <t>Итого Работа</t>
  </si>
  <si>
    <t>Стены наружные</t>
  </si>
  <si>
    <t>4.1</t>
  </si>
  <si>
    <t>Блоки из ячеистых бетонов по ГОСТ 31360 2007,Блок l/625*250*250/D500/B2,5/F25  на строительном клее Senego GS39 по ТУ 5745-005-9128015-2012-250мм</t>
  </si>
  <si>
    <t>Клей для газобетона, 25 кг</t>
  </si>
  <si>
    <t>меш</t>
  </si>
  <si>
    <t>4.2</t>
  </si>
  <si>
    <t>Раствор</t>
  </si>
  <si>
    <t>4.4</t>
  </si>
  <si>
    <t>Перемычки</t>
  </si>
  <si>
    <t>Металическое ограждение незадымляемых балконов</t>
  </si>
  <si>
    <t>маш/час</t>
  </si>
  <si>
    <t>Внутренние стены и перегородки</t>
  </si>
  <si>
    <t>5.1</t>
  </si>
  <si>
    <t>Камни бетонные стеновые СКЦ1Р-1ПГ-1425 кг/м3/,М100 по ТУ 5741-008-49975776-2010 на цементно-известняковом кладочном р-ре М75,Пк2 ГОСТ 28013-98*-190мм</t>
  </si>
  <si>
    <t>5.2</t>
  </si>
  <si>
    <t>кг</t>
  </si>
  <si>
    <t>6</t>
  </si>
  <si>
    <t xml:space="preserve">Устройство фасада </t>
  </si>
  <si>
    <t>6.1</t>
  </si>
  <si>
    <t>Устройство навесного вентилируемого фасада из кассетных навесных панелей</t>
  </si>
  <si>
    <t>Откосы</t>
  </si>
  <si>
    <t>6.3</t>
  </si>
  <si>
    <t>Устройство мокрого фасада с утеплением</t>
  </si>
  <si>
    <t>6.4</t>
  </si>
  <si>
    <t>Устройство мокрого фасада без утепления (откосы, балконы)</t>
  </si>
  <si>
    <t>7</t>
  </si>
  <si>
    <t>Окна и витражи</t>
  </si>
  <si>
    <t>7.1</t>
  </si>
  <si>
    <t>7.2</t>
  </si>
  <si>
    <t>7.4</t>
  </si>
  <si>
    <t>7.5</t>
  </si>
  <si>
    <t>8</t>
  </si>
  <si>
    <t>Двери</t>
  </si>
  <si>
    <t>9</t>
  </si>
  <si>
    <t>Кровля</t>
  </si>
  <si>
    <t>9.1</t>
  </si>
  <si>
    <t>9.4</t>
  </si>
  <si>
    <t>10</t>
  </si>
  <si>
    <t>Отделка полов входных групп, лестниц, пандусов</t>
  </si>
  <si>
    <t>10.1</t>
  </si>
  <si>
    <t>Отделка керамической плиткой стен техподполья в спусках в техподполье,подступенков и цоколя у крыльца</t>
  </si>
  <si>
    <t>10.2</t>
  </si>
  <si>
    <t>Ограждение наружных пандусов из черног метала с порошковой окраской</t>
  </si>
  <si>
    <t>11</t>
  </si>
  <si>
    <t>11.1</t>
  </si>
  <si>
    <t>11.2</t>
  </si>
  <si>
    <t>12</t>
  </si>
  <si>
    <t xml:space="preserve">Прочие </t>
  </si>
  <si>
    <t>12.1</t>
  </si>
  <si>
    <t>Почтовые ящики</t>
  </si>
  <si>
    <t>13</t>
  </si>
  <si>
    <t>Лифты</t>
  </si>
  <si>
    <t>13.1</t>
  </si>
  <si>
    <t>Лифт пассажирский ЛП-1016БК грузоподъемоностью Q=1000 кг,, V=1,6м/с., производства Могилёв</t>
  </si>
  <si>
    <t>13.2</t>
  </si>
  <si>
    <t>Лифт пассажирский ЛП-1016БШ грузоподъемоностью Q=1000 кг,, V=1,6м/с., производства Могилёв</t>
  </si>
  <si>
    <t>14</t>
  </si>
  <si>
    <t>Отделочные работы</t>
  </si>
  <si>
    <t>Подвесной потолок (МОП)</t>
  </si>
  <si>
    <t xml:space="preserve">Гидроизоляция – обмазочная за 2 слоя по битумному праймеру – 3мм
</t>
  </si>
  <si>
    <t>Устройство напольного покрытия из керамогранита противоскользящего (МОП)</t>
  </si>
  <si>
    <t xml:space="preserve">Пленка полиэтиленовая – 200 мкм. </t>
  </si>
  <si>
    <t>Пароизоляция стеклоизол ХПП</t>
  </si>
  <si>
    <t>Уст-во сапожка из кер.гранита высотой 100мм с затир.плит.клеем</t>
  </si>
  <si>
    <t>п.м.</t>
  </si>
  <si>
    <t>15</t>
  </si>
  <si>
    <t>Инженерные системы</t>
  </si>
  <si>
    <t>15.1</t>
  </si>
  <si>
    <t xml:space="preserve">Монтаж системы вентиляции и пуско-наладка </t>
  </si>
  <si>
    <t>к-т</t>
  </si>
  <si>
    <t>15.2</t>
  </si>
  <si>
    <t>Монтаж системы отопления и пуско-наладка</t>
  </si>
  <si>
    <t xml:space="preserve">Монтаж систем ХВС, ГВС, канализация и пуско-наладка </t>
  </si>
  <si>
    <t>АПС и автоматика</t>
  </si>
  <si>
    <t xml:space="preserve">Электроосвещение </t>
  </si>
  <si>
    <t>Ст-ть ед.</t>
  </si>
  <si>
    <t xml:space="preserve"> материал</t>
  </si>
  <si>
    <t>Общая стоим.</t>
  </si>
  <si>
    <t xml:space="preserve"> работа</t>
  </si>
  <si>
    <t>Стоимость по договору с учетом  НДС</t>
  </si>
  <si>
    <t>Директор ООО "Стандарт-Инвест"</t>
  </si>
  <si>
    <t>Итого</t>
  </si>
  <si>
    <t>ВСЕГО</t>
  </si>
  <si>
    <t>количество</t>
  </si>
  <si>
    <t>руб.</t>
  </si>
  <si>
    <t>СТАЛО</t>
  </si>
  <si>
    <t>ОСТАТКИ ( с учетом переподписанных КС2)</t>
  </si>
  <si>
    <t>2.1</t>
  </si>
  <si>
    <t>2.3</t>
  </si>
  <si>
    <t>3</t>
  </si>
  <si>
    <t>3.1</t>
  </si>
  <si>
    <t>3.2</t>
  </si>
  <si>
    <t>м</t>
  </si>
  <si>
    <t>2.2</t>
  </si>
  <si>
    <t>компл</t>
  </si>
  <si>
    <t>1</t>
  </si>
  <si>
    <t>2</t>
  </si>
  <si>
    <t>1.2</t>
  </si>
  <si>
    <t>Витражи входных групп</t>
  </si>
  <si>
    <t>Потолок ГКЛ</t>
  </si>
  <si>
    <t>Плитка (стены)</t>
  </si>
  <si>
    <t>Земляные работы</t>
  </si>
  <si>
    <t>1.1.</t>
  </si>
  <si>
    <t>Разработка котлована:</t>
  </si>
  <si>
    <t xml:space="preserve">Обратная засыпка </t>
  </si>
  <si>
    <t>Погружение составных ж/б свай. Срубка свай</t>
  </si>
  <si>
    <t>Антикоррозионная обработка стыка свай</t>
  </si>
  <si>
    <t>Срубка оголовков свай</t>
  </si>
  <si>
    <t>итого</t>
  </si>
  <si>
    <t>Устройство бетонной подготовки толщ 100 мм под монолитную фундаментную плиту</t>
  </si>
  <si>
    <t>Бетон В7,5 W4 F7,5</t>
  </si>
  <si>
    <t>Бетон В30 W8 F200</t>
  </si>
  <si>
    <t>Пластиковый фиксатор нижней арматуры</t>
  </si>
  <si>
    <t>Металл</t>
  </si>
  <si>
    <t>3.3</t>
  </si>
  <si>
    <t>Устройство вертикального рабочего шва бетонирования</t>
  </si>
  <si>
    <t>пм</t>
  </si>
  <si>
    <t>гидропрокладка  Penebar</t>
  </si>
  <si>
    <t>Состав Скрепа М500, b=0,2 м s=0,01</t>
  </si>
  <si>
    <t>Техноэласт ЭПП b=0,2 м</t>
  </si>
  <si>
    <t>3.4</t>
  </si>
  <si>
    <t xml:space="preserve">Устройство монолитной ж/б наружней стены подвала </t>
  </si>
  <si>
    <t>Бетон  В30 W8 F200</t>
  </si>
  <si>
    <t>3.5</t>
  </si>
  <si>
    <t>песок</t>
  </si>
  <si>
    <t>Устройство монолитной ж/б плиты перекрытия на отм. -0,12</t>
  </si>
  <si>
    <t>Бетон  В25 W6 F100</t>
  </si>
  <si>
    <t>Устройство бетонной подготовки  под входные группы</t>
  </si>
  <si>
    <t>Бетон В7,5 W4 F50</t>
  </si>
  <si>
    <t xml:space="preserve">Устройство входной группы </t>
  </si>
  <si>
    <t xml:space="preserve">Устройство наружных монолитных стен </t>
  </si>
  <si>
    <t>БетонВ30, F200, W8</t>
  </si>
  <si>
    <t>БетонВ30, F200, W6</t>
  </si>
  <si>
    <t>БетонВ25, F100, W6</t>
  </si>
  <si>
    <t xml:space="preserve">Устройство внутренних монолитных стен </t>
  </si>
  <si>
    <t xml:space="preserve">Устройство монолитных перекрытий из бетона </t>
  </si>
  <si>
    <t>Устройство термовкладыша</t>
  </si>
  <si>
    <t>Оклеечная гидроизоляция фундаментной плиты и  стен подвала в 2 слоя</t>
  </si>
  <si>
    <t>Техноэласт ЭПП (2 слоя)</t>
  </si>
  <si>
    <t>Праймер битумный</t>
  </si>
  <si>
    <t>4.3</t>
  </si>
  <si>
    <t>м.п.</t>
  </si>
  <si>
    <t>оцинковааное металлическое ограждение (секции)</t>
  </si>
  <si>
    <t>Калитки 1,8*1,2</t>
  </si>
  <si>
    <t>бетонные блоки 600х250х50</t>
  </si>
  <si>
    <t xml:space="preserve">Монтаж вент.жалюзийных решеток продуха подвала </t>
  </si>
  <si>
    <t>4.5</t>
  </si>
  <si>
    <t xml:space="preserve">Монтаж лестниц  пожарных </t>
  </si>
  <si>
    <t>4.6</t>
  </si>
  <si>
    <t>Лестница выхода на кровлю</t>
  </si>
  <si>
    <t>4.7</t>
  </si>
  <si>
    <t>Металлические элементы машинного помещения</t>
  </si>
  <si>
    <t>4.8</t>
  </si>
  <si>
    <t>Монолитный пояс МП-1, МП-2, МП-3 машинного отделения</t>
  </si>
  <si>
    <t>Бетон кл. В15 W4 F100</t>
  </si>
  <si>
    <t>куб м</t>
  </si>
  <si>
    <t>4.9</t>
  </si>
  <si>
    <t>Металлический поддоны в подвале</t>
  </si>
  <si>
    <t>4.10</t>
  </si>
  <si>
    <t xml:space="preserve">Итого </t>
  </si>
  <si>
    <t>Блоки из ячеистых бетонов по ГОСТ 31360 2007,Блок l/600*300*250/D/B2,5/F25  на строительном клее Senego GS39 по ТУ 5745-005-9128015-2012-250мм</t>
  </si>
  <si>
    <t>Металическое ограждение холодных балконов</t>
  </si>
  <si>
    <t xml:space="preserve">Камни керамзитобетонные стеновые КП-ПР-ПС-39-50-1100 кг/м³ по ГОСТ 6133-99 </t>
  </si>
  <si>
    <t>Раствор цементно-песчаный м75</t>
  </si>
  <si>
    <t>Композитная арматура Ф10мм L=290мм</t>
  </si>
  <si>
    <t>Арматура Ф10мм L=300мм</t>
  </si>
  <si>
    <t>Кирпич керамический</t>
  </si>
  <si>
    <t>ДАН О Бпр Дв Пр Р 2150х1550</t>
  </si>
  <si>
    <t>ДАН О Бпр ДвЛ Р 2150х1550</t>
  </si>
  <si>
    <t>9.3</t>
  </si>
  <si>
    <t>ДАВ О Бпр Дв Пр Р 2150х1550</t>
  </si>
  <si>
    <t>ДАВ О Бпр Дв Л Р 2150х1550</t>
  </si>
  <si>
    <t>ДСН Оп Прг Пр Н Псп 2100х1240</t>
  </si>
  <si>
    <t>9.6</t>
  </si>
  <si>
    <t>ДПН Км Бпр Ф Дп Пр 2790х1350</t>
  </si>
  <si>
    <t>9.7</t>
  </si>
  <si>
    <t>ДПН Км Бпр Ф Дп Л Р 2760х1350</t>
  </si>
  <si>
    <t>ДПН Км Бпр Ф Дп Л Р 2790х1350</t>
  </si>
  <si>
    <t>ДПН Г П Оп Л Р 1790х1040</t>
  </si>
  <si>
    <t>ДПН Г П Оп Пр Р 1850х1040</t>
  </si>
  <si>
    <t>ДСН Оп Прг Пр Н Псн 2000х1000</t>
  </si>
  <si>
    <t>ДПС 01 2100х1000 Л ЕIS60</t>
  </si>
  <si>
    <t>ДПС 01 1790х1000 EI60</t>
  </si>
  <si>
    <t>ДПС 02 2100х1400 EI60</t>
  </si>
  <si>
    <t>ДПВ Км Бпр Дп Л Р 2100х1350</t>
  </si>
  <si>
    <t>ДВ 1 Рп 21х9 Г Пр Мд1</t>
  </si>
  <si>
    <t>ДПВ Г П Оп Л Р 2100х900</t>
  </si>
  <si>
    <t>ДПС 01 2050х1000 Пр EI30</t>
  </si>
  <si>
    <t>Примыкания над техническим помещениями</t>
  </si>
  <si>
    <t>СТЕНЫ</t>
  </si>
  <si>
    <t>Утепление стен подвала экструдированным пенополистиролом толщ.100мм</t>
  </si>
  <si>
    <t>Экструдированный пенополистерол</t>
  </si>
  <si>
    <t>Клей пена Технониколь</t>
  </si>
  <si>
    <t xml:space="preserve">Изол ФШ 150 по ТУ5762-002-84277528-2008 с изм.№1-5 (или аналог)  - 50 мм; </t>
  </si>
  <si>
    <t>Затирка для плитки</t>
  </si>
  <si>
    <t>ПОТОЛКИ</t>
  </si>
  <si>
    <t>ПОЛЫ</t>
  </si>
  <si>
    <t>утеплитель ПСБ-С-35 толщ 20мм</t>
  </si>
  <si>
    <t xml:space="preserve">Клей плиточный - 11мм </t>
  </si>
  <si>
    <t>Устройство мусоропровода (Хризотилцементные трубы)</t>
  </si>
  <si>
    <t>Закладные детали для кладки наружных стен</t>
  </si>
  <si>
    <t xml:space="preserve"> Кирпич силикатный</t>
  </si>
  <si>
    <t xml:space="preserve">Устройство сплошного "теплого" витража стеклопакет толщиной 32мм , с учетом откосов
 </t>
  </si>
  <si>
    <r>
      <t xml:space="preserve"> Кровля над техническим помещения  из профлиста </t>
    </r>
    <r>
      <rPr>
        <i/>
        <sz val="11"/>
        <rFont val="Times New Roman"/>
        <family val="1"/>
        <charset val="204"/>
      </rPr>
      <t>(профлист,пароизоляция- Стеклоизол ХПП, утеплитель Изолеко толщ 50мм, разуклонка из плит Изол толщ 50мм,стяжка из  ЦСП толщ.12 мм в 2 слоя (24 мм), покраска праймером  ЦСП с 2-х сторон,  гидроизоляция Унифлекс ЭПП,гидроизоляция Техноэласт ЭКП)</t>
    </r>
  </si>
  <si>
    <t xml:space="preserve">Разные работы </t>
  </si>
  <si>
    <t>Оклееечная гидроизоляция</t>
  </si>
  <si>
    <t>Уст-во утеплитель - ЭППС 28-35кг/м3 -0,032Вт (м*К)-20мм (по полу первого этажа и чердаку )</t>
  </si>
  <si>
    <t>утеплитель ЭППС-20мм</t>
  </si>
  <si>
    <t>Керамогранит с противоскользящим покрытием 300х300х9 мм</t>
  </si>
  <si>
    <t>Итого по разделу 2</t>
  </si>
  <si>
    <t>Итого по разделу 3</t>
  </si>
  <si>
    <t>Устройство ограждений балконов и лоджий</t>
  </si>
  <si>
    <t>Сметная прибыль 5%</t>
  </si>
  <si>
    <t>5.3</t>
  </si>
  <si>
    <t>5.4</t>
  </si>
  <si>
    <t>5.5</t>
  </si>
  <si>
    <t>5.6</t>
  </si>
  <si>
    <t>5.7</t>
  </si>
  <si>
    <t>6.2</t>
  </si>
  <si>
    <t>6.5</t>
  </si>
  <si>
    <t>7.3</t>
  </si>
  <si>
    <t>8.1</t>
  </si>
  <si>
    <t>8.2</t>
  </si>
  <si>
    <t>8.3</t>
  </si>
  <si>
    <t>8.4</t>
  </si>
  <si>
    <t>8.5</t>
  </si>
  <si>
    <t xml:space="preserve">Устройство ПВХ заполнений балконов </t>
  </si>
  <si>
    <t>10.3</t>
  </si>
  <si>
    <t>10.4</t>
  </si>
  <si>
    <t>10.5</t>
  </si>
  <si>
    <t>12.2</t>
  </si>
  <si>
    <t>Устройство полусухой стяжки</t>
  </si>
  <si>
    <t>14.1</t>
  </si>
  <si>
    <t>14.2</t>
  </si>
  <si>
    <t>16</t>
  </si>
  <si>
    <t>16.1</t>
  </si>
  <si>
    <t>16.2</t>
  </si>
  <si>
    <t>Всего  по смете</t>
  </si>
  <si>
    <t>Накладные расходы 11%</t>
  </si>
  <si>
    <r>
      <t xml:space="preserve">Устройство кровли из кровельного покрытия Техноэласт ФИКС </t>
    </r>
    <r>
      <rPr>
        <i/>
        <sz val="11"/>
        <rFont val="Times New Roman"/>
        <family val="1"/>
        <charset val="204"/>
      </rPr>
      <t>(пароизоляция- Стеклоизол ХПП, утеплитель Изолеко толщ150мм, разуклонка из плит Изол толщ 50мм,стяжка из  ЦСП толщ.12 мм в 2 слоя (24 мм), покраска праймером  ЦСП с 2-х сторон,  гидроизоляция Унифлекс ЭПП,гидроизоляция Техноэласт ЭКП)</t>
    </r>
  </si>
  <si>
    <r>
      <t>Кровля "теплых балконов"</t>
    </r>
    <r>
      <rPr>
        <i/>
        <sz val="11"/>
        <rFont val="Times New Roman"/>
        <family val="1"/>
        <charset val="204"/>
      </rPr>
      <t xml:space="preserve"> (пароизоляция- Стеклоизол ХПП, цементно-песчанная стяжка толщ 10-20мм, пенополистирол Технониколь толщ 200мм, ЦСП толщ.12 мм в 2 слоя (24 мм), покраска праймером  ЦСП с 2-х сторон,  гидроизоляция Унифлекс ЭПП,гидроизоляция Техноэласт ЭПП, гидроизоляция Техноэласт ЭКП)</t>
    </r>
  </si>
  <si>
    <t>кол-во</t>
  </si>
  <si>
    <t>в том числе НДС 20%</t>
  </si>
  <si>
    <t>Дверь входная деревянные 21х10 Пр</t>
  </si>
  <si>
    <t>Дверь входная деревянные 21х10 Лев</t>
  </si>
  <si>
    <t>Устройство монолитных стен лестнично-лифтового блока из бетона до отм 0.000</t>
  </si>
  <si>
    <t>Итого по разделу 1</t>
  </si>
  <si>
    <t>6.6</t>
  </si>
  <si>
    <t>5.9</t>
  </si>
  <si>
    <t>Итого по разделу 4</t>
  </si>
  <si>
    <t>5.8</t>
  </si>
  <si>
    <t>Итого по разделу 5</t>
  </si>
  <si>
    <t>Итого по разделу 6</t>
  </si>
  <si>
    <t>Итого по разделу 7</t>
  </si>
  <si>
    <t>ИТОГО по разделу 8</t>
  </si>
  <si>
    <t>Итого по разделу 9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</si>
  <si>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</si>
  <si>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</si>
  <si>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</si>
  <si>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</si>
  <si>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</si>
  <si>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</si>
  <si>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</si>
  <si>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</si>
  <si>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</si>
  <si>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</si>
  <si>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</si>
  <si>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</si>
  <si>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</si>
  <si>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</si>
  <si>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</si>
  <si>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ИТОГО разделу 10</t>
  </si>
  <si>
    <t>11.3</t>
  </si>
  <si>
    <t>11.4</t>
  </si>
  <si>
    <t>11.5</t>
  </si>
  <si>
    <t>ИТОГО по разделу 11</t>
  </si>
  <si>
    <t>Итого по разделу 12</t>
  </si>
  <si>
    <t>ИТОГО по разделу 13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</si>
  <si>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</si>
  <si>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</si>
  <si>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</si>
  <si>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</si>
  <si>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</si>
  <si>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</si>
  <si>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</si>
  <si>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</si>
  <si>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</si>
  <si>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</si>
  <si>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</si>
  <si>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</si>
  <si>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</si>
  <si>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</si>
  <si>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14.18</t>
  </si>
  <si>
    <t>Итого по разделу 14</t>
  </si>
  <si>
    <t>ИТОГО по разделу 15</t>
  </si>
  <si>
    <t>ИТОГО по разделу 16</t>
  </si>
  <si>
    <t>17</t>
  </si>
  <si>
    <t>17.1</t>
  </si>
  <si>
    <t>17.2</t>
  </si>
  <si>
    <t>17.3</t>
  </si>
  <si>
    <t>17.4</t>
  </si>
  <si>
    <t>17.5</t>
  </si>
  <si>
    <t>итого по разделу 17</t>
  </si>
  <si>
    <t>Механизмы</t>
  </si>
  <si>
    <t>Работа кранов и прочих механизмов</t>
  </si>
  <si>
    <t>18.1</t>
  </si>
  <si>
    <t>Итого по разделу 18</t>
  </si>
  <si>
    <t>Приложение № 1  к договору №ЖИЗУ6-Э от 27.03.2019г.</t>
  </si>
  <si>
    <t>Генеральный директор ООО "Эврика"</t>
  </si>
  <si>
    <t>Директор ООО "Смарт-Девелопмент"</t>
  </si>
  <si>
    <t>__________________ Исмагилов Э. Р.</t>
  </si>
  <si>
    <t>_____________________ Лушин К.Н.</t>
  </si>
  <si>
    <t>_____________________ Софронов Д.В.</t>
  </si>
  <si>
    <t>Стройка: Строительство многоквартирного жилого дома № 6 по адресу: г. Ульяновск, Засвияжский район, Московское шоссе.</t>
  </si>
  <si>
    <t>комплекс  работ по строительству многоквартирного жилого дома № 6</t>
  </si>
  <si>
    <t>Устройство монолитного ж/б каркаса выше отм. 0.000</t>
  </si>
  <si>
    <t>Устройство монолитного ж/б каркаса ниже отм. 0.000</t>
  </si>
  <si>
    <t>Сваи 35х35 см, усиленные L=20м, Свая С 80.35-Св-6; Свая С 120.35-Св-6</t>
  </si>
  <si>
    <t>Металлическое ограждение кровли</t>
  </si>
  <si>
    <t>11.6</t>
  </si>
  <si>
    <t>Кирпичная кладка стен  из кирпича керамического</t>
  </si>
  <si>
    <t>Кирпичная кладка стен  из кирпича силикатного</t>
  </si>
  <si>
    <t>Монтажные закладные для кондиционеров</t>
  </si>
  <si>
    <t>Погружение составных ж/б свай 35*35 см, сварной стык статической погрузкой</t>
  </si>
  <si>
    <t>Устройство монолитных стен лестнично-лифтового блока из бетона</t>
  </si>
  <si>
    <t>Устройство монолитных ж/б лестничных площадок из бетона</t>
  </si>
  <si>
    <t>Устройство индивидуальных лестничных маршей  ИМЛ 30.12.15-4</t>
  </si>
  <si>
    <t xml:space="preserve">Ограждение лестничных маршей h=0,9 м </t>
  </si>
  <si>
    <t>Устройство фундаментной монолитной ж/б плиты</t>
  </si>
  <si>
    <t>Монтаж мет.ограждения высотой 1,8 м  в подвале</t>
  </si>
  <si>
    <r>
      <t>Кровля холодных балконов</t>
    </r>
    <r>
      <rPr>
        <i/>
        <sz val="11"/>
        <rFont val="Times New Roman"/>
        <family val="1"/>
        <charset val="204"/>
      </rPr>
      <t xml:space="preserve"> (пароизоляция- Стеклоизол ХПП, цементно-песчанная стяжка толщ 10-20мм,   гидроизоляция Техноэласт Фикс, гидроизоляция Техноэласт ЭКП, , пенополистирол Технониколь)</t>
    </r>
  </si>
  <si>
    <t>Смета № 1/6-упр</t>
  </si>
  <si>
    <t>Металлические ограждения (кондиционеры) на навесных вентилируемых фасадах</t>
  </si>
  <si>
    <t>Перегородки  гипсовые пазогребневые плиты гидрофобизированные толщ 80мм</t>
  </si>
  <si>
    <t>Гипсовые пазогребневые плиты торговой марки "МАГМА"(МАГМА-гипсоплиты полнотелые  стандартные тип 1.1) ТУ 5742-030-86214064-2015 на гипсовом клею МАГМА "Монтаж"(МАГМА "Монтаж Зима") ТУ 5745-009-86214064-2012- толщ. 80мм</t>
  </si>
  <si>
    <t>Перегородки гипсовые пазогребневые плиты  толщ. 80мм</t>
  </si>
  <si>
    <t xml:space="preserve">Устройство ПВХ балконных дверей </t>
  </si>
  <si>
    <t xml:space="preserve">Устройство ПВХ окон </t>
  </si>
  <si>
    <t>Устройство вентилируемого фассада из керамогранита 60*60*10, 30*30,10</t>
  </si>
  <si>
    <t>ДПС Пульс -60 1350*1000 ЕIS60</t>
  </si>
  <si>
    <t xml:space="preserve">Устройство утепления стен  минераловатными плитами с теплопроводностью λБ - 0,043 Вт/(м*К), плотн.126-154 кг/м3  - 50 -100 мм </t>
  </si>
  <si>
    <t xml:space="preserve">Штукатурка, шпатлевка, покраска </t>
  </si>
  <si>
    <t xml:space="preserve">Шпаклевка покраска </t>
  </si>
  <si>
    <t xml:space="preserve">Штукатурка,  покраска </t>
  </si>
  <si>
    <t>шпатлевка, покраска потолка</t>
  </si>
  <si>
    <t>Керамогранит с противоскользящим покрытием 300х300х12 мм</t>
  </si>
  <si>
    <t>Пороги балконных дверей</t>
  </si>
  <si>
    <t>Устройство водосточных желобов ф 100мм</t>
  </si>
  <si>
    <t>Устройство водосточных труб 100х100 h=2,8м</t>
  </si>
  <si>
    <t>Устройство водосточных воронок ф 100мм</t>
  </si>
  <si>
    <t>Подшивка козырьков из профлиста С21-1000-0,7</t>
  </si>
  <si>
    <t>Устройство фасонных элементов на парапете кровли из оцинкованной стали</t>
  </si>
  <si>
    <t>Пешеходная дорожка тротуарная плитка на ц/п растворе</t>
  </si>
  <si>
    <t xml:space="preserve">Козырьки </t>
  </si>
  <si>
    <t>Устройство каркаса козырька из мет.конструкций</t>
  </si>
  <si>
    <t>11.7</t>
  </si>
  <si>
    <t>Стройка: Строительство многоквартирного жилого дома № 7 по адресу: г. Ульяновск, Засвияжский район, Московское шоссе.</t>
  </si>
  <si>
    <t>Смета № 1/7</t>
  </si>
  <si>
    <t>комплекс  работ по строительству многоквартирного жилого дома № 7</t>
  </si>
  <si>
    <t>Приложение № 1  к договору №_______ от _________________</t>
  </si>
  <si>
    <t>Раздел 1. Земляные работы</t>
  </si>
  <si>
    <t>Раздел 2. Погружение составных ж/б свай. Срубка свай</t>
  </si>
  <si>
    <t>Раздел 100. Организация работ</t>
  </si>
  <si>
    <t>100.1</t>
  </si>
  <si>
    <t>100.2</t>
  </si>
  <si>
    <t>Раздел 3. Устройство монолитного ж/б каркаса ниже отм. 0.000</t>
  </si>
  <si>
    <t>Раздел 4. Устройство монолитного ж/б каркаса выше отм. 0.000</t>
  </si>
  <si>
    <t xml:space="preserve">Раздел 5. Разные работы </t>
  </si>
  <si>
    <t>Раздел 6. Стены наружные</t>
  </si>
  <si>
    <t>Раздел 7. Внутренние стены и перегородки</t>
  </si>
  <si>
    <t xml:space="preserve">Раздел 8. Устройство фасада </t>
  </si>
  <si>
    <t>Раздел 9. Окна и витражи</t>
  </si>
  <si>
    <t>Раздел 10. Двери</t>
  </si>
  <si>
    <t>Раздел 11. Кровля</t>
  </si>
  <si>
    <t>Раздел 12. Отделка полов входных групп, лестниц, пандусов</t>
  </si>
  <si>
    <t xml:space="preserve">Раздел 13. Козырьки </t>
  </si>
  <si>
    <t>Раздел 14. Отделочные работы</t>
  </si>
  <si>
    <t xml:space="preserve">Раздел 15. Прочие </t>
  </si>
  <si>
    <t>Раздел 16. Лифты</t>
  </si>
  <si>
    <t>Раздел 17. Инженерные системы</t>
  </si>
  <si>
    <t>Раздел 18. Механизмы</t>
  </si>
  <si>
    <t>ок</t>
  </si>
  <si>
    <t>ИТОГО по разделу 10</t>
  </si>
  <si>
    <t>Итого по разделу 17</t>
  </si>
  <si>
    <t>Итого 100</t>
  </si>
  <si>
    <t>ВСЕГО ПО СМЕТЕ</t>
  </si>
  <si>
    <t>в т.ч. НДС</t>
  </si>
  <si>
    <t>Cметная прибыль 5%</t>
  </si>
  <si>
    <t>Раздел 101. 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</si>
</sst>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₽&quot;_-;\-* #,##0.00\ &quot;₽&quot;_-;_-* &quot;-&quot;??\ &quot;₽&quot;_-;_-@_-"/>
    <numFmt numFmtId="164" formatCode="#,##0.0"/>
    <numFmt numFmtId="165" formatCode="#,##0.000"/>
    <numFmt numFmtId="166" formatCode="0.000"/>
    <numFmt numFmtId="167" formatCode="#,##0.0000"/>
    <numFmt numFmtId="168" formatCode="#,##0.00000"/>
    <numFmt numFmtId="169" formatCode="#,##0.00_р_."/>
    <numFmt numFmtId="170" formatCode="0.0000"/>
    <numFmt numFmtId="171" formatCode="#,##0.00\ &quot;₽&quot;"/>
    <numFmt numFmtId="172" formatCode="0.00000"/>
    <numFmt numFmtId="173" formatCode="#,##0.000\ &quot;₽&quot;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1"/>
      <name val="Times New Roman"/>
      <family val="1"/>
      <charset val="204"/>
    </font>
    <font>
      <sz val="13"/>
      <name val="Times New Roman"/>
      <family val="1"/>
      <charset val="204"/>
    </font>
    <font>
      <u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3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70C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349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3" fontId="5" fillId="2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/>
    <xf numFmtId="3" fontId="5" fillId="2" borderId="0" xfId="0" applyNumberFormat="1" applyFont="1" applyFill="1" applyBorder="1"/>
    <xf numFmtId="2" fontId="5" fillId="3" borderId="0" xfId="0" applyNumberFormat="1" applyFont="1" applyFill="1" applyBorder="1"/>
    <xf numFmtId="3" fontId="5" fillId="3" borderId="0" xfId="0" applyNumberFormat="1" applyFont="1" applyFill="1" applyBorder="1"/>
    <xf numFmtId="3" fontId="5" fillId="3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9" fontId="1" fillId="3" borderId="1" xfId="0" applyNumberFormat="1" applyFont="1" applyFill="1" applyBorder="1" applyAlignment="1">
      <alignment vertical="center" wrapText="1"/>
    </xf>
    <xf numFmtId="169" fontId="1" fillId="3" borderId="1" xfId="0" applyNumberFormat="1" applyFont="1" applyFill="1" applyBorder="1" applyAlignment="1">
      <alignment horizontal="center" vertical="center" wrapText="1"/>
    </xf>
    <xf numFmtId="169" fontId="8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9" fontId="1" fillId="3" borderId="1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9" fontId="8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2" fontId="5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left" vertical="center"/>
    </xf>
    <xf numFmtId="2" fontId="4" fillId="2" borderId="0" xfId="0" applyNumberFormat="1" applyFont="1" applyFill="1" applyBorder="1"/>
    <xf numFmtId="3" fontId="4" fillId="2" borderId="0" xfId="0" applyNumberFormat="1" applyFont="1" applyFill="1" applyBorder="1"/>
    <xf numFmtId="3" fontId="4" fillId="3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5" fillId="2" borderId="0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4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" fontId="5" fillId="3" borderId="0" xfId="0" applyNumberFormat="1" applyFont="1" applyFill="1" applyBorder="1" applyAlignment="1">
      <alignment horizontal="center" vertical="center" wrapText="1"/>
    </xf>
    <xf numFmtId="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left" vertical="center"/>
    </xf>
    <xf numFmtId="168" fontId="5" fillId="3" borderId="0" xfId="0" applyNumberFormat="1" applyFont="1" applyFill="1" applyBorder="1" applyAlignment="1">
      <alignment horizontal="left" vertical="center"/>
    </xf>
    <xf numFmtId="167" fontId="5" fillId="3" borderId="0" xfId="0" applyNumberFormat="1" applyFont="1" applyFill="1" applyBorder="1" applyAlignment="1">
      <alignment horizontal="left" vertical="center"/>
    </xf>
    <xf numFmtId="4" fontId="4" fillId="3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1" fillId="3" borderId="0" xfId="0" applyFont="1" applyFill="1" applyBorder="1"/>
    <xf numFmtId="0" fontId="3" fillId="3" borderId="0" xfId="0" applyFont="1" applyFill="1" applyBorder="1" applyAlignment="1">
      <alignment vertical="center" wrapText="1"/>
    </xf>
    <xf numFmtId="4" fontId="1" fillId="3" borderId="0" xfId="0" applyNumberFormat="1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167" fontId="1" fillId="3" borderId="0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Border="1" applyAlignment="1">
      <alignment horizontal="center" vertical="center"/>
    </xf>
    <xf numFmtId="4" fontId="6" fillId="3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7" fillId="2" borderId="0" xfId="0" applyFont="1" applyFill="1" applyBorder="1"/>
    <xf numFmtId="0" fontId="7" fillId="3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3" fontId="7" fillId="3" borderId="0" xfId="0" applyNumberFormat="1" applyFont="1" applyFill="1" applyBorder="1" applyAlignment="1">
      <alignment horizontal="center" vertical="center"/>
    </xf>
    <xf numFmtId="4" fontId="7" fillId="3" borderId="0" xfId="0" applyNumberFormat="1" applyFont="1" applyFill="1" applyBorder="1" applyAlignment="1">
      <alignment horizontal="center" vertical="center"/>
    </xf>
    <xf numFmtId="2" fontId="7" fillId="3" borderId="0" xfId="0" applyNumberFormat="1" applyFont="1" applyFill="1" applyBorder="1"/>
    <xf numFmtId="3" fontId="7" fillId="3" borderId="0" xfId="0" applyNumberFormat="1" applyFont="1" applyFill="1" applyBorder="1"/>
    <xf numFmtId="3" fontId="7" fillId="3" borderId="0" xfId="0" applyNumberFormat="1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/>
    </xf>
    <xf numFmtId="4" fontId="7" fillId="3" borderId="0" xfId="0" applyNumberFormat="1" applyFont="1" applyFill="1" applyBorder="1" applyAlignment="1">
      <alignment horizontal="right" vertical="center"/>
    </xf>
    <xf numFmtId="2" fontId="7" fillId="3" borderId="0" xfId="0" applyNumberFormat="1" applyFont="1" applyFill="1" applyBorder="1" applyAlignment="1">
      <alignment horizontal="right" vertical="center" wrapText="1"/>
    </xf>
    <xf numFmtId="2" fontId="7" fillId="3" borderId="0" xfId="0" applyNumberFormat="1" applyFont="1" applyFill="1" applyBorder="1" applyAlignment="1">
      <alignment horizontal="right"/>
    </xf>
    <xf numFmtId="3" fontId="7" fillId="3" borderId="0" xfId="0" applyNumberFormat="1" applyFont="1" applyFill="1" applyBorder="1" applyAlignment="1">
      <alignment horizontal="right"/>
    </xf>
    <xf numFmtId="4" fontId="7" fillId="3" borderId="0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4" fillId="3" borderId="0" xfId="0" applyFont="1" applyFill="1" applyBorder="1"/>
    <xf numFmtId="2" fontId="4" fillId="3" borderId="0" xfId="0" applyNumberFormat="1" applyFont="1" applyFill="1" applyBorder="1"/>
    <xf numFmtId="3" fontId="4" fillId="3" borderId="0" xfId="0" applyNumberFormat="1" applyFont="1" applyFill="1" applyBorder="1"/>
    <xf numFmtId="0" fontId="2" fillId="3" borderId="0" xfId="0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4" fontId="1" fillId="3" borderId="1" xfId="0" applyNumberFormat="1" applyFont="1" applyFill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9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0" fontId="3" fillId="0" borderId="0" xfId="0" applyFont="1" applyAlignment="1">
      <alignment horizontal="left" vertical="center" wrapText="1"/>
    </xf>
    <xf numFmtId="0" fontId="6" fillId="3" borderId="0" xfId="0" applyFont="1" applyFill="1"/>
    <xf numFmtId="49" fontId="6" fillId="3" borderId="0" xfId="0" applyNumberFormat="1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49" fontId="6" fillId="3" borderId="0" xfId="0" applyNumberFormat="1" applyFont="1" applyFill="1" applyAlignment="1">
      <alignment horizontal="center" vertical="center" wrapText="1"/>
    </xf>
    <xf numFmtId="4" fontId="10" fillId="4" borderId="0" xfId="0" applyNumberFormat="1" applyFont="1" applyFill="1" applyAlignment="1">
      <alignment horizontal="left" wrapText="1"/>
    </xf>
    <xf numFmtId="4" fontId="11" fillId="5" borderId="0" xfId="0" applyNumberFormat="1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4" fontId="6" fillId="3" borderId="0" xfId="0" applyNumberFormat="1" applyFont="1" applyFill="1" applyAlignment="1">
      <alignment horizontal="right"/>
    </xf>
    <xf numFmtId="4" fontId="6" fillId="3" borderId="0" xfId="0" applyNumberFormat="1" applyFont="1" applyFill="1"/>
    <xf numFmtId="0" fontId="3" fillId="3" borderId="0" xfId="0" applyFont="1" applyFill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44" fontId="12" fillId="0" borderId="0" xfId="0" applyNumberFormat="1" applyFont="1" applyFill="1" applyBorder="1" applyAlignment="1">
      <alignment horizontal="center" vertical="center"/>
    </xf>
    <xf numFmtId="17" fontId="13" fillId="0" borderId="0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wrapText="1"/>
    </xf>
    <xf numFmtId="0" fontId="1" fillId="3" borderId="0" xfId="0" applyFont="1" applyFill="1" applyAlignment="1">
      <alignment vertical="center"/>
    </xf>
    <xf numFmtId="2" fontId="9" fillId="3" borderId="0" xfId="0" applyNumberFormat="1" applyFont="1" applyFill="1" applyAlignment="1">
      <alignment horizontal="center" wrapText="1"/>
    </xf>
    <xf numFmtId="4" fontId="9" fillId="3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166" fontId="8" fillId="3" borderId="1" xfId="0" applyNumberFormat="1" applyFont="1" applyFill="1" applyBorder="1" applyAlignment="1">
      <alignment horizontal="center" vertical="center" wrapText="1"/>
    </xf>
    <xf numFmtId="166" fontId="9" fillId="3" borderId="0" xfId="0" applyNumberFormat="1" applyFont="1" applyFill="1" applyAlignment="1">
      <alignment horizontal="center" vertical="center" wrapText="1"/>
    </xf>
    <xf numFmtId="166" fontId="9" fillId="3" borderId="0" xfId="0" applyNumberFormat="1" applyFont="1" applyFill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4" fontId="11" fillId="4" borderId="0" xfId="0" applyNumberFormat="1" applyFont="1" applyFill="1" applyAlignment="1">
      <alignment horizontal="left" wrapText="1"/>
    </xf>
    <xf numFmtId="3" fontId="4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wrapText="1"/>
    </xf>
    <xf numFmtId="0" fontId="15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4" fontId="1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 vertical="center"/>
    </xf>
    <xf numFmtId="3" fontId="4" fillId="2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3" fontId="16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left" vertical="center"/>
    </xf>
    <xf numFmtId="4" fontId="2" fillId="3" borderId="0" xfId="0" applyNumberFormat="1" applyFont="1" applyFill="1" applyBorder="1" applyAlignment="1">
      <alignment horizontal="left" vertical="center"/>
    </xf>
    <xf numFmtId="3" fontId="4" fillId="2" borderId="0" xfId="0" applyNumberFormat="1" applyFont="1" applyFill="1" applyBorder="1" applyAlignment="1">
      <alignment horizontal="left" vertical="center" wrapText="1"/>
    </xf>
    <xf numFmtId="3" fontId="4" fillId="3" borderId="0" xfId="0" applyNumberFormat="1" applyFont="1" applyFill="1" applyBorder="1" applyAlignment="1">
      <alignment horizontal="left" vertical="center" wrapText="1"/>
    </xf>
    <xf numFmtId="4" fontId="4" fillId="3" borderId="0" xfId="0" applyNumberFormat="1" applyFont="1" applyFill="1" applyBorder="1" applyAlignment="1">
      <alignment horizontal="left" vertical="center"/>
    </xf>
    <xf numFmtId="4" fontId="4" fillId="2" borderId="0" xfId="0" applyNumberFormat="1" applyFont="1" applyFill="1" applyBorder="1" applyAlignment="1">
      <alignment horizontal="left" vertical="center"/>
    </xf>
    <xf numFmtId="4" fontId="3" fillId="3" borderId="0" xfId="0" applyNumberFormat="1" applyFont="1" applyFill="1" applyBorder="1" applyAlignment="1">
      <alignment horizontal="left" vertical="center"/>
    </xf>
    <xf numFmtId="4" fontId="3" fillId="3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4" fontId="2" fillId="2" borderId="0" xfId="0" applyNumberFormat="1" applyFont="1" applyFill="1" applyAlignment="1">
      <alignment horizontal="left" vertical="center" wrapText="1"/>
    </xf>
    <xf numFmtId="4" fontId="5" fillId="0" borderId="0" xfId="0" applyNumberFormat="1" applyFont="1" applyFill="1" applyBorder="1"/>
    <xf numFmtId="0" fontId="9" fillId="3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4" fontId="14" fillId="3" borderId="0" xfId="0" applyNumberFormat="1" applyFont="1" applyFill="1" applyAlignment="1">
      <alignment vertical="center" wrapText="1"/>
    </xf>
    <xf numFmtId="172" fontId="8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4" fontId="16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4" fontId="4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3" fontId="1" fillId="3" borderId="0" xfId="0" applyNumberFormat="1" applyFont="1" applyFill="1" applyAlignment="1">
      <alignment horizontal="left" vertical="center"/>
    </xf>
    <xf numFmtId="3" fontId="5" fillId="3" borderId="0" xfId="0" applyNumberFormat="1" applyFont="1" applyFill="1" applyAlignment="1">
      <alignment horizontal="left" vertical="center"/>
    </xf>
    <xf numFmtId="4" fontId="5" fillId="3" borderId="0" xfId="0" applyNumberFormat="1" applyFont="1" applyFill="1" applyAlignment="1">
      <alignment horizontal="left" vertical="center"/>
    </xf>
    <xf numFmtId="2" fontId="5" fillId="3" borderId="0" xfId="0" applyNumberFormat="1" applyFont="1" applyFill="1" applyAlignment="1">
      <alignment horizontal="left" vertical="center"/>
    </xf>
    <xf numFmtId="3" fontId="1" fillId="3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vertical="center"/>
    </xf>
    <xf numFmtId="3" fontId="5" fillId="3" borderId="0" xfId="0" applyNumberFormat="1" applyFont="1" applyFill="1" applyAlignment="1">
      <alignment vertical="center"/>
    </xf>
    <xf numFmtId="49" fontId="1" fillId="3" borderId="1" xfId="0" applyNumberFormat="1" applyFont="1" applyFill="1" applyBorder="1" applyAlignment="1">
      <alignment vertical="center" wrapText="1"/>
    </xf>
    <xf numFmtId="4" fontId="2" fillId="0" borderId="0" xfId="0" applyNumberFormat="1" applyFont="1" applyFill="1" applyBorder="1" applyAlignment="1">
      <alignment horizontal="left" wrapText="1"/>
    </xf>
    <xf numFmtId="4" fontId="1" fillId="3" borderId="0" xfId="0" applyNumberFormat="1" applyFont="1" applyFill="1"/>
    <xf numFmtId="166" fontId="6" fillId="0" borderId="0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Fill="1" applyBorder="1" applyAlignment="1">
      <alignment horizontal="center" wrapText="1"/>
    </xf>
    <xf numFmtId="171" fontId="12" fillId="0" borderId="0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center" wrapText="1"/>
    </xf>
    <xf numFmtId="166" fontId="8" fillId="3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166" fontId="1" fillId="3" borderId="1" xfId="0" applyNumberFormat="1" applyFont="1" applyFill="1" applyBorder="1" applyAlignment="1">
      <alignment horizontal="left" vertical="center" wrapText="1"/>
    </xf>
    <xf numFmtId="4" fontId="1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4" fillId="3" borderId="1" xfId="0" applyFont="1" applyFill="1" applyBorder="1" applyAlignment="1">
      <alignment horizontal="justify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wrapText="1"/>
    </xf>
    <xf numFmtId="4" fontId="2" fillId="2" borderId="0" xfId="0" applyNumberFormat="1" applyFont="1" applyFill="1" applyAlignment="1">
      <alignment vertical="center" wrapText="1"/>
    </xf>
    <xf numFmtId="171" fontId="3" fillId="0" borderId="0" xfId="0" applyNumberFormat="1" applyFont="1" applyFill="1" applyBorder="1" applyAlignment="1">
      <alignment horizontal="center" vertical="center" wrapText="1"/>
    </xf>
    <xf numFmtId="171" fontId="5" fillId="0" borderId="0" xfId="0" applyNumberFormat="1" applyFont="1" applyFill="1" applyBorder="1"/>
    <xf numFmtId="173" fontId="5" fillId="3" borderId="0" xfId="0" applyNumberFormat="1" applyFont="1" applyFill="1" applyBorder="1"/>
    <xf numFmtId="4" fontId="1" fillId="2" borderId="0" xfId="0" applyNumberFormat="1" applyFont="1" applyFill="1"/>
    <xf numFmtId="4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wrapText="1"/>
    </xf>
    <xf numFmtId="17" fontId="4" fillId="3" borderId="0" xfId="0" applyNumberFormat="1" applyFont="1" applyFill="1" applyBorder="1" applyAlignment="1">
      <alignment horizontal="center" wrapText="1"/>
    </xf>
    <xf numFmtId="49" fontId="10" fillId="3" borderId="0" xfId="0" applyNumberFormat="1" applyFont="1" applyFill="1" applyAlignment="1">
      <alignment horizontal="left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12" fillId="0" borderId="0" xfId="0" applyNumberFormat="1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4" fontId="2" fillId="0" borderId="1" xfId="0" applyNumberFormat="1" applyFont="1" applyFill="1" applyBorder="1" applyAlignment="1">
      <alignment horizontal="center" vertical="center"/>
    </xf>
    <xf numFmtId="17" fontId="13" fillId="0" borderId="0" xfId="0" applyNumberFormat="1" applyFont="1" applyFill="1" applyBorder="1" applyAlignment="1">
      <alignment horizontal="center" wrapText="1"/>
    </xf>
    <xf numFmtId="17" fontId="12" fillId="0" borderId="0" xfId="0" applyNumberFormat="1" applyFont="1" applyFill="1" applyBorder="1" applyAlignment="1">
      <alignment horizontal="center" wrapText="1"/>
    </xf>
    <xf numFmtId="4" fontId="4" fillId="0" borderId="0" xfId="0" applyNumberFormat="1" applyFon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/>
    <xf numFmtId="3" fontId="4" fillId="0" borderId="0" xfId="0" applyNumberFormat="1" applyFont="1" applyFill="1" applyBorder="1"/>
    <xf numFmtId="0" fontId="2" fillId="2" borderId="1" xfId="0" applyFont="1" applyFill="1" applyBorder="1" applyAlignment="1">
      <alignment horizontal="right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/>
    </xf>
    <xf numFmtId="4" fontId="19" fillId="0" borderId="0" xfId="0" applyNumberFormat="1" applyFont="1" applyFill="1" applyBorder="1" applyAlignment="1">
      <alignment horizontal="left" vertical="center"/>
    </xf>
    <xf numFmtId="4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Border="1"/>
    <xf numFmtId="3" fontId="19" fillId="0" borderId="0" xfId="0" applyNumberFormat="1" applyFont="1" applyFill="1" applyBorder="1"/>
    <xf numFmtId="0" fontId="18" fillId="0" borderId="0" xfId="0" applyFont="1" applyFill="1" applyBorder="1"/>
    <xf numFmtId="0" fontId="18" fillId="0" borderId="1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wrapText="1"/>
    </xf>
    <xf numFmtId="0" fontId="20" fillId="0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horizontal="left" vertical="center" wrapText="1"/>
    </xf>
    <xf numFmtId="4" fontId="19" fillId="0" borderId="0" xfId="0" applyNumberFormat="1" applyFont="1" applyFill="1" applyBorder="1" applyAlignment="1">
      <alignment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4" fontId="1" fillId="0" borderId="0" xfId="0" applyNumberFormat="1" applyFont="1" applyFill="1" applyBorder="1" applyAlignment="1">
      <alignment wrapText="1"/>
    </xf>
    <xf numFmtId="4" fontId="21" fillId="0" borderId="0" xfId="0" applyNumberFormat="1" applyFont="1" applyFill="1" applyBorder="1" applyAlignment="1">
      <alignment horizontal="center" wrapText="1"/>
    </xf>
    <xf numFmtId="4" fontId="4" fillId="0" borderId="0" xfId="0" applyNumberFormat="1" applyFont="1" applyFill="1" applyBorder="1" applyAlignment="1">
      <alignment vertical="center" wrapText="1"/>
    </xf>
    <xf numFmtId="0" fontId="22" fillId="0" borderId="0" xfId="0" applyFont="1"/>
  </cellXfs>
  <cellStyles count="3">
    <cellStyle name="Обычный" xfId="0" builtinId="0"/>
    <cellStyle name="Обычный 2 2" xfId="1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J289"/>
  <sheetViews>
    <sheetView tabSelected="1" topLeftCell="A17" zoomScale="60" zoomScaleNormal="60" workbookViewId="0">
      <pane xSplit="2" ySplit="2" topLeftCell="C268" activePane="bottomRight" state="frozen"/>
      <selection activeCell="A17" sqref="A17"/>
      <selection pane="topRight" activeCell="C17" sqref="C17"/>
      <selection pane="bottomLeft" activeCell="A19" sqref="A19"/>
      <selection pane="bottomRight" activeCell="B283" sqref="B283"/>
    </sheetView>
  </sheetViews>
  <sheetFormatPr defaultColWidth="9.109375" defaultRowHeight="14.4" outlineLevelCol="1" x14ac:dyDescent="0.25"/>
  <cols>
    <col min="1" max="1" width="7.44140625" style="9" customWidth="1"/>
    <col min="2" max="2" width="66.109375" style="14" customWidth="1"/>
    <col min="3" max="3" width="12.109375" style="8" customWidth="1"/>
    <col min="4" max="4" width="17" style="288" customWidth="1"/>
    <col min="5" max="5" width="18.5546875" style="289" customWidth="1"/>
    <col min="6" max="6" width="14.88671875" style="289" customWidth="1"/>
    <col min="7" max="7" width="17.88671875" style="289" customWidth="1"/>
    <col min="8" max="8" width="15" style="289" customWidth="1"/>
    <col min="9" max="9" width="22.6640625" style="289" customWidth="1"/>
    <col min="10" max="10" width="16.88671875" style="219" customWidth="1"/>
    <col min="11" max="11" width="7.88671875" style="15" customWidth="1"/>
    <col min="12" max="12" width="7.109375" style="15" customWidth="1" outlineLevel="1"/>
    <col min="13" max="13" width="7.6640625" style="15" customWidth="1" outlineLevel="1"/>
    <col min="14" max="14" width="7.21875" style="15" customWidth="1" outlineLevel="1"/>
    <col min="15" max="15" width="8" style="15" customWidth="1" outlineLevel="1"/>
    <col min="16" max="16" width="25.6640625" style="15" customWidth="1" outlineLevel="1"/>
    <col min="17" max="17" width="9.33203125" style="15" customWidth="1" outlineLevel="1"/>
    <col min="18" max="18" width="15" style="15" customWidth="1" outlineLevel="1"/>
    <col min="19" max="19" width="18.5546875" style="15" customWidth="1" outlineLevel="1"/>
    <col min="20" max="20" width="14.88671875" style="15" customWidth="1" outlineLevel="1"/>
    <col min="21" max="21" width="14.33203125" style="15" customWidth="1" outlineLevel="1"/>
    <col min="22" max="22" width="15" style="15" customWidth="1" outlineLevel="1"/>
    <col min="23" max="24" width="14.88671875" style="15" customWidth="1" outlineLevel="1"/>
    <col min="25" max="25" width="14.33203125" style="15" customWidth="1" outlineLevel="1"/>
    <col min="26" max="26" width="15" style="15" customWidth="1" outlineLevel="1"/>
    <col min="27" max="27" width="16.5546875" style="15" customWidth="1" outlineLevel="1"/>
    <col min="28" max="28" width="20.6640625" style="15" customWidth="1" outlineLevel="1"/>
    <col min="29" max="30" width="14.88671875" style="15" customWidth="1"/>
    <col min="31" max="31" width="14.33203125" style="15" customWidth="1"/>
    <col min="32" max="32" width="15" style="15" customWidth="1"/>
    <col min="33" max="33" width="14.88671875" style="16" customWidth="1" collapsed="1"/>
    <col min="34" max="34" width="14.88671875" style="16" customWidth="1"/>
    <col min="35" max="35" width="14.33203125" style="16" customWidth="1"/>
    <col min="36" max="36" width="17.33203125" style="16" customWidth="1"/>
    <col min="37" max="16384" width="9.109375" style="15"/>
  </cols>
  <sheetData>
    <row r="1" spans="1:36" s="133" customFormat="1" ht="20.2" customHeight="1" x14ac:dyDescent="0.3">
      <c r="A1" s="130"/>
      <c r="B1" s="131"/>
      <c r="C1" s="226"/>
      <c r="D1" s="171"/>
      <c r="E1" s="312" t="s">
        <v>370</v>
      </c>
      <c r="F1" s="312"/>
      <c r="G1" s="312"/>
      <c r="H1" s="312"/>
      <c r="I1" s="312"/>
      <c r="J1" s="188"/>
    </row>
    <row r="2" spans="1:36" s="133" customFormat="1" ht="16.899999999999999" x14ac:dyDescent="0.3">
      <c r="A2" s="130"/>
      <c r="B2" s="131"/>
      <c r="C2" s="226"/>
      <c r="D2" s="171"/>
      <c r="E2" s="227"/>
      <c r="F2" s="227"/>
      <c r="G2" s="227"/>
      <c r="H2" s="227"/>
      <c r="I2" s="227"/>
      <c r="J2" s="188"/>
    </row>
    <row r="3" spans="1:36" s="132" customFormat="1" ht="4.55" customHeight="1" x14ac:dyDescent="0.3">
      <c r="B3" s="134"/>
      <c r="C3" s="227"/>
      <c r="D3" s="172"/>
      <c r="E3" s="155"/>
      <c r="F3" s="156"/>
      <c r="G3" s="156"/>
      <c r="H3" s="156"/>
      <c r="I3" s="156"/>
      <c r="J3" s="189"/>
    </row>
    <row r="4" spans="1:36" s="135" customFormat="1" ht="21" customHeight="1" x14ac:dyDescent="0.3">
      <c r="B4" s="136" t="s">
        <v>0</v>
      </c>
      <c r="C4" s="164" t="s">
        <v>1</v>
      </c>
      <c r="D4" s="173"/>
      <c r="E4" s="158"/>
      <c r="F4" s="159"/>
      <c r="G4" s="164" t="s">
        <v>1</v>
      </c>
      <c r="H4" s="159"/>
      <c r="I4" s="159"/>
      <c r="J4" s="190"/>
    </row>
    <row r="5" spans="1:36" s="137" customFormat="1" ht="11.3" customHeight="1" x14ac:dyDescent="0.3">
      <c r="B5" s="138"/>
      <c r="C5" s="165"/>
      <c r="D5" s="173"/>
      <c r="E5" s="158"/>
      <c r="F5" s="160"/>
      <c r="G5" s="165"/>
      <c r="H5" s="160"/>
      <c r="I5" s="160"/>
      <c r="J5" s="191"/>
    </row>
    <row r="6" spans="1:36" s="137" customFormat="1" ht="21" customHeight="1" x14ac:dyDescent="0.3">
      <c r="B6" s="136" t="s">
        <v>319</v>
      </c>
      <c r="C6" s="139" t="s">
        <v>320</v>
      </c>
      <c r="D6" s="173"/>
      <c r="E6" s="158"/>
      <c r="F6" s="160"/>
      <c r="G6" s="139" t="s">
        <v>91</v>
      </c>
      <c r="H6" s="160"/>
      <c r="I6" s="160"/>
      <c r="J6" s="191"/>
    </row>
    <row r="7" spans="1:36" s="137" customFormat="1" ht="27.1" customHeight="1" x14ac:dyDescent="0.3">
      <c r="B7" s="138"/>
      <c r="C7" s="139"/>
      <c r="D7" s="173"/>
      <c r="E7" s="158"/>
      <c r="F7" s="160"/>
      <c r="G7" s="139"/>
      <c r="H7" s="160"/>
      <c r="I7" s="160"/>
      <c r="J7" s="191"/>
    </row>
    <row r="8" spans="1:36" s="137" customFormat="1" ht="21" customHeight="1" x14ac:dyDescent="0.3">
      <c r="B8" s="136" t="s">
        <v>321</v>
      </c>
      <c r="C8" s="164" t="s">
        <v>322</v>
      </c>
      <c r="D8" s="173"/>
      <c r="E8" s="158"/>
      <c r="F8" s="160"/>
      <c r="G8" s="164" t="s">
        <v>323</v>
      </c>
      <c r="H8" s="160"/>
      <c r="I8" s="160"/>
      <c r="J8" s="191"/>
    </row>
    <row r="9" spans="1:36" s="137" customFormat="1" ht="17.55" x14ac:dyDescent="0.3">
      <c r="A9" s="140"/>
      <c r="B9" s="136"/>
      <c r="C9" s="161"/>
      <c r="D9" s="174"/>
      <c r="E9" s="158"/>
      <c r="F9" s="158"/>
      <c r="G9" s="157"/>
      <c r="H9" s="158"/>
      <c r="I9" s="158"/>
      <c r="J9" s="191"/>
    </row>
    <row r="10" spans="1:36" s="137" customFormat="1" ht="1.6" customHeight="1" x14ac:dyDescent="0.3">
      <c r="A10" s="140"/>
      <c r="B10" s="136"/>
      <c r="C10" s="161"/>
      <c r="D10" s="174"/>
      <c r="E10" s="158"/>
      <c r="F10" s="158"/>
      <c r="G10" s="157"/>
      <c r="H10" s="158"/>
      <c r="I10" s="158"/>
      <c r="J10" s="191"/>
    </row>
    <row r="11" spans="1:36" s="137" customFormat="1" ht="21" customHeight="1" x14ac:dyDescent="0.3">
      <c r="A11" s="308" t="s">
        <v>367</v>
      </c>
      <c r="B11" s="308"/>
      <c r="C11" s="308"/>
      <c r="D11" s="308"/>
      <c r="E11" s="308"/>
      <c r="F11" s="308"/>
      <c r="G11" s="308"/>
      <c r="H11" s="308"/>
      <c r="I11" s="308"/>
      <c r="J11" s="186"/>
      <c r="K11" s="141"/>
    </row>
    <row r="12" spans="1:36" s="17" customFormat="1" ht="17.55" x14ac:dyDescent="0.3">
      <c r="A12" s="10"/>
      <c r="B12" s="149"/>
      <c r="C12" s="150"/>
      <c r="D12" s="251"/>
      <c r="E12" s="252"/>
      <c r="F12" s="252"/>
      <c r="G12" s="252"/>
      <c r="H12" s="252"/>
      <c r="I12" s="252"/>
      <c r="J12" s="192"/>
      <c r="AG12" s="91"/>
      <c r="AH12" s="91"/>
      <c r="AI12" s="91"/>
      <c r="AJ12" s="91"/>
    </row>
    <row r="13" spans="1:36" s="17" customFormat="1" ht="17.55" x14ac:dyDescent="0.3">
      <c r="A13" s="309" t="s">
        <v>368</v>
      </c>
      <c r="B13" s="309"/>
      <c r="C13" s="309"/>
      <c r="D13" s="309"/>
      <c r="E13" s="309"/>
      <c r="F13" s="309"/>
      <c r="G13" s="309"/>
      <c r="H13" s="309"/>
      <c r="I13" s="309"/>
      <c r="J13" s="193"/>
      <c r="K13" s="11"/>
      <c r="AG13" s="91"/>
      <c r="AH13" s="91"/>
      <c r="AI13" s="91"/>
      <c r="AJ13" s="91"/>
    </row>
    <row r="14" spans="1:36" s="17" customFormat="1" ht="31.5" customHeight="1" x14ac:dyDescent="0.3">
      <c r="A14" s="11"/>
      <c r="B14" s="310" t="s">
        <v>369</v>
      </c>
      <c r="C14" s="310"/>
      <c r="D14" s="310"/>
      <c r="E14" s="310"/>
      <c r="F14" s="310"/>
      <c r="G14" s="310"/>
      <c r="H14" s="310"/>
      <c r="I14" s="310"/>
      <c r="J14" s="194"/>
      <c r="K14" s="291"/>
      <c r="AG14" s="91"/>
      <c r="AH14" s="91"/>
      <c r="AI14" s="91"/>
      <c r="AJ14" s="91"/>
    </row>
    <row r="15" spans="1:36" s="17" customFormat="1" ht="17.55" x14ac:dyDescent="0.3">
      <c r="A15" s="10"/>
      <c r="B15" s="149"/>
      <c r="C15" s="150"/>
      <c r="D15" s="251"/>
      <c r="E15" s="252"/>
      <c r="F15" s="252"/>
      <c r="G15" s="252"/>
      <c r="H15" s="252"/>
      <c r="I15" s="252"/>
      <c r="J15" s="192"/>
      <c r="AG15" s="91"/>
      <c r="AH15" s="91"/>
      <c r="AI15" s="91"/>
      <c r="AJ15" s="91"/>
    </row>
    <row r="16" spans="1:36" s="17" customFormat="1" ht="16.45" customHeight="1" x14ac:dyDescent="0.3">
      <c r="A16" s="10"/>
      <c r="B16" s="149"/>
      <c r="C16" s="150"/>
      <c r="D16" s="251"/>
      <c r="E16" s="311" t="s">
        <v>90</v>
      </c>
      <c r="F16" s="311"/>
      <c r="G16" s="311"/>
      <c r="H16" s="311"/>
      <c r="I16" s="253">
        <f>I284</f>
        <v>329856003</v>
      </c>
      <c r="J16" s="195"/>
      <c r="K16" s="151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2"/>
      <c r="AB16" s="152"/>
      <c r="AC16" s="300" t="s">
        <v>97</v>
      </c>
      <c r="AD16" s="300"/>
      <c r="AE16" s="300"/>
      <c r="AF16" s="300"/>
      <c r="AG16" s="301"/>
      <c r="AH16" s="301"/>
      <c r="AI16" s="301"/>
      <c r="AJ16" s="301"/>
    </row>
    <row r="17" spans="1:36" s="184" customFormat="1" ht="30.05" customHeight="1" x14ac:dyDescent="0.3">
      <c r="A17" s="302" t="s">
        <v>2</v>
      </c>
      <c r="B17" s="303" t="s">
        <v>3</v>
      </c>
      <c r="C17" s="304" t="s">
        <v>4</v>
      </c>
      <c r="D17" s="305" t="s">
        <v>252</v>
      </c>
      <c r="E17" s="306" t="s">
        <v>86</v>
      </c>
      <c r="F17" s="306"/>
      <c r="G17" s="306" t="s">
        <v>92</v>
      </c>
      <c r="H17" s="306"/>
      <c r="I17" s="313" t="s">
        <v>88</v>
      </c>
      <c r="J17" s="196"/>
      <c r="K17" s="179"/>
      <c r="L17" s="298"/>
      <c r="M17" s="298"/>
      <c r="N17" s="183"/>
      <c r="O17" s="183"/>
      <c r="P17" s="335" t="s">
        <v>89</v>
      </c>
      <c r="Q17" s="335"/>
      <c r="R17" s="335" t="s">
        <v>88</v>
      </c>
      <c r="S17" s="183"/>
      <c r="T17" s="298"/>
      <c r="U17" s="298"/>
      <c r="V17" s="183"/>
      <c r="W17" s="183"/>
      <c r="X17" s="298"/>
      <c r="Y17" s="298"/>
      <c r="Z17" s="183"/>
      <c r="AA17" s="299" t="s">
        <v>96</v>
      </c>
      <c r="AB17" s="299"/>
      <c r="AC17" s="183"/>
      <c r="AD17" s="298" t="s">
        <v>92</v>
      </c>
      <c r="AE17" s="298"/>
      <c r="AF17" s="183" t="s">
        <v>93</v>
      </c>
      <c r="AG17" s="307">
        <v>43556</v>
      </c>
      <c r="AH17" s="307"/>
      <c r="AI17" s="307"/>
      <c r="AJ17" s="307"/>
    </row>
    <row r="18" spans="1:36" s="185" customFormat="1" ht="30.05" customHeight="1" x14ac:dyDescent="0.25">
      <c r="A18" s="302"/>
      <c r="B18" s="303"/>
      <c r="C18" s="304"/>
      <c r="D18" s="305"/>
      <c r="E18" s="255" t="s">
        <v>89</v>
      </c>
      <c r="F18" s="255" t="s">
        <v>87</v>
      </c>
      <c r="G18" s="255" t="s">
        <v>89</v>
      </c>
      <c r="H18" s="255" t="s">
        <v>87</v>
      </c>
      <c r="I18" s="313"/>
      <c r="J18" s="196"/>
      <c r="K18" s="179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1"/>
      <c r="AB18" s="181"/>
      <c r="AC18" s="180" t="s">
        <v>94</v>
      </c>
      <c r="AD18" s="180" t="s">
        <v>89</v>
      </c>
      <c r="AE18" s="180" t="s">
        <v>87</v>
      </c>
      <c r="AF18" s="180"/>
      <c r="AG18" s="182"/>
      <c r="AH18" s="182"/>
      <c r="AI18" s="182"/>
      <c r="AJ18" s="182"/>
    </row>
    <row r="19" spans="1:36" s="175" customFormat="1" ht="30.05" customHeight="1" x14ac:dyDescent="0.25">
      <c r="A19" s="52" t="s">
        <v>106</v>
      </c>
      <c r="B19" s="37" t="s">
        <v>371</v>
      </c>
      <c r="C19" s="166"/>
      <c r="D19" s="256"/>
      <c r="E19" s="257"/>
      <c r="F19" s="257"/>
      <c r="G19" s="257"/>
      <c r="H19" s="257"/>
      <c r="I19" s="257"/>
      <c r="J19" s="197"/>
    </row>
    <row r="20" spans="1:36" s="175" customFormat="1" ht="30.05" customHeight="1" x14ac:dyDescent="0.25">
      <c r="A20" s="54" t="s">
        <v>113</v>
      </c>
      <c r="B20" s="38" t="s">
        <v>114</v>
      </c>
      <c r="C20" s="39" t="s">
        <v>7</v>
      </c>
      <c r="D20" s="169">
        <v>4836</v>
      </c>
      <c r="E20" s="123">
        <v>250</v>
      </c>
      <c r="F20" s="125"/>
      <c r="G20" s="123">
        <f>ROUND(D20*E20,0)</f>
        <v>1209000</v>
      </c>
      <c r="H20" s="123">
        <f>ROUND(D20*F20,0)</f>
        <v>0</v>
      </c>
      <c r="I20" s="125">
        <f>G20+H20</f>
        <v>1209000</v>
      </c>
      <c r="J20" s="197"/>
    </row>
    <row r="21" spans="1:36" s="175" customFormat="1" ht="30.05" customHeight="1" x14ac:dyDescent="0.25">
      <c r="A21" s="54" t="s">
        <v>108</v>
      </c>
      <c r="B21" s="41" t="s">
        <v>115</v>
      </c>
      <c r="C21" s="42" t="s">
        <v>7</v>
      </c>
      <c r="D21" s="169">
        <v>2640.9</v>
      </c>
      <c r="E21" s="125">
        <v>100</v>
      </c>
      <c r="F21" s="125"/>
      <c r="G21" s="123">
        <f>ROUND(D21*E21,0)</f>
        <v>264090</v>
      </c>
      <c r="H21" s="123">
        <f>ROUND(D21*F21,0)</f>
        <v>0</v>
      </c>
      <c r="I21" s="125">
        <f>G21+H21</f>
        <v>264090</v>
      </c>
      <c r="J21" s="197"/>
    </row>
    <row r="22" spans="1:36" s="176" customFormat="1" ht="30.05" customHeight="1" x14ac:dyDescent="0.25">
      <c r="A22" s="52"/>
      <c r="B22" s="46" t="s">
        <v>119</v>
      </c>
      <c r="C22" s="35"/>
      <c r="D22" s="256"/>
      <c r="E22" s="258"/>
      <c r="F22" s="258"/>
      <c r="G22" s="258">
        <f>SUM(G20:G21)</f>
        <v>1473090</v>
      </c>
      <c r="H22" s="258"/>
      <c r="I22" s="258">
        <f>SUM(I20:I21)</f>
        <v>1473090</v>
      </c>
      <c r="J22" s="197"/>
    </row>
    <row r="23" spans="1:36" s="175" customFormat="1" ht="30.05" customHeight="1" x14ac:dyDescent="0.25">
      <c r="A23" s="54"/>
      <c r="B23" s="41" t="s">
        <v>249</v>
      </c>
      <c r="C23" s="42"/>
      <c r="D23" s="169"/>
      <c r="E23" s="123"/>
      <c r="F23" s="123"/>
      <c r="J23" s="197"/>
      <c r="P23" s="125">
        <f>ROUND(G22*0.11,0)</f>
        <v>162040</v>
      </c>
      <c r="Q23" s="123"/>
      <c r="R23" s="123">
        <f>P23</f>
        <v>162040</v>
      </c>
    </row>
    <row r="24" spans="1:36" s="175" customFormat="1" ht="30.05" customHeight="1" x14ac:dyDescent="0.25">
      <c r="A24" s="54"/>
      <c r="B24" s="41" t="s">
        <v>223</v>
      </c>
      <c r="C24" s="42"/>
      <c r="D24" s="169"/>
      <c r="E24" s="123"/>
      <c r="F24" s="123"/>
      <c r="J24" s="197"/>
      <c r="P24" s="125">
        <f>ROUND(G22*0.05,0)</f>
        <v>73655</v>
      </c>
      <c r="Q24" s="123"/>
      <c r="R24" s="123">
        <f>P24</f>
        <v>73655</v>
      </c>
    </row>
    <row r="25" spans="1:36" s="178" customFormat="1" ht="30.05" hidden="1" customHeight="1" x14ac:dyDescent="0.25">
      <c r="A25" s="177"/>
      <c r="B25" s="36" t="s">
        <v>257</v>
      </c>
      <c r="C25" s="43"/>
      <c r="D25" s="259"/>
      <c r="E25" s="260"/>
      <c r="F25" s="260"/>
      <c r="G25" s="260">
        <f>SUM(G22:G24)</f>
        <v>1473090</v>
      </c>
      <c r="H25" s="260"/>
      <c r="I25" s="261">
        <f>SUM(I22:I24)</f>
        <v>1473090</v>
      </c>
      <c r="J25" s="198"/>
      <c r="K25" s="294"/>
    </row>
    <row r="26" spans="1:36" s="175" customFormat="1" ht="30.05" customHeight="1" x14ac:dyDescent="0.25">
      <c r="A26" s="52" t="s">
        <v>107</v>
      </c>
      <c r="B26" s="37" t="s">
        <v>372</v>
      </c>
      <c r="C26" s="37"/>
      <c r="D26" s="256"/>
      <c r="E26" s="257"/>
      <c r="F26" s="257"/>
      <c r="G26" s="257"/>
      <c r="H26" s="257"/>
      <c r="I26" s="257"/>
      <c r="J26" s="197"/>
      <c r="K26" s="250"/>
    </row>
    <row r="27" spans="1:36" s="175" customFormat="1" ht="35.25" customHeight="1" x14ac:dyDescent="0.25">
      <c r="A27" s="54" t="s">
        <v>98</v>
      </c>
      <c r="B27" s="44" t="s">
        <v>334</v>
      </c>
      <c r="C27" s="39" t="s">
        <v>103</v>
      </c>
      <c r="D27" s="169">
        <f>399*20</f>
        <v>7980</v>
      </c>
      <c r="E27" s="123">
        <v>740</v>
      </c>
      <c r="F27" s="123"/>
      <c r="G27" s="123">
        <f>ROUND(D27*E27,0)</f>
        <v>5905200</v>
      </c>
      <c r="H27" s="123"/>
      <c r="I27" s="123">
        <f>E27*D27</f>
        <v>5905200</v>
      </c>
      <c r="J27" s="197"/>
    </row>
    <row r="28" spans="1:36" s="175" customFormat="1" ht="30.05" customHeight="1" x14ac:dyDescent="0.25">
      <c r="A28" s="53"/>
      <c r="B28" s="56" t="s">
        <v>328</v>
      </c>
      <c r="C28" s="40" t="s">
        <v>9</v>
      </c>
      <c r="D28" s="170">
        <v>399</v>
      </c>
      <c r="E28" s="262"/>
      <c r="F28" s="124">
        <v>38000</v>
      </c>
      <c r="G28" s="123"/>
      <c r="H28" s="123">
        <f>ROUND(D28*F28,0)</f>
        <v>15162000</v>
      </c>
      <c r="I28" s="124">
        <f>F28*D28</f>
        <v>15162000</v>
      </c>
      <c r="J28" s="197"/>
    </row>
    <row r="29" spans="1:36" s="175" customFormat="1" ht="30.05" customHeight="1" x14ac:dyDescent="0.25">
      <c r="A29" s="54" t="s">
        <v>104</v>
      </c>
      <c r="B29" s="44" t="s">
        <v>117</v>
      </c>
      <c r="C29" s="39" t="s">
        <v>9</v>
      </c>
      <c r="D29" s="169">
        <v>399</v>
      </c>
      <c r="E29" s="123">
        <v>550</v>
      </c>
      <c r="F29" s="123">
        <v>600</v>
      </c>
      <c r="G29" s="123">
        <f>ROUND(D29*E29,0)</f>
        <v>219450</v>
      </c>
      <c r="H29" s="123">
        <f>ROUND(D29*F29,0)</f>
        <v>239400</v>
      </c>
      <c r="I29" s="123">
        <f>SUM(G29:H29)</f>
        <v>458850</v>
      </c>
      <c r="J29" s="197"/>
    </row>
    <row r="30" spans="1:36" s="175" customFormat="1" ht="30.05" customHeight="1" x14ac:dyDescent="0.25">
      <c r="A30" s="54" t="s">
        <v>99</v>
      </c>
      <c r="B30" s="44" t="s">
        <v>118</v>
      </c>
      <c r="C30" s="39" t="s">
        <v>9</v>
      </c>
      <c r="D30" s="169">
        <v>399</v>
      </c>
      <c r="E30" s="123">
        <v>550</v>
      </c>
      <c r="F30" s="123"/>
      <c r="G30" s="123">
        <f>ROUND(D30*E30,0)</f>
        <v>219450</v>
      </c>
      <c r="H30" s="123">
        <f>ROUND(D30*F30,0)</f>
        <v>0</v>
      </c>
      <c r="I30" s="125">
        <f>G30+H30</f>
        <v>219450</v>
      </c>
      <c r="J30" s="197"/>
      <c r="K30" s="250"/>
    </row>
    <row r="31" spans="1:36" s="175" customFormat="1" ht="30.05" customHeight="1" x14ac:dyDescent="0.25">
      <c r="A31" s="52"/>
      <c r="B31" s="46" t="s">
        <v>119</v>
      </c>
      <c r="C31" s="166"/>
      <c r="D31" s="256"/>
      <c r="E31" s="263"/>
      <c r="F31" s="263"/>
      <c r="G31" s="263">
        <f>SUM(G27:G30)</f>
        <v>6344100</v>
      </c>
      <c r="H31" s="263">
        <f>SUM(H27:H30)</f>
        <v>15401400</v>
      </c>
      <c r="I31" s="263">
        <f>SUM(G31:H31)</f>
        <v>21745500</v>
      </c>
      <c r="J31" s="197"/>
      <c r="K31" s="250"/>
    </row>
    <row r="32" spans="1:36" s="175" customFormat="1" ht="30.05" customHeight="1" x14ac:dyDescent="0.25">
      <c r="A32" s="54"/>
      <c r="B32" s="41" t="s">
        <v>249</v>
      </c>
      <c r="C32" s="42"/>
      <c r="D32" s="169"/>
      <c r="E32" s="123"/>
      <c r="F32" s="123"/>
      <c r="J32" s="197"/>
      <c r="K32" s="250"/>
      <c r="P32" s="125">
        <f>ROUND(G31*0.11,0)</f>
        <v>697851</v>
      </c>
      <c r="Q32" s="123"/>
      <c r="R32" s="123">
        <f>P32</f>
        <v>697851</v>
      </c>
    </row>
    <row r="33" spans="1:36" s="175" customFormat="1" ht="30.05" customHeight="1" x14ac:dyDescent="0.25">
      <c r="A33" s="54"/>
      <c r="B33" s="41" t="s">
        <v>223</v>
      </c>
      <c r="C33" s="42"/>
      <c r="D33" s="169"/>
      <c r="E33" s="123"/>
      <c r="F33" s="123"/>
      <c r="J33" s="197"/>
      <c r="P33" s="125">
        <f>ROUND(G31*0.05,0)</f>
        <v>317205</v>
      </c>
      <c r="Q33" s="123"/>
      <c r="R33" s="123">
        <f>P33</f>
        <v>317205</v>
      </c>
    </row>
    <row r="34" spans="1:36" s="178" customFormat="1" ht="30.05" hidden="1" customHeight="1" x14ac:dyDescent="0.25">
      <c r="A34" s="67"/>
      <c r="B34" s="47" t="s">
        <v>220</v>
      </c>
      <c r="C34" s="43"/>
      <c r="D34" s="259"/>
      <c r="E34" s="264"/>
      <c r="F34" s="264"/>
      <c r="G34" s="264">
        <f>SUM(G31:G33)</f>
        <v>6344100</v>
      </c>
      <c r="H34" s="264">
        <f>SUM(H31:H33)</f>
        <v>15401400</v>
      </c>
      <c r="I34" s="264">
        <f>SUM(I31:I33)</f>
        <v>21745500</v>
      </c>
      <c r="J34" s="198"/>
      <c r="K34" s="294"/>
    </row>
    <row r="35" spans="1:36" s="33" customFormat="1" ht="30.05" customHeight="1" x14ac:dyDescent="0.3">
      <c r="A35" s="52" t="s">
        <v>100</v>
      </c>
      <c r="B35" s="37" t="s">
        <v>376</v>
      </c>
      <c r="C35" s="166"/>
      <c r="D35" s="256"/>
      <c r="E35" s="257"/>
      <c r="F35" s="257"/>
      <c r="G35" s="257"/>
      <c r="H35" s="257"/>
      <c r="I35" s="257"/>
      <c r="J35" s="199"/>
    </row>
    <row r="36" spans="1:36" s="33" customFormat="1" ht="44.3" customHeight="1" x14ac:dyDescent="0.3">
      <c r="A36" s="54" t="s">
        <v>101</v>
      </c>
      <c r="B36" s="57" t="s">
        <v>120</v>
      </c>
      <c r="C36" s="42" t="s">
        <v>7</v>
      </c>
      <c r="D36" s="169">
        <v>82.11</v>
      </c>
      <c r="E36" s="123">
        <v>2500</v>
      </c>
      <c r="F36" s="123"/>
      <c r="G36" s="123">
        <f>ROUND(D36*E36,0)</f>
        <v>205275</v>
      </c>
      <c r="H36" s="123"/>
      <c r="I36" s="123">
        <f>G36+H36</f>
        <v>205275</v>
      </c>
      <c r="J36" s="199"/>
    </row>
    <row r="37" spans="1:36" s="50" customFormat="1" ht="30.05" customHeight="1" x14ac:dyDescent="0.3">
      <c r="A37" s="53"/>
      <c r="B37" s="48" t="s">
        <v>121</v>
      </c>
      <c r="C37" s="49" t="s">
        <v>7</v>
      </c>
      <c r="D37" s="169">
        <f>D36*1.015</f>
        <v>83.341649999999987</v>
      </c>
      <c r="E37" s="124"/>
      <c r="F37" s="124">
        <v>4000</v>
      </c>
      <c r="G37" s="123"/>
      <c r="H37" s="123">
        <f t="shared" ref="H37:H83" si="0">ROUND(D37*F37,0)</f>
        <v>333367</v>
      </c>
      <c r="I37" s="123">
        <f t="shared" ref="I37:I93" si="1">G37+H37</f>
        <v>333367</v>
      </c>
      <c r="J37" s="200"/>
    </row>
    <row r="38" spans="1:36" s="33" customFormat="1" ht="30.05" customHeight="1" x14ac:dyDescent="0.3">
      <c r="A38" s="54" t="s">
        <v>102</v>
      </c>
      <c r="B38" s="57" t="s">
        <v>339</v>
      </c>
      <c r="C38" s="42" t="s">
        <v>7</v>
      </c>
      <c r="D38" s="169">
        <v>856.59</v>
      </c>
      <c r="E38" s="123">
        <v>5200</v>
      </c>
      <c r="F38" s="123"/>
      <c r="G38" s="123">
        <f>ROUND(D38*E38,0)</f>
        <v>4454268</v>
      </c>
      <c r="H38" s="123">
        <f t="shared" si="0"/>
        <v>0</v>
      </c>
      <c r="I38" s="123">
        <f t="shared" si="1"/>
        <v>4454268</v>
      </c>
      <c r="J38" s="199"/>
    </row>
    <row r="39" spans="1:36" s="50" customFormat="1" ht="30.05" customHeight="1" x14ac:dyDescent="0.3">
      <c r="A39" s="53"/>
      <c r="B39" s="48" t="s">
        <v>122</v>
      </c>
      <c r="C39" s="49" t="s">
        <v>7</v>
      </c>
      <c r="D39" s="170">
        <f>D38*1.015</f>
        <v>869.43885</v>
      </c>
      <c r="E39" s="124"/>
      <c r="F39" s="124">
        <v>5500</v>
      </c>
      <c r="G39" s="123"/>
      <c r="H39" s="123">
        <f t="shared" si="0"/>
        <v>4781914</v>
      </c>
      <c r="I39" s="123">
        <f t="shared" si="1"/>
        <v>4781914</v>
      </c>
      <c r="J39" s="200"/>
    </row>
    <row r="40" spans="1:36" s="50" customFormat="1" ht="30.05" customHeight="1" x14ac:dyDescent="0.3">
      <c r="A40" s="53"/>
      <c r="B40" s="48" t="s">
        <v>123</v>
      </c>
      <c r="C40" s="49" t="s">
        <v>9</v>
      </c>
      <c r="D40" s="170">
        <v>5996</v>
      </c>
      <c r="E40" s="124"/>
      <c r="F40" s="124">
        <v>25</v>
      </c>
      <c r="G40" s="123"/>
      <c r="H40" s="123">
        <f t="shared" si="0"/>
        <v>149900</v>
      </c>
      <c r="I40" s="123">
        <f t="shared" si="1"/>
        <v>149900</v>
      </c>
      <c r="J40" s="200"/>
    </row>
    <row r="41" spans="1:36" s="50" customFormat="1" ht="30.05" customHeight="1" x14ac:dyDescent="0.3">
      <c r="A41" s="53"/>
      <c r="B41" s="48" t="s">
        <v>124</v>
      </c>
      <c r="C41" s="49"/>
      <c r="D41" s="170">
        <v>75.5</v>
      </c>
      <c r="E41" s="124"/>
      <c r="F41" s="124">
        <v>40000</v>
      </c>
      <c r="G41" s="123"/>
      <c r="H41" s="123">
        <f t="shared" si="0"/>
        <v>3020000</v>
      </c>
      <c r="I41" s="123">
        <f t="shared" si="1"/>
        <v>3020000</v>
      </c>
      <c r="J41" s="200"/>
    </row>
    <row r="42" spans="1:36" s="2" customFormat="1" ht="30.05" customHeight="1" x14ac:dyDescent="0.3">
      <c r="A42" s="54" t="s">
        <v>125</v>
      </c>
      <c r="B42" s="41" t="s">
        <v>148</v>
      </c>
      <c r="C42" s="32" t="s">
        <v>6</v>
      </c>
      <c r="D42" s="169">
        <v>528</v>
      </c>
      <c r="E42" s="123">
        <v>100</v>
      </c>
      <c r="F42" s="123"/>
      <c r="G42" s="123">
        <f>ROUND(D42*E42,0)</f>
        <v>52800</v>
      </c>
      <c r="H42" s="123"/>
      <c r="I42" s="123">
        <f>G42+H42</f>
        <v>52800</v>
      </c>
      <c r="J42" s="201"/>
      <c r="AA42" s="3"/>
      <c r="AB42" s="3"/>
      <c r="AC42" s="3"/>
      <c r="AD42" s="3"/>
      <c r="AE42" s="3"/>
      <c r="AF42" s="3"/>
      <c r="AG42" s="4"/>
      <c r="AH42" s="4"/>
      <c r="AI42" s="4"/>
      <c r="AJ42" s="4"/>
    </row>
    <row r="43" spans="1:36" s="97" customFormat="1" ht="30.05" customHeight="1" x14ac:dyDescent="0.3">
      <c r="A43" s="54"/>
      <c r="B43" s="48" t="s">
        <v>149</v>
      </c>
      <c r="C43" s="49" t="s">
        <v>6</v>
      </c>
      <c r="D43" s="170">
        <v>1203.8399999999999</v>
      </c>
      <c r="E43" s="124"/>
      <c r="F43" s="124">
        <v>210</v>
      </c>
      <c r="G43" s="123"/>
      <c r="H43" s="123">
        <f>ROUND(F43*D43,0)</f>
        <v>252806</v>
      </c>
      <c r="I43" s="123">
        <f>G43+H43</f>
        <v>252806</v>
      </c>
      <c r="J43" s="201"/>
      <c r="AA43" s="98"/>
      <c r="AB43" s="98"/>
      <c r="AC43" s="98"/>
      <c r="AD43" s="98"/>
      <c r="AE43" s="98"/>
      <c r="AF43" s="98"/>
      <c r="AG43" s="99"/>
      <c r="AH43" s="99"/>
      <c r="AI43" s="99"/>
      <c r="AJ43" s="99"/>
    </row>
    <row r="44" spans="1:36" s="97" customFormat="1" ht="30.05" customHeight="1" x14ac:dyDescent="0.3">
      <c r="A44" s="54"/>
      <c r="B44" s="48" t="s">
        <v>150</v>
      </c>
      <c r="C44" s="49" t="s">
        <v>26</v>
      </c>
      <c r="D44" s="170">
        <f>184.8*1.25</f>
        <v>231</v>
      </c>
      <c r="E44" s="124"/>
      <c r="F44" s="124">
        <v>140</v>
      </c>
      <c r="G44" s="123"/>
      <c r="H44" s="123">
        <f>ROUND(F44*D44,0)</f>
        <v>32340</v>
      </c>
      <c r="I44" s="123">
        <f>G44+H44</f>
        <v>32340</v>
      </c>
      <c r="J44" s="201"/>
      <c r="AA44" s="98"/>
      <c r="AB44" s="98"/>
      <c r="AC44" s="98"/>
      <c r="AD44" s="98"/>
      <c r="AE44" s="98"/>
      <c r="AF44" s="98"/>
      <c r="AG44" s="99"/>
      <c r="AH44" s="99"/>
      <c r="AI44" s="99"/>
      <c r="AJ44" s="99"/>
    </row>
    <row r="45" spans="1:36" s="51" customFormat="1" ht="30.05" customHeight="1" x14ac:dyDescent="0.3">
      <c r="A45" s="54" t="s">
        <v>131</v>
      </c>
      <c r="B45" s="57" t="s">
        <v>132</v>
      </c>
      <c r="C45" s="42" t="s">
        <v>7</v>
      </c>
      <c r="D45" s="169">
        <v>57.8</v>
      </c>
      <c r="E45" s="123">
        <v>5200</v>
      </c>
      <c r="F45" s="123"/>
      <c r="G45" s="123">
        <f>ROUND(D45*E45,0)</f>
        <v>300560</v>
      </c>
      <c r="H45" s="123"/>
      <c r="I45" s="123">
        <f t="shared" si="1"/>
        <v>300560</v>
      </c>
      <c r="J45" s="200"/>
    </row>
    <row r="46" spans="1:36" s="50" customFormat="1" ht="30.05" customHeight="1" x14ac:dyDescent="0.3">
      <c r="A46" s="53"/>
      <c r="B46" s="48" t="s">
        <v>133</v>
      </c>
      <c r="C46" s="49" t="s">
        <v>7</v>
      </c>
      <c r="D46" s="170">
        <f>D45*1.05</f>
        <v>60.69</v>
      </c>
      <c r="E46" s="124"/>
      <c r="F46" s="124">
        <v>5500</v>
      </c>
      <c r="G46" s="123"/>
      <c r="H46" s="123">
        <f t="shared" si="0"/>
        <v>333795</v>
      </c>
      <c r="I46" s="123">
        <f t="shared" si="1"/>
        <v>333795</v>
      </c>
      <c r="J46" s="200"/>
    </row>
    <row r="47" spans="1:36" s="50" customFormat="1" ht="30.05" customHeight="1" x14ac:dyDescent="0.3">
      <c r="A47" s="53"/>
      <c r="B47" s="48" t="s">
        <v>124</v>
      </c>
      <c r="C47" s="49"/>
      <c r="D47" s="170">
        <v>10.1</v>
      </c>
      <c r="E47" s="124"/>
      <c r="F47" s="124">
        <v>40000</v>
      </c>
      <c r="G47" s="123"/>
      <c r="H47" s="123">
        <f t="shared" si="0"/>
        <v>404000</v>
      </c>
      <c r="I47" s="123">
        <f t="shared" si="1"/>
        <v>404000</v>
      </c>
      <c r="J47" s="200"/>
    </row>
    <row r="48" spans="1:36" s="51" customFormat="1" ht="40.549999999999997" customHeight="1" x14ac:dyDescent="0.3">
      <c r="A48" s="54" t="s">
        <v>134</v>
      </c>
      <c r="B48" s="57" t="s">
        <v>256</v>
      </c>
      <c r="C48" s="42" t="s">
        <v>7</v>
      </c>
      <c r="D48" s="169">
        <v>48.76</v>
      </c>
      <c r="E48" s="123">
        <v>5200</v>
      </c>
      <c r="F48" s="123"/>
      <c r="G48" s="123">
        <f>ROUND(D48*E48,0)</f>
        <v>253552</v>
      </c>
      <c r="H48" s="123"/>
      <c r="I48" s="123">
        <f t="shared" si="1"/>
        <v>253552</v>
      </c>
      <c r="J48" s="200"/>
    </row>
    <row r="49" spans="1:18" s="50" customFormat="1" ht="30.05" customHeight="1" x14ac:dyDescent="0.3">
      <c r="A49" s="53"/>
      <c r="B49" s="48" t="s">
        <v>135</v>
      </c>
      <c r="C49" s="49" t="s">
        <v>7</v>
      </c>
      <c r="D49" s="170">
        <f>7.87+3.68</f>
        <v>11.55</v>
      </c>
      <c r="E49" s="124"/>
      <c r="F49" s="124">
        <v>260</v>
      </c>
      <c r="G49" s="123"/>
      <c r="H49" s="123">
        <f>ROUND(D49*F49,0)</f>
        <v>3003</v>
      </c>
      <c r="I49" s="123">
        <f t="shared" si="1"/>
        <v>3003</v>
      </c>
      <c r="J49" s="200"/>
    </row>
    <row r="50" spans="1:18" s="50" customFormat="1" ht="30.05" customHeight="1" x14ac:dyDescent="0.3">
      <c r="A50" s="53"/>
      <c r="B50" s="48" t="s">
        <v>133</v>
      </c>
      <c r="C50" s="49" t="s">
        <v>7</v>
      </c>
      <c r="D50" s="170">
        <f>D48*1.05</f>
        <v>51.198</v>
      </c>
      <c r="E50" s="124"/>
      <c r="F50" s="124">
        <v>5500</v>
      </c>
      <c r="G50" s="123"/>
      <c r="H50" s="123">
        <f>ROUND(D50*F50,0)</f>
        <v>281589</v>
      </c>
      <c r="I50" s="123">
        <f t="shared" si="1"/>
        <v>281589</v>
      </c>
      <c r="J50" s="200"/>
    </row>
    <row r="51" spans="1:18" s="50" customFormat="1" ht="30.05" customHeight="1" x14ac:dyDescent="0.3">
      <c r="A51" s="53"/>
      <c r="B51" s="48" t="s">
        <v>124</v>
      </c>
      <c r="C51" s="49" t="s">
        <v>8</v>
      </c>
      <c r="D51" s="170">
        <v>4.9619999999999997</v>
      </c>
      <c r="E51" s="124"/>
      <c r="F51" s="124">
        <v>40000</v>
      </c>
      <c r="G51" s="123"/>
      <c r="H51" s="123">
        <f>ROUND(D51*F51,0)</f>
        <v>198480</v>
      </c>
      <c r="I51" s="123">
        <f t="shared" si="1"/>
        <v>198480</v>
      </c>
      <c r="J51" s="200"/>
    </row>
    <row r="52" spans="1:18" s="51" customFormat="1" ht="30.05" customHeight="1" x14ac:dyDescent="0.3">
      <c r="A52" s="54" t="s">
        <v>5</v>
      </c>
      <c r="B52" s="57" t="s">
        <v>136</v>
      </c>
      <c r="C52" s="42" t="s">
        <v>7</v>
      </c>
      <c r="D52" s="169">
        <v>149.4</v>
      </c>
      <c r="E52" s="123">
        <v>5200</v>
      </c>
      <c r="F52" s="123"/>
      <c r="G52" s="123">
        <f>ROUND(D52*E52,0)</f>
        <v>776880</v>
      </c>
      <c r="H52" s="123"/>
      <c r="I52" s="123">
        <f t="shared" si="1"/>
        <v>776880</v>
      </c>
      <c r="J52" s="200"/>
    </row>
    <row r="53" spans="1:18" s="50" customFormat="1" ht="30.05" customHeight="1" x14ac:dyDescent="0.3">
      <c r="A53" s="53"/>
      <c r="B53" s="48" t="s">
        <v>137</v>
      </c>
      <c r="C53" s="49" t="s">
        <v>7</v>
      </c>
      <c r="D53" s="170">
        <f>D52*1.05</f>
        <v>156.87</v>
      </c>
      <c r="E53" s="124"/>
      <c r="F53" s="124">
        <v>5500</v>
      </c>
      <c r="G53" s="123"/>
      <c r="H53" s="123">
        <f>ROUND(D53*F53,0)</f>
        <v>862785</v>
      </c>
      <c r="I53" s="123">
        <f t="shared" si="1"/>
        <v>862785</v>
      </c>
      <c r="J53" s="200"/>
    </row>
    <row r="54" spans="1:18" s="50" customFormat="1" ht="30.05" customHeight="1" x14ac:dyDescent="0.3">
      <c r="A54" s="53"/>
      <c r="B54" s="48" t="s">
        <v>124</v>
      </c>
      <c r="C54" s="49" t="s">
        <v>8</v>
      </c>
      <c r="D54" s="170">
        <v>13.859</v>
      </c>
      <c r="E54" s="124"/>
      <c r="F54" s="124">
        <v>40000</v>
      </c>
      <c r="G54" s="123"/>
      <c r="H54" s="123">
        <f>ROUND(D54*F54,0)</f>
        <v>554360</v>
      </c>
      <c r="I54" s="123">
        <f t="shared" si="1"/>
        <v>554360</v>
      </c>
      <c r="J54" s="200"/>
    </row>
    <row r="55" spans="1:18" s="34" customFormat="1" ht="30.05" customHeight="1" x14ac:dyDescent="0.3">
      <c r="A55" s="52"/>
      <c r="B55" s="46" t="s">
        <v>92</v>
      </c>
      <c r="C55" s="35"/>
      <c r="D55" s="256"/>
      <c r="E55" s="257"/>
      <c r="F55" s="257"/>
      <c r="G55" s="258">
        <f>SUM(G36:G54)</f>
        <v>6043335</v>
      </c>
      <c r="H55" s="258">
        <f>SUM(H36:H54)</f>
        <v>11208339</v>
      </c>
      <c r="I55" s="258">
        <f>SUM(I36:I54)</f>
        <v>17251674</v>
      </c>
      <c r="J55" s="199"/>
    </row>
    <row r="56" spans="1:18" s="175" customFormat="1" ht="30.05" customHeight="1" x14ac:dyDescent="0.25">
      <c r="A56" s="54"/>
      <c r="B56" s="336" t="s">
        <v>249</v>
      </c>
      <c r="C56" s="42"/>
      <c r="D56" s="169"/>
      <c r="E56" s="123"/>
      <c r="F56" s="123"/>
      <c r="J56" s="197"/>
      <c r="P56" s="125">
        <f>ROUND(G55*0.11,0)</f>
        <v>664767</v>
      </c>
      <c r="Q56" s="123"/>
      <c r="R56" s="123">
        <f>P56</f>
        <v>664767</v>
      </c>
    </row>
    <row r="57" spans="1:18" s="175" customFormat="1" ht="30.05" customHeight="1" x14ac:dyDescent="0.25">
      <c r="A57" s="54"/>
      <c r="B57" s="336" t="s">
        <v>223</v>
      </c>
      <c r="C57" s="42"/>
      <c r="D57" s="169"/>
      <c r="E57" s="123"/>
      <c r="F57" s="123"/>
      <c r="J57" s="197"/>
      <c r="P57" s="125">
        <f>ROUND(G55*0.05,0)</f>
        <v>302167</v>
      </c>
      <c r="Q57" s="123"/>
      <c r="R57" s="123">
        <f>P57</f>
        <v>302167</v>
      </c>
    </row>
    <row r="58" spans="1:18" s="55" customFormat="1" ht="30.05" hidden="1" customHeight="1" x14ac:dyDescent="0.3">
      <c r="A58" s="43"/>
      <c r="B58" s="36" t="s">
        <v>221</v>
      </c>
      <c r="C58" s="43" t="s">
        <v>7</v>
      </c>
      <c r="D58" s="340"/>
      <c r="E58" s="260"/>
      <c r="F58" s="260"/>
      <c r="G58" s="260">
        <f>SUM(G55:G57)</f>
        <v>6043335</v>
      </c>
      <c r="H58" s="260">
        <f>SUM(H55:H57)</f>
        <v>11208339</v>
      </c>
      <c r="I58" s="260">
        <f>SUM(I55:I57)</f>
        <v>17251674</v>
      </c>
      <c r="J58" s="220"/>
      <c r="K58" s="290"/>
    </row>
    <row r="59" spans="1:18" s="34" customFormat="1" ht="30.05" customHeight="1" x14ac:dyDescent="0.3">
      <c r="A59" s="166">
        <v>4</v>
      </c>
      <c r="B59" s="37" t="s">
        <v>377</v>
      </c>
      <c r="C59" s="166"/>
      <c r="D59" s="256"/>
      <c r="E59" s="257"/>
      <c r="F59" s="257"/>
      <c r="G59" s="257"/>
      <c r="H59" s="257"/>
      <c r="I59" s="258"/>
      <c r="J59" s="199"/>
    </row>
    <row r="60" spans="1:18" s="51" customFormat="1" ht="30.05" customHeight="1" x14ac:dyDescent="0.3">
      <c r="A60" s="54" t="s">
        <v>12</v>
      </c>
      <c r="B60" s="41" t="s">
        <v>141</v>
      </c>
      <c r="C60" s="42" t="s">
        <v>7</v>
      </c>
      <c r="D60" s="169">
        <f>10.02+70.62+272.74</f>
        <v>353.38</v>
      </c>
      <c r="E60" s="123">
        <v>5200</v>
      </c>
      <c r="F60" s="123"/>
      <c r="G60" s="123">
        <f>ROUND(D60*E60,0)</f>
        <v>1837576</v>
      </c>
      <c r="H60" s="123"/>
      <c r="I60" s="123">
        <f t="shared" si="1"/>
        <v>1837576</v>
      </c>
      <c r="J60" s="200"/>
    </row>
    <row r="61" spans="1:18" s="50" customFormat="1" ht="30.05" customHeight="1" x14ac:dyDescent="0.3">
      <c r="A61" s="53"/>
      <c r="B61" s="48" t="s">
        <v>142</v>
      </c>
      <c r="C61" s="49" t="s">
        <v>7</v>
      </c>
      <c r="D61" s="170">
        <f>10.02*1.05</f>
        <v>10.521000000000001</v>
      </c>
      <c r="E61" s="124"/>
      <c r="F61" s="124">
        <v>5500</v>
      </c>
      <c r="G61" s="123"/>
      <c r="H61" s="123">
        <f t="shared" si="0"/>
        <v>57866</v>
      </c>
      <c r="I61" s="123">
        <f t="shared" si="1"/>
        <v>57866</v>
      </c>
      <c r="J61" s="200"/>
    </row>
    <row r="62" spans="1:18" s="50" customFormat="1" ht="30.05" customHeight="1" x14ac:dyDescent="0.3">
      <c r="A62" s="53"/>
      <c r="B62" s="48" t="s">
        <v>143</v>
      </c>
      <c r="C62" s="49" t="s">
        <v>7</v>
      </c>
      <c r="D62" s="170">
        <f>70.62*1.05</f>
        <v>74.15100000000001</v>
      </c>
      <c r="E62" s="124"/>
      <c r="F62" s="124">
        <v>5500</v>
      </c>
      <c r="G62" s="123"/>
      <c r="H62" s="123">
        <f t="shared" si="0"/>
        <v>407831</v>
      </c>
      <c r="I62" s="123">
        <f t="shared" si="1"/>
        <v>407831</v>
      </c>
      <c r="J62" s="200"/>
    </row>
    <row r="63" spans="1:18" s="50" customFormat="1" ht="30.05" customHeight="1" x14ac:dyDescent="0.3">
      <c r="A63" s="53"/>
      <c r="B63" s="48" t="s">
        <v>144</v>
      </c>
      <c r="C63" s="49" t="s">
        <v>7</v>
      </c>
      <c r="D63" s="170">
        <f>272.74*1.05</f>
        <v>286.37700000000001</v>
      </c>
      <c r="E63" s="124"/>
      <c r="F63" s="124">
        <v>5500</v>
      </c>
      <c r="G63" s="123"/>
      <c r="H63" s="123">
        <f t="shared" si="0"/>
        <v>1575074</v>
      </c>
      <c r="I63" s="123">
        <f t="shared" si="1"/>
        <v>1575074</v>
      </c>
      <c r="J63" s="200"/>
    </row>
    <row r="64" spans="1:18" s="50" customFormat="1" ht="30.05" customHeight="1" x14ac:dyDescent="0.3">
      <c r="A64" s="53"/>
      <c r="B64" s="48" t="s">
        <v>124</v>
      </c>
      <c r="C64" s="49" t="s">
        <v>8</v>
      </c>
      <c r="D64" s="170">
        <v>45.136000000000003</v>
      </c>
      <c r="E64" s="124"/>
      <c r="F64" s="124">
        <v>40000</v>
      </c>
      <c r="G64" s="123"/>
      <c r="H64" s="123">
        <f t="shared" si="0"/>
        <v>1805440</v>
      </c>
      <c r="I64" s="123">
        <f t="shared" si="1"/>
        <v>1805440</v>
      </c>
      <c r="J64" s="200"/>
    </row>
    <row r="65" spans="1:10" s="51" customFormat="1" ht="30.05" customHeight="1" x14ac:dyDescent="0.3">
      <c r="A65" s="54" t="s">
        <v>16</v>
      </c>
      <c r="B65" s="41" t="s">
        <v>145</v>
      </c>
      <c r="C65" s="42" t="s">
        <v>7</v>
      </c>
      <c r="D65" s="169">
        <f>17.54+247.46+676</f>
        <v>941</v>
      </c>
      <c r="E65" s="123">
        <v>5200</v>
      </c>
      <c r="F65" s="123"/>
      <c r="G65" s="123">
        <f>ROUND(D65*E65,0)</f>
        <v>4893200</v>
      </c>
      <c r="H65" s="123"/>
      <c r="I65" s="123">
        <f t="shared" si="1"/>
        <v>4893200</v>
      </c>
      <c r="J65" s="200"/>
    </row>
    <row r="66" spans="1:10" s="50" customFormat="1" ht="30.05" customHeight="1" x14ac:dyDescent="0.3">
      <c r="A66" s="53"/>
      <c r="B66" s="48" t="s">
        <v>142</v>
      </c>
      <c r="C66" s="49" t="s">
        <v>7</v>
      </c>
      <c r="D66" s="170">
        <v>18.417000000000002</v>
      </c>
      <c r="E66" s="124"/>
      <c r="F66" s="124">
        <v>5500</v>
      </c>
      <c r="G66" s="123"/>
      <c r="H66" s="123">
        <f t="shared" si="0"/>
        <v>101294</v>
      </c>
      <c r="I66" s="123">
        <f t="shared" si="1"/>
        <v>101294</v>
      </c>
      <c r="J66" s="200"/>
    </row>
    <row r="67" spans="1:10" s="50" customFormat="1" ht="30.05" customHeight="1" x14ac:dyDescent="0.3">
      <c r="A67" s="53"/>
      <c r="B67" s="48" t="s">
        <v>143</v>
      </c>
      <c r="C67" s="49" t="s">
        <v>7</v>
      </c>
      <c r="D67" s="170">
        <v>259.75839999999999</v>
      </c>
      <c r="E67" s="124"/>
      <c r="F67" s="124">
        <v>5500</v>
      </c>
      <c r="G67" s="123"/>
      <c r="H67" s="123">
        <f t="shared" si="0"/>
        <v>1428671</v>
      </c>
      <c r="I67" s="123">
        <f t="shared" si="1"/>
        <v>1428671</v>
      </c>
      <c r="J67" s="200"/>
    </row>
    <row r="68" spans="1:10" s="50" customFormat="1" ht="30.05" customHeight="1" x14ac:dyDescent="0.3">
      <c r="A68" s="53"/>
      <c r="B68" s="48" t="s">
        <v>144</v>
      </c>
      <c r="C68" s="49" t="s">
        <v>7</v>
      </c>
      <c r="D68" s="170">
        <v>709.50720000000001</v>
      </c>
      <c r="E68" s="124"/>
      <c r="F68" s="124">
        <v>5500</v>
      </c>
      <c r="G68" s="123"/>
      <c r="H68" s="123">
        <f t="shared" si="0"/>
        <v>3902290</v>
      </c>
      <c r="I68" s="123">
        <f t="shared" si="1"/>
        <v>3902290</v>
      </c>
      <c r="J68" s="200"/>
    </row>
    <row r="69" spans="1:10" s="50" customFormat="1" ht="30.05" customHeight="1" x14ac:dyDescent="0.3">
      <c r="A69" s="53"/>
      <c r="B69" s="48" t="s">
        <v>124</v>
      </c>
      <c r="C69" s="49"/>
      <c r="D69" s="170">
        <v>115.90696000000001</v>
      </c>
      <c r="E69" s="124"/>
      <c r="F69" s="124">
        <v>40000</v>
      </c>
      <c r="G69" s="123"/>
      <c r="H69" s="123">
        <f t="shared" si="0"/>
        <v>4636278</v>
      </c>
      <c r="I69" s="123">
        <f t="shared" si="1"/>
        <v>4636278</v>
      </c>
      <c r="J69" s="200"/>
    </row>
    <row r="70" spans="1:10" s="33" customFormat="1" ht="30.05" customHeight="1" x14ac:dyDescent="0.3">
      <c r="A70" s="54" t="s">
        <v>151</v>
      </c>
      <c r="B70" s="57" t="s">
        <v>126</v>
      </c>
      <c r="C70" s="42" t="s">
        <v>127</v>
      </c>
      <c r="D70" s="169">
        <v>159.69999999999999</v>
      </c>
      <c r="E70" s="123">
        <v>350</v>
      </c>
      <c r="F70" s="123"/>
      <c r="G70" s="123">
        <f>ROUND(D70*E70,0)</f>
        <v>55895</v>
      </c>
      <c r="H70" s="123"/>
      <c r="I70" s="123">
        <f>G70+H70</f>
        <v>55895</v>
      </c>
      <c r="J70" s="199"/>
    </row>
    <row r="71" spans="1:10" s="50" customFormat="1" ht="30.05" customHeight="1" x14ac:dyDescent="0.3">
      <c r="A71" s="53"/>
      <c r="B71" s="48" t="s">
        <v>128</v>
      </c>
      <c r="C71" s="49" t="s">
        <v>127</v>
      </c>
      <c r="D71" s="170">
        <f>159.7*1.04</f>
        <v>166.08799999999999</v>
      </c>
      <c r="E71" s="124"/>
      <c r="F71" s="124">
        <v>249.8</v>
      </c>
      <c r="G71" s="123"/>
      <c r="H71" s="123">
        <f>ROUND(D71*F71,0)</f>
        <v>41489</v>
      </c>
      <c r="I71" s="123">
        <f>G71+H71</f>
        <v>41489</v>
      </c>
      <c r="J71" s="200"/>
    </row>
    <row r="72" spans="1:10" s="50" customFormat="1" ht="30.05" customHeight="1" x14ac:dyDescent="0.3">
      <c r="A72" s="53"/>
      <c r="B72" s="48" t="s">
        <v>129</v>
      </c>
      <c r="C72" s="49" t="s">
        <v>26</v>
      </c>
      <c r="D72" s="170">
        <v>57.491999999999997</v>
      </c>
      <c r="E72" s="124"/>
      <c r="F72" s="124">
        <v>56</v>
      </c>
      <c r="G72" s="123"/>
      <c r="H72" s="123">
        <f>ROUND(D72*F72,0)</f>
        <v>3220</v>
      </c>
      <c r="I72" s="123">
        <f>G72+H72</f>
        <v>3220</v>
      </c>
      <c r="J72" s="200"/>
    </row>
    <row r="73" spans="1:10" s="45" customFormat="1" ht="30.05" customHeight="1" x14ac:dyDescent="0.3">
      <c r="A73" s="53"/>
      <c r="B73" s="48" t="s">
        <v>130</v>
      </c>
      <c r="C73" s="49" t="s">
        <v>6</v>
      </c>
      <c r="D73" s="170">
        <v>36.42</v>
      </c>
      <c r="E73" s="124"/>
      <c r="F73" s="124">
        <v>184</v>
      </c>
      <c r="G73" s="123"/>
      <c r="H73" s="123">
        <f>ROUND(D73*F73,0)</f>
        <v>6701</v>
      </c>
      <c r="I73" s="123">
        <f>G73+H73</f>
        <v>6701</v>
      </c>
      <c r="J73" s="199"/>
    </row>
    <row r="74" spans="1:10" s="33" customFormat="1" ht="30.05" customHeight="1" x14ac:dyDescent="0.3">
      <c r="A74" s="54" t="s">
        <v>18</v>
      </c>
      <c r="B74" s="41" t="s">
        <v>146</v>
      </c>
      <c r="C74" s="42" t="s">
        <v>7</v>
      </c>
      <c r="D74" s="169">
        <v>3321.68</v>
      </c>
      <c r="E74" s="123">
        <v>5200</v>
      </c>
      <c r="F74" s="123"/>
      <c r="G74" s="123">
        <f>ROUND(D74*E74,0)</f>
        <v>17272736</v>
      </c>
      <c r="H74" s="123">
        <f t="shared" si="0"/>
        <v>0</v>
      </c>
      <c r="I74" s="123">
        <f t="shared" si="1"/>
        <v>17272736</v>
      </c>
      <c r="J74" s="199"/>
    </row>
    <row r="75" spans="1:10" s="50" customFormat="1" ht="30.05" customHeight="1" x14ac:dyDescent="0.3">
      <c r="A75" s="53"/>
      <c r="B75" s="48" t="s">
        <v>144</v>
      </c>
      <c r="C75" s="49" t="s">
        <v>7</v>
      </c>
      <c r="D75" s="170">
        <f>D74*1.015</f>
        <v>3371.5051999999996</v>
      </c>
      <c r="E75" s="124"/>
      <c r="F75" s="124">
        <v>5500</v>
      </c>
      <c r="G75" s="123"/>
      <c r="H75" s="123">
        <f t="shared" si="0"/>
        <v>18543279</v>
      </c>
      <c r="I75" s="123">
        <f t="shared" si="1"/>
        <v>18543279</v>
      </c>
      <c r="J75" s="200"/>
    </row>
    <row r="76" spans="1:10" s="50" customFormat="1" ht="30.05" customHeight="1" x14ac:dyDescent="0.3">
      <c r="A76" s="53"/>
      <c r="B76" s="48" t="s">
        <v>124</v>
      </c>
      <c r="C76" s="49" t="s">
        <v>8</v>
      </c>
      <c r="D76" s="170">
        <v>365.23644912000003</v>
      </c>
      <c r="E76" s="124"/>
      <c r="F76" s="124">
        <v>40000</v>
      </c>
      <c r="G76" s="123"/>
      <c r="H76" s="123">
        <f t="shared" si="0"/>
        <v>14609458</v>
      </c>
      <c r="I76" s="123">
        <f t="shared" si="1"/>
        <v>14609458</v>
      </c>
      <c r="J76" s="200"/>
    </row>
    <row r="77" spans="1:10" s="33" customFormat="1" ht="30.05" customHeight="1" x14ac:dyDescent="0.3">
      <c r="A77" s="54" t="s">
        <v>157</v>
      </c>
      <c r="B77" s="41" t="s">
        <v>335</v>
      </c>
      <c r="C77" s="42" t="s">
        <v>7</v>
      </c>
      <c r="D77" s="169">
        <f>99.24+487.86</f>
        <v>587.1</v>
      </c>
      <c r="E77" s="123">
        <v>5200</v>
      </c>
      <c r="F77" s="123"/>
      <c r="G77" s="123">
        <f>ROUND(D77*E77,0)</f>
        <v>3052920</v>
      </c>
      <c r="H77" s="123"/>
      <c r="I77" s="123">
        <f t="shared" si="1"/>
        <v>3052920</v>
      </c>
      <c r="J77" s="199"/>
    </row>
    <row r="78" spans="1:10" s="50" customFormat="1" ht="30.05" customHeight="1" x14ac:dyDescent="0.3">
      <c r="A78" s="53"/>
      <c r="B78" s="48" t="s">
        <v>142</v>
      </c>
      <c r="C78" s="49" t="s">
        <v>7</v>
      </c>
      <c r="D78" s="265">
        <f>99.24*1.05</f>
        <v>104.202</v>
      </c>
      <c r="E78" s="124"/>
      <c r="F78" s="124">
        <v>5500</v>
      </c>
      <c r="G78" s="123"/>
      <c r="H78" s="123">
        <f t="shared" si="0"/>
        <v>573111</v>
      </c>
      <c r="I78" s="123">
        <f t="shared" si="1"/>
        <v>573111</v>
      </c>
      <c r="J78" s="200"/>
    </row>
    <row r="79" spans="1:10" s="50" customFormat="1" ht="30.05" customHeight="1" x14ac:dyDescent="0.3">
      <c r="A79" s="53"/>
      <c r="B79" s="48" t="s">
        <v>144</v>
      </c>
      <c r="C79" s="49" t="s">
        <v>7</v>
      </c>
      <c r="D79" s="170">
        <f>487.86*1.015</f>
        <v>495.17789999999997</v>
      </c>
      <c r="E79" s="124"/>
      <c r="F79" s="124">
        <v>5500</v>
      </c>
      <c r="G79" s="123"/>
      <c r="H79" s="123">
        <f t="shared" si="0"/>
        <v>2723478</v>
      </c>
      <c r="I79" s="123">
        <f t="shared" si="1"/>
        <v>2723478</v>
      </c>
      <c r="J79" s="200"/>
    </row>
    <row r="80" spans="1:10" s="50" customFormat="1" ht="30.05" customHeight="1" x14ac:dyDescent="0.3">
      <c r="A80" s="53"/>
      <c r="B80" s="48" t="s">
        <v>124</v>
      </c>
      <c r="C80" s="49" t="s">
        <v>8</v>
      </c>
      <c r="D80" s="170">
        <v>62.301200000000001</v>
      </c>
      <c r="E80" s="124"/>
      <c r="F80" s="124">
        <v>40000</v>
      </c>
      <c r="G80" s="123"/>
      <c r="H80" s="123">
        <f t="shared" si="0"/>
        <v>2492048</v>
      </c>
      <c r="I80" s="123">
        <f t="shared" si="1"/>
        <v>2492048</v>
      </c>
      <c r="J80" s="200"/>
    </row>
    <row r="81" spans="1:36" s="33" customFormat="1" ht="30.05" customHeight="1" x14ac:dyDescent="0.3">
      <c r="A81" s="54" t="s">
        <v>159</v>
      </c>
      <c r="B81" s="41" t="s">
        <v>336</v>
      </c>
      <c r="C81" s="42" t="s">
        <v>7</v>
      </c>
      <c r="D81" s="169">
        <v>20.55</v>
      </c>
      <c r="E81" s="123">
        <v>5200</v>
      </c>
      <c r="F81" s="123"/>
      <c r="G81" s="123">
        <f>ROUND(D81*E81,0)</f>
        <v>106860</v>
      </c>
      <c r="H81" s="123"/>
      <c r="I81" s="123">
        <f t="shared" si="1"/>
        <v>106860</v>
      </c>
      <c r="J81" s="199"/>
    </row>
    <row r="82" spans="1:36" s="50" customFormat="1" ht="30.05" customHeight="1" x14ac:dyDescent="0.3">
      <c r="A82" s="53"/>
      <c r="B82" s="48" t="s">
        <v>144</v>
      </c>
      <c r="C82" s="49" t="s">
        <v>7</v>
      </c>
      <c r="D82" s="170">
        <f>D81*1.04</f>
        <v>21.372</v>
      </c>
      <c r="E82" s="124"/>
      <c r="F82" s="124">
        <v>5500</v>
      </c>
      <c r="G82" s="123"/>
      <c r="H82" s="123">
        <f t="shared" si="0"/>
        <v>117546</v>
      </c>
      <c r="I82" s="123">
        <f t="shared" si="1"/>
        <v>117546</v>
      </c>
      <c r="J82" s="200"/>
    </row>
    <row r="83" spans="1:36" s="50" customFormat="1" ht="30.05" customHeight="1" x14ac:dyDescent="0.3">
      <c r="A83" s="53"/>
      <c r="B83" s="48" t="s">
        <v>124</v>
      </c>
      <c r="C83" s="49" t="s">
        <v>8</v>
      </c>
      <c r="D83" s="170">
        <v>2.7456</v>
      </c>
      <c r="E83" s="124"/>
      <c r="F83" s="124">
        <v>40000</v>
      </c>
      <c r="G83" s="123"/>
      <c r="H83" s="123">
        <f t="shared" si="0"/>
        <v>109824</v>
      </c>
      <c r="I83" s="123">
        <f t="shared" si="1"/>
        <v>109824</v>
      </c>
      <c r="J83" s="200"/>
    </row>
    <row r="84" spans="1:36" s="2" customFormat="1" ht="30.05" customHeight="1" x14ac:dyDescent="0.3">
      <c r="A84" s="54" t="s">
        <v>161</v>
      </c>
      <c r="B84" s="41" t="s">
        <v>337</v>
      </c>
      <c r="C84" s="32" t="s">
        <v>9</v>
      </c>
      <c r="D84" s="169">
        <v>49</v>
      </c>
      <c r="E84" s="123">
        <v>950</v>
      </c>
      <c r="F84" s="123">
        <v>18660</v>
      </c>
      <c r="G84" s="123">
        <f>ROUND(D84*E84,0)</f>
        <v>46550</v>
      </c>
      <c r="H84" s="123">
        <f>ROUND(F84*D84,0)</f>
        <v>914340</v>
      </c>
      <c r="I84" s="123">
        <f t="shared" si="1"/>
        <v>960890</v>
      </c>
      <c r="J84" s="201"/>
      <c r="K84" s="292"/>
      <c r="AA84" s="3"/>
      <c r="AB84" s="3"/>
      <c r="AC84" s="3"/>
      <c r="AD84" s="3"/>
      <c r="AE84" s="3"/>
      <c r="AF84" s="3"/>
      <c r="AG84" s="4"/>
      <c r="AH84" s="4"/>
      <c r="AI84" s="4"/>
      <c r="AJ84" s="4"/>
    </row>
    <row r="85" spans="1:36" s="94" customFormat="1" ht="30.05" customHeight="1" x14ac:dyDescent="0.35">
      <c r="A85" s="53"/>
      <c r="B85" s="48" t="s">
        <v>147</v>
      </c>
      <c r="C85" s="49" t="s">
        <v>7</v>
      </c>
      <c r="D85" s="170">
        <f>12/39*50</f>
        <v>15.384615384615385</v>
      </c>
      <c r="E85" s="126"/>
      <c r="F85" s="126">
        <v>4640</v>
      </c>
      <c r="G85" s="124"/>
      <c r="H85" s="124">
        <f>ROUND(F85*D85,0)</f>
        <v>71385</v>
      </c>
      <c r="I85" s="124">
        <f t="shared" si="1"/>
        <v>71385</v>
      </c>
      <c r="J85" s="202"/>
      <c r="AA85" s="95"/>
      <c r="AB85" s="95"/>
      <c r="AC85" s="95"/>
      <c r="AD85" s="95"/>
      <c r="AE85" s="95"/>
      <c r="AF85" s="95"/>
      <c r="AG85" s="96"/>
      <c r="AH85" s="96"/>
      <c r="AI85" s="96"/>
      <c r="AJ85" s="96"/>
    </row>
    <row r="86" spans="1:36" s="4" customFormat="1" ht="30.05" customHeight="1" x14ac:dyDescent="0.3">
      <c r="A86" s="54" t="s">
        <v>163</v>
      </c>
      <c r="B86" s="41" t="s">
        <v>164</v>
      </c>
      <c r="C86" s="42" t="s">
        <v>7</v>
      </c>
      <c r="D86" s="169">
        <v>2.42</v>
      </c>
      <c r="E86" s="123">
        <v>5200</v>
      </c>
      <c r="F86" s="125"/>
      <c r="G86" s="123">
        <f>ROUND(D86*E86,0)</f>
        <v>12584</v>
      </c>
      <c r="H86" s="123"/>
      <c r="I86" s="123">
        <f t="shared" si="1"/>
        <v>12584</v>
      </c>
      <c r="J86" s="203"/>
      <c r="K86" s="293"/>
    </row>
    <row r="87" spans="1:36" s="4" customFormat="1" ht="30.05" customHeight="1" x14ac:dyDescent="0.3">
      <c r="A87" s="53"/>
      <c r="B87" s="48" t="s">
        <v>124</v>
      </c>
      <c r="C87" s="42" t="s">
        <v>8</v>
      </c>
      <c r="D87" s="169">
        <f>(11.52+16.38+30.06)/1000</f>
        <v>5.7959999999999991E-2</v>
      </c>
      <c r="E87" s="126"/>
      <c r="F87" s="124">
        <v>40000</v>
      </c>
      <c r="G87" s="123"/>
      <c r="H87" s="123">
        <f>ROUND(F87*D87,0)</f>
        <v>2318</v>
      </c>
      <c r="I87" s="123">
        <f t="shared" si="1"/>
        <v>2318</v>
      </c>
      <c r="J87" s="203"/>
    </row>
    <row r="88" spans="1:36" s="4" customFormat="1" ht="30.05" customHeight="1" x14ac:dyDescent="0.3">
      <c r="A88" s="53"/>
      <c r="B88" s="48" t="s">
        <v>165</v>
      </c>
      <c r="C88" s="42" t="s">
        <v>166</v>
      </c>
      <c r="D88" s="169">
        <f>D86*1.05</f>
        <v>2.5409999999999999</v>
      </c>
      <c r="E88" s="126"/>
      <c r="F88" s="124">
        <v>5500</v>
      </c>
      <c r="G88" s="123"/>
      <c r="H88" s="123">
        <f>ROUND(F88*D88,0)</f>
        <v>13976</v>
      </c>
      <c r="I88" s="123">
        <f t="shared" si="1"/>
        <v>13976</v>
      </c>
      <c r="J88" s="203"/>
    </row>
    <row r="89" spans="1:36" s="51" customFormat="1" ht="30.05" customHeight="1" x14ac:dyDescent="0.3">
      <c r="A89" s="54" t="s">
        <v>167</v>
      </c>
      <c r="B89" s="57" t="s">
        <v>138</v>
      </c>
      <c r="C89" s="42" t="s">
        <v>7</v>
      </c>
      <c r="D89" s="169">
        <v>1.96</v>
      </c>
      <c r="E89" s="123">
        <v>2500</v>
      </c>
      <c r="F89" s="123"/>
      <c r="G89" s="123">
        <f>ROUND(D89*E89,0)</f>
        <v>4900</v>
      </c>
      <c r="H89" s="123"/>
      <c r="I89" s="123">
        <f t="shared" si="1"/>
        <v>4900</v>
      </c>
      <c r="J89" s="200"/>
    </row>
    <row r="90" spans="1:36" s="50" customFormat="1" ht="30.05" customHeight="1" x14ac:dyDescent="0.3">
      <c r="A90" s="53"/>
      <c r="B90" s="48" t="s">
        <v>139</v>
      </c>
      <c r="C90" s="49" t="s">
        <v>7</v>
      </c>
      <c r="D90" s="169">
        <v>2.0579999999999998</v>
      </c>
      <c r="E90" s="124"/>
      <c r="F90" s="124">
        <v>4000</v>
      </c>
      <c r="G90" s="123"/>
      <c r="H90" s="123">
        <f>ROUND(D90*F90,0)</f>
        <v>8232</v>
      </c>
      <c r="I90" s="123">
        <f t="shared" si="1"/>
        <v>8232</v>
      </c>
      <c r="J90" s="200"/>
    </row>
    <row r="91" spans="1:36" s="51" customFormat="1" ht="30.05" customHeight="1" x14ac:dyDescent="0.3">
      <c r="A91" s="54" t="s">
        <v>169</v>
      </c>
      <c r="B91" s="57" t="s">
        <v>140</v>
      </c>
      <c r="C91" s="42" t="s">
        <v>7</v>
      </c>
      <c r="D91" s="169">
        <v>9.5399999999999991</v>
      </c>
      <c r="E91" s="123">
        <v>5200</v>
      </c>
      <c r="F91" s="123"/>
      <c r="G91" s="123">
        <f>ROUND(D91*E91,0)</f>
        <v>49608</v>
      </c>
      <c r="H91" s="123"/>
      <c r="I91" s="123">
        <f t="shared" si="1"/>
        <v>49608</v>
      </c>
      <c r="J91" s="200"/>
    </row>
    <row r="92" spans="1:36" s="50" customFormat="1" ht="30.05" customHeight="1" x14ac:dyDescent="0.3">
      <c r="A92" s="53"/>
      <c r="B92" s="48" t="s">
        <v>122</v>
      </c>
      <c r="C92" s="49" t="s">
        <v>7</v>
      </c>
      <c r="D92" s="169">
        <v>10.016999999999999</v>
      </c>
      <c r="E92" s="124"/>
      <c r="F92" s="124">
        <v>5500</v>
      </c>
      <c r="G92" s="123"/>
      <c r="H92" s="123">
        <f>ROUND(D92*F92,0)</f>
        <v>55094</v>
      </c>
      <c r="I92" s="123">
        <f t="shared" si="1"/>
        <v>55094</v>
      </c>
      <c r="J92" s="200"/>
    </row>
    <row r="93" spans="1:36" s="50" customFormat="1" ht="30.05" customHeight="1" x14ac:dyDescent="0.3">
      <c r="A93" s="53"/>
      <c r="B93" s="48" t="s">
        <v>124</v>
      </c>
      <c r="C93" s="49" t="s">
        <v>8</v>
      </c>
      <c r="D93" s="169">
        <v>1.2584</v>
      </c>
      <c r="E93" s="124"/>
      <c r="F93" s="124">
        <v>40000</v>
      </c>
      <c r="G93" s="123"/>
      <c r="H93" s="123">
        <f>ROUND(D93*F93,0)</f>
        <v>50336</v>
      </c>
      <c r="I93" s="123">
        <f t="shared" si="1"/>
        <v>50336</v>
      </c>
      <c r="J93" s="200"/>
    </row>
    <row r="94" spans="1:36" s="34" customFormat="1" ht="30.05" customHeight="1" x14ac:dyDescent="0.3">
      <c r="A94" s="52"/>
      <c r="B94" s="46" t="s">
        <v>92</v>
      </c>
      <c r="C94" s="35"/>
      <c r="D94" s="256"/>
      <c r="E94" s="257"/>
      <c r="F94" s="257"/>
      <c r="G94" s="258">
        <f>SUM(G60:G93)</f>
        <v>27332829</v>
      </c>
      <c r="H94" s="258">
        <f>SUM(H60:H93)</f>
        <v>54250579</v>
      </c>
      <c r="I94" s="258">
        <f>SUM(I60:I93)</f>
        <v>81583408</v>
      </c>
      <c r="J94" s="199"/>
    </row>
    <row r="95" spans="1:36" s="175" customFormat="1" ht="30.05" customHeight="1" x14ac:dyDescent="0.25">
      <c r="A95" s="54"/>
      <c r="B95" s="41" t="s">
        <v>249</v>
      </c>
      <c r="C95" s="42"/>
      <c r="D95" s="169"/>
      <c r="E95" s="123"/>
      <c r="F95" s="123"/>
      <c r="J95" s="197"/>
      <c r="P95" s="125">
        <f>ROUND(G94*0.11,0)</f>
        <v>3006611</v>
      </c>
      <c r="Q95" s="123"/>
      <c r="R95" s="123">
        <f>P95</f>
        <v>3006611</v>
      </c>
    </row>
    <row r="96" spans="1:36" s="175" customFormat="1" ht="30.05" customHeight="1" x14ac:dyDescent="0.25">
      <c r="A96" s="54"/>
      <c r="B96" s="41" t="s">
        <v>223</v>
      </c>
      <c r="C96" s="42"/>
      <c r="D96" s="169"/>
      <c r="E96" s="123"/>
      <c r="F96" s="123"/>
      <c r="J96" s="197"/>
      <c r="P96" s="125">
        <f>ROUND(G94*0.05,0)</f>
        <v>1366641</v>
      </c>
      <c r="Q96" s="123"/>
      <c r="R96" s="123">
        <f>P96</f>
        <v>1366641</v>
      </c>
    </row>
    <row r="97" spans="1:36" s="55" customFormat="1" ht="30.05" hidden="1" customHeight="1" x14ac:dyDescent="0.3">
      <c r="A97" s="43"/>
      <c r="B97" s="36" t="s">
        <v>260</v>
      </c>
      <c r="C97" s="43" t="s">
        <v>7</v>
      </c>
      <c r="D97" s="340"/>
      <c r="E97" s="260"/>
      <c r="F97" s="260"/>
      <c r="G97" s="260">
        <f>SUM(G94:G96)</f>
        <v>27332829</v>
      </c>
      <c r="H97" s="260">
        <f>SUM(H94:H96)</f>
        <v>54250579</v>
      </c>
      <c r="I97" s="261">
        <f>SUM(I94:I96)</f>
        <v>81583408</v>
      </c>
      <c r="J97" s="220"/>
      <c r="K97" s="290"/>
    </row>
    <row r="98" spans="1:36" s="122" customFormat="1" ht="30.05" customHeight="1" x14ac:dyDescent="0.3">
      <c r="A98" s="167">
        <v>5</v>
      </c>
      <c r="B98" s="112" t="s">
        <v>378</v>
      </c>
      <c r="C98" s="29"/>
      <c r="D98" s="266"/>
      <c r="E98" s="255"/>
      <c r="F98" s="255"/>
      <c r="G98" s="255"/>
      <c r="H98" s="255"/>
      <c r="I98" s="267"/>
      <c r="J98" s="201"/>
      <c r="AA98" s="119"/>
      <c r="AB98" s="119"/>
      <c r="AC98" s="119"/>
      <c r="AD98" s="119"/>
      <c r="AE98" s="119"/>
      <c r="AF98" s="119"/>
      <c r="AG98" s="115"/>
      <c r="AH98" s="115"/>
      <c r="AI98" s="115"/>
      <c r="AJ98" s="115"/>
    </row>
    <row r="99" spans="1:36" s="2" customFormat="1" ht="30.05" customHeight="1" x14ac:dyDescent="0.3">
      <c r="A99" s="54" t="s">
        <v>23</v>
      </c>
      <c r="B99" s="57" t="s">
        <v>340</v>
      </c>
      <c r="C99" s="42" t="s">
        <v>152</v>
      </c>
      <c r="D99" s="169">
        <f>38.4</f>
        <v>38.4</v>
      </c>
      <c r="E99" s="123">
        <v>2500</v>
      </c>
      <c r="F99" s="123"/>
      <c r="G99" s="123">
        <f t="shared" ref="G99:G110" si="2">ROUND(D99*E99,0)</f>
        <v>96000</v>
      </c>
      <c r="H99" s="123"/>
      <c r="I99" s="123">
        <f t="shared" ref="I99:I110" si="3">G99+H99</f>
        <v>96000</v>
      </c>
      <c r="J99" s="201"/>
      <c r="K99" s="221"/>
      <c r="AA99" s="3"/>
      <c r="AB99" s="3"/>
      <c r="AC99" s="3"/>
      <c r="AD99" s="3"/>
      <c r="AE99" s="3"/>
      <c r="AF99" s="3"/>
      <c r="AG99" s="4"/>
      <c r="AH99" s="4"/>
      <c r="AI99" s="4"/>
      <c r="AJ99" s="4"/>
    </row>
    <row r="100" spans="1:36" s="2" customFormat="1" ht="30.05" customHeight="1" x14ac:dyDescent="0.3">
      <c r="A100" s="54"/>
      <c r="B100" s="48" t="s">
        <v>153</v>
      </c>
      <c r="C100" s="49" t="s">
        <v>103</v>
      </c>
      <c r="D100" s="170">
        <f>D99</f>
        <v>38.4</v>
      </c>
      <c r="E100" s="124"/>
      <c r="F100" s="124">
        <v>2700</v>
      </c>
      <c r="G100" s="123"/>
      <c r="H100" s="123">
        <f t="shared" ref="H100:H110" si="4">ROUND(F100*D100,0)</f>
        <v>103680</v>
      </c>
      <c r="I100" s="123">
        <f t="shared" si="3"/>
        <v>103680</v>
      </c>
      <c r="J100" s="201"/>
      <c r="K100" s="221"/>
      <c r="AA100" s="3"/>
      <c r="AB100" s="3"/>
      <c r="AC100" s="3"/>
      <c r="AD100" s="3"/>
      <c r="AE100" s="3"/>
      <c r="AF100" s="3"/>
      <c r="AG100" s="4"/>
      <c r="AH100" s="4"/>
      <c r="AI100" s="4"/>
      <c r="AJ100" s="4"/>
    </row>
    <row r="101" spans="1:36" s="2" customFormat="1" ht="30.05" customHeight="1" x14ac:dyDescent="0.3">
      <c r="A101" s="54"/>
      <c r="B101" s="48" t="s">
        <v>154</v>
      </c>
      <c r="C101" s="49" t="s">
        <v>9</v>
      </c>
      <c r="D101" s="170">
        <v>4</v>
      </c>
      <c r="E101" s="124"/>
      <c r="F101" s="124">
        <v>15000</v>
      </c>
      <c r="G101" s="123"/>
      <c r="H101" s="123">
        <f t="shared" si="4"/>
        <v>60000</v>
      </c>
      <c r="I101" s="123">
        <f t="shared" si="3"/>
        <v>60000</v>
      </c>
      <c r="J101" s="201"/>
      <c r="K101" s="221"/>
      <c r="AA101" s="3"/>
      <c r="AB101" s="3"/>
      <c r="AC101" s="3"/>
      <c r="AD101" s="3"/>
      <c r="AE101" s="3"/>
      <c r="AF101" s="3"/>
      <c r="AG101" s="4"/>
      <c r="AH101" s="4"/>
      <c r="AI101" s="4"/>
      <c r="AJ101" s="4"/>
    </row>
    <row r="102" spans="1:36" s="2" customFormat="1" ht="30.05" customHeight="1" x14ac:dyDescent="0.3">
      <c r="A102" s="54"/>
      <c r="B102" s="48" t="s">
        <v>155</v>
      </c>
      <c r="C102" s="49" t="s">
        <v>9</v>
      </c>
      <c r="D102" s="170">
        <v>30</v>
      </c>
      <c r="E102" s="124"/>
      <c r="F102" s="124">
        <v>878.83</v>
      </c>
      <c r="G102" s="123"/>
      <c r="H102" s="123">
        <f t="shared" si="4"/>
        <v>26365</v>
      </c>
      <c r="I102" s="123">
        <f t="shared" si="3"/>
        <v>26365</v>
      </c>
      <c r="J102" s="201"/>
      <c r="AA102" s="3"/>
      <c r="AB102" s="3"/>
      <c r="AC102" s="3"/>
      <c r="AD102" s="3"/>
      <c r="AE102" s="3"/>
      <c r="AF102" s="3"/>
      <c r="AG102" s="4"/>
      <c r="AH102" s="4"/>
      <c r="AI102" s="4"/>
      <c r="AJ102" s="4"/>
    </row>
    <row r="103" spans="1:36" s="2" customFormat="1" ht="30.05" customHeight="1" x14ac:dyDescent="0.3">
      <c r="A103" s="54" t="s">
        <v>25</v>
      </c>
      <c r="B103" s="41" t="s">
        <v>338</v>
      </c>
      <c r="C103" s="42" t="s">
        <v>8</v>
      </c>
      <c r="D103" s="169">
        <v>2.5</v>
      </c>
      <c r="E103" s="123">
        <v>25000</v>
      </c>
      <c r="F103" s="123">
        <v>45000</v>
      </c>
      <c r="G103" s="123">
        <f t="shared" si="2"/>
        <v>62500</v>
      </c>
      <c r="H103" s="123">
        <f t="shared" si="4"/>
        <v>112500</v>
      </c>
      <c r="I103" s="123">
        <f t="shared" si="3"/>
        <v>175000</v>
      </c>
      <c r="J103" s="201"/>
      <c r="AA103" s="3"/>
      <c r="AB103" s="3"/>
      <c r="AC103" s="3"/>
      <c r="AD103" s="3"/>
      <c r="AE103" s="3"/>
      <c r="AF103" s="3"/>
      <c r="AG103" s="4"/>
      <c r="AH103" s="4"/>
      <c r="AI103" s="4"/>
      <c r="AJ103" s="4"/>
    </row>
    <row r="104" spans="1:36" s="2" customFormat="1" ht="30.05" customHeight="1" x14ac:dyDescent="0.3">
      <c r="A104" s="54" t="s">
        <v>224</v>
      </c>
      <c r="B104" s="57" t="s">
        <v>156</v>
      </c>
      <c r="C104" s="42" t="s">
        <v>9</v>
      </c>
      <c r="D104" s="169">
        <v>2</v>
      </c>
      <c r="E104" s="123">
        <v>400</v>
      </c>
      <c r="F104" s="123">
        <v>1500</v>
      </c>
      <c r="G104" s="123">
        <f t="shared" si="2"/>
        <v>800</v>
      </c>
      <c r="H104" s="123">
        <f t="shared" si="4"/>
        <v>3000</v>
      </c>
      <c r="I104" s="123">
        <f t="shared" si="3"/>
        <v>3800</v>
      </c>
      <c r="J104" s="201"/>
      <c r="AA104" s="3"/>
      <c r="AB104" s="3"/>
      <c r="AC104" s="3"/>
      <c r="AD104" s="3"/>
      <c r="AE104" s="3"/>
      <c r="AF104" s="3"/>
      <c r="AG104" s="4"/>
      <c r="AH104" s="4"/>
      <c r="AI104" s="4"/>
      <c r="AJ104" s="4"/>
    </row>
    <row r="105" spans="1:36" s="2" customFormat="1" ht="30.05" customHeight="1" x14ac:dyDescent="0.3">
      <c r="A105" s="54" t="s">
        <v>225</v>
      </c>
      <c r="B105" s="41" t="s">
        <v>158</v>
      </c>
      <c r="C105" s="42" t="s">
        <v>8</v>
      </c>
      <c r="D105" s="169">
        <v>0.25700000000000001</v>
      </c>
      <c r="E105" s="125">
        <v>25000</v>
      </c>
      <c r="F105" s="125">
        <v>42000</v>
      </c>
      <c r="G105" s="123">
        <f t="shared" si="2"/>
        <v>6425</v>
      </c>
      <c r="H105" s="123">
        <f t="shared" si="4"/>
        <v>10794</v>
      </c>
      <c r="I105" s="123">
        <f t="shared" si="3"/>
        <v>17219</v>
      </c>
      <c r="J105" s="201"/>
      <c r="AA105" s="3"/>
      <c r="AB105" s="3"/>
      <c r="AC105" s="3"/>
      <c r="AD105" s="3"/>
      <c r="AE105" s="3"/>
      <c r="AF105" s="3"/>
      <c r="AG105" s="4"/>
      <c r="AH105" s="4"/>
      <c r="AI105" s="4"/>
      <c r="AJ105" s="4"/>
    </row>
    <row r="106" spans="1:36" s="2" customFormat="1" ht="30.05" customHeight="1" x14ac:dyDescent="0.3">
      <c r="A106" s="54" t="s">
        <v>226</v>
      </c>
      <c r="B106" s="41" t="s">
        <v>160</v>
      </c>
      <c r="C106" s="42" t="s">
        <v>8</v>
      </c>
      <c r="D106" s="169">
        <v>0.18</v>
      </c>
      <c r="E106" s="125">
        <v>25000</v>
      </c>
      <c r="F106" s="125">
        <v>42000</v>
      </c>
      <c r="G106" s="123">
        <f t="shared" si="2"/>
        <v>4500</v>
      </c>
      <c r="H106" s="123">
        <f t="shared" si="4"/>
        <v>7560</v>
      </c>
      <c r="I106" s="123">
        <f t="shared" si="3"/>
        <v>12060</v>
      </c>
      <c r="J106" s="201"/>
      <c r="AA106" s="3"/>
      <c r="AB106" s="3"/>
      <c r="AC106" s="3"/>
      <c r="AD106" s="3"/>
      <c r="AE106" s="3"/>
      <c r="AF106" s="3"/>
      <c r="AG106" s="4"/>
      <c r="AH106" s="4"/>
      <c r="AI106" s="4"/>
      <c r="AJ106" s="4"/>
    </row>
    <row r="107" spans="1:36" s="2" customFormat="1" ht="30.05" customHeight="1" x14ac:dyDescent="0.3">
      <c r="A107" s="54" t="s">
        <v>227</v>
      </c>
      <c r="B107" s="41" t="s">
        <v>162</v>
      </c>
      <c r="C107" s="42" t="s">
        <v>8</v>
      </c>
      <c r="D107" s="169">
        <v>0.75600000000000001</v>
      </c>
      <c r="E107" s="125">
        <v>25000</v>
      </c>
      <c r="F107" s="125">
        <v>42000</v>
      </c>
      <c r="G107" s="123">
        <f t="shared" si="2"/>
        <v>18900</v>
      </c>
      <c r="H107" s="123">
        <f t="shared" si="4"/>
        <v>31752</v>
      </c>
      <c r="I107" s="123">
        <f t="shared" si="3"/>
        <v>50652</v>
      </c>
      <c r="J107" s="201"/>
      <c r="AA107" s="3"/>
      <c r="AB107" s="3"/>
      <c r="AC107" s="3"/>
      <c r="AD107" s="3"/>
      <c r="AE107" s="3"/>
      <c r="AF107" s="3"/>
      <c r="AG107" s="4"/>
      <c r="AH107" s="4"/>
      <c r="AI107" s="4"/>
      <c r="AJ107" s="4"/>
    </row>
    <row r="108" spans="1:36" s="2" customFormat="1" ht="30.05" customHeight="1" x14ac:dyDescent="0.3">
      <c r="A108" s="54" t="s">
        <v>228</v>
      </c>
      <c r="B108" s="41" t="s">
        <v>168</v>
      </c>
      <c r="C108" s="42" t="s">
        <v>8</v>
      </c>
      <c r="D108" s="169">
        <v>0.51200000000000001</v>
      </c>
      <c r="E108" s="125">
        <v>25000</v>
      </c>
      <c r="F108" s="125">
        <v>42000</v>
      </c>
      <c r="G108" s="123">
        <f t="shared" si="2"/>
        <v>12800</v>
      </c>
      <c r="H108" s="123">
        <f t="shared" si="4"/>
        <v>21504</v>
      </c>
      <c r="I108" s="123">
        <f t="shared" si="3"/>
        <v>34304</v>
      </c>
      <c r="J108" s="201"/>
      <c r="AA108" s="3"/>
      <c r="AB108" s="3"/>
      <c r="AC108" s="3"/>
      <c r="AD108" s="3"/>
      <c r="AE108" s="3"/>
      <c r="AF108" s="3"/>
      <c r="AG108" s="4"/>
      <c r="AH108" s="4"/>
      <c r="AI108" s="4"/>
      <c r="AJ108" s="4"/>
    </row>
    <row r="109" spans="1:36" s="2" customFormat="1" ht="30.05" customHeight="1" x14ac:dyDescent="0.3">
      <c r="A109" s="54" t="s">
        <v>261</v>
      </c>
      <c r="B109" s="41" t="s">
        <v>343</v>
      </c>
      <c r="C109" s="42" t="s">
        <v>9</v>
      </c>
      <c r="D109" s="169">
        <v>190</v>
      </c>
      <c r="E109" s="123">
        <v>800</v>
      </c>
      <c r="F109" s="123">
        <v>4100</v>
      </c>
      <c r="G109" s="123">
        <f t="shared" si="2"/>
        <v>152000</v>
      </c>
      <c r="H109" s="123">
        <f t="shared" si="4"/>
        <v>779000</v>
      </c>
      <c r="I109" s="123">
        <f t="shared" si="3"/>
        <v>931000</v>
      </c>
      <c r="J109" s="201"/>
      <c r="AA109" s="3"/>
      <c r="AB109" s="3"/>
      <c r="AC109" s="3"/>
      <c r="AD109" s="3"/>
      <c r="AE109" s="3"/>
      <c r="AF109" s="3"/>
      <c r="AG109" s="4"/>
      <c r="AH109" s="4"/>
      <c r="AI109" s="4"/>
      <c r="AJ109" s="4"/>
    </row>
    <row r="110" spans="1:36" s="2" customFormat="1" ht="30.05" customHeight="1" x14ac:dyDescent="0.3">
      <c r="A110" s="54" t="s">
        <v>259</v>
      </c>
      <c r="B110" s="41" t="s">
        <v>333</v>
      </c>
      <c r="C110" s="42" t="s">
        <v>9</v>
      </c>
      <c r="D110" s="169">
        <f>D109*2</f>
        <v>380</v>
      </c>
      <c r="E110" s="123">
        <v>250</v>
      </c>
      <c r="F110" s="123">
        <v>800</v>
      </c>
      <c r="G110" s="123">
        <f t="shared" si="2"/>
        <v>95000</v>
      </c>
      <c r="H110" s="123">
        <f t="shared" si="4"/>
        <v>304000</v>
      </c>
      <c r="I110" s="123">
        <f t="shared" si="3"/>
        <v>399000</v>
      </c>
      <c r="J110" s="201"/>
      <c r="AA110" s="3"/>
      <c r="AB110" s="3"/>
      <c r="AC110" s="3"/>
      <c r="AD110" s="3"/>
      <c r="AE110" s="3"/>
      <c r="AF110" s="3"/>
      <c r="AG110" s="4"/>
      <c r="AH110" s="4"/>
      <c r="AI110" s="4"/>
      <c r="AJ110" s="4"/>
    </row>
    <row r="111" spans="1:36" s="2" customFormat="1" ht="30.05" customHeight="1" x14ac:dyDescent="0.3">
      <c r="A111" s="1"/>
      <c r="B111" s="31" t="s">
        <v>92</v>
      </c>
      <c r="C111" s="5"/>
      <c r="D111" s="169"/>
      <c r="E111" s="268"/>
      <c r="F111" s="268"/>
      <c r="G111" s="254">
        <f>SUM(G99:G110)</f>
        <v>448925</v>
      </c>
      <c r="H111" s="254">
        <f>SUM(H99:H110)</f>
        <v>1460155</v>
      </c>
      <c r="I111" s="254">
        <f>SUM(I99:I110)</f>
        <v>1909080</v>
      </c>
      <c r="J111" s="204"/>
      <c r="K111" s="24"/>
      <c r="L111" s="24"/>
      <c r="M111" s="7"/>
      <c r="N111" s="24"/>
      <c r="O111" s="26"/>
      <c r="P111" s="24"/>
      <c r="Q111" s="7"/>
      <c r="R111" s="24"/>
      <c r="S111" s="26"/>
      <c r="T111" s="24"/>
      <c r="U111" s="7"/>
      <c r="V111" s="24"/>
      <c r="W111" s="26"/>
      <c r="X111" s="24"/>
      <c r="Y111" s="7"/>
      <c r="Z111" s="24"/>
      <c r="AA111" s="25"/>
      <c r="AB111" s="27">
        <v>847289</v>
      </c>
      <c r="AC111" s="19" t="e">
        <f>#REF!-#REF!-#REF!-#REF!-AA111</f>
        <v>#REF!</v>
      </c>
      <c r="AD111" s="20" t="e">
        <f>G111-#REF!-#REF!-#REF!-#REF!-#REF!-#REF!-#REF!-#REF!-L111-P111-T111-X111</f>
        <v>#REF!</v>
      </c>
      <c r="AE111" s="18" t="e">
        <f>H111-#REF!-#REF!-#REF!-#REF!-#REF!-#REF!-#REF!-#REF!-M111-Q111-U111-Y111</f>
        <v>#REF!</v>
      </c>
      <c r="AF111" s="18" t="e">
        <f>I111-#REF!-#REF!-#REF!-AB111</f>
        <v>#REF!</v>
      </c>
      <c r="AG111" s="21"/>
      <c r="AH111" s="24">
        <f>SUM(AH98:AH110)</f>
        <v>0</v>
      </c>
      <c r="AI111" s="7"/>
      <c r="AJ111" s="24">
        <f>AH111</f>
        <v>0</v>
      </c>
    </row>
    <row r="112" spans="1:36" s="175" customFormat="1" ht="30.05" customHeight="1" x14ac:dyDescent="0.25">
      <c r="A112" s="54"/>
      <c r="B112" s="41" t="s">
        <v>249</v>
      </c>
      <c r="C112" s="42"/>
      <c r="D112" s="169"/>
      <c r="E112" s="123"/>
      <c r="F112" s="123"/>
      <c r="J112" s="197"/>
      <c r="P112" s="125">
        <f>ROUND(G111*0.11,0)</f>
        <v>49382</v>
      </c>
      <c r="Q112" s="123"/>
      <c r="R112" s="123">
        <f>P112</f>
        <v>49382</v>
      </c>
    </row>
    <row r="113" spans="1:36" s="175" customFormat="1" ht="30.05" customHeight="1" x14ac:dyDescent="0.25">
      <c r="A113" s="54"/>
      <c r="B113" s="41" t="s">
        <v>223</v>
      </c>
      <c r="C113" s="42"/>
      <c r="D113" s="169"/>
      <c r="E113" s="123"/>
      <c r="F113" s="123"/>
      <c r="J113" s="197"/>
      <c r="P113" s="125">
        <f>ROUND(G111*0.05,0)</f>
        <v>22446</v>
      </c>
      <c r="Q113" s="123"/>
      <c r="R113" s="123">
        <f>P113</f>
        <v>22446</v>
      </c>
    </row>
    <row r="114" spans="1:36" s="3" customFormat="1" ht="30.05" hidden="1" customHeight="1" x14ac:dyDescent="0.3">
      <c r="A114" s="43"/>
      <c r="B114" s="36" t="s">
        <v>262</v>
      </c>
      <c r="C114" s="43"/>
      <c r="D114" s="259"/>
      <c r="E114" s="260"/>
      <c r="F114" s="260"/>
      <c r="G114" s="260">
        <f>SUM(G111:G113)</f>
        <v>448925</v>
      </c>
      <c r="H114" s="260">
        <f>SUM(H111:H113)</f>
        <v>1460155</v>
      </c>
      <c r="I114" s="261">
        <f>SUM(I111:I113)</f>
        <v>1909080</v>
      </c>
      <c r="J114" s="205"/>
      <c r="K114" s="25"/>
      <c r="L114" s="64"/>
      <c r="M114" s="64"/>
      <c r="N114" s="25"/>
      <c r="O114" s="64"/>
      <c r="P114" s="64"/>
      <c r="Q114" s="64"/>
      <c r="R114" s="25"/>
      <c r="S114" s="64"/>
      <c r="T114" s="64"/>
      <c r="U114" s="64"/>
      <c r="V114" s="25"/>
      <c r="W114" s="64"/>
      <c r="X114" s="64"/>
      <c r="Y114" s="64"/>
      <c r="Z114" s="25"/>
      <c r="AA114" s="25"/>
      <c r="AB114" s="27">
        <v>2328925</v>
      </c>
      <c r="AC114" s="19" t="e">
        <f>#REF!-#REF!-#REF!-#REF!-AA114</f>
        <v>#REF!</v>
      </c>
      <c r="AD114" s="20" t="e">
        <f>G114-#REF!-#REF!-#REF!-#REF!-#REF!-#REF!-#REF!-#REF!-L114-P114-T114-X114</f>
        <v>#REF!</v>
      </c>
      <c r="AE114" s="18" t="e">
        <f>H114-#REF!-#REF!-#REF!-#REF!-#REF!-#REF!-#REF!-#REF!-M114-Q114-U114-Y114</f>
        <v>#REF!</v>
      </c>
      <c r="AF114" s="18" t="e">
        <f>I114-#REF!-#REF!-#REF!-AB114</f>
        <v>#REF!</v>
      </c>
      <c r="AG114" s="19"/>
      <c r="AH114" s="64"/>
      <c r="AI114" s="64"/>
      <c r="AJ114" s="25" t="e">
        <f>AJ111+#REF!+AJ112+AJ113</f>
        <v>#REF!</v>
      </c>
    </row>
    <row r="115" spans="1:36" s="2" customFormat="1" ht="30.05" customHeight="1" x14ac:dyDescent="0.3">
      <c r="A115" s="1" t="s">
        <v>27</v>
      </c>
      <c r="B115" s="112" t="s">
        <v>379</v>
      </c>
      <c r="C115" s="29"/>
      <c r="D115" s="266"/>
      <c r="E115" s="255"/>
      <c r="F115" s="255"/>
      <c r="G115" s="255"/>
      <c r="H115" s="255"/>
      <c r="I115" s="255"/>
      <c r="J115" s="206"/>
      <c r="K115" s="6"/>
      <c r="AA115" s="18"/>
      <c r="AB115" s="18"/>
      <c r="AC115" s="19" t="e">
        <f>#REF!-#REF!-#REF!-#REF!-AA115</f>
        <v>#REF!</v>
      </c>
      <c r="AD115" s="20" t="e">
        <f>G115-#REF!-#REF!-#REF!-#REF!-#REF!-#REF!-#REF!-#REF!-L115-P115-T115-X115</f>
        <v>#REF!</v>
      </c>
      <c r="AE115" s="18" t="e">
        <f>H115-#REF!-#REF!-#REF!-#REF!-#REF!-#REF!-#REF!-#REF!-M115-Q115-U115-Y115</f>
        <v>#REF!</v>
      </c>
      <c r="AF115" s="18" t="e">
        <f>I115-#REF!-#REF!-#REF!-AB115</f>
        <v>#REF!</v>
      </c>
      <c r="AG115" s="21"/>
      <c r="AH115" s="22"/>
      <c r="AI115" s="23"/>
      <c r="AJ115" s="23"/>
    </row>
    <row r="116" spans="1:36" s="4" customFormat="1" ht="59.95" customHeight="1" x14ac:dyDescent="0.3">
      <c r="A116" s="54" t="s">
        <v>29</v>
      </c>
      <c r="B116" s="41" t="s">
        <v>171</v>
      </c>
      <c r="C116" s="42" t="s">
        <v>7</v>
      </c>
      <c r="D116" s="169">
        <v>876.07</v>
      </c>
      <c r="E116" s="125">
        <v>2300</v>
      </c>
      <c r="F116" s="163"/>
      <c r="G116" s="125">
        <f>ROUND(D116*E116,0)</f>
        <v>2014961</v>
      </c>
      <c r="H116" s="125"/>
      <c r="I116" s="125">
        <f>SUM(G116:H116)</f>
        <v>2014961</v>
      </c>
      <c r="J116" s="187"/>
      <c r="K116" s="23"/>
      <c r="M116" s="23"/>
      <c r="N116" s="23"/>
      <c r="Q116" s="23"/>
      <c r="R116" s="23"/>
      <c r="U116" s="23"/>
      <c r="V116" s="23"/>
      <c r="Y116" s="23"/>
      <c r="Z116" s="23"/>
      <c r="AA116" s="23">
        <v>296</v>
      </c>
      <c r="AB116" s="69">
        <f>AA116*(E116+F116)</f>
        <v>680800</v>
      </c>
      <c r="AC116" s="21" t="e">
        <f>#REF!-#REF!-#REF!-#REF!-AA116</f>
        <v>#REF!</v>
      </c>
      <c r="AD116" s="22" t="e">
        <f>G116-#REF!-#REF!-#REF!-#REF!-#REF!-#REF!-#REF!-#REF!-L116-P116-T116-X116</f>
        <v>#REF!</v>
      </c>
      <c r="AE116" s="23" t="e">
        <f>H116-#REF!-#REF!-#REF!-#REF!-#REF!-#REF!-#REF!-#REF!-M116-Q116-U116-Y116</f>
        <v>#REF!</v>
      </c>
      <c r="AF116" s="23" t="e">
        <f>I116-#REF!-#REF!-#REF!-AB116</f>
        <v>#REF!</v>
      </c>
      <c r="AG116" s="21">
        <v>73</v>
      </c>
      <c r="AH116" s="22">
        <f>AG116*E116</f>
        <v>167900</v>
      </c>
      <c r="AI116" s="23">
        <f>AG116*F116</f>
        <v>0</v>
      </c>
      <c r="AJ116" s="23">
        <f>AH116+AI116</f>
        <v>167900</v>
      </c>
    </row>
    <row r="117" spans="1:36" s="105" customFormat="1" ht="59.95" customHeight="1" x14ac:dyDescent="0.3">
      <c r="A117" s="53"/>
      <c r="B117" s="48" t="s">
        <v>13</v>
      </c>
      <c r="C117" s="49" t="s">
        <v>7</v>
      </c>
      <c r="D117" s="170">
        <f>D116</f>
        <v>876.07</v>
      </c>
      <c r="E117" s="162"/>
      <c r="F117" s="126">
        <v>2900</v>
      </c>
      <c r="G117" s="126"/>
      <c r="H117" s="126">
        <f t="shared" ref="H117:H128" si="5">ROUND(D117*F117,0)</f>
        <v>2540603</v>
      </c>
      <c r="I117" s="126">
        <f t="shared" ref="I117:I128" si="6">SUM(G117:H117)</f>
        <v>2540603</v>
      </c>
      <c r="J117" s="207"/>
      <c r="K117" s="104"/>
      <c r="M117" s="104"/>
      <c r="N117" s="104"/>
      <c r="O117" s="107"/>
      <c r="Q117" s="104"/>
      <c r="R117" s="104"/>
      <c r="S117" s="107"/>
      <c r="U117" s="104"/>
      <c r="V117" s="104"/>
      <c r="W117" s="107"/>
      <c r="Y117" s="104"/>
      <c r="Z117" s="104"/>
      <c r="AA117" s="104">
        <v>296</v>
      </c>
      <c r="AB117" s="106">
        <f>AA117*(E117+F117)</f>
        <v>858400</v>
      </c>
      <c r="AC117" s="108" t="e">
        <f>#REF!-#REF!-#REF!-#REF!-AA117</f>
        <v>#REF!</v>
      </c>
      <c r="AD117" s="109" t="e">
        <f>G117-#REF!-#REF!-#REF!-#REF!-#REF!-#REF!-#REF!-#REF!-L117-P117-T117-X117</f>
        <v>#REF!</v>
      </c>
      <c r="AE117" s="104" t="e">
        <f>H117-#REF!-#REF!-#REF!-#REF!-#REF!-#REF!-#REF!-#REF!-M117-Q117-U117-Y117</f>
        <v>#REF!</v>
      </c>
      <c r="AF117" s="104" t="e">
        <f>I117-#REF!-#REF!-#REF!-AB117</f>
        <v>#REF!</v>
      </c>
      <c r="AG117" s="108">
        <v>73</v>
      </c>
      <c r="AH117" s="109">
        <f>AG117*E117</f>
        <v>0</v>
      </c>
      <c r="AI117" s="104">
        <f>AG117*F117</f>
        <v>211700</v>
      </c>
      <c r="AJ117" s="104">
        <f t="shared" ref="AJ117:AJ160" si="7">AH117+AI117</f>
        <v>211700</v>
      </c>
    </row>
    <row r="118" spans="1:36" s="105" customFormat="1" ht="30.05" customHeight="1" x14ac:dyDescent="0.3">
      <c r="A118" s="53"/>
      <c r="B118" s="48" t="s">
        <v>14</v>
      </c>
      <c r="C118" s="49" t="s">
        <v>15</v>
      </c>
      <c r="D118" s="170">
        <f>D116</f>
        <v>876.07</v>
      </c>
      <c r="E118" s="162"/>
      <c r="F118" s="126">
        <v>240</v>
      </c>
      <c r="G118" s="126"/>
      <c r="H118" s="126">
        <f t="shared" si="5"/>
        <v>210257</v>
      </c>
      <c r="I118" s="126">
        <f t="shared" si="6"/>
        <v>210257</v>
      </c>
      <c r="J118" s="207"/>
      <c r="K118" s="104"/>
      <c r="M118" s="104"/>
      <c r="N118" s="104"/>
      <c r="O118" s="107"/>
      <c r="Q118" s="104"/>
      <c r="R118" s="104"/>
      <c r="S118" s="107"/>
      <c r="U118" s="104"/>
      <c r="V118" s="104"/>
      <c r="W118" s="107"/>
      <c r="Y118" s="104"/>
      <c r="Z118" s="104"/>
      <c r="AA118" s="104">
        <v>296</v>
      </c>
      <c r="AB118" s="106">
        <f>AA118*(E118+F118)</f>
        <v>71040</v>
      </c>
      <c r="AC118" s="108" t="e">
        <f>#REF!-#REF!-#REF!-#REF!-AA118</f>
        <v>#REF!</v>
      </c>
      <c r="AD118" s="109" t="e">
        <f>G118-#REF!-#REF!-#REF!-#REF!-#REF!-#REF!-#REF!-#REF!-L118-P118-T118-X118</f>
        <v>#REF!</v>
      </c>
      <c r="AE118" s="104" t="e">
        <f>H118-#REF!-#REF!-#REF!-#REF!-#REF!-#REF!-#REF!-#REF!-M118-Q118-U118-Y118</f>
        <v>#REF!</v>
      </c>
      <c r="AF118" s="104" t="e">
        <f>I118-#REF!-#REF!-#REF!-AB118</f>
        <v>#REF!</v>
      </c>
      <c r="AG118" s="108">
        <v>73</v>
      </c>
      <c r="AH118" s="109">
        <f>AG118*E118</f>
        <v>0</v>
      </c>
      <c r="AI118" s="104">
        <f>AG118*F118</f>
        <v>17520</v>
      </c>
      <c r="AJ118" s="104">
        <f t="shared" si="7"/>
        <v>17520</v>
      </c>
    </row>
    <row r="119" spans="1:36" s="105" customFormat="1" ht="30.05" customHeight="1" x14ac:dyDescent="0.3">
      <c r="A119" s="53"/>
      <c r="B119" s="48" t="s">
        <v>211</v>
      </c>
      <c r="C119" s="49" t="s">
        <v>8</v>
      </c>
      <c r="D119" s="170">
        <v>4.5810000000000004</v>
      </c>
      <c r="E119" s="162"/>
      <c r="F119" s="126">
        <v>109000</v>
      </c>
      <c r="G119" s="126"/>
      <c r="H119" s="126">
        <f t="shared" si="5"/>
        <v>499329</v>
      </c>
      <c r="I119" s="126">
        <f t="shared" si="6"/>
        <v>499329</v>
      </c>
      <c r="J119" s="207"/>
      <c r="K119" s="104"/>
      <c r="M119" s="104"/>
      <c r="N119" s="104"/>
      <c r="O119" s="107"/>
      <c r="Q119" s="104"/>
      <c r="R119" s="104"/>
      <c r="S119" s="107"/>
      <c r="U119" s="104"/>
      <c r="V119" s="104"/>
      <c r="W119" s="107"/>
      <c r="Y119" s="104"/>
      <c r="Z119" s="104"/>
      <c r="AA119" s="104"/>
      <c r="AB119" s="106"/>
      <c r="AC119" s="108"/>
      <c r="AD119" s="109"/>
      <c r="AE119" s="104"/>
      <c r="AF119" s="104"/>
      <c r="AG119" s="108"/>
      <c r="AH119" s="109"/>
      <c r="AI119" s="104"/>
      <c r="AJ119" s="104"/>
    </row>
    <row r="120" spans="1:36" s="4" customFormat="1" ht="30.05" customHeight="1" x14ac:dyDescent="0.3">
      <c r="A120" s="54" t="s">
        <v>229</v>
      </c>
      <c r="B120" s="41" t="s">
        <v>222</v>
      </c>
      <c r="C120" s="42" t="s">
        <v>6</v>
      </c>
      <c r="D120" s="169">
        <v>1388.31</v>
      </c>
      <c r="E120" s="163">
        <v>700</v>
      </c>
      <c r="F120" s="163"/>
      <c r="G120" s="125">
        <f t="shared" ref="G120:G128" si="8">ROUND(D120*E120,0)</f>
        <v>971817</v>
      </c>
      <c r="H120" s="125"/>
      <c r="I120" s="125">
        <f t="shared" si="6"/>
        <v>971817</v>
      </c>
      <c r="J120" s="187"/>
      <c r="K120" s="23"/>
      <c r="M120" s="23"/>
      <c r="N120" s="23"/>
      <c r="Q120" s="23"/>
      <c r="R120" s="23"/>
      <c r="U120" s="23"/>
      <c r="V120" s="23"/>
      <c r="Y120" s="23"/>
      <c r="Z120" s="23"/>
      <c r="AA120" s="23">
        <v>125</v>
      </c>
      <c r="AB120" s="69">
        <f>AA120*(E120+F120)</f>
        <v>87500</v>
      </c>
      <c r="AC120" s="21" t="e">
        <f>#REF!-#REF!-#REF!-#REF!-AA120</f>
        <v>#REF!</v>
      </c>
      <c r="AD120" s="22" t="e">
        <f>G120-#REF!-#REF!-#REF!-#REF!-#REF!-#REF!-#REF!-#REF!-L120-P120-T120-X120</f>
        <v>#REF!</v>
      </c>
      <c r="AE120" s="23" t="e">
        <f>H120-#REF!-#REF!-#REF!-#REF!-#REF!-#REF!-#REF!-#REF!-M120-Q120-U120-Y120</f>
        <v>#REF!</v>
      </c>
      <c r="AF120" s="23" t="e">
        <f>I120-#REF!-#REF!-#REF!-AB120</f>
        <v>#REF!</v>
      </c>
      <c r="AG120" s="21">
        <v>55</v>
      </c>
      <c r="AH120" s="22">
        <f t="shared" ref="AH120:AH128" si="9">AG120*E120</f>
        <v>38500</v>
      </c>
      <c r="AI120" s="23">
        <f t="shared" ref="AI120:AI128" si="10">AG120*F120</f>
        <v>0</v>
      </c>
      <c r="AJ120" s="23">
        <f t="shared" si="7"/>
        <v>38500</v>
      </c>
    </row>
    <row r="121" spans="1:36" s="96" customFormat="1" ht="30.05" customHeight="1" x14ac:dyDescent="0.3">
      <c r="A121" s="53"/>
      <c r="B121" s="48" t="s">
        <v>212</v>
      </c>
      <c r="C121" s="49" t="s">
        <v>9</v>
      </c>
      <c r="D121" s="170">
        <f>D120/100*5040</f>
        <v>69970.823999999993</v>
      </c>
      <c r="E121" s="162"/>
      <c r="F121" s="126">
        <v>10.3</v>
      </c>
      <c r="G121" s="126"/>
      <c r="H121" s="126">
        <f t="shared" si="5"/>
        <v>720699</v>
      </c>
      <c r="I121" s="126">
        <f t="shared" si="6"/>
        <v>720699</v>
      </c>
      <c r="J121" s="207"/>
      <c r="K121" s="100"/>
      <c r="M121" s="100"/>
      <c r="N121" s="100"/>
      <c r="O121" s="110"/>
      <c r="Q121" s="100"/>
      <c r="R121" s="100"/>
      <c r="S121" s="110"/>
      <c r="U121" s="100"/>
      <c r="V121" s="100"/>
      <c r="W121" s="110"/>
      <c r="Y121" s="100"/>
      <c r="Z121" s="100"/>
      <c r="AA121" s="100">
        <v>5870</v>
      </c>
      <c r="AB121" s="101">
        <f>AA121*(E121+F121)</f>
        <v>60461.000000000007</v>
      </c>
      <c r="AC121" s="102" t="e">
        <f>#REF!-#REF!-#REF!-#REF!-AA121</f>
        <v>#REF!</v>
      </c>
      <c r="AD121" s="103" t="e">
        <f>G121-#REF!-#REF!-#REF!-#REF!-#REF!-#REF!-#REF!-#REF!-L121-P121-T121-X121</f>
        <v>#REF!</v>
      </c>
      <c r="AE121" s="100" t="e">
        <f>H121-#REF!-#REF!-#REF!-#REF!-#REF!-#REF!-#REF!-#REF!-M121-Q121-U121-Y121</f>
        <v>#REF!</v>
      </c>
      <c r="AF121" s="100" t="e">
        <f>I121-#REF!-#REF!-#REF!-AB121</f>
        <v>#REF!</v>
      </c>
      <c r="AG121" s="102">
        <v>2145</v>
      </c>
      <c r="AH121" s="103">
        <f t="shared" si="9"/>
        <v>0</v>
      </c>
      <c r="AI121" s="100">
        <f t="shared" si="10"/>
        <v>22093.5</v>
      </c>
      <c r="AJ121" s="100">
        <f t="shared" si="7"/>
        <v>22093.5</v>
      </c>
    </row>
    <row r="122" spans="1:36" s="96" customFormat="1" ht="30.05" customHeight="1" x14ac:dyDescent="0.3">
      <c r="A122" s="53"/>
      <c r="B122" s="48" t="s">
        <v>17</v>
      </c>
      <c r="C122" s="49" t="s">
        <v>7</v>
      </c>
      <c r="D122" s="170">
        <f>D120/100*2.3</f>
        <v>31.931129999999996</v>
      </c>
      <c r="E122" s="162"/>
      <c r="F122" s="126">
        <v>3400</v>
      </c>
      <c r="G122" s="126"/>
      <c r="H122" s="126">
        <f t="shared" si="5"/>
        <v>108566</v>
      </c>
      <c r="I122" s="126">
        <f t="shared" si="6"/>
        <v>108566</v>
      </c>
      <c r="J122" s="207"/>
      <c r="K122" s="100"/>
      <c r="M122" s="100"/>
      <c r="N122" s="100"/>
      <c r="O122" s="110"/>
      <c r="Q122" s="100"/>
      <c r="R122" s="100"/>
      <c r="S122" s="110"/>
      <c r="U122" s="100"/>
      <c r="V122" s="100"/>
      <c r="W122" s="110"/>
      <c r="Y122" s="100"/>
      <c r="Z122" s="100"/>
      <c r="AA122" s="100">
        <v>3</v>
      </c>
      <c r="AB122" s="101">
        <f>AA122*(E122+F122)</f>
        <v>10200</v>
      </c>
      <c r="AC122" s="102" t="e">
        <f>#REF!-#REF!-#REF!-#REF!-AA122</f>
        <v>#REF!</v>
      </c>
      <c r="AD122" s="103" t="e">
        <f>G122-#REF!-#REF!-#REF!-#REF!-#REF!-#REF!-#REF!-#REF!-L122-P122-T122-X122</f>
        <v>#REF!</v>
      </c>
      <c r="AE122" s="100" t="e">
        <f>H122-#REF!-#REF!-#REF!-#REF!-#REF!-#REF!-#REF!-#REF!-M122-Q122-U122-Y122</f>
        <v>#REF!</v>
      </c>
      <c r="AF122" s="100" t="e">
        <f>I122-#REF!-#REF!-#REF!-AB122</f>
        <v>#REF!</v>
      </c>
      <c r="AG122" s="102">
        <v>1.32</v>
      </c>
      <c r="AH122" s="103">
        <f t="shared" si="9"/>
        <v>0</v>
      </c>
      <c r="AI122" s="100">
        <f t="shared" si="10"/>
        <v>4488</v>
      </c>
      <c r="AJ122" s="100">
        <f t="shared" si="7"/>
        <v>4488</v>
      </c>
    </row>
    <row r="123" spans="1:36" s="4" customFormat="1" ht="30.05" customHeight="1" x14ac:dyDescent="0.3">
      <c r="A123" s="54" t="s">
        <v>32</v>
      </c>
      <c r="B123" s="57" t="s">
        <v>332</v>
      </c>
      <c r="C123" s="42" t="s">
        <v>7</v>
      </c>
      <c r="D123" s="169">
        <v>52.53</v>
      </c>
      <c r="E123" s="125">
        <v>2000</v>
      </c>
      <c r="F123" s="163"/>
      <c r="G123" s="125">
        <f t="shared" si="8"/>
        <v>105060</v>
      </c>
      <c r="H123" s="125"/>
      <c r="I123" s="125">
        <f t="shared" si="6"/>
        <v>105060</v>
      </c>
      <c r="J123" s="187"/>
      <c r="K123" s="23"/>
      <c r="M123" s="23"/>
      <c r="N123" s="23"/>
      <c r="Q123" s="23"/>
      <c r="R123" s="23"/>
      <c r="U123" s="23"/>
      <c r="V123" s="23"/>
      <c r="Y123" s="23"/>
      <c r="Z123" s="23"/>
      <c r="AA123" s="23"/>
      <c r="AB123" s="69"/>
      <c r="AC123" s="21" t="e">
        <f>#REF!-#REF!-#REF!-#REF!-AA123</f>
        <v>#REF!</v>
      </c>
      <c r="AD123" s="22" t="e">
        <f>G123-#REF!-#REF!-#REF!-#REF!-#REF!-#REF!-#REF!-#REF!-L123-P123-T123-X123</f>
        <v>#REF!</v>
      </c>
      <c r="AE123" s="23" t="e">
        <f>H123-#REF!-#REF!-#REF!-#REF!-#REF!-#REF!-#REF!-#REF!-M123-Q123-U123-Y123</f>
        <v>#REF!</v>
      </c>
      <c r="AF123" s="23" t="e">
        <f>I123-#REF!-#REF!-#REF!-AB123</f>
        <v>#REF!</v>
      </c>
      <c r="AG123" s="21"/>
      <c r="AH123" s="22">
        <f t="shared" si="9"/>
        <v>0</v>
      </c>
      <c r="AI123" s="23">
        <f t="shared" si="10"/>
        <v>0</v>
      </c>
      <c r="AJ123" s="23">
        <f t="shared" si="7"/>
        <v>0</v>
      </c>
    </row>
    <row r="124" spans="1:36" s="96" customFormat="1" ht="30.05" customHeight="1" x14ac:dyDescent="0.3">
      <c r="A124" s="53"/>
      <c r="B124" s="48" t="s">
        <v>212</v>
      </c>
      <c r="C124" s="49" t="s">
        <v>9</v>
      </c>
      <c r="D124" s="170">
        <f>ROUND(394*D123,0)</f>
        <v>20697</v>
      </c>
      <c r="E124" s="162"/>
      <c r="F124" s="126">
        <v>10.3</v>
      </c>
      <c r="G124" s="126"/>
      <c r="H124" s="126">
        <f t="shared" si="5"/>
        <v>213179</v>
      </c>
      <c r="I124" s="126">
        <f t="shared" si="6"/>
        <v>213179</v>
      </c>
      <c r="J124" s="207"/>
      <c r="K124" s="100"/>
      <c r="L124" s="101"/>
      <c r="M124" s="100"/>
      <c r="N124" s="100"/>
      <c r="O124" s="101"/>
      <c r="P124" s="101"/>
      <c r="Q124" s="100"/>
      <c r="R124" s="100"/>
      <c r="S124" s="101"/>
      <c r="T124" s="101"/>
      <c r="U124" s="100"/>
      <c r="V124" s="100"/>
      <c r="W124" s="101"/>
      <c r="X124" s="101"/>
      <c r="Y124" s="100"/>
      <c r="Z124" s="100"/>
      <c r="AA124" s="100"/>
      <c r="AB124" s="101"/>
      <c r="AC124" s="102" t="e">
        <f>#REF!-#REF!-#REF!-#REF!-AA124</f>
        <v>#REF!</v>
      </c>
      <c r="AD124" s="103" t="e">
        <f>G124-#REF!-#REF!-#REF!-#REF!-#REF!-#REF!-#REF!-#REF!-L124-P124-T124-X124</f>
        <v>#REF!</v>
      </c>
      <c r="AE124" s="100" t="e">
        <f>H124-#REF!-#REF!-#REF!-#REF!-#REF!-#REF!-#REF!-#REF!-M124-Q124-U124-Y124</f>
        <v>#REF!</v>
      </c>
      <c r="AF124" s="100" t="e">
        <f>I124-#REF!-#REF!-#REF!-AB124</f>
        <v>#REF!</v>
      </c>
      <c r="AG124" s="102"/>
      <c r="AH124" s="103">
        <f t="shared" si="9"/>
        <v>0</v>
      </c>
      <c r="AI124" s="100">
        <f t="shared" si="10"/>
        <v>0</v>
      </c>
      <c r="AJ124" s="100">
        <f t="shared" si="7"/>
        <v>0</v>
      </c>
    </row>
    <row r="125" spans="1:36" s="96" customFormat="1" ht="30.05" customHeight="1" x14ac:dyDescent="0.3">
      <c r="A125" s="53"/>
      <c r="B125" s="48" t="s">
        <v>17</v>
      </c>
      <c r="C125" s="49" t="s">
        <v>7</v>
      </c>
      <c r="D125" s="170">
        <f>ROUND(0.241*D123,2)</f>
        <v>12.66</v>
      </c>
      <c r="E125" s="162"/>
      <c r="F125" s="126">
        <v>3400</v>
      </c>
      <c r="G125" s="126"/>
      <c r="H125" s="126">
        <f t="shared" si="5"/>
        <v>43044</v>
      </c>
      <c r="I125" s="126">
        <f t="shared" si="6"/>
        <v>43044</v>
      </c>
      <c r="J125" s="207"/>
      <c r="K125" s="100"/>
      <c r="L125" s="101"/>
      <c r="M125" s="100"/>
      <c r="N125" s="100"/>
      <c r="O125" s="101"/>
      <c r="P125" s="101"/>
      <c r="Q125" s="100"/>
      <c r="R125" s="100"/>
      <c r="S125" s="101"/>
      <c r="T125" s="101"/>
      <c r="U125" s="100"/>
      <c r="V125" s="100"/>
      <c r="W125" s="101"/>
      <c r="X125" s="101"/>
      <c r="Y125" s="100"/>
      <c r="Z125" s="100"/>
      <c r="AA125" s="100"/>
      <c r="AB125" s="101"/>
      <c r="AC125" s="102" t="e">
        <f>#REF!-#REF!-#REF!-#REF!-AA125</f>
        <v>#REF!</v>
      </c>
      <c r="AD125" s="103" t="e">
        <f>G125-#REF!-#REF!-#REF!-#REF!-#REF!-#REF!-#REF!-#REF!-L125-P125-T125-X125</f>
        <v>#REF!</v>
      </c>
      <c r="AE125" s="100" t="e">
        <f>H125-#REF!-#REF!-#REF!-#REF!-#REF!-#REF!-#REF!-#REF!-M125-Q125-U125-Y125</f>
        <v>#REF!</v>
      </c>
      <c r="AF125" s="100" t="e">
        <f>I125-#REF!-#REF!-#REF!-AB125</f>
        <v>#REF!</v>
      </c>
      <c r="AG125" s="102"/>
      <c r="AH125" s="103">
        <f t="shared" si="9"/>
        <v>0</v>
      </c>
      <c r="AI125" s="100">
        <f t="shared" si="10"/>
        <v>0</v>
      </c>
      <c r="AJ125" s="100">
        <f t="shared" si="7"/>
        <v>0</v>
      </c>
    </row>
    <row r="126" spans="1:36" s="73" customFormat="1" ht="30.05" customHeight="1" x14ac:dyDescent="0.3">
      <c r="A126" s="54" t="s">
        <v>34</v>
      </c>
      <c r="B126" s="41" t="s">
        <v>19</v>
      </c>
      <c r="C126" s="42" t="s">
        <v>8</v>
      </c>
      <c r="D126" s="169">
        <v>15.388999999999999</v>
      </c>
      <c r="E126" s="163">
        <v>18000</v>
      </c>
      <c r="F126" s="125">
        <v>42000</v>
      </c>
      <c r="G126" s="125">
        <f t="shared" si="8"/>
        <v>277002</v>
      </c>
      <c r="H126" s="125">
        <f t="shared" si="5"/>
        <v>646338</v>
      </c>
      <c r="I126" s="125">
        <f t="shared" si="6"/>
        <v>923340</v>
      </c>
      <c r="J126" s="187"/>
      <c r="K126" s="60"/>
      <c r="L126" s="72"/>
      <c r="M126" s="60"/>
      <c r="N126" s="60"/>
      <c r="O126" s="72"/>
      <c r="P126" s="72"/>
      <c r="Q126" s="60"/>
      <c r="R126" s="60"/>
      <c r="S126" s="72"/>
      <c r="T126" s="72"/>
      <c r="U126" s="60"/>
      <c r="V126" s="60"/>
      <c r="W126" s="72"/>
      <c r="X126" s="72"/>
      <c r="Y126" s="60"/>
      <c r="Z126" s="60"/>
      <c r="AA126" s="75">
        <v>3.0132935483870971</v>
      </c>
      <c r="AB126" s="72">
        <f>AA126*(E126+F126)</f>
        <v>180797.61290322582</v>
      </c>
      <c r="AC126" s="58" t="e">
        <f>#REF!-#REF!-#REF!-#REF!-AA126</f>
        <v>#REF!</v>
      </c>
      <c r="AD126" s="59" t="e">
        <f>G126-#REF!-#REF!-#REF!-#REF!-#REF!-#REF!-#REF!-#REF!-L126-P126-T126-X126</f>
        <v>#REF!</v>
      </c>
      <c r="AE126" s="60" t="e">
        <f>H126-#REF!-#REF!-#REF!-#REF!-#REF!-#REF!-#REF!-#REF!-M126-Q126-U126-Y126</f>
        <v>#REF!</v>
      </c>
      <c r="AF126" s="60" t="e">
        <f>I126-#REF!-#REF!-#REF!-AB126</f>
        <v>#REF!</v>
      </c>
      <c r="AG126" s="58"/>
      <c r="AH126" s="59">
        <f t="shared" si="9"/>
        <v>0</v>
      </c>
      <c r="AI126" s="60">
        <f t="shared" si="10"/>
        <v>0</v>
      </c>
      <c r="AJ126" s="60">
        <f t="shared" si="7"/>
        <v>0</v>
      </c>
    </row>
    <row r="127" spans="1:36" s="4" customFormat="1" ht="30.05" customHeight="1" x14ac:dyDescent="0.3">
      <c r="A127" s="54" t="s">
        <v>230</v>
      </c>
      <c r="B127" s="41" t="s">
        <v>20</v>
      </c>
      <c r="C127" s="42" t="s">
        <v>8</v>
      </c>
      <c r="D127" s="169">
        <v>3.4</v>
      </c>
      <c r="E127" s="163">
        <v>25000</v>
      </c>
      <c r="F127" s="125">
        <v>42000</v>
      </c>
      <c r="G127" s="125">
        <f t="shared" si="8"/>
        <v>85000</v>
      </c>
      <c r="H127" s="125">
        <f t="shared" si="5"/>
        <v>142800</v>
      </c>
      <c r="I127" s="125">
        <f t="shared" si="6"/>
        <v>227800</v>
      </c>
      <c r="J127" s="187"/>
      <c r="K127" s="23"/>
      <c r="M127" s="23"/>
      <c r="N127" s="23"/>
      <c r="O127" s="69"/>
      <c r="Q127" s="23"/>
      <c r="R127" s="23"/>
      <c r="S127" s="69"/>
      <c r="U127" s="23"/>
      <c r="V127" s="23"/>
      <c r="W127" s="69"/>
      <c r="Y127" s="23"/>
      <c r="Z127" s="23"/>
      <c r="AA127" s="23"/>
      <c r="AB127" s="23"/>
      <c r="AC127" s="21" t="e">
        <f>#REF!-#REF!-#REF!-#REF!-AA127</f>
        <v>#REF!</v>
      </c>
      <c r="AD127" s="22" t="e">
        <f>G127-#REF!-#REF!-#REF!-#REF!-#REF!-#REF!-#REF!-#REF!-L127-P127-T127-X127</f>
        <v>#REF!</v>
      </c>
      <c r="AE127" s="23" t="e">
        <f>H127-#REF!-#REF!-#REF!-#REF!-#REF!-#REF!-#REF!-#REF!-M127-Q127-U127-Y127</f>
        <v>#REF!</v>
      </c>
      <c r="AF127" s="23" t="e">
        <f>I127-#REF!-#REF!-#REF!-AB127</f>
        <v>#REF!</v>
      </c>
      <c r="AG127" s="21"/>
      <c r="AH127" s="22">
        <f t="shared" si="9"/>
        <v>0</v>
      </c>
      <c r="AI127" s="23">
        <f t="shared" si="10"/>
        <v>0</v>
      </c>
      <c r="AJ127" s="23">
        <f>AH127+AI127</f>
        <v>0</v>
      </c>
    </row>
    <row r="128" spans="1:36" s="4" customFormat="1" ht="30.05" customHeight="1" x14ac:dyDescent="0.3">
      <c r="A128" s="54" t="s">
        <v>258</v>
      </c>
      <c r="B128" s="41" t="s">
        <v>172</v>
      </c>
      <c r="C128" s="42" t="s">
        <v>8</v>
      </c>
      <c r="D128" s="169">
        <v>8.67</v>
      </c>
      <c r="E128" s="163">
        <v>25000</v>
      </c>
      <c r="F128" s="125">
        <v>42000</v>
      </c>
      <c r="G128" s="125">
        <f t="shared" si="8"/>
        <v>216750</v>
      </c>
      <c r="H128" s="125">
        <f t="shared" si="5"/>
        <v>364140</v>
      </c>
      <c r="I128" s="125">
        <f t="shared" si="6"/>
        <v>580890</v>
      </c>
      <c r="J128" s="187"/>
      <c r="K128" s="23"/>
      <c r="M128" s="23"/>
      <c r="N128" s="23"/>
      <c r="O128" s="69"/>
      <c r="Q128" s="23"/>
      <c r="R128" s="23"/>
      <c r="S128" s="69"/>
      <c r="U128" s="23"/>
      <c r="V128" s="23"/>
      <c r="W128" s="69"/>
      <c r="Y128" s="23"/>
      <c r="Z128" s="23"/>
      <c r="AA128" s="63"/>
      <c r="AB128" s="23"/>
      <c r="AC128" s="21" t="e">
        <f>#REF!-#REF!-#REF!-#REF!-AA128</f>
        <v>#REF!</v>
      </c>
      <c r="AD128" s="22" t="e">
        <f>G128-#REF!-#REF!-#REF!-#REF!-#REF!-#REF!-#REF!-#REF!-L128-P128-T128-X128</f>
        <v>#REF!</v>
      </c>
      <c r="AE128" s="23" t="e">
        <f>H128-#REF!-#REF!-#REF!-#REF!-#REF!-#REF!-#REF!-#REF!-M128-Q128-U128-Y128</f>
        <v>#REF!</v>
      </c>
      <c r="AF128" s="23" t="e">
        <f>I128-#REF!-#REF!-#REF!-AB128</f>
        <v>#REF!</v>
      </c>
      <c r="AG128" s="21"/>
      <c r="AH128" s="22">
        <f t="shared" si="9"/>
        <v>0</v>
      </c>
      <c r="AI128" s="23">
        <f t="shared" si="10"/>
        <v>0</v>
      </c>
      <c r="AJ128" s="23">
        <f t="shared" si="7"/>
        <v>0</v>
      </c>
    </row>
    <row r="129" spans="1:36" s="4" customFormat="1" ht="30.05" customHeight="1" x14ac:dyDescent="0.3">
      <c r="A129" s="54"/>
      <c r="B129" s="46" t="s">
        <v>170</v>
      </c>
      <c r="C129" s="42"/>
      <c r="D129" s="169"/>
      <c r="E129" s="123"/>
      <c r="F129" s="123"/>
      <c r="G129" s="258">
        <f>SUM(G116:G128)</f>
        <v>3670590</v>
      </c>
      <c r="H129" s="258">
        <f>SUM(H116:H128)</f>
        <v>5488955</v>
      </c>
      <c r="I129" s="258">
        <f>SUM(G129:H129)</f>
        <v>9159545</v>
      </c>
      <c r="J129" s="187"/>
      <c r="K129" s="63"/>
      <c r="L129" s="63"/>
      <c r="M129" s="23"/>
      <c r="N129" s="63"/>
      <c r="O129" s="78"/>
      <c r="P129" s="63"/>
      <c r="Q129" s="23"/>
      <c r="R129" s="63"/>
      <c r="S129" s="78"/>
      <c r="T129" s="63"/>
      <c r="U129" s="23"/>
      <c r="V129" s="63"/>
      <c r="W129" s="78"/>
      <c r="X129" s="63"/>
      <c r="Y129" s="23"/>
      <c r="Z129" s="63"/>
      <c r="AA129" s="63"/>
      <c r="AB129" s="77">
        <v>847289</v>
      </c>
      <c r="AC129" s="21" t="e">
        <f>#REF!-#REF!-#REF!-#REF!-AA129</f>
        <v>#REF!</v>
      </c>
      <c r="AD129" s="22" t="e">
        <f>G129-#REF!-#REF!-#REF!-#REF!-#REF!-#REF!-#REF!-#REF!-L129-P129-T129-X129</f>
        <v>#REF!</v>
      </c>
      <c r="AE129" s="23" t="e">
        <f>H129-#REF!-#REF!-#REF!-#REF!-#REF!-#REF!-#REF!-#REF!-M129-Q129-U129-Y129</f>
        <v>#REF!</v>
      </c>
      <c r="AF129" s="23" t="e">
        <f>I129-#REF!-#REF!-#REF!-AB129</f>
        <v>#REF!</v>
      </c>
      <c r="AG129" s="21"/>
      <c r="AH129" s="63">
        <f>SUM(AH116:AH128)</f>
        <v>206400</v>
      </c>
      <c r="AI129" s="23"/>
      <c r="AJ129" s="63">
        <f>AH129</f>
        <v>206400</v>
      </c>
    </row>
    <row r="130" spans="1:36" s="175" customFormat="1" ht="30.05" customHeight="1" x14ac:dyDescent="0.25">
      <c r="A130" s="54"/>
      <c r="B130" s="41" t="s">
        <v>249</v>
      </c>
      <c r="C130" s="42"/>
      <c r="D130" s="169"/>
      <c r="E130" s="123"/>
      <c r="F130" s="123"/>
      <c r="J130" s="197"/>
      <c r="P130" s="125">
        <f>ROUND(G129*0.11,0)</f>
        <v>403765</v>
      </c>
      <c r="Q130" s="123"/>
      <c r="R130" s="123">
        <f>P130</f>
        <v>403765</v>
      </c>
    </row>
    <row r="131" spans="1:36" s="175" customFormat="1" ht="30.05" customHeight="1" x14ac:dyDescent="0.25">
      <c r="A131" s="54"/>
      <c r="B131" s="41" t="s">
        <v>223</v>
      </c>
      <c r="C131" s="42"/>
      <c r="D131" s="169"/>
      <c r="E131" s="123"/>
      <c r="F131" s="123"/>
      <c r="J131" s="197"/>
      <c r="P131" s="125">
        <f>ROUND(G129*0.05,0)</f>
        <v>183530</v>
      </c>
      <c r="Q131" s="123"/>
      <c r="R131" s="123">
        <f>P131</f>
        <v>183530</v>
      </c>
    </row>
    <row r="132" spans="1:36" s="3" customFormat="1" ht="30.05" hidden="1" customHeight="1" x14ac:dyDescent="0.3">
      <c r="A132" s="43"/>
      <c r="B132" s="36" t="s">
        <v>263</v>
      </c>
      <c r="C132" s="43"/>
      <c r="D132" s="259"/>
      <c r="E132" s="260"/>
      <c r="F132" s="260"/>
      <c r="G132" s="260">
        <f>SUM(G129:G131)</f>
        <v>3670590</v>
      </c>
      <c r="H132" s="260">
        <f>SUM(H129:H131)</f>
        <v>5488955</v>
      </c>
      <c r="I132" s="261">
        <f>SUM(I129:I131)</f>
        <v>9159545</v>
      </c>
      <c r="J132" s="205"/>
      <c r="K132" s="25"/>
      <c r="L132" s="64"/>
      <c r="M132" s="64"/>
      <c r="N132" s="25"/>
      <c r="O132" s="64"/>
      <c r="P132" s="64"/>
      <c r="Q132" s="64"/>
      <c r="R132" s="25"/>
      <c r="S132" s="64"/>
      <c r="T132" s="64"/>
      <c r="U132" s="64"/>
      <c r="V132" s="25"/>
      <c r="W132" s="64"/>
      <c r="X132" s="64"/>
      <c r="Y132" s="64"/>
      <c r="Z132" s="25"/>
      <c r="AA132" s="25"/>
      <c r="AB132" s="27">
        <v>2328925</v>
      </c>
      <c r="AC132" s="19" t="e">
        <f>#REF!-#REF!-#REF!-#REF!-AA132</f>
        <v>#REF!</v>
      </c>
      <c r="AD132" s="20" t="e">
        <f>G132-#REF!-#REF!-#REF!-#REF!-#REF!-#REF!-#REF!-#REF!-L132-P132-T132-X132</f>
        <v>#REF!</v>
      </c>
      <c r="AE132" s="18" t="e">
        <f>H132-#REF!-#REF!-#REF!-#REF!-#REF!-#REF!-#REF!-#REF!-M132-Q132-U132-Y132</f>
        <v>#REF!</v>
      </c>
      <c r="AF132" s="18" t="e">
        <f>I132-#REF!-#REF!-#REF!-AB132</f>
        <v>#REF!</v>
      </c>
      <c r="AG132" s="19"/>
      <c r="AH132" s="64"/>
      <c r="AI132" s="64"/>
      <c r="AJ132" s="25" t="e">
        <f>AJ129+#REF!+AJ130+AJ131</f>
        <v>#REF!</v>
      </c>
    </row>
    <row r="133" spans="1:36" s="4" customFormat="1" ht="30.05" customHeight="1" x14ac:dyDescent="0.3">
      <c r="A133" s="52" t="s">
        <v>36</v>
      </c>
      <c r="B133" s="37" t="s">
        <v>380</v>
      </c>
      <c r="C133" s="166"/>
      <c r="D133" s="256"/>
      <c r="E133" s="257"/>
      <c r="F133" s="257"/>
      <c r="G133" s="257"/>
      <c r="H133" s="257"/>
      <c r="I133" s="257"/>
      <c r="J133" s="208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23"/>
      <c r="AB133" s="23"/>
      <c r="AC133" s="21" t="e">
        <f>#REF!-#REF!-#REF!-#REF!-AA133</f>
        <v>#REF!</v>
      </c>
      <c r="AD133" s="22" t="e">
        <f>G133-#REF!-#REF!-#REF!-#REF!-#REF!-#REF!-#REF!-#REF!-L133-P133-T133-X133</f>
        <v>#REF!</v>
      </c>
      <c r="AE133" s="23" t="e">
        <f>H133-#REF!-#REF!-#REF!-#REF!-#REF!-#REF!-#REF!-#REF!-M133-Q133-U133-Y133</f>
        <v>#REF!</v>
      </c>
      <c r="AF133" s="23" t="e">
        <f>I133-#REF!-#REF!-#REF!-AB133</f>
        <v>#REF!</v>
      </c>
      <c r="AG133" s="21"/>
      <c r="AH133" s="22">
        <f>AG133*E133</f>
        <v>0</v>
      </c>
      <c r="AI133" s="23">
        <f>AG133*F133</f>
        <v>0</v>
      </c>
      <c r="AJ133" s="23">
        <f t="shared" si="7"/>
        <v>0</v>
      </c>
    </row>
    <row r="134" spans="1:36" s="4" customFormat="1" ht="54.8" customHeight="1" x14ac:dyDescent="0.3">
      <c r="A134" s="54" t="s">
        <v>38</v>
      </c>
      <c r="B134" s="41" t="s">
        <v>24</v>
      </c>
      <c r="C134" s="42" t="s">
        <v>6</v>
      </c>
      <c r="D134" s="269">
        <f>6836.18+359.44</f>
        <v>7195.62</v>
      </c>
      <c r="E134" s="125">
        <v>730</v>
      </c>
      <c r="F134" s="163"/>
      <c r="G134" s="125">
        <f>ROUND(D134*E134,0)</f>
        <v>5252803</v>
      </c>
      <c r="H134" s="125"/>
      <c r="I134" s="125">
        <f>SUM(G134:H134)</f>
        <v>5252803</v>
      </c>
      <c r="J134" s="187"/>
      <c r="K134" s="23"/>
      <c r="M134" s="23"/>
      <c r="N134" s="23"/>
      <c r="Q134" s="23"/>
      <c r="R134" s="23"/>
      <c r="U134" s="23"/>
      <c r="V134" s="23"/>
      <c r="Y134" s="23"/>
      <c r="Z134" s="23"/>
      <c r="AA134" s="23">
        <v>1350</v>
      </c>
      <c r="AB134" s="69">
        <f>AA134*(E134+F134)</f>
        <v>985500</v>
      </c>
      <c r="AC134" s="21" t="e">
        <f>#REF!-#REF!-#REF!-#REF!-AA134</f>
        <v>#REF!</v>
      </c>
      <c r="AD134" s="22" t="e">
        <f>G134-#REF!-#REF!-#REF!-#REF!-#REF!-#REF!-#REF!-#REF!-L134-P134-T134-X134</f>
        <v>#REF!</v>
      </c>
      <c r="AE134" s="23" t="e">
        <f>H134-#REF!-#REF!-#REF!-#REF!-#REF!-#REF!-#REF!-#REF!-M134-Q134-U134-Y134</f>
        <v>#REF!</v>
      </c>
      <c r="AF134" s="23" t="e">
        <f>I134-#REF!-#REF!-#REF!-AB134</f>
        <v>#REF!</v>
      </c>
      <c r="AG134" s="21">
        <v>270</v>
      </c>
      <c r="AH134" s="22">
        <f>AG134*E134</f>
        <v>197100</v>
      </c>
      <c r="AI134" s="23">
        <f>AG134*F134</f>
        <v>0</v>
      </c>
      <c r="AJ134" s="23">
        <f t="shared" si="7"/>
        <v>197100</v>
      </c>
    </row>
    <row r="135" spans="1:36" s="105" customFormat="1" ht="54.8" customHeight="1" x14ac:dyDescent="0.3">
      <c r="A135" s="53"/>
      <c r="B135" s="48" t="s">
        <v>173</v>
      </c>
      <c r="C135" s="168" t="s">
        <v>9</v>
      </c>
      <c r="D135" s="170">
        <f>D134*13</f>
        <v>93543.06</v>
      </c>
      <c r="E135" s="162"/>
      <c r="F135" s="126">
        <v>56</v>
      </c>
      <c r="G135" s="126"/>
      <c r="H135" s="126">
        <f t="shared" ref="H135:H146" si="11">ROUND(D135*F135,0)</f>
        <v>5238411</v>
      </c>
      <c r="I135" s="126">
        <f t="shared" ref="I135:I146" si="12">SUM(G135:H135)</f>
        <v>5238411</v>
      </c>
      <c r="J135" s="207"/>
      <c r="K135" s="104"/>
      <c r="M135" s="104"/>
      <c r="N135" s="104"/>
      <c r="O135" s="107"/>
      <c r="Q135" s="104"/>
      <c r="R135" s="104"/>
      <c r="S135" s="107"/>
      <c r="U135" s="104"/>
      <c r="V135" s="104"/>
      <c r="W135" s="107"/>
      <c r="Y135" s="104"/>
      <c r="Z135" s="104"/>
      <c r="AA135" s="104">
        <v>17550</v>
      </c>
      <c r="AB135" s="106">
        <f>AA135*(E135+F135)</f>
        <v>982800</v>
      </c>
      <c r="AC135" s="108" t="e">
        <f>#REF!-#REF!-#REF!-#REF!-AA135</f>
        <v>#REF!</v>
      </c>
      <c r="AD135" s="109" t="e">
        <f>G135-#REF!-#REF!-#REF!-#REF!-#REF!-#REF!-#REF!-#REF!-L135-P135-T135-X135</f>
        <v>#REF!</v>
      </c>
      <c r="AE135" s="104" t="e">
        <f>H135-#REF!-#REF!-#REF!-#REF!-#REF!-#REF!-#REF!-#REF!-M135-Q135-U135-Y135</f>
        <v>#REF!</v>
      </c>
      <c r="AF135" s="104" t="e">
        <f>I135-#REF!-#REF!-#REF!-AB135</f>
        <v>#REF!</v>
      </c>
      <c r="AG135" s="108">
        <v>3510</v>
      </c>
      <c r="AH135" s="109">
        <f>AG135*E135</f>
        <v>0</v>
      </c>
      <c r="AI135" s="104">
        <f>AG135*F135</f>
        <v>196560</v>
      </c>
      <c r="AJ135" s="104">
        <f t="shared" si="7"/>
        <v>196560</v>
      </c>
    </row>
    <row r="136" spans="1:36" s="105" customFormat="1" ht="30.05" customHeight="1" x14ac:dyDescent="0.3">
      <c r="A136" s="53"/>
      <c r="B136" s="48" t="s">
        <v>174</v>
      </c>
      <c r="C136" s="168" t="s">
        <v>7</v>
      </c>
      <c r="D136" s="170">
        <f>D134*0.0148</f>
        <v>106.495176</v>
      </c>
      <c r="E136" s="162"/>
      <c r="F136" s="126">
        <v>3400</v>
      </c>
      <c r="G136" s="126"/>
      <c r="H136" s="126">
        <f t="shared" si="11"/>
        <v>362084</v>
      </c>
      <c r="I136" s="126">
        <f t="shared" si="12"/>
        <v>362084</v>
      </c>
      <c r="J136" s="207"/>
      <c r="K136" s="104"/>
      <c r="M136" s="104"/>
      <c r="N136" s="104"/>
      <c r="O136" s="107"/>
      <c r="Q136" s="104"/>
      <c r="R136" s="104"/>
      <c r="S136" s="107"/>
      <c r="U136" s="104"/>
      <c r="V136" s="104"/>
      <c r="W136" s="107"/>
      <c r="Y136" s="104"/>
      <c r="Z136" s="104"/>
      <c r="AA136" s="106">
        <v>51.3</v>
      </c>
      <c r="AB136" s="106">
        <f>AA136*(E136+F136)</f>
        <v>174420</v>
      </c>
      <c r="AC136" s="108" t="e">
        <f>#REF!-#REF!-#REF!-#REF!-AA136</f>
        <v>#REF!</v>
      </c>
      <c r="AD136" s="109" t="e">
        <f>G136-#REF!-#REF!-#REF!-#REF!-#REF!-#REF!-#REF!-#REF!-L136-P136-T136-X136</f>
        <v>#REF!</v>
      </c>
      <c r="AE136" s="104" t="e">
        <f>H136-#REF!-#REF!-#REF!-#REF!-#REF!-#REF!-#REF!-#REF!-M136-Q136-U136-Y136</f>
        <v>#REF!</v>
      </c>
      <c r="AF136" s="104" t="e">
        <f>I136-#REF!-#REF!-#REF!-AB136</f>
        <v>#REF!</v>
      </c>
      <c r="AG136" s="108">
        <v>10.26</v>
      </c>
      <c r="AH136" s="109">
        <f>AG136*E136</f>
        <v>0</v>
      </c>
      <c r="AI136" s="104">
        <f>AG136*F136</f>
        <v>34884</v>
      </c>
      <c r="AJ136" s="104">
        <f t="shared" si="7"/>
        <v>34884</v>
      </c>
    </row>
    <row r="137" spans="1:36" s="105" customFormat="1" ht="30.05" customHeight="1" x14ac:dyDescent="0.3">
      <c r="A137" s="53"/>
      <c r="B137" s="48" t="s">
        <v>175</v>
      </c>
      <c r="C137" s="168" t="s">
        <v>9</v>
      </c>
      <c r="D137" s="170">
        <f>D134/1.2</f>
        <v>5996.35</v>
      </c>
      <c r="E137" s="162"/>
      <c r="F137" s="126">
        <v>5.8</v>
      </c>
      <c r="G137" s="126"/>
      <c r="H137" s="126">
        <f t="shared" si="11"/>
        <v>34779</v>
      </c>
      <c r="I137" s="126">
        <f t="shared" si="12"/>
        <v>34779</v>
      </c>
      <c r="J137" s="207"/>
      <c r="K137" s="104"/>
      <c r="M137" s="104"/>
      <c r="N137" s="104"/>
      <c r="O137" s="107"/>
      <c r="Q137" s="104"/>
      <c r="R137" s="104"/>
      <c r="S137" s="107"/>
      <c r="U137" s="104"/>
      <c r="V137" s="104"/>
      <c r="W137" s="107"/>
      <c r="Y137" s="104"/>
      <c r="Z137" s="104"/>
      <c r="AA137" s="106"/>
      <c r="AB137" s="106"/>
      <c r="AC137" s="108"/>
      <c r="AD137" s="109"/>
      <c r="AE137" s="104"/>
      <c r="AF137" s="104"/>
      <c r="AG137" s="108"/>
      <c r="AH137" s="109"/>
      <c r="AI137" s="104"/>
      <c r="AJ137" s="104"/>
    </row>
    <row r="138" spans="1:36" s="105" customFormat="1" ht="30.05" customHeight="1" x14ac:dyDescent="0.3">
      <c r="A138" s="53"/>
      <c r="B138" s="48" t="s">
        <v>176</v>
      </c>
      <c r="C138" s="168" t="s">
        <v>8</v>
      </c>
      <c r="D138" s="170">
        <v>3.7</v>
      </c>
      <c r="E138" s="162"/>
      <c r="F138" s="126">
        <v>42000</v>
      </c>
      <c r="G138" s="126"/>
      <c r="H138" s="126">
        <f t="shared" si="11"/>
        <v>155400</v>
      </c>
      <c r="I138" s="126">
        <f t="shared" si="12"/>
        <v>155400</v>
      </c>
      <c r="J138" s="207"/>
      <c r="K138" s="104"/>
      <c r="M138" s="104"/>
      <c r="N138" s="104"/>
      <c r="O138" s="107"/>
      <c r="Q138" s="104"/>
      <c r="R138" s="104"/>
      <c r="S138" s="107"/>
      <c r="U138" s="104"/>
      <c r="V138" s="104"/>
      <c r="W138" s="107"/>
      <c r="Y138" s="104"/>
      <c r="Z138" s="104"/>
      <c r="AA138" s="106"/>
      <c r="AB138" s="106"/>
      <c r="AC138" s="108"/>
      <c r="AD138" s="109"/>
      <c r="AE138" s="104"/>
      <c r="AF138" s="104"/>
      <c r="AG138" s="108"/>
      <c r="AH138" s="109"/>
      <c r="AI138" s="104"/>
      <c r="AJ138" s="104"/>
    </row>
    <row r="139" spans="1:36" s="51" customFormat="1" ht="57" customHeight="1" x14ac:dyDescent="0.3">
      <c r="A139" s="54" t="s">
        <v>39</v>
      </c>
      <c r="B139" s="57" t="s">
        <v>344</v>
      </c>
      <c r="C139" s="42" t="s">
        <v>6</v>
      </c>
      <c r="D139" s="228">
        <v>5155.76</v>
      </c>
      <c r="E139" s="125">
        <v>460</v>
      </c>
      <c r="F139" s="125"/>
      <c r="G139" s="123">
        <f>ROUND(D139*E139,0)</f>
        <v>2371650</v>
      </c>
      <c r="H139" s="123"/>
      <c r="I139" s="123">
        <f>G139+H139</f>
        <v>2371650</v>
      </c>
      <c r="J139" s="229"/>
    </row>
    <row r="140" spans="1:36" s="51" customFormat="1" ht="82.5" customHeight="1" x14ac:dyDescent="0.3">
      <c r="A140" s="53"/>
      <c r="B140" s="48" t="s">
        <v>345</v>
      </c>
      <c r="C140" s="49" t="s">
        <v>6</v>
      </c>
      <c r="D140" s="230">
        <f>D139</f>
        <v>5155.76</v>
      </c>
      <c r="E140" s="126"/>
      <c r="F140" s="126">
        <v>418.9</v>
      </c>
      <c r="G140" s="123"/>
      <c r="H140" s="123">
        <f>ROUND(F140*D140,0)</f>
        <v>2159748</v>
      </c>
      <c r="I140" s="123">
        <f>G140+H140</f>
        <v>2159748</v>
      </c>
      <c r="J140" s="229"/>
    </row>
    <row r="141" spans="1:36" s="232" customFormat="1" ht="57" customHeight="1" x14ac:dyDescent="0.3">
      <c r="A141" s="54" t="s">
        <v>231</v>
      </c>
      <c r="B141" s="57" t="s">
        <v>346</v>
      </c>
      <c r="C141" s="42" t="s">
        <v>6</v>
      </c>
      <c r="D141" s="169">
        <f>5499.4*60%</f>
        <v>3299.64</v>
      </c>
      <c r="E141" s="125">
        <v>460</v>
      </c>
      <c r="F141" s="125"/>
      <c r="G141" s="123">
        <f>ROUND(D141*E141,0)</f>
        <v>1517834</v>
      </c>
      <c r="H141" s="123"/>
      <c r="I141" s="123">
        <f>G141+H141</f>
        <v>1517834</v>
      </c>
      <c r="J141" s="231"/>
    </row>
    <row r="142" spans="1:36" s="234" customFormat="1" ht="85.5" customHeight="1" x14ac:dyDescent="0.3">
      <c r="A142" s="53"/>
      <c r="B142" s="48" t="s">
        <v>345</v>
      </c>
      <c r="C142" s="49" t="s">
        <v>6</v>
      </c>
      <c r="D142" s="230">
        <f>D141</f>
        <v>3299.64</v>
      </c>
      <c r="E142" s="126"/>
      <c r="F142" s="126">
        <v>392.9</v>
      </c>
      <c r="G142" s="123"/>
      <c r="H142" s="123">
        <f>ROUND(F142*D142,0)</f>
        <v>1296429</v>
      </c>
      <c r="I142" s="123">
        <f>G142+H142</f>
        <v>1296429</v>
      </c>
      <c r="J142" s="233"/>
    </row>
    <row r="143" spans="1:36" s="4" customFormat="1" ht="30.05" customHeight="1" x14ac:dyDescent="0.3">
      <c r="A143" s="54" t="s">
        <v>40</v>
      </c>
      <c r="B143" s="57" t="s">
        <v>331</v>
      </c>
      <c r="C143" s="42" t="s">
        <v>7</v>
      </c>
      <c r="D143" s="169">
        <v>33.770000000000003</v>
      </c>
      <c r="E143" s="125">
        <v>2000</v>
      </c>
      <c r="F143" s="163"/>
      <c r="G143" s="125">
        <f>ROUND(D143*E143,0)</f>
        <v>67540</v>
      </c>
      <c r="H143" s="125"/>
      <c r="I143" s="125">
        <f t="shared" si="12"/>
        <v>67540</v>
      </c>
      <c r="J143" s="187"/>
      <c r="K143" s="23"/>
      <c r="M143" s="23"/>
      <c r="N143" s="23"/>
      <c r="Q143" s="23"/>
      <c r="R143" s="23"/>
      <c r="U143" s="23"/>
      <c r="V143" s="23"/>
      <c r="Y143" s="23"/>
      <c r="Z143" s="23"/>
      <c r="AA143" s="23"/>
      <c r="AB143" s="69"/>
      <c r="AC143" s="21" t="e">
        <f>#REF!-#REF!-#REF!-#REF!-AA143</f>
        <v>#REF!</v>
      </c>
      <c r="AD143" s="22" t="e">
        <f>G143-#REF!-#REF!-#REF!-#REF!-#REF!-#REF!-#REF!-#REF!-L143-P143-T143-X143</f>
        <v>#REF!</v>
      </c>
      <c r="AE143" s="23" t="e">
        <f>H143-#REF!-#REF!-#REF!-#REF!-#REF!-#REF!-#REF!-#REF!-M143-Q143-U143-Y143</f>
        <v>#REF!</v>
      </c>
      <c r="AF143" s="23" t="e">
        <f>I143-#REF!-#REF!-#REF!-AB143</f>
        <v>#REF!</v>
      </c>
      <c r="AG143" s="21"/>
      <c r="AH143" s="22">
        <f>AG143*E143</f>
        <v>0</v>
      </c>
      <c r="AI143" s="23">
        <f>AG143*F143</f>
        <v>0</v>
      </c>
      <c r="AJ143" s="23">
        <f t="shared" si="7"/>
        <v>0</v>
      </c>
    </row>
    <row r="144" spans="1:36" s="96" customFormat="1" ht="30.05" customHeight="1" x14ac:dyDescent="0.3">
      <c r="A144" s="53"/>
      <c r="B144" s="48" t="s">
        <v>177</v>
      </c>
      <c r="C144" s="49" t="s">
        <v>9</v>
      </c>
      <c r="D144" s="170">
        <f>ROUND(400*D143,0)</f>
        <v>13508</v>
      </c>
      <c r="E144" s="162"/>
      <c r="F144" s="126">
        <v>12.5</v>
      </c>
      <c r="G144" s="126"/>
      <c r="H144" s="126">
        <f t="shared" si="11"/>
        <v>168850</v>
      </c>
      <c r="I144" s="126">
        <f t="shared" si="12"/>
        <v>168850</v>
      </c>
      <c r="J144" s="207"/>
      <c r="K144" s="100"/>
      <c r="L144" s="101"/>
      <c r="M144" s="100"/>
      <c r="N144" s="100"/>
      <c r="O144" s="101"/>
      <c r="P144" s="101"/>
      <c r="Q144" s="100"/>
      <c r="R144" s="100"/>
      <c r="S144" s="101"/>
      <c r="T144" s="101"/>
      <c r="U144" s="100"/>
      <c r="V144" s="100"/>
      <c r="W144" s="101"/>
      <c r="X144" s="101"/>
      <c r="Y144" s="100"/>
      <c r="Z144" s="100"/>
      <c r="AA144" s="100"/>
      <c r="AB144" s="101"/>
      <c r="AC144" s="102" t="e">
        <f>#REF!-#REF!-#REF!-#REF!-AA144</f>
        <v>#REF!</v>
      </c>
      <c r="AD144" s="103" t="e">
        <f>G144-#REF!-#REF!-#REF!-#REF!-#REF!-#REF!-#REF!-#REF!-L144-P144-T144-X144</f>
        <v>#REF!</v>
      </c>
      <c r="AE144" s="100" t="e">
        <f>H144-#REF!-#REF!-#REF!-#REF!-#REF!-#REF!-#REF!-#REF!-M144-Q144-U144-Y144</f>
        <v>#REF!</v>
      </c>
      <c r="AF144" s="100" t="e">
        <f>I144-#REF!-#REF!-#REF!-AB144</f>
        <v>#REF!</v>
      </c>
      <c r="AG144" s="102"/>
      <c r="AH144" s="103">
        <f>AG144*E144</f>
        <v>0</v>
      </c>
      <c r="AI144" s="100">
        <f>AG144*F144</f>
        <v>0</v>
      </c>
      <c r="AJ144" s="100">
        <f t="shared" si="7"/>
        <v>0</v>
      </c>
    </row>
    <row r="145" spans="1:36" s="96" customFormat="1" ht="30.05" customHeight="1" x14ac:dyDescent="0.3">
      <c r="A145" s="53"/>
      <c r="B145" s="48" t="s">
        <v>17</v>
      </c>
      <c r="C145" s="49" t="s">
        <v>7</v>
      </c>
      <c r="D145" s="170">
        <f>ROUND(0.241*D143,2)</f>
        <v>8.14</v>
      </c>
      <c r="E145" s="162"/>
      <c r="F145" s="126">
        <v>3400</v>
      </c>
      <c r="G145" s="126"/>
      <c r="H145" s="126">
        <f t="shared" si="11"/>
        <v>27676</v>
      </c>
      <c r="I145" s="126">
        <f t="shared" si="12"/>
        <v>27676</v>
      </c>
      <c r="J145" s="207"/>
      <c r="K145" s="100"/>
      <c r="L145" s="101"/>
      <c r="M145" s="100"/>
      <c r="N145" s="100"/>
      <c r="O145" s="101"/>
      <c r="P145" s="101"/>
      <c r="Q145" s="100"/>
      <c r="R145" s="100"/>
      <c r="S145" s="101"/>
      <c r="T145" s="101"/>
      <c r="U145" s="100"/>
      <c r="V145" s="100"/>
      <c r="W145" s="101"/>
      <c r="X145" s="101"/>
      <c r="Y145" s="100"/>
      <c r="Z145" s="100"/>
      <c r="AA145" s="100"/>
      <c r="AB145" s="101"/>
      <c r="AC145" s="102" t="e">
        <f>#REF!-#REF!-#REF!-#REF!-AA145</f>
        <v>#REF!</v>
      </c>
      <c r="AD145" s="103" t="e">
        <f>G145-#REF!-#REF!-#REF!-#REF!-#REF!-#REF!-#REF!-#REF!-L145-P145-T145-X145</f>
        <v>#REF!</v>
      </c>
      <c r="AE145" s="100" t="e">
        <f>H145-#REF!-#REF!-#REF!-#REF!-#REF!-#REF!-#REF!-#REF!-M145-Q145-U145-Y145</f>
        <v>#REF!</v>
      </c>
      <c r="AF145" s="100" t="e">
        <f>I145-#REF!-#REF!-#REF!-AB145</f>
        <v>#REF!</v>
      </c>
      <c r="AG145" s="102"/>
      <c r="AH145" s="103">
        <f>AG145*E145</f>
        <v>0</v>
      </c>
      <c r="AI145" s="100">
        <f>AG145*F145</f>
        <v>0</v>
      </c>
      <c r="AJ145" s="100">
        <f t="shared" si="7"/>
        <v>0</v>
      </c>
    </row>
    <row r="146" spans="1:36" s="73" customFormat="1" ht="30.05" customHeight="1" x14ac:dyDescent="0.3">
      <c r="A146" s="54" t="s">
        <v>41</v>
      </c>
      <c r="B146" s="41" t="s">
        <v>19</v>
      </c>
      <c r="C146" s="42" t="s">
        <v>8</v>
      </c>
      <c r="D146" s="169">
        <v>6.62</v>
      </c>
      <c r="E146" s="163">
        <v>18000</v>
      </c>
      <c r="F146" s="163">
        <v>42000</v>
      </c>
      <c r="G146" s="125">
        <f>ROUND(D146*E146,0)</f>
        <v>119160</v>
      </c>
      <c r="H146" s="125">
        <f t="shared" si="11"/>
        <v>278040</v>
      </c>
      <c r="I146" s="125">
        <f t="shared" si="12"/>
        <v>397200</v>
      </c>
      <c r="J146" s="187"/>
      <c r="K146" s="60"/>
      <c r="M146" s="60"/>
      <c r="N146" s="60"/>
      <c r="Q146" s="60"/>
      <c r="R146" s="60"/>
      <c r="U146" s="60"/>
      <c r="V146" s="60"/>
      <c r="Y146" s="60"/>
      <c r="Z146" s="60"/>
      <c r="AA146" s="76">
        <v>0.5</v>
      </c>
      <c r="AB146" s="72">
        <f>AA146*(E146+F146)</f>
        <v>30000</v>
      </c>
      <c r="AC146" s="58" t="e">
        <f>#REF!-#REF!-#REF!-#REF!-AA146</f>
        <v>#REF!</v>
      </c>
      <c r="AD146" s="59" t="e">
        <f>G146-#REF!-#REF!-#REF!-#REF!-#REF!-#REF!-#REF!-#REF!-L146-P146-T146-X146</f>
        <v>#REF!</v>
      </c>
      <c r="AE146" s="60" t="e">
        <f>H146-#REF!-#REF!-#REF!-#REF!-#REF!-#REF!-#REF!-#REF!-M146-Q146-U146-Y146</f>
        <v>#REF!</v>
      </c>
      <c r="AF146" s="60" t="e">
        <f>I146-#REF!-#REF!-#REF!-AB146</f>
        <v>#REF!</v>
      </c>
      <c r="AG146" s="58"/>
      <c r="AH146" s="59">
        <f>AG146*E146</f>
        <v>0</v>
      </c>
      <c r="AI146" s="60">
        <f>AG146*F146</f>
        <v>0</v>
      </c>
      <c r="AJ146" s="60">
        <f t="shared" si="7"/>
        <v>0</v>
      </c>
    </row>
    <row r="147" spans="1:36" s="4" customFormat="1" ht="30.05" customHeight="1" x14ac:dyDescent="0.3">
      <c r="A147" s="54"/>
      <c r="B147" s="46" t="s">
        <v>92</v>
      </c>
      <c r="C147" s="42"/>
      <c r="D147" s="169"/>
      <c r="E147" s="123"/>
      <c r="F147" s="123"/>
      <c r="G147" s="258">
        <f>SUM(G134:G146)</f>
        <v>9328987</v>
      </c>
      <c r="H147" s="258">
        <f>SUM(H134:H146)</f>
        <v>9721417</v>
      </c>
      <c r="I147" s="258">
        <f>G147+H147</f>
        <v>19050404</v>
      </c>
      <c r="J147" s="187"/>
      <c r="K147" s="63"/>
      <c r="L147" s="63"/>
      <c r="M147" s="23"/>
      <c r="N147" s="63"/>
      <c r="O147" s="78"/>
      <c r="P147" s="63"/>
      <c r="Q147" s="23"/>
      <c r="R147" s="63"/>
      <c r="S147" s="78"/>
      <c r="T147" s="63"/>
      <c r="U147" s="23"/>
      <c r="V147" s="63"/>
      <c r="W147" s="78"/>
      <c r="X147" s="63"/>
      <c r="Y147" s="23"/>
      <c r="Z147" s="63"/>
      <c r="AA147" s="63"/>
      <c r="AB147" s="77">
        <v>2844000</v>
      </c>
      <c r="AC147" s="21" t="e">
        <f>#REF!-#REF!-#REF!-#REF!-AA147</f>
        <v>#REF!</v>
      </c>
      <c r="AD147" s="22" t="e">
        <f>G147-#REF!-#REF!-#REF!-#REF!-#REF!-#REF!-#REF!-#REF!-L147-P147-T147-X147</f>
        <v>#REF!</v>
      </c>
      <c r="AE147" s="23" t="e">
        <f>H147-#REF!-#REF!-#REF!-#REF!-#REF!-#REF!-#REF!-#REF!-M147-Q147-U147-Y147</f>
        <v>#REF!</v>
      </c>
      <c r="AF147" s="23" t="e">
        <f>I147-#REF!-#REF!-#REF!-AB147</f>
        <v>#REF!</v>
      </c>
      <c r="AG147" s="21"/>
      <c r="AH147" s="63">
        <f>SUM(AH134:AH146)</f>
        <v>197100</v>
      </c>
      <c r="AI147" s="23"/>
      <c r="AJ147" s="63">
        <f>AH147</f>
        <v>197100</v>
      </c>
    </row>
    <row r="148" spans="1:36" s="3" customFormat="1" ht="30.05" hidden="1" customHeight="1" x14ac:dyDescent="0.3">
      <c r="A148" s="43"/>
      <c r="B148" s="337" t="s">
        <v>264</v>
      </c>
      <c r="C148" s="43"/>
      <c r="D148" s="259"/>
      <c r="E148" s="260"/>
      <c r="F148" s="260"/>
      <c r="G148" s="260">
        <f>SUM(G147:G147)</f>
        <v>9328987</v>
      </c>
      <c r="H148" s="260">
        <f>SUM(H147:H147)</f>
        <v>9721417</v>
      </c>
      <c r="I148" s="261">
        <f>SUM(I147:I147)</f>
        <v>19050404</v>
      </c>
      <c r="J148" s="205"/>
      <c r="K148" s="25"/>
      <c r="L148" s="64"/>
      <c r="M148" s="64"/>
      <c r="N148" s="25"/>
      <c r="O148" s="64"/>
      <c r="P148" s="64"/>
      <c r="Q148" s="64"/>
      <c r="R148" s="25"/>
      <c r="S148" s="64"/>
      <c r="T148" s="64"/>
      <c r="U148" s="64"/>
      <c r="V148" s="25"/>
      <c r="W148" s="64"/>
      <c r="X148" s="64"/>
      <c r="Y148" s="64"/>
      <c r="Z148" s="25"/>
      <c r="AA148" s="25"/>
      <c r="AB148" s="27">
        <v>6862657.7999999998</v>
      </c>
      <c r="AC148" s="19" t="e">
        <f>#REF!-#REF!-#REF!-#REF!-AA148</f>
        <v>#REF!</v>
      </c>
      <c r="AD148" s="20" t="e">
        <f>G148-#REF!-#REF!-#REF!-#REF!-#REF!-#REF!-#REF!-#REF!-L148-P148-T148-X148</f>
        <v>#REF!</v>
      </c>
      <c r="AE148" s="18" t="e">
        <f>H148-#REF!-#REF!-#REF!-#REF!-#REF!-#REF!-#REF!-#REF!-M148-Q148-U148-Y148</f>
        <v>#REF!</v>
      </c>
      <c r="AF148" s="18" t="e">
        <f>I148-#REF!-#REF!-#REF!-AB148</f>
        <v>#REF!</v>
      </c>
      <c r="AG148" s="19"/>
      <c r="AH148" s="64"/>
      <c r="AI148" s="64"/>
      <c r="AJ148" s="25" t="e">
        <f>AJ147+#REF!+#REF!+#REF!</f>
        <v>#REF!</v>
      </c>
    </row>
    <row r="149" spans="1:36" s="2" customFormat="1" ht="30.05" customHeight="1" x14ac:dyDescent="0.3">
      <c r="A149" s="30" t="s">
        <v>42</v>
      </c>
      <c r="B149" s="112" t="s">
        <v>381</v>
      </c>
      <c r="C149" s="29"/>
      <c r="D149" s="256"/>
      <c r="E149" s="255"/>
      <c r="F149" s="255"/>
      <c r="G149" s="255"/>
      <c r="H149" s="255"/>
      <c r="I149" s="255"/>
      <c r="J149" s="206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8"/>
      <c r="AB149" s="18"/>
      <c r="AC149" s="19" t="e">
        <f>#REF!-#REF!-#REF!-#REF!-AA149</f>
        <v>#REF!</v>
      </c>
      <c r="AD149" s="20" t="e">
        <f>G149-#REF!-#REF!-#REF!-#REF!-#REF!-#REF!-#REF!-#REF!-L149-P149-T149-X149</f>
        <v>#REF!</v>
      </c>
      <c r="AE149" s="18" t="e">
        <f>H149-#REF!-#REF!-#REF!-#REF!-#REF!-#REF!-#REF!-#REF!-M149-Q149-U149-Y149</f>
        <v>#REF!</v>
      </c>
      <c r="AF149" s="18" t="e">
        <f>I149-#REF!-#REF!-#REF!-AB149</f>
        <v>#REF!</v>
      </c>
      <c r="AG149" s="21"/>
      <c r="AH149" s="22">
        <f t="shared" ref="AH149:AH154" si="13">AG149*E149</f>
        <v>0</v>
      </c>
      <c r="AI149" s="23">
        <f t="shared" ref="AI149:AI154" si="14">AG149*F149</f>
        <v>0</v>
      </c>
      <c r="AJ149" s="23">
        <f t="shared" si="7"/>
        <v>0</v>
      </c>
    </row>
    <row r="150" spans="1:36" s="4" customFormat="1" ht="30.05" customHeight="1" x14ac:dyDescent="0.3">
      <c r="A150" s="54" t="s">
        <v>232</v>
      </c>
      <c r="B150" s="41" t="s">
        <v>30</v>
      </c>
      <c r="C150" s="42" t="s">
        <v>6</v>
      </c>
      <c r="D150" s="169">
        <v>2351.35</v>
      </c>
      <c r="E150" s="125">
        <v>2100</v>
      </c>
      <c r="F150" s="125">
        <v>3600</v>
      </c>
      <c r="G150" s="125">
        <f>ROUND(D150*E150,0)</f>
        <v>4937835</v>
      </c>
      <c r="H150" s="125">
        <f>ROUND(D150*F150,0)</f>
        <v>8464860</v>
      </c>
      <c r="I150" s="125">
        <f t="shared" ref="I150:I155" si="15">SUM(G150:H150)</f>
        <v>13402695</v>
      </c>
      <c r="J150" s="187"/>
      <c r="K150" s="23"/>
      <c r="L150" s="70"/>
      <c r="M150" s="23"/>
      <c r="N150" s="23"/>
      <c r="O150" s="70"/>
      <c r="P150" s="70"/>
      <c r="Q150" s="23"/>
      <c r="R150" s="23"/>
      <c r="S150" s="70"/>
      <c r="T150" s="70"/>
      <c r="U150" s="23"/>
      <c r="V150" s="23"/>
      <c r="W150" s="70"/>
      <c r="X150" s="70"/>
      <c r="Y150" s="23"/>
      <c r="Z150" s="23"/>
      <c r="AA150" s="23">
        <v>600</v>
      </c>
      <c r="AB150" s="69">
        <f>AA150*(E150+F150)</f>
        <v>3420000</v>
      </c>
      <c r="AC150" s="21" t="e">
        <f>#REF!-#REF!-#REF!-#REF!-AA150</f>
        <v>#REF!</v>
      </c>
      <c r="AD150" s="22" t="e">
        <f>G150-#REF!-#REF!-#REF!-#REF!-#REF!-#REF!-#REF!-#REF!-L150-P150-T150-X150</f>
        <v>#REF!</v>
      </c>
      <c r="AE150" s="23" t="e">
        <f>H150-#REF!-#REF!-#REF!-#REF!-#REF!-#REF!-#REF!-#REF!-M150-Q150-U150-Y150</f>
        <v>#REF!</v>
      </c>
      <c r="AF150" s="23" t="e">
        <f>I150-#REF!-#REF!-#REF!-AB150</f>
        <v>#REF!</v>
      </c>
      <c r="AG150" s="21">
        <v>600</v>
      </c>
      <c r="AH150" s="22">
        <f t="shared" si="13"/>
        <v>1260000</v>
      </c>
      <c r="AI150" s="23">
        <f t="shared" si="14"/>
        <v>2160000</v>
      </c>
      <c r="AJ150" s="23">
        <f t="shared" si="7"/>
        <v>3420000</v>
      </c>
    </row>
    <row r="151" spans="1:36" s="4" customFormat="1" ht="30.05" customHeight="1" x14ac:dyDescent="0.3">
      <c r="A151" s="54" t="s">
        <v>233</v>
      </c>
      <c r="B151" s="41" t="s">
        <v>31</v>
      </c>
      <c r="C151" s="42" t="s">
        <v>6</v>
      </c>
      <c r="D151" s="169">
        <v>592.11</v>
      </c>
      <c r="E151" s="125">
        <v>1100</v>
      </c>
      <c r="F151" s="125">
        <v>3000</v>
      </c>
      <c r="G151" s="125">
        <f>ROUND(D151*E151,0)</f>
        <v>651321</v>
      </c>
      <c r="H151" s="125">
        <f>ROUND(D151*F151,0)</f>
        <v>1776330</v>
      </c>
      <c r="I151" s="125">
        <f t="shared" si="15"/>
        <v>2427651</v>
      </c>
      <c r="J151" s="187"/>
      <c r="K151" s="23"/>
      <c r="L151" s="70"/>
      <c r="M151" s="23"/>
      <c r="N151" s="23"/>
      <c r="O151" s="70"/>
      <c r="P151" s="70"/>
      <c r="Q151" s="23"/>
      <c r="R151" s="23"/>
      <c r="S151" s="70"/>
      <c r="T151" s="70"/>
      <c r="U151" s="23"/>
      <c r="V151" s="23"/>
      <c r="W151" s="70"/>
      <c r="X151" s="70"/>
      <c r="Y151" s="23"/>
      <c r="Z151" s="23"/>
      <c r="AA151" s="23"/>
      <c r="AB151" s="23"/>
      <c r="AC151" s="21" t="e">
        <f>#REF!-#REF!-#REF!-#REF!-AA151</f>
        <v>#REF!</v>
      </c>
      <c r="AD151" s="22" t="e">
        <f>G151-#REF!-#REF!-#REF!-#REF!-#REF!-#REF!-#REF!-#REF!-L151-P151-T151-X151</f>
        <v>#REF!</v>
      </c>
      <c r="AE151" s="23" t="e">
        <f>H151-#REF!-#REF!-#REF!-#REF!-#REF!-#REF!-#REF!-#REF!-M151-Q151-U151-Y151</f>
        <v>#REF!</v>
      </c>
      <c r="AF151" s="23" t="e">
        <f>I151-#REF!-#REF!-#REF!-AB151</f>
        <v>#REF!</v>
      </c>
      <c r="AG151" s="21"/>
      <c r="AH151" s="22">
        <f t="shared" si="13"/>
        <v>0</v>
      </c>
      <c r="AI151" s="23">
        <f t="shared" si="14"/>
        <v>0</v>
      </c>
      <c r="AJ151" s="23">
        <f t="shared" si="7"/>
        <v>0</v>
      </c>
    </row>
    <row r="152" spans="1:36" s="4" customFormat="1" ht="30.05" customHeight="1" x14ac:dyDescent="0.3">
      <c r="A152" s="54" t="s">
        <v>234</v>
      </c>
      <c r="B152" s="41" t="s">
        <v>33</v>
      </c>
      <c r="C152" s="42" t="s">
        <v>6</v>
      </c>
      <c r="D152" s="169">
        <v>3858.42</v>
      </c>
      <c r="E152" s="125">
        <v>650</v>
      </c>
      <c r="F152" s="125">
        <v>1200</v>
      </c>
      <c r="G152" s="125">
        <f>ROUND(D152*E152,0)</f>
        <v>2507973</v>
      </c>
      <c r="H152" s="125">
        <f>ROUND(D152*F152,0)</f>
        <v>4630104</v>
      </c>
      <c r="I152" s="125">
        <f t="shared" si="15"/>
        <v>7138077</v>
      </c>
      <c r="J152" s="187"/>
      <c r="K152" s="23"/>
      <c r="L152" s="70"/>
      <c r="M152" s="23"/>
      <c r="N152" s="23"/>
      <c r="O152" s="70"/>
      <c r="P152" s="70"/>
      <c r="Q152" s="23"/>
      <c r="R152" s="23"/>
      <c r="S152" s="70"/>
      <c r="T152" s="70"/>
      <c r="U152" s="23"/>
      <c r="V152" s="23"/>
      <c r="W152" s="70"/>
      <c r="X152" s="70"/>
      <c r="Y152" s="23"/>
      <c r="Z152" s="23"/>
      <c r="AA152" s="23"/>
      <c r="AB152" s="23"/>
      <c r="AC152" s="21" t="e">
        <f>#REF!-#REF!-#REF!-#REF!-AA152</f>
        <v>#REF!</v>
      </c>
      <c r="AD152" s="22" t="e">
        <f>G152-#REF!-#REF!-#REF!-#REF!-#REF!-#REF!-#REF!-#REF!-L152-P152-T152-X152</f>
        <v>#REF!</v>
      </c>
      <c r="AE152" s="23" t="e">
        <f>H152-#REF!-#REF!-#REF!-#REF!-#REF!-#REF!-#REF!-#REF!-M152-Q152-U152-Y152</f>
        <v>#REF!</v>
      </c>
      <c r="AF152" s="23" t="e">
        <f>I152-#REF!-#REF!-#REF!-AB152</f>
        <v>#REF!</v>
      </c>
      <c r="AG152" s="21"/>
      <c r="AH152" s="22">
        <f t="shared" si="13"/>
        <v>0</v>
      </c>
      <c r="AI152" s="23">
        <f t="shared" si="14"/>
        <v>0</v>
      </c>
      <c r="AJ152" s="23">
        <f t="shared" si="7"/>
        <v>0</v>
      </c>
    </row>
    <row r="153" spans="1:36" s="4" customFormat="1" ht="30.05" customHeight="1" x14ac:dyDescent="0.3">
      <c r="A153" s="54" t="s">
        <v>235</v>
      </c>
      <c r="B153" s="41" t="s">
        <v>35</v>
      </c>
      <c r="C153" s="42" t="s">
        <v>6</v>
      </c>
      <c r="D153" s="169">
        <f>942.05+254.11</f>
        <v>1196.1599999999999</v>
      </c>
      <c r="E153" s="125">
        <v>550</v>
      </c>
      <c r="F153" s="125">
        <v>1000</v>
      </c>
      <c r="G153" s="125">
        <f>ROUND(D153*E153,0)</f>
        <v>657888</v>
      </c>
      <c r="H153" s="125">
        <f>ROUND(D153*F153,0)</f>
        <v>1196160</v>
      </c>
      <c r="I153" s="125">
        <f t="shared" si="15"/>
        <v>1854048</v>
      </c>
      <c r="J153" s="187"/>
      <c r="K153" s="23"/>
      <c r="L153" s="70"/>
      <c r="M153" s="23"/>
      <c r="N153" s="23"/>
      <c r="O153" s="70"/>
      <c r="P153" s="70"/>
      <c r="Q153" s="23"/>
      <c r="R153" s="23"/>
      <c r="S153" s="70"/>
      <c r="T153" s="70"/>
      <c r="U153" s="23"/>
      <c r="V153" s="23"/>
      <c r="W153" s="70"/>
      <c r="X153" s="70"/>
      <c r="Y153" s="23"/>
      <c r="Z153" s="23"/>
      <c r="AA153" s="23"/>
      <c r="AB153" s="23"/>
      <c r="AC153" s="21" t="e">
        <f>#REF!-#REF!-#REF!-#REF!-AA153</f>
        <v>#REF!</v>
      </c>
      <c r="AD153" s="22" t="e">
        <f>G153-#REF!-#REF!-#REF!-#REF!-#REF!-#REF!-#REF!-#REF!-L153-P153-T153-X153</f>
        <v>#REF!</v>
      </c>
      <c r="AE153" s="23" t="e">
        <f>H153-#REF!-#REF!-#REF!-#REF!-#REF!-#REF!-#REF!-#REF!-M153-Q153-U153-Y153</f>
        <v>#REF!</v>
      </c>
      <c r="AF153" s="23" t="e">
        <f>I153-#REF!-#REF!-#REF!-AB153</f>
        <v>#REF!</v>
      </c>
      <c r="AG153" s="21"/>
      <c r="AH153" s="22">
        <f t="shared" si="13"/>
        <v>0</v>
      </c>
      <c r="AI153" s="23">
        <f t="shared" si="14"/>
        <v>0</v>
      </c>
      <c r="AJ153" s="23">
        <f t="shared" si="7"/>
        <v>0</v>
      </c>
    </row>
    <row r="154" spans="1:36" s="4" customFormat="1" ht="30.05" customHeight="1" x14ac:dyDescent="0.3">
      <c r="A154" s="54" t="s">
        <v>236</v>
      </c>
      <c r="B154" s="41" t="s">
        <v>349</v>
      </c>
      <c r="C154" s="42" t="s">
        <v>6</v>
      </c>
      <c r="D154" s="169">
        <f>10.03+55.67</f>
        <v>65.7</v>
      </c>
      <c r="E154" s="125">
        <v>550</v>
      </c>
      <c r="F154" s="125">
        <v>1500</v>
      </c>
      <c r="G154" s="125">
        <f>ROUND(D154*E154,0)</f>
        <v>36135</v>
      </c>
      <c r="H154" s="125">
        <f>ROUND(D154*F154,0)</f>
        <v>98550</v>
      </c>
      <c r="I154" s="125">
        <f t="shared" si="15"/>
        <v>134685</v>
      </c>
      <c r="J154" s="187"/>
      <c r="K154" s="23"/>
      <c r="L154" s="70"/>
      <c r="M154" s="23"/>
      <c r="N154" s="23"/>
      <c r="O154" s="70"/>
      <c r="P154" s="70"/>
      <c r="Q154" s="23"/>
      <c r="R154" s="23"/>
      <c r="S154" s="70"/>
      <c r="T154" s="70"/>
      <c r="U154" s="23"/>
      <c r="V154" s="23"/>
      <c r="W154" s="70"/>
      <c r="X154" s="70"/>
      <c r="Y154" s="23"/>
      <c r="Z154" s="23"/>
      <c r="AA154" s="23"/>
      <c r="AB154" s="23"/>
      <c r="AC154" s="21" t="e">
        <f>#REF!-#REF!-#REF!-#REF!-AA154</f>
        <v>#REF!</v>
      </c>
      <c r="AD154" s="22" t="e">
        <f>G154-#REF!-#REF!-#REF!-#REF!-#REF!-#REF!-#REF!-#REF!-L154-P154-T154-X154</f>
        <v>#REF!</v>
      </c>
      <c r="AE154" s="23" t="e">
        <f>H154-#REF!-#REF!-#REF!-#REF!-#REF!-#REF!-#REF!-#REF!-M154-Q154-U154-Y154</f>
        <v>#REF!</v>
      </c>
      <c r="AF154" s="23" t="e">
        <f>I154-#REF!-#REF!-#REF!-AB154</f>
        <v>#REF!</v>
      </c>
      <c r="AG154" s="21"/>
      <c r="AH154" s="22">
        <f t="shared" si="13"/>
        <v>0</v>
      </c>
      <c r="AI154" s="23">
        <f t="shared" si="14"/>
        <v>0</v>
      </c>
      <c r="AJ154" s="23">
        <f t="shared" si="7"/>
        <v>0</v>
      </c>
    </row>
    <row r="155" spans="1:36" s="4" customFormat="1" ht="30.05" customHeight="1" x14ac:dyDescent="0.3">
      <c r="A155" s="54"/>
      <c r="B155" s="46" t="s">
        <v>170</v>
      </c>
      <c r="C155" s="42"/>
      <c r="D155" s="169"/>
      <c r="E155" s="123"/>
      <c r="F155" s="123"/>
      <c r="G155" s="258">
        <f>SUM(G150:G154)</f>
        <v>8791152</v>
      </c>
      <c r="H155" s="258">
        <f>SUM(H150:H154)</f>
        <v>16166004</v>
      </c>
      <c r="I155" s="258">
        <f t="shared" si="15"/>
        <v>24957156</v>
      </c>
      <c r="J155" s="187"/>
      <c r="K155" s="63"/>
      <c r="L155" s="78"/>
      <c r="M155" s="63"/>
      <c r="N155" s="23"/>
      <c r="O155" s="78"/>
      <c r="P155" s="78"/>
      <c r="Q155" s="63"/>
      <c r="R155" s="23"/>
      <c r="S155" s="78"/>
      <c r="T155" s="78"/>
      <c r="U155" s="63"/>
      <c r="V155" s="23"/>
      <c r="W155" s="78"/>
      <c r="X155" s="78"/>
      <c r="Y155" s="63"/>
      <c r="Z155" s="23"/>
      <c r="AA155" s="23"/>
      <c r="AB155" s="23">
        <v>1260000</v>
      </c>
      <c r="AC155" s="21" t="e">
        <f>#REF!-#REF!-#REF!-#REF!-AA155</f>
        <v>#REF!</v>
      </c>
      <c r="AD155" s="22" t="e">
        <f>G155-#REF!-#REF!-#REF!-#REF!-#REF!-#REF!-#REF!-#REF!-L155-P155-T155-X155</f>
        <v>#REF!</v>
      </c>
      <c r="AE155" s="23" t="e">
        <f>H155-#REF!-#REF!-#REF!-#REF!-#REF!-#REF!-#REF!-#REF!-M155-Q155-U155-Y155</f>
        <v>#REF!</v>
      </c>
      <c r="AF155" s="23" t="e">
        <f>I155-#REF!-#REF!-#REF!-AB155</f>
        <v>#REF!</v>
      </c>
      <c r="AG155" s="21"/>
      <c r="AH155" s="63">
        <f>SUM(AH150:AH154)</f>
        <v>1260000</v>
      </c>
      <c r="AI155" s="23"/>
      <c r="AJ155" s="63">
        <f>SUM(AH155:AI155)</f>
        <v>1260000</v>
      </c>
    </row>
    <row r="156" spans="1:36" s="175" customFormat="1" ht="30.05" customHeight="1" x14ac:dyDescent="0.25">
      <c r="A156" s="54"/>
      <c r="B156" s="338" t="s">
        <v>249</v>
      </c>
      <c r="C156" s="42"/>
      <c r="D156" s="169"/>
      <c r="E156" s="123"/>
      <c r="F156" s="123"/>
      <c r="J156" s="197"/>
      <c r="P156" s="125">
        <f>ROUND(G155*0.11,0)</f>
        <v>967027</v>
      </c>
      <c r="Q156" s="123"/>
      <c r="R156" s="123">
        <f>P156</f>
        <v>967027</v>
      </c>
    </row>
    <row r="157" spans="1:36" s="175" customFormat="1" ht="30.05" customHeight="1" x14ac:dyDescent="0.25">
      <c r="A157" s="54"/>
      <c r="B157" s="338" t="s">
        <v>223</v>
      </c>
      <c r="C157" s="42"/>
      <c r="D157" s="169"/>
      <c r="E157" s="123"/>
      <c r="F157" s="123"/>
      <c r="J157" s="197"/>
      <c r="P157" s="125">
        <f>ROUND(G155*0.05,0)</f>
        <v>439558</v>
      </c>
      <c r="Q157" s="123"/>
      <c r="R157" s="123">
        <f>P157</f>
        <v>439558</v>
      </c>
    </row>
    <row r="158" spans="1:36" s="3" customFormat="1" ht="30.05" hidden="1" customHeight="1" x14ac:dyDescent="0.3">
      <c r="A158" s="113"/>
      <c r="B158" s="36" t="s">
        <v>265</v>
      </c>
      <c r="C158" s="93"/>
      <c r="D158" s="270"/>
      <c r="E158" s="271"/>
      <c r="F158" s="271"/>
      <c r="G158" s="261">
        <f>SUM(G155:G157)</f>
        <v>8791152</v>
      </c>
      <c r="H158" s="261">
        <f>SUM(H155:H157)</f>
        <v>16166004</v>
      </c>
      <c r="I158" s="261">
        <f>SUM(I155:I157)</f>
        <v>24957156</v>
      </c>
      <c r="J158" s="205"/>
      <c r="K158" s="25"/>
      <c r="L158" s="66"/>
      <c r="M158" s="25"/>
      <c r="N158" s="18"/>
      <c r="O158" s="66"/>
      <c r="P158" s="66"/>
      <c r="Q158" s="25"/>
      <c r="R158" s="18"/>
      <c r="S158" s="66"/>
      <c r="T158" s="66"/>
      <c r="U158" s="25"/>
      <c r="V158" s="18"/>
      <c r="W158" s="66"/>
      <c r="X158" s="66"/>
      <c r="Y158" s="25"/>
      <c r="Z158" s="18"/>
      <c r="AA158" s="18"/>
      <c r="AB158" s="18">
        <v>3420000</v>
      </c>
      <c r="AC158" s="19" t="e">
        <f>#REF!-#REF!-#REF!-#REF!-AA158</f>
        <v>#REF!</v>
      </c>
      <c r="AD158" s="20" t="e">
        <f>G158-#REF!-#REF!-#REF!-#REF!-#REF!-#REF!-#REF!-#REF!-L158-P158-T158-X158</f>
        <v>#REF!</v>
      </c>
      <c r="AE158" s="18" t="e">
        <f>H158-#REF!-#REF!-#REF!-#REF!-#REF!-#REF!-#REF!-#REF!-M158-Q158-U158-Y158</f>
        <v>#REF!</v>
      </c>
      <c r="AF158" s="18" t="e">
        <f>I158-#REF!-#REF!-#REF!-AB158</f>
        <v>#REF!</v>
      </c>
      <c r="AG158" s="19"/>
      <c r="AH158" s="25"/>
      <c r="AI158" s="18"/>
      <c r="AJ158" s="25">
        <f>SUM(AJ155:AJ155)</f>
        <v>1260000</v>
      </c>
    </row>
    <row r="159" spans="1:36" s="4" customFormat="1" ht="30.05" customHeight="1" x14ac:dyDescent="0.3">
      <c r="A159" s="52" t="s">
        <v>44</v>
      </c>
      <c r="B159" s="37" t="s">
        <v>382</v>
      </c>
      <c r="C159" s="166"/>
      <c r="D159" s="256"/>
      <c r="E159" s="257"/>
      <c r="F159" s="257"/>
      <c r="G159" s="257"/>
      <c r="H159" s="257"/>
      <c r="I159" s="257"/>
      <c r="J159" s="208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23"/>
      <c r="AB159" s="23"/>
      <c r="AC159" s="21" t="e">
        <f>#REF!-#REF!-#REF!-#REF!-AA159</f>
        <v>#REF!</v>
      </c>
      <c r="AD159" s="22" t="e">
        <f>G159-#REF!-#REF!-#REF!-#REF!-#REF!-#REF!-#REF!-#REF!-L159-P159-T159-X159</f>
        <v>#REF!</v>
      </c>
      <c r="AE159" s="23" t="e">
        <f>H159-#REF!-#REF!-#REF!-#REF!-#REF!-#REF!-#REF!-#REF!-M159-Q159-U159-Y159</f>
        <v>#REF!</v>
      </c>
      <c r="AF159" s="23" t="e">
        <f>I159-#REF!-#REF!-#REF!-AB159</f>
        <v>#REF!</v>
      </c>
      <c r="AG159" s="21"/>
      <c r="AH159" s="22">
        <f>AG159*E159</f>
        <v>0</v>
      </c>
      <c r="AI159" s="23">
        <f>AG159*F159</f>
        <v>0</v>
      </c>
      <c r="AJ159" s="23">
        <f t="shared" si="7"/>
        <v>0</v>
      </c>
    </row>
    <row r="160" spans="1:36" s="4" customFormat="1" ht="46.5" customHeight="1" x14ac:dyDescent="0.3">
      <c r="A160" s="54" t="s">
        <v>46</v>
      </c>
      <c r="B160" s="114" t="s">
        <v>213</v>
      </c>
      <c r="C160" s="42" t="s">
        <v>6</v>
      </c>
      <c r="D160" s="169">
        <v>1809</v>
      </c>
      <c r="E160" s="125">
        <v>3000</v>
      </c>
      <c r="F160" s="125">
        <v>7200</v>
      </c>
      <c r="G160" s="125">
        <f>ROUND(D160*E160,0)</f>
        <v>5427000</v>
      </c>
      <c r="H160" s="125">
        <f>ROUND(D160*F160,0)</f>
        <v>13024800</v>
      </c>
      <c r="I160" s="125">
        <f t="shared" ref="I160:I165" si="16">SUM(G160:H160)</f>
        <v>18451800</v>
      </c>
      <c r="J160" s="187"/>
      <c r="K160" s="23"/>
      <c r="L160" s="69"/>
      <c r="M160" s="23"/>
      <c r="N160" s="23"/>
      <c r="O160" s="69"/>
      <c r="P160" s="69"/>
      <c r="Q160" s="23"/>
      <c r="R160" s="23"/>
      <c r="S160" s="69"/>
      <c r="T160" s="69"/>
      <c r="U160" s="23"/>
      <c r="V160" s="23"/>
      <c r="W160" s="69"/>
      <c r="X160" s="69"/>
      <c r="Y160" s="23"/>
      <c r="Z160" s="23"/>
      <c r="AA160" s="23"/>
      <c r="AB160" s="23"/>
      <c r="AC160" s="21" t="e">
        <f>#REF!-#REF!-#REF!-#REF!-AA160</f>
        <v>#REF!</v>
      </c>
      <c r="AD160" s="22" t="e">
        <f>G160-#REF!-#REF!-#REF!-#REF!-#REF!-#REF!-#REF!-#REF!-L160-P160-T160-X160</f>
        <v>#REF!</v>
      </c>
      <c r="AE160" s="23" t="e">
        <f>H160-#REF!-#REF!-#REF!-#REF!-#REF!-#REF!-#REF!-#REF!-M160-Q160-U160-Y160</f>
        <v>#REF!</v>
      </c>
      <c r="AF160" s="23" t="e">
        <f>I160-#REF!-#REF!-#REF!-AB160</f>
        <v>#REF!</v>
      </c>
      <c r="AG160" s="21"/>
      <c r="AH160" s="22">
        <f>AG160*E160</f>
        <v>0</v>
      </c>
      <c r="AI160" s="23">
        <f>AG160*F160</f>
        <v>0</v>
      </c>
      <c r="AJ160" s="23">
        <f t="shared" si="7"/>
        <v>0</v>
      </c>
    </row>
    <row r="161" spans="1:36" s="4" customFormat="1" ht="30.05" customHeight="1" x14ac:dyDescent="0.3">
      <c r="A161" s="54" t="s">
        <v>180</v>
      </c>
      <c r="B161" s="114" t="s">
        <v>109</v>
      </c>
      <c r="C161" s="42" t="s">
        <v>6</v>
      </c>
      <c r="D161" s="169">
        <v>45.18</v>
      </c>
      <c r="E161" s="125">
        <v>3000</v>
      </c>
      <c r="F161" s="125">
        <v>7000</v>
      </c>
      <c r="G161" s="125">
        <f>ROUND(D161*E161,0)</f>
        <v>135540</v>
      </c>
      <c r="H161" s="125">
        <f>ROUND(D161*F161,0)</f>
        <v>316260</v>
      </c>
      <c r="I161" s="125">
        <f t="shared" si="16"/>
        <v>451800</v>
      </c>
      <c r="J161" s="187"/>
      <c r="K161" s="23"/>
      <c r="L161" s="69"/>
      <c r="M161" s="23"/>
      <c r="N161" s="23"/>
      <c r="O161" s="69"/>
      <c r="P161" s="69"/>
      <c r="Q161" s="23"/>
      <c r="R161" s="23"/>
      <c r="S161" s="69"/>
      <c r="T161" s="69"/>
      <c r="U161" s="23"/>
      <c r="V161" s="23"/>
      <c r="W161" s="69"/>
      <c r="X161" s="69"/>
      <c r="Y161" s="23"/>
      <c r="Z161" s="23"/>
      <c r="AA161" s="23"/>
      <c r="AB161" s="23"/>
      <c r="AC161" s="21"/>
      <c r="AD161" s="22"/>
      <c r="AE161" s="23"/>
      <c r="AF161" s="23"/>
      <c r="AG161" s="21"/>
      <c r="AH161" s="22"/>
      <c r="AI161" s="23"/>
      <c r="AJ161" s="23"/>
    </row>
    <row r="162" spans="1:36" s="4" customFormat="1" ht="30.05" customHeight="1" x14ac:dyDescent="0.3">
      <c r="A162" s="54" t="s">
        <v>47</v>
      </c>
      <c r="B162" s="41" t="s">
        <v>348</v>
      </c>
      <c r="C162" s="42" t="s">
        <v>6</v>
      </c>
      <c r="D162" s="169">
        <v>1303.51</v>
      </c>
      <c r="E162" s="125">
        <v>800</v>
      </c>
      <c r="F162" s="125">
        <v>4500</v>
      </c>
      <c r="G162" s="125">
        <f>ROUND(D162*E162,0)</f>
        <v>1042808</v>
      </c>
      <c r="H162" s="125">
        <f>ROUND(D162*F162,0)</f>
        <v>5865795</v>
      </c>
      <c r="I162" s="125">
        <f t="shared" si="16"/>
        <v>6908603</v>
      </c>
      <c r="J162" s="187"/>
      <c r="K162" s="23"/>
      <c r="L162" s="69"/>
      <c r="M162" s="23"/>
      <c r="N162" s="23"/>
      <c r="O162" s="69"/>
      <c r="P162" s="69"/>
      <c r="Q162" s="23"/>
      <c r="R162" s="23"/>
      <c r="S162" s="69"/>
      <c r="T162" s="69"/>
      <c r="U162" s="23"/>
      <c r="V162" s="23"/>
      <c r="W162" s="69"/>
      <c r="X162" s="69"/>
      <c r="Y162" s="23"/>
      <c r="Z162" s="23"/>
      <c r="AA162" s="23"/>
      <c r="AB162" s="23"/>
      <c r="AC162" s="21" t="e">
        <f>#REF!-#REF!-#REF!-#REF!-AA162</f>
        <v>#REF!</v>
      </c>
      <c r="AD162" s="22" t="e">
        <f>G162-#REF!-#REF!-#REF!-#REF!-#REF!-#REF!-#REF!-#REF!-L162-P162-T162-X162</f>
        <v>#REF!</v>
      </c>
      <c r="AE162" s="23" t="e">
        <f>H162-#REF!-#REF!-#REF!-#REF!-#REF!-#REF!-#REF!-#REF!-M162-Q162-U162-Y162</f>
        <v>#REF!</v>
      </c>
      <c r="AF162" s="23" t="e">
        <f>I162-#REF!-#REF!-#REF!-AB162</f>
        <v>#REF!</v>
      </c>
      <c r="AG162" s="21"/>
      <c r="AH162" s="22"/>
      <c r="AI162" s="23"/>
      <c r="AJ162" s="23"/>
    </row>
    <row r="163" spans="1:36" s="4" customFormat="1" ht="30.05" customHeight="1" x14ac:dyDescent="0.3">
      <c r="A163" s="54" t="s">
        <v>184</v>
      </c>
      <c r="B163" s="41" t="s">
        <v>347</v>
      </c>
      <c r="C163" s="42" t="s">
        <v>6</v>
      </c>
      <c r="D163" s="169">
        <v>384.85</v>
      </c>
      <c r="E163" s="125">
        <v>800</v>
      </c>
      <c r="F163" s="125">
        <v>4000</v>
      </c>
      <c r="G163" s="125">
        <f>ROUND(D163*E163,0)</f>
        <v>307880</v>
      </c>
      <c r="H163" s="125">
        <f>ROUND(D163*F163,0)</f>
        <v>1539400</v>
      </c>
      <c r="I163" s="125">
        <f t="shared" si="16"/>
        <v>1847280</v>
      </c>
      <c r="J163" s="187"/>
      <c r="K163" s="23"/>
      <c r="L163" s="69"/>
      <c r="M163" s="23"/>
      <c r="N163" s="23"/>
      <c r="O163" s="69"/>
      <c r="P163" s="69"/>
      <c r="Q163" s="23"/>
      <c r="R163" s="23"/>
      <c r="S163" s="69"/>
      <c r="T163" s="69"/>
      <c r="U163" s="23"/>
      <c r="V163" s="23"/>
      <c r="W163" s="69"/>
      <c r="X163" s="69"/>
      <c r="Y163" s="23"/>
      <c r="Z163" s="23"/>
      <c r="AA163" s="23"/>
      <c r="AB163" s="23"/>
      <c r="AC163" s="21" t="e">
        <f>#REF!-#REF!-#REF!-#REF!-AA163</f>
        <v>#REF!</v>
      </c>
      <c r="AD163" s="22" t="e">
        <f>G163-#REF!-#REF!-#REF!-#REF!-#REF!-#REF!-#REF!-#REF!-L163-P163-T163-X163</f>
        <v>#REF!</v>
      </c>
      <c r="AE163" s="23" t="e">
        <f>H163-#REF!-#REF!-#REF!-#REF!-#REF!-#REF!-#REF!-#REF!-M163-Q163-U163-Y163</f>
        <v>#REF!</v>
      </c>
      <c r="AF163" s="23" t="e">
        <f>I163-#REF!-#REF!-#REF!-AB163</f>
        <v>#REF!</v>
      </c>
      <c r="AG163" s="21"/>
      <c r="AH163" s="22"/>
      <c r="AI163" s="23"/>
      <c r="AJ163" s="23"/>
    </row>
    <row r="164" spans="1:36" s="4" customFormat="1" ht="30.05" customHeight="1" x14ac:dyDescent="0.3">
      <c r="A164" s="54" t="s">
        <v>186</v>
      </c>
      <c r="B164" s="41" t="s">
        <v>237</v>
      </c>
      <c r="C164" s="42" t="s">
        <v>6</v>
      </c>
      <c r="D164" s="169">
        <v>1348.67</v>
      </c>
      <c r="E164" s="125">
        <v>700</v>
      </c>
      <c r="F164" s="125">
        <v>3000</v>
      </c>
      <c r="G164" s="125">
        <f>ROUND(D164*E164,0)</f>
        <v>944069</v>
      </c>
      <c r="H164" s="125">
        <f>ROUND(D164*F164,0)</f>
        <v>4046010</v>
      </c>
      <c r="I164" s="125">
        <f t="shared" si="16"/>
        <v>4990079</v>
      </c>
      <c r="J164" s="187"/>
      <c r="K164" s="23"/>
      <c r="L164" s="69"/>
      <c r="M164" s="23"/>
      <c r="N164" s="23"/>
      <c r="O164" s="69"/>
      <c r="P164" s="69"/>
      <c r="Q164" s="23"/>
      <c r="R164" s="23"/>
      <c r="S164" s="69"/>
      <c r="T164" s="69"/>
      <c r="U164" s="23"/>
      <c r="V164" s="23"/>
      <c r="W164" s="69"/>
      <c r="X164" s="69"/>
      <c r="Y164" s="23"/>
      <c r="Z164" s="23"/>
      <c r="AA164" s="23"/>
      <c r="AB164" s="23"/>
      <c r="AC164" s="21" t="e">
        <f>#REF!-#REF!-#REF!-#REF!-AA164</f>
        <v>#REF!</v>
      </c>
      <c r="AD164" s="22" t="e">
        <f>G164-#REF!-#REF!-#REF!-#REF!-#REF!-#REF!-#REF!-#REF!-L164-P164-T164-X164</f>
        <v>#REF!</v>
      </c>
      <c r="AE164" s="23" t="e">
        <f>H164-#REF!-#REF!-#REF!-#REF!-#REF!-#REF!-#REF!-#REF!-M164-Q164-U164-Y164</f>
        <v>#REF!</v>
      </c>
      <c r="AF164" s="23" t="e">
        <f>I164-#REF!-#REF!-#REF!-AB164</f>
        <v>#REF!</v>
      </c>
      <c r="AG164" s="21"/>
      <c r="AH164" s="22"/>
      <c r="AI164" s="23"/>
      <c r="AJ164" s="23"/>
    </row>
    <row r="165" spans="1:36" s="4" customFormat="1" ht="30.05" customHeight="1" x14ac:dyDescent="0.3">
      <c r="A165" s="54"/>
      <c r="B165" s="46" t="s">
        <v>92</v>
      </c>
      <c r="C165" s="42"/>
      <c r="D165" s="169"/>
      <c r="E165" s="123"/>
      <c r="F165" s="123"/>
      <c r="G165" s="258">
        <f>SUM(G160:G164)</f>
        <v>7857297</v>
      </c>
      <c r="H165" s="258">
        <f>SUM(H160:H164)</f>
        <v>24792265</v>
      </c>
      <c r="I165" s="258">
        <f t="shared" si="16"/>
        <v>32649562</v>
      </c>
      <c r="J165" s="187"/>
      <c r="K165" s="63"/>
      <c r="L165" s="78"/>
      <c r="M165" s="63"/>
      <c r="N165" s="23"/>
      <c r="O165" s="78"/>
      <c r="P165" s="78"/>
      <c r="Q165" s="63"/>
      <c r="R165" s="23"/>
      <c r="S165" s="78"/>
      <c r="T165" s="78"/>
      <c r="U165" s="63"/>
      <c r="V165" s="23"/>
      <c r="W165" s="78"/>
      <c r="X165" s="78"/>
      <c r="Y165" s="63"/>
      <c r="Z165" s="23"/>
      <c r="AA165" s="23"/>
      <c r="AB165" s="23"/>
      <c r="AC165" s="21" t="e">
        <f>#REF!-#REF!-#REF!-#REF!-AA165</f>
        <v>#REF!</v>
      </c>
      <c r="AD165" s="22" t="e">
        <f>G165-#REF!-#REF!-#REF!-#REF!-#REF!-#REF!-#REF!-#REF!-L165-P165-T165-X165</f>
        <v>#REF!</v>
      </c>
      <c r="AE165" s="23" t="e">
        <f>H165-#REF!-#REF!-#REF!-#REF!-#REF!-#REF!-#REF!-#REF!-M165-Q165-U165-Y165</f>
        <v>#REF!</v>
      </c>
      <c r="AF165" s="23" t="e">
        <f>I165-#REF!-#REF!-#REF!-AB165</f>
        <v>#REF!</v>
      </c>
      <c r="AG165" s="21"/>
      <c r="AH165" s="63">
        <f>SUM(AH160:AH163)</f>
        <v>0</v>
      </c>
      <c r="AI165" s="23"/>
      <c r="AJ165" s="63">
        <f>SUM(AH165:AI165)</f>
        <v>0</v>
      </c>
    </row>
    <row r="166" spans="1:36" s="175" customFormat="1" ht="30.05" customHeight="1" x14ac:dyDescent="0.25">
      <c r="A166" s="54"/>
      <c r="B166" s="338" t="s">
        <v>249</v>
      </c>
      <c r="C166" s="42"/>
      <c r="D166" s="169"/>
      <c r="E166" s="123"/>
      <c r="F166" s="123"/>
      <c r="J166" s="197"/>
      <c r="P166" s="125">
        <f>ROUND(G165*0.11,0)</f>
        <v>864303</v>
      </c>
      <c r="Q166" s="123"/>
      <c r="R166" s="123">
        <f>P166</f>
        <v>864303</v>
      </c>
    </row>
    <row r="167" spans="1:36" s="175" customFormat="1" ht="30.05" customHeight="1" x14ac:dyDescent="0.25">
      <c r="A167" s="54"/>
      <c r="B167" s="338" t="s">
        <v>223</v>
      </c>
      <c r="C167" s="42"/>
      <c r="D167" s="169"/>
      <c r="E167" s="123"/>
      <c r="F167" s="123"/>
      <c r="J167" s="197"/>
      <c r="P167" s="125">
        <f>ROUND(G165*0.05,0)</f>
        <v>392865</v>
      </c>
      <c r="Q167" s="123"/>
      <c r="R167" s="123">
        <f>P167</f>
        <v>392865</v>
      </c>
    </row>
    <row r="168" spans="1:36" s="3" customFormat="1" ht="30.05" hidden="1" customHeight="1" x14ac:dyDescent="0.3">
      <c r="A168" s="43"/>
      <c r="B168" s="36" t="s">
        <v>266</v>
      </c>
      <c r="C168" s="43"/>
      <c r="D168" s="259"/>
      <c r="E168" s="260"/>
      <c r="F168" s="260"/>
      <c r="G168" s="260">
        <f>SUM(G165:G167)</f>
        <v>7857297</v>
      </c>
      <c r="H168" s="260">
        <f>SUM(H165:H167)</f>
        <v>24792265</v>
      </c>
      <c r="I168" s="261">
        <f>SUM(I165:I167)</f>
        <v>32649562</v>
      </c>
      <c r="J168" s="205"/>
      <c r="K168" s="25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18"/>
      <c r="AB168" s="18"/>
      <c r="AC168" s="19" t="e">
        <f>#REF!-#REF!-#REF!-#REF!-AA168</f>
        <v>#REF!</v>
      </c>
      <c r="AD168" s="20" t="e">
        <f>G168-#REF!-#REF!-#REF!-#REF!-#REF!-#REF!-#REF!-#REF!-L168-P168-T168-X168</f>
        <v>#REF!</v>
      </c>
      <c r="AE168" s="18" t="e">
        <f>H168-#REF!-#REF!-#REF!-#REF!-#REF!-#REF!-#REF!-#REF!-M168-Q168-U168-Y168</f>
        <v>#REF!</v>
      </c>
      <c r="AF168" s="18" t="e">
        <f>I168-#REF!-#REF!-#REF!-AB168</f>
        <v>#REF!</v>
      </c>
      <c r="AG168" s="19"/>
      <c r="AH168" s="64"/>
      <c r="AI168" s="64"/>
      <c r="AJ168" s="25">
        <f>SUM(AJ165:AJ165)</f>
        <v>0</v>
      </c>
    </row>
    <row r="169" spans="1:36" s="4" customFormat="1" ht="30.05" customHeight="1" x14ac:dyDescent="0.3">
      <c r="A169" s="52" t="s">
        <v>48</v>
      </c>
      <c r="B169" s="37" t="s">
        <v>383</v>
      </c>
      <c r="C169" s="32"/>
      <c r="D169" s="256"/>
      <c r="E169" s="257"/>
      <c r="F169" s="257"/>
      <c r="G169" s="257"/>
      <c r="H169" s="257"/>
      <c r="I169" s="257"/>
      <c r="J169" s="208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23"/>
      <c r="AB169" s="23"/>
      <c r="AC169" s="21"/>
      <c r="AD169" s="22"/>
      <c r="AE169" s="23"/>
      <c r="AF169" s="23"/>
      <c r="AG169" s="21"/>
      <c r="AH169" s="22"/>
      <c r="AI169" s="23"/>
      <c r="AJ169" s="23"/>
    </row>
    <row r="170" spans="1:36" s="4" customFormat="1" ht="30.05" customHeight="1" x14ac:dyDescent="0.3">
      <c r="A170" s="54" t="s">
        <v>50</v>
      </c>
      <c r="B170" s="41" t="s">
        <v>178</v>
      </c>
      <c r="C170" s="32" t="s">
        <v>105</v>
      </c>
      <c r="D170" s="169">
        <v>1</v>
      </c>
      <c r="E170" s="123">
        <v>5000</v>
      </c>
      <c r="F170" s="123">
        <f>ROUND(24000/(1.3*2.77)*(2.15*1.55),0)</f>
        <v>22210</v>
      </c>
      <c r="G170" s="123">
        <f>ROUND(D170*E170,0)</f>
        <v>5000</v>
      </c>
      <c r="H170" s="123">
        <f>ROUND(D170*F170,0)</f>
        <v>22210</v>
      </c>
      <c r="I170" s="123">
        <f>SUM(G170:H170)</f>
        <v>27210</v>
      </c>
      <c r="J170" s="208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23"/>
      <c r="AB170" s="23"/>
      <c r="AC170" s="21"/>
      <c r="AD170" s="22"/>
      <c r="AE170" s="23"/>
      <c r="AF170" s="23"/>
      <c r="AG170" s="21"/>
      <c r="AH170" s="22"/>
      <c r="AI170" s="23"/>
      <c r="AJ170" s="23"/>
    </row>
    <row r="171" spans="1:36" s="4" customFormat="1" ht="30.05" customHeight="1" x14ac:dyDescent="0.3">
      <c r="A171" s="54" t="s">
        <v>52</v>
      </c>
      <c r="B171" s="41" t="s">
        <v>179</v>
      </c>
      <c r="C171" s="32" t="s">
        <v>105</v>
      </c>
      <c r="D171" s="169">
        <v>1</v>
      </c>
      <c r="E171" s="123">
        <v>5000</v>
      </c>
      <c r="F171" s="123">
        <f>ROUND(24000/(1.3*2.77)*(2.15*1.55),0)</f>
        <v>22210</v>
      </c>
      <c r="G171" s="123">
        <f t="shared" ref="G171:G189" si="17">ROUND(D171*E171,0)</f>
        <v>5000</v>
      </c>
      <c r="H171" s="123">
        <f t="shared" ref="H171:H189" si="18">ROUND(D171*F171,0)</f>
        <v>22210</v>
      </c>
      <c r="I171" s="123">
        <f t="shared" ref="I171:I189" si="19">SUM(G171:H171)</f>
        <v>27210</v>
      </c>
      <c r="J171" s="208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23"/>
      <c r="AB171" s="23"/>
      <c r="AC171" s="21"/>
      <c r="AD171" s="22"/>
      <c r="AE171" s="23"/>
      <c r="AF171" s="23"/>
      <c r="AG171" s="21"/>
      <c r="AH171" s="22"/>
      <c r="AI171" s="23"/>
      <c r="AJ171" s="23"/>
    </row>
    <row r="172" spans="1:36" s="4" customFormat="1" ht="30.05" customHeight="1" x14ac:dyDescent="0.3">
      <c r="A172" s="54" t="s">
        <v>238</v>
      </c>
      <c r="B172" s="41" t="s">
        <v>181</v>
      </c>
      <c r="C172" s="32" t="s">
        <v>105</v>
      </c>
      <c r="D172" s="169">
        <v>2</v>
      </c>
      <c r="E172" s="123">
        <v>5000</v>
      </c>
      <c r="F172" s="123">
        <f>ROUND(24000/(1.3*2.77)*(2.15*1.55),0)</f>
        <v>22210</v>
      </c>
      <c r="G172" s="123">
        <f t="shared" si="17"/>
        <v>10000</v>
      </c>
      <c r="H172" s="123">
        <f t="shared" si="18"/>
        <v>44420</v>
      </c>
      <c r="I172" s="123">
        <f t="shared" si="19"/>
        <v>54420</v>
      </c>
      <c r="J172" s="208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23"/>
      <c r="AB172" s="23"/>
      <c r="AC172" s="21"/>
      <c r="AD172" s="22"/>
      <c r="AE172" s="23"/>
      <c r="AF172" s="23"/>
      <c r="AG172" s="21"/>
      <c r="AH172" s="22"/>
      <c r="AI172" s="23"/>
      <c r="AJ172" s="23"/>
    </row>
    <row r="173" spans="1:36" s="4" customFormat="1" ht="30.05" customHeight="1" x14ac:dyDescent="0.3">
      <c r="A173" s="54" t="s">
        <v>239</v>
      </c>
      <c r="B173" s="41" t="s">
        <v>182</v>
      </c>
      <c r="C173" s="32" t="s">
        <v>105</v>
      </c>
      <c r="D173" s="169">
        <v>2</v>
      </c>
      <c r="E173" s="123">
        <v>5000</v>
      </c>
      <c r="F173" s="123">
        <f>ROUND(24000/(1.3*2.77)*(2.15*1.55),0)</f>
        <v>22210</v>
      </c>
      <c r="G173" s="123">
        <f t="shared" si="17"/>
        <v>10000</v>
      </c>
      <c r="H173" s="123">
        <f t="shared" si="18"/>
        <v>44420</v>
      </c>
      <c r="I173" s="123">
        <f t="shared" si="19"/>
        <v>54420</v>
      </c>
      <c r="J173" s="208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23"/>
      <c r="AB173" s="23"/>
      <c r="AC173" s="21"/>
      <c r="AD173" s="22"/>
      <c r="AE173" s="23"/>
      <c r="AF173" s="23"/>
      <c r="AG173" s="21"/>
      <c r="AH173" s="22"/>
      <c r="AI173" s="23"/>
      <c r="AJ173" s="23"/>
    </row>
    <row r="174" spans="1:36" s="4" customFormat="1" ht="30.05" customHeight="1" x14ac:dyDescent="0.3">
      <c r="A174" s="54" t="s">
        <v>240</v>
      </c>
      <c r="B174" s="41" t="s">
        <v>183</v>
      </c>
      <c r="C174" s="32" t="s">
        <v>105</v>
      </c>
      <c r="D174" s="169">
        <v>1</v>
      </c>
      <c r="E174" s="123">
        <v>2000</v>
      </c>
      <c r="F174" s="123">
        <f>ROUND(15000/(1.2*2.1)*(2.1*1.24),0)</f>
        <v>15500</v>
      </c>
      <c r="G174" s="123">
        <f t="shared" si="17"/>
        <v>2000</v>
      </c>
      <c r="H174" s="123">
        <f t="shared" si="18"/>
        <v>15500</v>
      </c>
      <c r="I174" s="123">
        <f t="shared" si="19"/>
        <v>17500</v>
      </c>
      <c r="J174" s="208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23"/>
      <c r="AB174" s="23"/>
      <c r="AC174" s="21"/>
      <c r="AD174" s="22"/>
      <c r="AE174" s="23"/>
      <c r="AF174" s="23"/>
      <c r="AG174" s="21"/>
      <c r="AH174" s="22"/>
      <c r="AI174" s="23"/>
      <c r="AJ174" s="23"/>
    </row>
    <row r="175" spans="1:36" s="4" customFormat="1" ht="30.05" customHeight="1" x14ac:dyDescent="0.3">
      <c r="A175" s="54" t="s">
        <v>267</v>
      </c>
      <c r="B175" s="41" t="s">
        <v>185</v>
      </c>
      <c r="C175" s="32" t="s">
        <v>105</v>
      </c>
      <c r="D175" s="169">
        <v>1</v>
      </c>
      <c r="E175" s="123">
        <v>2000</v>
      </c>
      <c r="F175" s="123">
        <f>ROUND(14000/(1.3*2.72)*(2.79*1.35),0)</f>
        <v>14913</v>
      </c>
      <c r="G175" s="123">
        <f t="shared" si="17"/>
        <v>2000</v>
      </c>
      <c r="H175" s="123">
        <f t="shared" si="18"/>
        <v>14913</v>
      </c>
      <c r="I175" s="123">
        <f t="shared" si="19"/>
        <v>16913</v>
      </c>
      <c r="J175" s="208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23"/>
      <c r="AB175" s="23"/>
      <c r="AC175" s="21"/>
      <c r="AD175" s="22"/>
      <c r="AE175" s="23"/>
      <c r="AF175" s="23"/>
      <c r="AG175" s="21"/>
      <c r="AH175" s="22"/>
      <c r="AI175" s="23"/>
      <c r="AJ175" s="23"/>
    </row>
    <row r="176" spans="1:36" s="4" customFormat="1" ht="30.05" customHeight="1" x14ac:dyDescent="0.3">
      <c r="A176" s="54" t="s">
        <v>268</v>
      </c>
      <c r="B176" s="41" t="s">
        <v>187</v>
      </c>
      <c r="C176" s="32" t="s">
        <v>105</v>
      </c>
      <c r="D176" s="169">
        <v>23</v>
      </c>
      <c r="E176" s="123">
        <v>2000</v>
      </c>
      <c r="F176" s="123">
        <f>ROUND(14000/(1.3*2.72)*(2.79*1.35),0)</f>
        <v>14913</v>
      </c>
      <c r="G176" s="123">
        <f t="shared" si="17"/>
        <v>46000</v>
      </c>
      <c r="H176" s="123">
        <f t="shared" si="18"/>
        <v>342999</v>
      </c>
      <c r="I176" s="123">
        <f t="shared" si="19"/>
        <v>388999</v>
      </c>
      <c r="J176" s="208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23"/>
      <c r="AB176" s="23"/>
      <c r="AC176" s="21"/>
      <c r="AD176" s="22"/>
      <c r="AE176" s="23"/>
      <c r="AF176" s="23"/>
      <c r="AG176" s="21"/>
      <c r="AH176" s="22"/>
      <c r="AI176" s="23"/>
      <c r="AJ176" s="23"/>
    </row>
    <row r="177" spans="1:36" s="4" customFormat="1" ht="30.05" customHeight="1" x14ac:dyDescent="0.3">
      <c r="A177" s="54" t="s">
        <v>269</v>
      </c>
      <c r="B177" s="41" t="s">
        <v>188</v>
      </c>
      <c r="C177" s="32" t="s">
        <v>105</v>
      </c>
      <c r="D177" s="169">
        <v>23</v>
      </c>
      <c r="E177" s="123">
        <v>2000</v>
      </c>
      <c r="F177" s="123">
        <f>ROUND(14000/(1.3*2.72)*(2.79*1.35),0)</f>
        <v>14913</v>
      </c>
      <c r="G177" s="123">
        <f t="shared" si="17"/>
        <v>46000</v>
      </c>
      <c r="H177" s="123">
        <f t="shared" si="18"/>
        <v>342999</v>
      </c>
      <c r="I177" s="123">
        <f t="shared" si="19"/>
        <v>388999</v>
      </c>
      <c r="J177" s="208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23"/>
      <c r="AB177" s="23"/>
      <c r="AC177" s="21"/>
      <c r="AD177" s="22"/>
      <c r="AE177" s="23"/>
      <c r="AF177" s="23"/>
      <c r="AG177" s="21"/>
      <c r="AH177" s="22"/>
      <c r="AI177" s="23"/>
      <c r="AJ177" s="23"/>
    </row>
    <row r="178" spans="1:36" s="4" customFormat="1" ht="30.05" customHeight="1" x14ac:dyDescent="0.3">
      <c r="A178" s="54" t="s">
        <v>270</v>
      </c>
      <c r="B178" s="41" t="s">
        <v>189</v>
      </c>
      <c r="C178" s="32" t="s">
        <v>105</v>
      </c>
      <c r="D178" s="169">
        <v>1</v>
      </c>
      <c r="E178" s="123">
        <v>2000</v>
      </c>
      <c r="F178" s="123">
        <f>ROUND(15400/(1.79*1)*(1.79*1.04),0)</f>
        <v>16016</v>
      </c>
      <c r="G178" s="123">
        <f t="shared" si="17"/>
        <v>2000</v>
      </c>
      <c r="H178" s="123">
        <f t="shared" si="18"/>
        <v>16016</v>
      </c>
      <c r="I178" s="123">
        <f t="shared" si="19"/>
        <v>18016</v>
      </c>
      <c r="J178" s="208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23"/>
      <c r="AB178" s="23"/>
      <c r="AC178" s="21"/>
      <c r="AD178" s="22"/>
      <c r="AE178" s="23"/>
      <c r="AF178" s="23"/>
      <c r="AG178" s="21"/>
      <c r="AH178" s="22"/>
      <c r="AI178" s="23"/>
      <c r="AJ178" s="23"/>
    </row>
    <row r="179" spans="1:36" s="4" customFormat="1" ht="30.05" customHeight="1" x14ac:dyDescent="0.3">
      <c r="A179" s="54" t="s">
        <v>271</v>
      </c>
      <c r="B179" s="41" t="s">
        <v>190</v>
      </c>
      <c r="C179" s="32" t="s">
        <v>105</v>
      </c>
      <c r="D179" s="169">
        <v>1</v>
      </c>
      <c r="E179" s="123">
        <v>2000</v>
      </c>
      <c r="F179" s="123">
        <f>ROUND(15400/(1.79*1)*(1.85*1.04),0)</f>
        <v>16553</v>
      </c>
      <c r="G179" s="123">
        <f t="shared" si="17"/>
        <v>2000</v>
      </c>
      <c r="H179" s="123">
        <f t="shared" si="18"/>
        <v>16553</v>
      </c>
      <c r="I179" s="123">
        <f t="shared" si="19"/>
        <v>18553</v>
      </c>
      <c r="J179" s="208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23"/>
      <c r="AB179" s="23"/>
      <c r="AC179" s="21"/>
      <c r="AD179" s="22"/>
      <c r="AE179" s="23"/>
      <c r="AF179" s="23"/>
      <c r="AG179" s="21"/>
      <c r="AH179" s="22"/>
      <c r="AI179" s="23"/>
      <c r="AJ179" s="23"/>
    </row>
    <row r="180" spans="1:36" s="4" customFormat="1" ht="30.05" customHeight="1" x14ac:dyDescent="0.3">
      <c r="A180" s="54" t="s">
        <v>272</v>
      </c>
      <c r="B180" s="41" t="s">
        <v>191</v>
      </c>
      <c r="C180" s="32" t="s">
        <v>105</v>
      </c>
      <c r="D180" s="169">
        <v>2</v>
      </c>
      <c r="E180" s="123">
        <v>2000</v>
      </c>
      <c r="F180" s="123">
        <v>10000</v>
      </c>
      <c r="G180" s="123">
        <f t="shared" si="17"/>
        <v>4000</v>
      </c>
      <c r="H180" s="123">
        <f t="shared" si="18"/>
        <v>20000</v>
      </c>
      <c r="I180" s="123">
        <f t="shared" si="19"/>
        <v>24000</v>
      </c>
      <c r="J180" s="208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23"/>
      <c r="AB180" s="23"/>
      <c r="AC180" s="21"/>
      <c r="AD180" s="22"/>
      <c r="AE180" s="23"/>
      <c r="AF180" s="23"/>
      <c r="AG180" s="21"/>
      <c r="AH180" s="22"/>
      <c r="AI180" s="23"/>
      <c r="AJ180" s="23"/>
    </row>
    <row r="181" spans="1:36" s="4" customFormat="1" ht="30.05" customHeight="1" x14ac:dyDescent="0.3">
      <c r="A181" s="54" t="s">
        <v>273</v>
      </c>
      <c r="B181" s="41" t="s">
        <v>192</v>
      </c>
      <c r="C181" s="32" t="s">
        <v>105</v>
      </c>
      <c r="D181" s="169">
        <v>1</v>
      </c>
      <c r="E181" s="123">
        <v>2000</v>
      </c>
      <c r="F181" s="123">
        <v>10700</v>
      </c>
      <c r="G181" s="123">
        <f t="shared" si="17"/>
        <v>2000</v>
      </c>
      <c r="H181" s="123">
        <f t="shared" si="18"/>
        <v>10700</v>
      </c>
      <c r="I181" s="123">
        <f t="shared" si="19"/>
        <v>12700</v>
      </c>
      <c r="J181" s="208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23"/>
      <c r="AB181" s="23"/>
      <c r="AC181" s="21"/>
      <c r="AD181" s="22"/>
      <c r="AE181" s="23"/>
      <c r="AF181" s="23"/>
      <c r="AG181" s="21"/>
      <c r="AH181" s="22"/>
      <c r="AI181" s="23"/>
      <c r="AJ181" s="23"/>
    </row>
    <row r="182" spans="1:36" s="4" customFormat="1" ht="30.05" customHeight="1" x14ac:dyDescent="0.3">
      <c r="A182" s="54" t="s">
        <v>274</v>
      </c>
      <c r="B182" s="41" t="s">
        <v>193</v>
      </c>
      <c r="C182" s="32" t="s">
        <v>105</v>
      </c>
      <c r="D182" s="169">
        <v>4</v>
      </c>
      <c r="E182" s="123">
        <v>2000</v>
      </c>
      <c r="F182" s="123">
        <v>10700</v>
      </c>
      <c r="G182" s="123">
        <f t="shared" si="17"/>
        <v>8000</v>
      </c>
      <c r="H182" s="123">
        <f t="shared" si="18"/>
        <v>42800</v>
      </c>
      <c r="I182" s="123">
        <f t="shared" si="19"/>
        <v>50800</v>
      </c>
      <c r="J182" s="208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23"/>
      <c r="AB182" s="23"/>
      <c r="AC182" s="21"/>
      <c r="AD182" s="22"/>
      <c r="AE182" s="23"/>
      <c r="AF182" s="23"/>
      <c r="AG182" s="21"/>
      <c r="AH182" s="22"/>
      <c r="AI182" s="23"/>
      <c r="AJ182" s="23"/>
    </row>
    <row r="183" spans="1:36" s="4" customFormat="1" ht="30.05" customHeight="1" x14ac:dyDescent="0.3">
      <c r="A183" s="54" t="s">
        <v>275</v>
      </c>
      <c r="B183" s="41" t="s">
        <v>194</v>
      </c>
      <c r="C183" s="32" t="s">
        <v>105</v>
      </c>
      <c r="D183" s="169">
        <v>46</v>
      </c>
      <c r="E183" s="123">
        <v>2000</v>
      </c>
      <c r="F183" s="123">
        <f>ROUND(15000/(1.3*3)*(2.1*1.4),0)</f>
        <v>11308</v>
      </c>
      <c r="G183" s="123">
        <f t="shared" si="17"/>
        <v>92000</v>
      </c>
      <c r="H183" s="123">
        <f t="shared" si="18"/>
        <v>520168</v>
      </c>
      <c r="I183" s="123">
        <f t="shared" si="19"/>
        <v>612168</v>
      </c>
      <c r="J183" s="208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23"/>
      <c r="AB183" s="23"/>
      <c r="AC183" s="21"/>
      <c r="AD183" s="22"/>
      <c r="AE183" s="23"/>
      <c r="AF183" s="23"/>
      <c r="AG183" s="21"/>
      <c r="AH183" s="22"/>
      <c r="AI183" s="23"/>
      <c r="AJ183" s="23"/>
    </row>
    <row r="184" spans="1:36" s="4" customFormat="1" ht="30.05" customHeight="1" x14ac:dyDescent="0.3">
      <c r="A184" s="54" t="s">
        <v>276</v>
      </c>
      <c r="B184" s="41" t="s">
        <v>195</v>
      </c>
      <c r="C184" s="32" t="s">
        <v>105</v>
      </c>
      <c r="D184" s="169">
        <v>24</v>
      </c>
      <c r="E184" s="123">
        <v>2000</v>
      </c>
      <c r="F184" s="123">
        <f>ROUND(14000/(1.3*2.1)*(2.1*1.4),0)</f>
        <v>15077</v>
      </c>
      <c r="G184" s="123">
        <f t="shared" si="17"/>
        <v>48000</v>
      </c>
      <c r="H184" s="123">
        <f t="shared" si="18"/>
        <v>361848</v>
      </c>
      <c r="I184" s="123">
        <f t="shared" si="19"/>
        <v>409848</v>
      </c>
      <c r="J184" s="208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23"/>
      <c r="AB184" s="23"/>
      <c r="AC184" s="21"/>
      <c r="AD184" s="22"/>
      <c r="AE184" s="23"/>
      <c r="AF184" s="23"/>
      <c r="AG184" s="21"/>
      <c r="AH184" s="22"/>
      <c r="AI184" s="23"/>
      <c r="AJ184" s="23"/>
    </row>
    <row r="185" spans="1:36" s="4" customFormat="1" ht="30.05" customHeight="1" x14ac:dyDescent="0.3">
      <c r="A185" s="54" t="s">
        <v>277</v>
      </c>
      <c r="B185" s="41" t="s">
        <v>196</v>
      </c>
      <c r="C185" s="32" t="s">
        <v>105</v>
      </c>
      <c r="D185" s="169">
        <v>23</v>
      </c>
      <c r="E185" s="123">
        <v>1500</v>
      </c>
      <c r="F185" s="123">
        <f>ROUND(10000/(2.1*1)*(2.1*0.9),0)</f>
        <v>9000</v>
      </c>
      <c r="G185" s="123">
        <f t="shared" si="17"/>
        <v>34500</v>
      </c>
      <c r="H185" s="123">
        <f t="shared" si="18"/>
        <v>207000</v>
      </c>
      <c r="I185" s="123">
        <f t="shared" si="19"/>
        <v>241500</v>
      </c>
      <c r="J185" s="208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23"/>
      <c r="AB185" s="23"/>
      <c r="AC185" s="21"/>
      <c r="AD185" s="22"/>
      <c r="AE185" s="23"/>
      <c r="AF185" s="23"/>
      <c r="AG185" s="21"/>
      <c r="AH185" s="22"/>
      <c r="AI185" s="23"/>
      <c r="AJ185" s="23"/>
    </row>
    <row r="186" spans="1:36" s="4" customFormat="1" ht="30.05" customHeight="1" x14ac:dyDescent="0.3">
      <c r="A186" s="54" t="s">
        <v>278</v>
      </c>
      <c r="B186" s="41" t="s">
        <v>254</v>
      </c>
      <c r="C186" s="32" t="s">
        <v>105</v>
      </c>
      <c r="D186" s="169">
        <v>237</v>
      </c>
      <c r="E186" s="123">
        <v>500</v>
      </c>
      <c r="F186" s="123">
        <v>1300</v>
      </c>
      <c r="G186" s="123">
        <f t="shared" si="17"/>
        <v>118500</v>
      </c>
      <c r="H186" s="123">
        <f t="shared" si="18"/>
        <v>308100</v>
      </c>
      <c r="I186" s="123">
        <f t="shared" si="19"/>
        <v>426600</v>
      </c>
      <c r="J186" s="208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23"/>
      <c r="AB186" s="23"/>
      <c r="AC186" s="21"/>
      <c r="AD186" s="22"/>
      <c r="AE186" s="23"/>
      <c r="AF186" s="23"/>
      <c r="AG186" s="21"/>
      <c r="AH186" s="22"/>
      <c r="AI186" s="23"/>
      <c r="AJ186" s="23"/>
    </row>
    <row r="187" spans="1:36" s="4" customFormat="1" ht="30.05" customHeight="1" x14ac:dyDescent="0.3">
      <c r="A187" s="54" t="s">
        <v>279</v>
      </c>
      <c r="B187" s="41" t="s">
        <v>255</v>
      </c>
      <c r="C187" s="32" t="s">
        <v>105</v>
      </c>
      <c r="D187" s="169">
        <v>48</v>
      </c>
      <c r="E187" s="123">
        <v>500</v>
      </c>
      <c r="F187" s="123">
        <v>1300</v>
      </c>
      <c r="G187" s="123">
        <f t="shared" si="17"/>
        <v>24000</v>
      </c>
      <c r="H187" s="123">
        <f t="shared" si="18"/>
        <v>62400</v>
      </c>
      <c r="I187" s="123">
        <f t="shared" si="19"/>
        <v>86400</v>
      </c>
      <c r="J187" s="208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23"/>
      <c r="AB187" s="23"/>
      <c r="AC187" s="21"/>
      <c r="AD187" s="22"/>
      <c r="AE187" s="23"/>
      <c r="AF187" s="23"/>
      <c r="AG187" s="21"/>
      <c r="AH187" s="22"/>
      <c r="AI187" s="23"/>
      <c r="AJ187" s="23"/>
    </row>
    <row r="188" spans="1:36" s="4" customFormat="1" ht="30.05" customHeight="1" x14ac:dyDescent="0.3">
      <c r="A188" s="54" t="s">
        <v>280</v>
      </c>
      <c r="B188" s="41" t="s">
        <v>197</v>
      </c>
      <c r="C188" s="32" t="s">
        <v>105</v>
      </c>
      <c r="D188" s="169">
        <v>1</v>
      </c>
      <c r="E188" s="123">
        <v>1500</v>
      </c>
      <c r="F188" s="123">
        <f>ROUND(10000/(2.1*1)*(2.1*0.9),0)</f>
        <v>9000</v>
      </c>
      <c r="G188" s="123">
        <f t="shared" si="17"/>
        <v>1500</v>
      </c>
      <c r="H188" s="123">
        <f t="shared" si="18"/>
        <v>9000</v>
      </c>
      <c r="I188" s="123">
        <f t="shared" si="19"/>
        <v>10500</v>
      </c>
      <c r="J188" s="208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23"/>
      <c r="AB188" s="23"/>
      <c r="AC188" s="21"/>
      <c r="AD188" s="22"/>
      <c r="AE188" s="23"/>
      <c r="AF188" s="23"/>
      <c r="AG188" s="21"/>
      <c r="AH188" s="22"/>
      <c r="AI188" s="23"/>
      <c r="AJ188" s="23"/>
    </row>
    <row r="189" spans="1:36" s="4" customFormat="1" ht="30.05" customHeight="1" x14ac:dyDescent="0.3">
      <c r="A189" s="54" t="s">
        <v>281</v>
      </c>
      <c r="B189" s="41" t="s">
        <v>198</v>
      </c>
      <c r="C189" s="32" t="s">
        <v>105</v>
      </c>
      <c r="D189" s="169">
        <v>1</v>
      </c>
      <c r="E189" s="123">
        <v>2000</v>
      </c>
      <c r="F189" s="123">
        <v>10700</v>
      </c>
      <c r="G189" s="123">
        <f t="shared" si="17"/>
        <v>2000</v>
      </c>
      <c r="H189" s="123">
        <f t="shared" si="18"/>
        <v>10700</v>
      </c>
      <c r="I189" s="123">
        <f t="shared" si="19"/>
        <v>12700</v>
      </c>
      <c r="J189" s="208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23"/>
      <c r="AB189" s="23"/>
      <c r="AC189" s="21"/>
      <c r="AD189" s="22"/>
      <c r="AE189" s="23"/>
      <c r="AF189" s="23"/>
      <c r="AG189" s="21"/>
      <c r="AH189" s="22"/>
      <c r="AI189" s="23"/>
      <c r="AJ189" s="23"/>
    </row>
    <row r="190" spans="1:36" s="4" customFormat="1" ht="30.05" customHeight="1" x14ac:dyDescent="0.3">
      <c r="A190" s="54" t="s">
        <v>273</v>
      </c>
      <c r="B190" s="41" t="s">
        <v>350</v>
      </c>
      <c r="C190" s="32" t="s">
        <v>105</v>
      </c>
      <c r="D190" s="169">
        <v>1</v>
      </c>
      <c r="E190" s="123">
        <v>2000</v>
      </c>
      <c r="F190" s="123">
        <f>ROUND(10700/2.1*1.35*1,0)</f>
        <v>6879</v>
      </c>
      <c r="G190" s="123">
        <f>ROUND(D190*E190,0)</f>
        <v>2000</v>
      </c>
      <c r="H190" s="123">
        <f>ROUND(D190*F190,0)</f>
        <v>6879</v>
      </c>
      <c r="I190" s="123">
        <f>SUM(G190:H190)</f>
        <v>8879</v>
      </c>
      <c r="J190" s="208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23"/>
      <c r="AB190" s="23"/>
      <c r="AC190" s="21"/>
      <c r="AD190" s="22"/>
      <c r="AE190" s="23"/>
      <c r="AF190" s="23"/>
      <c r="AG190" s="21"/>
      <c r="AH190" s="22"/>
      <c r="AI190" s="23"/>
      <c r="AJ190" s="23"/>
    </row>
    <row r="191" spans="1:36" s="4" customFormat="1" ht="30.05" customHeight="1" x14ac:dyDescent="0.3">
      <c r="A191" s="54"/>
      <c r="B191" s="46" t="s">
        <v>170</v>
      </c>
      <c r="C191" s="42"/>
      <c r="D191" s="169"/>
      <c r="E191" s="123"/>
      <c r="F191" s="123"/>
      <c r="G191" s="258">
        <f>SUM(G170:G190)</f>
        <v>466500</v>
      </c>
      <c r="H191" s="258">
        <f>SUM(H170:H190)</f>
        <v>2441835</v>
      </c>
      <c r="I191" s="258">
        <f>SUM(I170:I190)</f>
        <v>2908335</v>
      </c>
      <c r="J191" s="187"/>
      <c r="K191" s="63"/>
      <c r="L191" s="78"/>
      <c r="M191" s="63"/>
      <c r="N191" s="23"/>
      <c r="O191" s="78"/>
      <c r="P191" s="78"/>
      <c r="Q191" s="63"/>
      <c r="R191" s="23"/>
      <c r="S191" s="78"/>
      <c r="T191" s="78"/>
      <c r="U191" s="63"/>
      <c r="V191" s="23"/>
      <c r="W191" s="78"/>
      <c r="X191" s="78"/>
      <c r="Y191" s="63"/>
      <c r="Z191" s="23"/>
      <c r="AA191" s="23"/>
      <c r="AB191" s="23"/>
      <c r="AC191" s="21" t="e">
        <f>#REF!-#REF!-#REF!-#REF!-AA191</f>
        <v>#REF!</v>
      </c>
      <c r="AD191" s="22" t="e">
        <f>G191-#REF!-#REF!-#REF!-#REF!-#REF!-#REF!-#REF!-#REF!-L191-P191-T191-X191</f>
        <v>#REF!</v>
      </c>
      <c r="AE191" s="23" t="e">
        <f>H191-#REF!-#REF!-#REF!-#REF!-#REF!-#REF!-#REF!-#REF!-M191-Q191-U191-Y191</f>
        <v>#REF!</v>
      </c>
      <c r="AF191" s="23" t="e">
        <f>I191-#REF!-#REF!-#REF!-AB191</f>
        <v>#REF!</v>
      </c>
      <c r="AG191" s="21"/>
      <c r="AH191" s="22"/>
      <c r="AI191" s="23"/>
      <c r="AJ191" s="23"/>
    </row>
    <row r="192" spans="1:36" s="175" customFormat="1" ht="30.05" customHeight="1" x14ac:dyDescent="0.25">
      <c r="A192" s="54"/>
      <c r="B192" s="338" t="s">
        <v>249</v>
      </c>
      <c r="C192" s="42"/>
      <c r="D192" s="169"/>
      <c r="E192" s="123"/>
      <c r="F192" s="123"/>
      <c r="J192" s="197"/>
      <c r="P192" s="125">
        <f>ROUND(G191*0.11,0)</f>
        <v>51315</v>
      </c>
      <c r="Q192" s="123"/>
      <c r="R192" s="123">
        <f>P192</f>
        <v>51315</v>
      </c>
    </row>
    <row r="193" spans="1:36" s="175" customFormat="1" ht="30.05" customHeight="1" x14ac:dyDescent="0.25">
      <c r="A193" s="54"/>
      <c r="B193" s="338" t="s">
        <v>223</v>
      </c>
      <c r="C193" s="42"/>
      <c r="D193" s="169"/>
      <c r="E193" s="123"/>
      <c r="F193" s="123"/>
      <c r="J193" s="197"/>
      <c r="P193" s="125">
        <f>ROUND(G191*0.05,0)</f>
        <v>23325</v>
      </c>
      <c r="Q193" s="123"/>
      <c r="R193" s="123">
        <f>P193</f>
        <v>23325</v>
      </c>
    </row>
    <row r="194" spans="1:36" s="3" customFormat="1" ht="30.05" hidden="1" customHeight="1" x14ac:dyDescent="0.3">
      <c r="A194" s="43"/>
      <c r="B194" s="342" t="s">
        <v>393</v>
      </c>
      <c r="C194" s="43"/>
      <c r="D194" s="259"/>
      <c r="E194" s="260"/>
      <c r="F194" s="260"/>
      <c r="G194" s="260">
        <f>SUM(G191:G193)</f>
        <v>466500</v>
      </c>
      <c r="H194" s="260">
        <f>SUM(H191:H193)</f>
        <v>2441835</v>
      </c>
      <c r="I194" s="261">
        <f>SUM(I191:I193)</f>
        <v>2908335</v>
      </c>
      <c r="J194" s="205"/>
      <c r="K194" s="25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18"/>
      <c r="AB194" s="18"/>
      <c r="AC194" s="19" t="e">
        <f>#REF!-#REF!-#REF!-#REF!-AA194</f>
        <v>#REF!</v>
      </c>
      <c r="AD194" s="20" t="e">
        <f>G194-#REF!-#REF!-#REF!-#REF!-#REF!-#REF!-#REF!-#REF!-L194-P194-T194-X194</f>
        <v>#REF!</v>
      </c>
      <c r="AE194" s="18" t="e">
        <f>H194-#REF!-#REF!-#REF!-#REF!-#REF!-#REF!-#REF!-#REF!-M194-Q194-U194-Y194</f>
        <v>#REF!</v>
      </c>
      <c r="AF194" s="18" t="e">
        <f>I194-#REF!-#REF!-#REF!-AB194</f>
        <v>#REF!</v>
      </c>
      <c r="AG194" s="19"/>
      <c r="AH194" s="20"/>
      <c r="AI194" s="18"/>
      <c r="AJ194" s="18"/>
    </row>
    <row r="195" spans="1:36" s="4" customFormat="1" ht="30.05" customHeight="1" x14ac:dyDescent="0.3">
      <c r="A195" s="52" t="s">
        <v>54</v>
      </c>
      <c r="B195" s="37" t="s">
        <v>384</v>
      </c>
      <c r="C195" s="166"/>
      <c r="D195" s="256"/>
      <c r="E195" s="257"/>
      <c r="F195" s="257"/>
      <c r="G195" s="257"/>
      <c r="H195" s="257"/>
      <c r="I195" s="257"/>
      <c r="J195" s="208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23"/>
      <c r="AB195" s="23"/>
      <c r="AC195" s="21" t="e">
        <f>#REF!-#REF!-#REF!-#REF!-AA195</f>
        <v>#REF!</v>
      </c>
      <c r="AD195" s="22" t="e">
        <f>G195-#REF!-#REF!-#REF!-#REF!-#REF!-#REF!-#REF!-#REF!-L195-P195-T195-X195</f>
        <v>#REF!</v>
      </c>
      <c r="AE195" s="23" t="e">
        <f>H195-#REF!-#REF!-#REF!-#REF!-#REF!-#REF!-#REF!-#REF!-M195-Q195-U195-Y195</f>
        <v>#REF!</v>
      </c>
      <c r="AF195" s="23" t="e">
        <f>I195-#REF!-#REF!-#REF!-AB195</f>
        <v>#REF!</v>
      </c>
      <c r="AG195" s="21"/>
      <c r="AH195" s="22"/>
      <c r="AI195" s="23"/>
      <c r="AJ195" s="23"/>
    </row>
    <row r="196" spans="1:36" s="4" customFormat="1" ht="91.6" customHeight="1" x14ac:dyDescent="0.3">
      <c r="A196" s="54" t="s">
        <v>55</v>
      </c>
      <c r="B196" s="41" t="s">
        <v>250</v>
      </c>
      <c r="C196" s="42" t="s">
        <v>6</v>
      </c>
      <c r="D196" s="169">
        <v>556</v>
      </c>
      <c r="E196" s="125">
        <v>900</v>
      </c>
      <c r="F196" s="125">
        <v>2300</v>
      </c>
      <c r="G196" s="123">
        <f t="shared" ref="G196:G203" si="20">ROUND(D196*E196,0)</f>
        <v>500400</v>
      </c>
      <c r="H196" s="123">
        <f t="shared" ref="H196:H203" si="21">ROUND(D196*F196,0)</f>
        <v>1278800</v>
      </c>
      <c r="I196" s="123">
        <f t="shared" ref="I196:I203" si="22">SUM(G196:H196)</f>
        <v>1779200</v>
      </c>
      <c r="J196" s="187"/>
      <c r="K196" s="23"/>
      <c r="L196" s="69"/>
      <c r="M196" s="23"/>
      <c r="N196" s="23"/>
      <c r="O196" s="69"/>
      <c r="P196" s="69"/>
      <c r="Q196" s="23"/>
      <c r="R196" s="23"/>
      <c r="S196" s="69"/>
      <c r="T196" s="69"/>
      <c r="U196" s="23"/>
      <c r="V196" s="23"/>
      <c r="W196" s="69"/>
      <c r="X196" s="69"/>
      <c r="Y196" s="23"/>
      <c r="Z196" s="23"/>
      <c r="AA196" s="23"/>
      <c r="AB196" s="23"/>
      <c r="AC196" s="21" t="e">
        <f>#REF!-#REF!-#REF!-#REF!-AA196</f>
        <v>#REF!</v>
      </c>
      <c r="AD196" s="22" t="e">
        <f>G196-#REF!-#REF!-#REF!-#REF!-#REF!-#REF!-#REF!-#REF!-L196-P196-T196-X196</f>
        <v>#REF!</v>
      </c>
      <c r="AE196" s="23" t="e">
        <f>H196-#REF!-#REF!-#REF!-#REF!-#REF!-#REF!-#REF!-#REF!-M196-Q196-U196-Y196</f>
        <v>#REF!</v>
      </c>
      <c r="AF196" s="23" t="e">
        <f>I196-#REF!-#REF!-#REF!-AB196</f>
        <v>#REF!</v>
      </c>
      <c r="AG196" s="21"/>
      <c r="AH196" s="22"/>
      <c r="AI196" s="23"/>
      <c r="AJ196" s="23"/>
    </row>
    <row r="197" spans="1:36" s="4" customFormat="1" ht="100.5" customHeight="1" x14ac:dyDescent="0.3">
      <c r="A197" s="54" t="s">
        <v>56</v>
      </c>
      <c r="B197" s="41" t="s">
        <v>251</v>
      </c>
      <c r="C197" s="42" t="s">
        <v>6</v>
      </c>
      <c r="D197" s="169">
        <v>18</v>
      </c>
      <c r="E197" s="125">
        <v>900</v>
      </c>
      <c r="F197" s="125">
        <v>2300</v>
      </c>
      <c r="G197" s="123">
        <f t="shared" si="20"/>
        <v>16200</v>
      </c>
      <c r="H197" s="123">
        <f t="shared" si="21"/>
        <v>41400</v>
      </c>
      <c r="I197" s="123">
        <f t="shared" si="22"/>
        <v>57600</v>
      </c>
      <c r="J197" s="187"/>
      <c r="K197" s="23"/>
      <c r="L197" s="69"/>
      <c r="M197" s="23"/>
      <c r="N197" s="23"/>
      <c r="O197" s="69"/>
      <c r="P197" s="69"/>
      <c r="Q197" s="23"/>
      <c r="R197" s="23"/>
      <c r="S197" s="69"/>
      <c r="T197" s="69"/>
      <c r="U197" s="23"/>
      <c r="V197" s="23"/>
      <c r="W197" s="69"/>
      <c r="X197" s="69"/>
      <c r="Y197" s="23"/>
      <c r="Z197" s="23"/>
      <c r="AA197" s="23"/>
      <c r="AB197" s="23"/>
      <c r="AC197" s="21" t="e">
        <f>#REF!-#REF!-#REF!-#REF!-AA197</f>
        <v>#REF!</v>
      </c>
      <c r="AD197" s="22" t="e">
        <f>G197-#REF!-#REF!-#REF!-#REF!-#REF!-#REF!-#REF!-#REF!-L197-P197-T197-X197</f>
        <v>#REF!</v>
      </c>
      <c r="AE197" s="23" t="e">
        <f>H197-#REF!-#REF!-#REF!-#REF!-#REF!-#REF!-#REF!-#REF!-M197-Q197-U197-Y197</f>
        <v>#REF!</v>
      </c>
      <c r="AF197" s="23" t="e">
        <f>I197-#REF!-#REF!-#REF!-AB197</f>
        <v>#REF!</v>
      </c>
      <c r="AG197" s="21"/>
      <c r="AH197" s="22"/>
      <c r="AI197" s="23"/>
      <c r="AJ197" s="23"/>
    </row>
    <row r="198" spans="1:36" s="4" customFormat="1" ht="65.3" customHeight="1" x14ac:dyDescent="0.3">
      <c r="A198" s="54" t="s">
        <v>283</v>
      </c>
      <c r="B198" s="41" t="s">
        <v>341</v>
      </c>
      <c r="C198" s="42" t="s">
        <v>6</v>
      </c>
      <c r="D198" s="169">
        <v>32</v>
      </c>
      <c r="E198" s="125">
        <v>700</v>
      </c>
      <c r="F198" s="125">
        <v>1400</v>
      </c>
      <c r="G198" s="123">
        <f t="shared" si="20"/>
        <v>22400</v>
      </c>
      <c r="H198" s="123">
        <f t="shared" si="21"/>
        <v>44800</v>
      </c>
      <c r="I198" s="123">
        <f t="shared" si="22"/>
        <v>67200</v>
      </c>
      <c r="J198" s="187"/>
      <c r="K198" s="23"/>
      <c r="L198" s="69"/>
      <c r="M198" s="23"/>
      <c r="N198" s="23"/>
      <c r="O198" s="69"/>
      <c r="P198" s="69"/>
      <c r="Q198" s="23"/>
      <c r="R198" s="23"/>
      <c r="S198" s="69"/>
      <c r="T198" s="69"/>
      <c r="U198" s="23"/>
      <c r="V198" s="23"/>
      <c r="W198" s="69"/>
      <c r="X198" s="69"/>
      <c r="Y198" s="23"/>
      <c r="Z198" s="23"/>
      <c r="AA198" s="23"/>
      <c r="AB198" s="23"/>
      <c r="AC198" s="21" t="e">
        <f>#REF!-#REF!-#REF!-#REF!-AA198</f>
        <v>#REF!</v>
      </c>
      <c r="AD198" s="22" t="e">
        <f>G198-#REF!-#REF!-#REF!-#REF!-#REF!-#REF!-#REF!-#REF!-L198-P198-T198-X198</f>
        <v>#REF!</v>
      </c>
      <c r="AE198" s="23" t="e">
        <f>H198-#REF!-#REF!-#REF!-#REF!-#REF!-#REF!-#REF!-#REF!-M198-Q198-U198-Y198</f>
        <v>#REF!</v>
      </c>
      <c r="AF198" s="23" t="e">
        <f>I198-#REF!-#REF!-#REF!-AB198</f>
        <v>#REF!</v>
      </c>
      <c r="AG198" s="21"/>
      <c r="AH198" s="22"/>
      <c r="AI198" s="23"/>
      <c r="AJ198" s="23"/>
    </row>
    <row r="199" spans="1:36" s="4" customFormat="1" ht="30.05" customHeight="1" x14ac:dyDescent="0.3">
      <c r="A199" s="54" t="s">
        <v>284</v>
      </c>
      <c r="B199" s="41" t="s">
        <v>199</v>
      </c>
      <c r="C199" s="42" t="s">
        <v>75</v>
      </c>
      <c r="D199" s="169">
        <f>150+44.9+40+29</f>
        <v>263.89999999999998</v>
      </c>
      <c r="E199" s="125">
        <v>100</v>
      </c>
      <c r="F199" s="125">
        <v>1500</v>
      </c>
      <c r="G199" s="123">
        <f t="shared" si="20"/>
        <v>26390</v>
      </c>
      <c r="H199" s="123">
        <f t="shared" si="21"/>
        <v>395850</v>
      </c>
      <c r="I199" s="123">
        <f t="shared" si="22"/>
        <v>422240</v>
      </c>
      <c r="J199" s="187"/>
      <c r="K199" s="23"/>
      <c r="L199" s="69"/>
      <c r="M199" s="23"/>
      <c r="N199" s="23"/>
      <c r="O199" s="69"/>
      <c r="P199" s="69"/>
      <c r="Q199" s="23"/>
      <c r="R199" s="23"/>
      <c r="S199" s="69"/>
      <c r="T199" s="69"/>
      <c r="U199" s="23"/>
      <c r="V199" s="23"/>
      <c r="W199" s="69"/>
      <c r="X199" s="69"/>
      <c r="Y199" s="23"/>
      <c r="Z199" s="23"/>
      <c r="AA199" s="23"/>
      <c r="AB199" s="23"/>
      <c r="AC199" s="21"/>
      <c r="AD199" s="22"/>
      <c r="AE199" s="23"/>
      <c r="AF199" s="23"/>
      <c r="AG199" s="21"/>
      <c r="AH199" s="22"/>
      <c r="AI199" s="23"/>
      <c r="AJ199" s="23"/>
    </row>
    <row r="200" spans="1:36" s="4" customFormat="1" ht="98.3" customHeight="1" x14ac:dyDescent="0.3">
      <c r="A200" s="54" t="s">
        <v>285</v>
      </c>
      <c r="B200" s="41" t="s">
        <v>214</v>
      </c>
      <c r="C200" s="42" t="s">
        <v>6</v>
      </c>
      <c r="D200" s="169">
        <f>66.84+5.5</f>
        <v>72.34</v>
      </c>
      <c r="E200" s="125">
        <v>700</v>
      </c>
      <c r="F200" s="125">
        <v>2500</v>
      </c>
      <c r="G200" s="123">
        <f t="shared" si="20"/>
        <v>50638</v>
      </c>
      <c r="H200" s="123">
        <f t="shared" si="21"/>
        <v>180850</v>
      </c>
      <c r="I200" s="123">
        <f t="shared" si="22"/>
        <v>231488</v>
      </c>
      <c r="J200" s="187"/>
      <c r="K200" s="23"/>
      <c r="L200" s="69"/>
      <c r="M200" s="23"/>
      <c r="N200" s="23"/>
      <c r="O200" s="69"/>
      <c r="P200" s="69"/>
      <c r="Q200" s="23"/>
      <c r="R200" s="23"/>
      <c r="S200" s="69"/>
      <c r="T200" s="69"/>
      <c r="U200" s="23"/>
      <c r="V200" s="23"/>
      <c r="W200" s="69"/>
      <c r="X200" s="69"/>
      <c r="Y200" s="23"/>
      <c r="Z200" s="23"/>
      <c r="AA200" s="23"/>
      <c r="AB200" s="23"/>
      <c r="AC200" s="21"/>
      <c r="AD200" s="22"/>
      <c r="AE200" s="23"/>
      <c r="AF200" s="23"/>
      <c r="AG200" s="21"/>
      <c r="AH200" s="22"/>
      <c r="AI200" s="23"/>
      <c r="AJ200" s="23"/>
    </row>
    <row r="201" spans="1:36" s="232" customFormat="1" ht="51.85" customHeight="1" x14ac:dyDescent="0.3">
      <c r="A201" s="54" t="s">
        <v>285</v>
      </c>
      <c r="B201" s="41" t="s">
        <v>362</v>
      </c>
      <c r="C201" s="42" t="s">
        <v>6</v>
      </c>
      <c r="D201" s="169">
        <v>110.67</v>
      </c>
      <c r="E201" s="125">
        <v>1500</v>
      </c>
      <c r="F201" s="125">
        <v>3500</v>
      </c>
      <c r="G201" s="123">
        <f t="shared" si="20"/>
        <v>166005</v>
      </c>
      <c r="H201" s="123">
        <f t="shared" si="21"/>
        <v>387345</v>
      </c>
      <c r="I201" s="123">
        <f t="shared" si="22"/>
        <v>553350</v>
      </c>
      <c r="J201" s="242"/>
      <c r="K201" s="243"/>
      <c r="L201" s="245"/>
      <c r="M201" s="245"/>
      <c r="N201" s="243"/>
      <c r="O201" s="243"/>
      <c r="P201" s="245"/>
      <c r="Q201" s="245"/>
      <c r="R201" s="243"/>
      <c r="S201" s="243"/>
      <c r="T201" s="245"/>
      <c r="U201" s="245"/>
      <c r="V201" s="243"/>
      <c r="W201" s="243"/>
      <c r="X201" s="243"/>
      <c r="Y201" s="243"/>
      <c r="Z201" s="246"/>
      <c r="AA201" s="247"/>
      <c r="AB201" s="243"/>
      <c r="AC201" s="243"/>
      <c r="AD201" s="246"/>
      <c r="AE201" s="247"/>
      <c r="AF201" s="243"/>
      <c r="AG201" s="243"/>
    </row>
    <row r="202" spans="1:36" s="154" customFormat="1" ht="30.05" customHeight="1" x14ac:dyDescent="0.3">
      <c r="A202" s="54" t="s">
        <v>330</v>
      </c>
      <c r="B202" s="248" t="s">
        <v>363</v>
      </c>
      <c r="C202" s="54" t="s">
        <v>6</v>
      </c>
      <c r="D202" s="228">
        <v>5.65</v>
      </c>
      <c r="E202" s="125">
        <v>650</v>
      </c>
      <c r="F202" s="125">
        <v>1200</v>
      </c>
      <c r="G202" s="123">
        <f t="shared" si="20"/>
        <v>3673</v>
      </c>
      <c r="H202" s="123">
        <f>ROUND(F202*D202,0)</f>
        <v>6780</v>
      </c>
      <c r="I202" s="123">
        <f>G202+H202</f>
        <v>10453</v>
      </c>
    </row>
    <row r="203" spans="1:36" s="154" customFormat="1" ht="30.05" customHeight="1" x14ac:dyDescent="0.25">
      <c r="A203" s="54" t="s">
        <v>366</v>
      </c>
      <c r="B203" s="41" t="s">
        <v>329</v>
      </c>
      <c r="C203" s="42" t="s">
        <v>8</v>
      </c>
      <c r="D203" s="169">
        <v>1.4630000000000001</v>
      </c>
      <c r="E203" s="163">
        <v>25000</v>
      </c>
      <c r="F203" s="125">
        <v>45000</v>
      </c>
      <c r="G203" s="125">
        <f t="shared" si="20"/>
        <v>36575</v>
      </c>
      <c r="H203" s="125">
        <f t="shared" si="21"/>
        <v>65835</v>
      </c>
      <c r="I203" s="125">
        <f t="shared" si="22"/>
        <v>102410</v>
      </c>
      <c r="J203" s="209"/>
    </row>
    <row r="204" spans="1:36" s="2" customFormat="1" ht="30.05" customHeight="1" x14ac:dyDescent="0.3">
      <c r="A204" s="1"/>
      <c r="B204" s="341" t="s">
        <v>92</v>
      </c>
      <c r="C204" s="5"/>
      <c r="D204" s="169"/>
      <c r="E204" s="268"/>
      <c r="F204" s="268"/>
      <c r="G204" s="254">
        <f>SUM(G196:G203)</f>
        <v>822281</v>
      </c>
      <c r="H204" s="295">
        <f>SUM(H196:H203)</f>
        <v>2401660</v>
      </c>
      <c r="I204" s="254">
        <f>SUM(G204:H204)</f>
        <v>3223941</v>
      </c>
      <c r="J204" s="204"/>
      <c r="K204" s="24"/>
      <c r="L204" s="26"/>
      <c r="M204" s="24"/>
      <c r="N204" s="7"/>
      <c r="O204" s="26"/>
      <c r="P204" s="26"/>
      <c r="Q204" s="24"/>
      <c r="R204" s="7"/>
      <c r="S204" s="26"/>
      <c r="T204" s="26"/>
      <c r="U204" s="24"/>
      <c r="V204" s="7"/>
      <c r="W204" s="26"/>
      <c r="X204" s="26"/>
      <c r="Y204" s="24"/>
      <c r="Z204" s="7"/>
      <c r="AA204" s="18"/>
      <c r="AB204" s="18"/>
      <c r="AC204" s="19" t="e">
        <f>#REF!-#REF!-#REF!-#REF!-AA204</f>
        <v>#REF!</v>
      </c>
      <c r="AD204" s="20" t="e">
        <f>G204-#REF!-#REF!-#REF!-#REF!-#REF!-#REF!-#REF!-#REF!-L204-P204-T204-X204</f>
        <v>#REF!</v>
      </c>
      <c r="AE204" s="18" t="e">
        <f>H204-#REF!-#REF!-#REF!-#REF!-#REF!-#REF!-#REF!-#REF!-M204-Q204-U204-Y204</f>
        <v>#REF!</v>
      </c>
      <c r="AF204" s="18" t="e">
        <f>I204-#REF!-#REF!-#REF!-AB204</f>
        <v>#REF!</v>
      </c>
      <c r="AG204" s="21"/>
      <c r="AH204" s="22"/>
      <c r="AI204" s="23"/>
      <c r="AJ204" s="23"/>
    </row>
    <row r="205" spans="1:36" s="175" customFormat="1" ht="30.05" customHeight="1" x14ac:dyDescent="0.25">
      <c r="A205" s="54"/>
      <c r="B205" s="338" t="s">
        <v>249</v>
      </c>
      <c r="C205" s="42"/>
      <c r="D205" s="169"/>
      <c r="E205" s="123"/>
      <c r="F205" s="123"/>
      <c r="J205" s="197"/>
      <c r="P205" s="125">
        <f>ROUND(G204*0.11,0)</f>
        <v>90451</v>
      </c>
      <c r="Q205" s="123"/>
      <c r="R205" s="123">
        <f>P205</f>
        <v>90451</v>
      </c>
    </row>
    <row r="206" spans="1:36" s="175" customFormat="1" ht="30.05" customHeight="1" x14ac:dyDescent="0.25">
      <c r="A206" s="54"/>
      <c r="B206" s="338" t="s">
        <v>223</v>
      </c>
      <c r="C206" s="42"/>
      <c r="D206" s="169"/>
      <c r="E206" s="123"/>
      <c r="F206" s="123"/>
      <c r="J206" s="197"/>
      <c r="P206" s="125">
        <f>ROUND(G204*0.05,0)</f>
        <v>41114</v>
      </c>
      <c r="Q206" s="123"/>
      <c r="R206" s="123">
        <f>P206</f>
        <v>41114</v>
      </c>
    </row>
    <row r="207" spans="1:36" s="3" customFormat="1" ht="30.05" hidden="1" customHeight="1" x14ac:dyDescent="0.3">
      <c r="A207" s="43"/>
      <c r="B207" s="36" t="s">
        <v>286</v>
      </c>
      <c r="C207" s="43"/>
      <c r="D207" s="259"/>
      <c r="E207" s="260"/>
      <c r="F207" s="260"/>
      <c r="G207" s="260">
        <f>SUM(G204:G206)</f>
        <v>822281</v>
      </c>
      <c r="H207" s="260">
        <f>SUM(H204:H206)</f>
        <v>2401660</v>
      </c>
      <c r="I207" s="261">
        <f>SUM(I204:I206)</f>
        <v>3223941</v>
      </c>
      <c r="J207" s="205"/>
      <c r="K207" s="25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18"/>
      <c r="AB207" s="18"/>
      <c r="AC207" s="19" t="e">
        <f>#REF!-#REF!-#REF!-#REF!-AA207</f>
        <v>#REF!</v>
      </c>
      <c r="AD207" s="20" t="e">
        <f>G207-#REF!-#REF!-#REF!-#REF!-#REF!-#REF!-#REF!-#REF!-L207-P207-T207-X207</f>
        <v>#REF!</v>
      </c>
      <c r="AE207" s="18" t="e">
        <f>H207-#REF!-#REF!-#REF!-#REF!-#REF!-#REF!-#REF!-#REF!-M207-Q207-U207-Y207</f>
        <v>#REF!</v>
      </c>
      <c r="AF207" s="18" t="e">
        <f>I207-#REF!-#REF!-#REF!-AB207</f>
        <v>#REF!</v>
      </c>
      <c r="AG207" s="19"/>
      <c r="AH207" s="20"/>
      <c r="AI207" s="18"/>
      <c r="AJ207" s="18"/>
    </row>
    <row r="208" spans="1:36" s="4" customFormat="1" ht="30.05" customHeight="1" x14ac:dyDescent="0.3">
      <c r="A208" s="52" t="s">
        <v>57</v>
      </c>
      <c r="B208" s="37" t="s">
        <v>385</v>
      </c>
      <c r="C208" s="166"/>
      <c r="D208" s="256"/>
      <c r="E208" s="257"/>
      <c r="F208" s="257"/>
      <c r="G208" s="257"/>
      <c r="H208" s="257"/>
      <c r="I208" s="257"/>
      <c r="J208" s="208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23"/>
      <c r="AB208" s="23"/>
      <c r="AC208" s="21" t="e">
        <f>#REF!-#REF!-#REF!-#REF!-AA208</f>
        <v>#REF!</v>
      </c>
      <c r="AD208" s="22" t="e">
        <f>G208-#REF!-#REF!-#REF!-#REF!-#REF!-#REF!-#REF!-#REF!-L208-P208-T208-X208</f>
        <v>#REF!</v>
      </c>
      <c r="AE208" s="23" t="e">
        <f>H208-#REF!-#REF!-#REF!-#REF!-#REF!-#REF!-#REF!-#REF!-M208-Q208-U208-Y208</f>
        <v>#REF!</v>
      </c>
      <c r="AF208" s="23" t="e">
        <f>I208-#REF!-#REF!-#REF!-AB208</f>
        <v>#REF!</v>
      </c>
      <c r="AG208" s="21"/>
      <c r="AH208" s="22"/>
      <c r="AI208" s="23"/>
      <c r="AJ208" s="23"/>
    </row>
    <row r="209" spans="1:36" s="4" customFormat="1" ht="36" customHeight="1" x14ac:dyDescent="0.3">
      <c r="A209" s="54" t="s">
        <v>59</v>
      </c>
      <c r="B209" s="41" t="s">
        <v>51</v>
      </c>
      <c r="C209" s="42" t="s">
        <v>6</v>
      </c>
      <c r="D209" s="169">
        <v>35</v>
      </c>
      <c r="E209" s="125">
        <v>450</v>
      </c>
      <c r="F209" s="125">
        <v>500</v>
      </c>
      <c r="G209" s="123">
        <f>ROUND(D209*E209,0)</f>
        <v>15750</v>
      </c>
      <c r="H209" s="123">
        <f>ROUND(D209*F209,0)</f>
        <v>17500</v>
      </c>
      <c r="I209" s="123">
        <f>SUM(G209:H209)</f>
        <v>33250</v>
      </c>
      <c r="J209" s="187"/>
      <c r="K209" s="23"/>
      <c r="L209" s="69"/>
      <c r="M209" s="23"/>
      <c r="N209" s="23"/>
      <c r="O209" s="69"/>
      <c r="P209" s="69"/>
      <c r="Q209" s="23"/>
      <c r="R209" s="23"/>
      <c r="S209" s="69"/>
      <c r="T209" s="69"/>
      <c r="U209" s="23"/>
      <c r="V209" s="23"/>
      <c r="W209" s="69"/>
      <c r="X209" s="69"/>
      <c r="Y209" s="23"/>
      <c r="Z209" s="23"/>
      <c r="AA209" s="23"/>
      <c r="AB209" s="23"/>
      <c r="AC209" s="21" t="e">
        <f>#REF!-#REF!-#REF!-#REF!-AA209</f>
        <v>#REF!</v>
      </c>
      <c r="AD209" s="22" t="e">
        <f>G209-#REF!-#REF!-#REF!-#REF!-#REF!-#REF!-#REF!-#REF!-L209-P209-T209-X209</f>
        <v>#REF!</v>
      </c>
      <c r="AE209" s="23" t="e">
        <f>H209-#REF!-#REF!-#REF!-#REF!-#REF!-#REF!-#REF!-#REF!-M209-Q209-U209-Y209</f>
        <v>#REF!</v>
      </c>
      <c r="AF209" s="23" t="e">
        <f>I209-#REF!-#REF!-#REF!-AB209</f>
        <v>#REF!</v>
      </c>
      <c r="AG209" s="21"/>
      <c r="AH209" s="22"/>
      <c r="AI209" s="23"/>
      <c r="AJ209" s="23"/>
    </row>
    <row r="210" spans="1:36" s="4" customFormat="1" ht="30.05" customHeight="1" x14ac:dyDescent="0.3">
      <c r="A210" s="54" t="s">
        <v>241</v>
      </c>
      <c r="B210" s="41" t="s">
        <v>53</v>
      </c>
      <c r="C210" s="42" t="s">
        <v>8</v>
      </c>
      <c r="D210" s="169">
        <v>0.2</v>
      </c>
      <c r="E210" s="125">
        <v>25000</v>
      </c>
      <c r="F210" s="125">
        <v>42000</v>
      </c>
      <c r="G210" s="123">
        <f>ROUND(D210*E210,0)</f>
        <v>5000</v>
      </c>
      <c r="H210" s="123">
        <f>ROUND(D210*F210,0)</f>
        <v>8400</v>
      </c>
      <c r="I210" s="123">
        <f>SUM(G210:H210)</f>
        <v>13400</v>
      </c>
      <c r="J210" s="187"/>
      <c r="K210" s="23"/>
      <c r="L210" s="69"/>
      <c r="M210" s="23"/>
      <c r="N210" s="23"/>
      <c r="O210" s="69"/>
      <c r="P210" s="69"/>
      <c r="Q210" s="23"/>
      <c r="R210" s="23"/>
      <c r="S210" s="69"/>
      <c r="T210" s="69"/>
      <c r="U210" s="23"/>
      <c r="V210" s="23"/>
      <c r="W210" s="69"/>
      <c r="X210" s="69"/>
      <c r="Y210" s="23"/>
      <c r="Z210" s="23"/>
      <c r="AA210" s="23"/>
      <c r="AB210" s="23"/>
      <c r="AC210" s="21" t="e">
        <f>#REF!-#REF!-#REF!-#REF!-AA210</f>
        <v>#REF!</v>
      </c>
      <c r="AD210" s="22" t="e">
        <f>G210-#REF!-#REF!-#REF!-#REF!-#REF!-#REF!-#REF!-#REF!-L210-P210-T210-X210</f>
        <v>#REF!</v>
      </c>
      <c r="AE210" s="23" t="e">
        <f>H210-#REF!-#REF!-#REF!-#REF!-#REF!-#REF!-#REF!-#REF!-M210-Q210-U210-Y210</f>
        <v>#REF!</v>
      </c>
      <c r="AF210" s="23" t="e">
        <f>I210-#REF!-#REF!-#REF!-AB210</f>
        <v>#REF!</v>
      </c>
      <c r="AG210" s="21"/>
      <c r="AH210" s="22"/>
      <c r="AI210" s="23"/>
      <c r="AJ210" s="23"/>
    </row>
    <row r="211" spans="1:36" s="4" customFormat="1" ht="30.05" customHeight="1" x14ac:dyDescent="0.3">
      <c r="A211" s="54"/>
      <c r="B211" s="46" t="s">
        <v>92</v>
      </c>
      <c r="C211" s="42"/>
      <c r="D211" s="169"/>
      <c r="E211" s="123"/>
      <c r="F211" s="123"/>
      <c r="G211" s="258">
        <f>SUM(G209:G210)</f>
        <v>20750</v>
      </c>
      <c r="H211" s="258">
        <f>SUM(H209:H210)</f>
        <v>25900</v>
      </c>
      <c r="I211" s="258">
        <f>SUM(G211:H211)</f>
        <v>46650</v>
      </c>
      <c r="J211" s="187"/>
      <c r="K211" s="63"/>
      <c r="L211" s="78"/>
      <c r="M211" s="63"/>
      <c r="N211" s="23"/>
      <c r="O211" s="78"/>
      <c r="P211" s="78"/>
      <c r="Q211" s="63"/>
      <c r="R211" s="23"/>
      <c r="S211" s="78"/>
      <c r="T211" s="78"/>
      <c r="U211" s="63"/>
      <c r="V211" s="23"/>
      <c r="W211" s="78"/>
      <c r="X211" s="78"/>
      <c r="Y211" s="63"/>
      <c r="Z211" s="23"/>
      <c r="AA211" s="23"/>
      <c r="AB211" s="23"/>
      <c r="AC211" s="21" t="e">
        <f>#REF!-#REF!-#REF!-#REF!-AA211</f>
        <v>#REF!</v>
      </c>
      <c r="AD211" s="22" t="e">
        <f>G211-#REF!-#REF!-#REF!-#REF!-#REF!-#REF!-#REF!-#REF!-L211-P211-T211-X211</f>
        <v>#REF!</v>
      </c>
      <c r="AE211" s="23" t="e">
        <f>H211-#REF!-#REF!-#REF!-#REF!-#REF!-#REF!-#REF!-#REF!-M211-Q211-U211-Y211</f>
        <v>#REF!</v>
      </c>
      <c r="AF211" s="23" t="e">
        <f>I211-#REF!-#REF!-#REF!-AB211</f>
        <v>#REF!</v>
      </c>
      <c r="AG211" s="21"/>
      <c r="AH211" s="22"/>
      <c r="AI211" s="23"/>
      <c r="AJ211" s="23"/>
    </row>
    <row r="212" spans="1:36" s="3" customFormat="1" ht="30.05" hidden="1" customHeight="1" x14ac:dyDescent="0.3">
      <c r="A212" s="43"/>
      <c r="B212" s="36" t="s">
        <v>287</v>
      </c>
      <c r="C212" s="43"/>
      <c r="D212" s="259"/>
      <c r="E212" s="260"/>
      <c r="F212" s="260"/>
      <c r="G212" s="260">
        <f>SUM(G211:G211)</f>
        <v>20750</v>
      </c>
      <c r="H212" s="260">
        <f>SUM(H211:H211)</f>
        <v>25900</v>
      </c>
      <c r="I212" s="261">
        <f>SUM(I211:I211)</f>
        <v>46650</v>
      </c>
      <c r="J212" s="205"/>
      <c r="K212" s="25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18"/>
      <c r="AB212" s="18"/>
      <c r="AC212" s="19" t="e">
        <f>#REF!-#REF!-#REF!-#REF!-AA212</f>
        <v>#REF!</v>
      </c>
      <c r="AD212" s="20" t="e">
        <f>G212-#REF!-#REF!-#REF!-#REF!-#REF!-#REF!-#REF!-#REF!-L212-P212-T212-X212</f>
        <v>#REF!</v>
      </c>
      <c r="AE212" s="18" t="e">
        <f>H212-#REF!-#REF!-#REF!-#REF!-#REF!-#REF!-#REF!-#REF!-M212-Q212-U212-Y212</f>
        <v>#REF!</v>
      </c>
      <c r="AF212" s="18" t="e">
        <f>I212-#REF!-#REF!-#REF!-AB212</f>
        <v>#REF!</v>
      </c>
      <c r="AG212" s="19"/>
      <c r="AH212" s="20"/>
      <c r="AI212" s="18"/>
      <c r="AJ212" s="18"/>
    </row>
    <row r="213" spans="1:36" s="4" customFormat="1" ht="30.05" customHeight="1" x14ac:dyDescent="0.3">
      <c r="A213" s="52" t="s">
        <v>61</v>
      </c>
      <c r="B213" s="37" t="s">
        <v>386</v>
      </c>
      <c r="C213" s="166"/>
      <c r="D213" s="256"/>
      <c r="E213" s="257"/>
      <c r="F213" s="257"/>
      <c r="G213" s="257"/>
      <c r="H213" s="257"/>
      <c r="I213" s="257"/>
      <c r="J213" s="208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23"/>
      <c r="AB213" s="23"/>
      <c r="AC213" s="21" t="e">
        <f>#REF!-#REF!-#REF!-#REF!-AA213</f>
        <v>#REF!</v>
      </c>
      <c r="AD213" s="22" t="e">
        <f>G213-#REF!-#REF!-#REF!-#REF!-#REF!-#REF!-#REF!-#REF!-L213-P213-T213-X213</f>
        <v>#REF!</v>
      </c>
      <c r="AE213" s="23" t="e">
        <f>H213-#REF!-#REF!-#REF!-#REF!-#REF!-#REF!-#REF!-#REF!-M213-Q213-U213-Y213</f>
        <v>#REF!</v>
      </c>
      <c r="AF213" s="23" t="e">
        <f>I213-#REF!-#REF!-#REF!-AB213</f>
        <v>#REF!</v>
      </c>
      <c r="AG213" s="21"/>
      <c r="AH213" s="22"/>
      <c r="AI213" s="23"/>
      <c r="AJ213" s="23"/>
    </row>
    <row r="214" spans="1:36" s="4" customFormat="1" ht="30.05" customHeight="1" x14ac:dyDescent="0.3">
      <c r="A214" s="54" t="s">
        <v>63</v>
      </c>
      <c r="B214" s="41" t="s">
        <v>365</v>
      </c>
      <c r="C214" s="42" t="s">
        <v>8</v>
      </c>
      <c r="D214" s="169">
        <v>1.17</v>
      </c>
      <c r="E214" s="125">
        <v>25000</v>
      </c>
      <c r="F214" s="125">
        <v>46000</v>
      </c>
      <c r="G214" s="123">
        <f>ROUND(D214*E214,0)</f>
        <v>29250</v>
      </c>
      <c r="H214" s="123">
        <f>ROUND(D214*F214,0)</f>
        <v>53820</v>
      </c>
      <c r="I214" s="123">
        <f t="shared" ref="I214:I219" si="23">SUM(G214:H214)</f>
        <v>83070</v>
      </c>
      <c r="J214" s="187"/>
      <c r="K214" s="23"/>
      <c r="L214" s="69"/>
      <c r="M214" s="23"/>
      <c r="N214" s="23"/>
      <c r="O214" s="69"/>
      <c r="P214" s="69"/>
      <c r="Q214" s="23"/>
      <c r="R214" s="23"/>
      <c r="S214" s="69"/>
      <c r="T214" s="69"/>
      <c r="U214" s="23"/>
      <c r="V214" s="23"/>
      <c r="W214" s="69"/>
      <c r="X214" s="69"/>
      <c r="Y214" s="23"/>
      <c r="Z214" s="23"/>
      <c r="AA214" s="23"/>
      <c r="AB214" s="23"/>
      <c r="AC214" s="21" t="e">
        <f>#REF!-#REF!-#REF!-#REF!-AA214</f>
        <v>#REF!</v>
      </c>
      <c r="AD214" s="22" t="e">
        <f>G214-#REF!-#REF!-#REF!-#REF!-#REF!-#REF!-#REF!-#REF!-L214-P214-T214-X214</f>
        <v>#REF!</v>
      </c>
      <c r="AE214" s="23" t="e">
        <f>H214-#REF!-#REF!-#REF!-#REF!-#REF!-#REF!-#REF!-#REF!-M214-Q214-U214-Y214</f>
        <v>#REF!</v>
      </c>
      <c r="AF214" s="23" t="e">
        <f>I214-#REF!-#REF!-#REF!-AB214</f>
        <v>#REF!</v>
      </c>
      <c r="AG214" s="21"/>
      <c r="AH214" s="22"/>
      <c r="AI214" s="23"/>
      <c r="AJ214" s="23"/>
    </row>
    <row r="215" spans="1:36" s="232" customFormat="1" ht="30.05" customHeight="1" x14ac:dyDescent="0.3">
      <c r="A215" s="54" t="s">
        <v>65</v>
      </c>
      <c r="B215" s="41" t="s">
        <v>358</v>
      </c>
      <c r="C215" s="42" t="s">
        <v>103</v>
      </c>
      <c r="D215" s="169">
        <f>13+13</f>
        <v>26</v>
      </c>
      <c r="E215" s="125">
        <v>350</v>
      </c>
      <c r="F215" s="125">
        <v>525</v>
      </c>
      <c r="G215" s="123">
        <f>ROUND(D215*E215,0)</f>
        <v>9100</v>
      </c>
      <c r="H215" s="123">
        <f>ROUND(D215*F215,0)</f>
        <v>13650</v>
      </c>
      <c r="I215" s="123">
        <f t="shared" si="23"/>
        <v>22750</v>
      </c>
      <c r="J215" s="242"/>
      <c r="K215" s="243"/>
      <c r="L215" s="245"/>
      <c r="M215" s="245"/>
      <c r="N215" s="243"/>
      <c r="O215" s="243"/>
      <c r="P215" s="245"/>
      <c r="Q215" s="245"/>
      <c r="R215" s="243"/>
      <c r="S215" s="243"/>
      <c r="T215" s="245"/>
      <c r="U215" s="245"/>
      <c r="V215" s="243"/>
      <c r="W215" s="243"/>
      <c r="X215" s="243"/>
      <c r="Y215" s="243"/>
      <c r="Z215" s="246" t="e">
        <f>#REF!-#REF!-#REF!-#REF!-X215</f>
        <v>#REF!</v>
      </c>
      <c r="AA215" s="247" t="e">
        <f>G215-#REF!-#REF!-#REF!-#REF!-#REF!-#REF!-#REF!-#REF!-#REF!-M215-Q215-U215</f>
        <v>#REF!</v>
      </c>
      <c r="AB215" s="243" t="e">
        <f>H215-#REF!-#REF!-#REF!-#REF!-#REF!-#REF!-#REF!-#REF!-#REF!-N215-R215-V215</f>
        <v>#REF!</v>
      </c>
      <c r="AC215" s="243" t="e">
        <f>I215-#REF!-#REF!-#REF!-Y215</f>
        <v>#REF!</v>
      </c>
      <c r="AD215" s="246"/>
      <c r="AE215" s="247"/>
      <c r="AF215" s="243"/>
      <c r="AG215" s="243"/>
    </row>
    <row r="216" spans="1:36" s="232" customFormat="1" ht="30.05" customHeight="1" x14ac:dyDescent="0.3">
      <c r="A216" s="54" t="s">
        <v>65</v>
      </c>
      <c r="B216" s="41" t="s">
        <v>359</v>
      </c>
      <c r="C216" s="42" t="s">
        <v>103</v>
      </c>
      <c r="D216" s="169">
        <f>6+2*2.8</f>
        <v>11.6</v>
      </c>
      <c r="E216" s="125">
        <v>350</v>
      </c>
      <c r="F216" s="125">
        <v>240</v>
      </c>
      <c r="G216" s="123">
        <f>ROUND(D216*E216,0)</f>
        <v>4060</v>
      </c>
      <c r="H216" s="123">
        <f>ROUND(D216*F216,0)</f>
        <v>2784</v>
      </c>
      <c r="I216" s="123">
        <f t="shared" si="23"/>
        <v>6844</v>
      </c>
      <c r="J216" s="242"/>
      <c r="K216" s="243"/>
      <c r="L216" s="245"/>
      <c r="M216" s="245"/>
      <c r="N216" s="243"/>
      <c r="O216" s="243"/>
      <c r="P216" s="245"/>
      <c r="Q216" s="245"/>
      <c r="R216" s="243"/>
      <c r="S216" s="243"/>
      <c r="T216" s="245"/>
      <c r="U216" s="245"/>
      <c r="V216" s="243"/>
      <c r="W216" s="243"/>
      <c r="X216" s="243"/>
      <c r="Y216" s="243"/>
      <c r="Z216" s="246" t="e">
        <f>#REF!-#REF!-#REF!-#REF!-X216</f>
        <v>#REF!</v>
      </c>
      <c r="AA216" s="247" t="e">
        <f>G216-#REF!-#REF!-#REF!-#REF!-#REF!-#REF!-#REF!-#REF!-#REF!-M216-Q216-U216</f>
        <v>#REF!</v>
      </c>
      <c r="AB216" s="243" t="e">
        <f>H216-#REF!-#REF!-#REF!-#REF!-#REF!-#REF!-#REF!-#REF!-#REF!-N216-R216-V216</f>
        <v>#REF!</v>
      </c>
      <c r="AC216" s="243" t="e">
        <f>I216-#REF!-#REF!-#REF!-Y216</f>
        <v>#REF!</v>
      </c>
      <c r="AD216" s="246"/>
      <c r="AE216" s="247"/>
      <c r="AF216" s="243"/>
      <c r="AG216" s="243"/>
    </row>
    <row r="217" spans="1:36" s="232" customFormat="1" ht="30.05" customHeight="1" x14ac:dyDescent="0.3">
      <c r="A217" s="54" t="s">
        <v>65</v>
      </c>
      <c r="B217" s="41" t="s">
        <v>360</v>
      </c>
      <c r="C217" s="42" t="s">
        <v>9</v>
      </c>
      <c r="D217" s="169">
        <v>2</v>
      </c>
      <c r="E217" s="125">
        <v>350</v>
      </c>
      <c r="F217" s="125">
        <v>1730</v>
      </c>
      <c r="G217" s="123">
        <f>ROUND(D217*E217,0)</f>
        <v>700</v>
      </c>
      <c r="H217" s="123">
        <f>ROUND(D217*F217,0)</f>
        <v>3460</v>
      </c>
      <c r="I217" s="123">
        <f t="shared" si="23"/>
        <v>4160</v>
      </c>
      <c r="J217" s="242"/>
      <c r="K217" s="243"/>
      <c r="L217" s="245"/>
      <c r="M217" s="245"/>
      <c r="N217" s="243"/>
      <c r="O217" s="243"/>
      <c r="P217" s="245"/>
      <c r="Q217" s="245"/>
      <c r="R217" s="243"/>
      <c r="S217" s="243"/>
      <c r="T217" s="245"/>
      <c r="U217" s="245"/>
      <c r="V217" s="243"/>
      <c r="W217" s="243"/>
      <c r="X217" s="243"/>
      <c r="Y217" s="243"/>
      <c r="Z217" s="246" t="e">
        <f>#REF!-#REF!-#REF!-#REF!-X217</f>
        <v>#REF!</v>
      </c>
      <c r="AA217" s="247" t="e">
        <f>G217-#REF!-#REF!-#REF!-#REF!-#REF!-#REF!-#REF!-#REF!-#REF!-M217-Q217-U217</f>
        <v>#REF!</v>
      </c>
      <c r="AB217" s="243" t="e">
        <f>H217-#REF!-#REF!-#REF!-#REF!-#REF!-#REF!-#REF!-#REF!-#REF!-N217-R217-V217</f>
        <v>#REF!</v>
      </c>
      <c r="AC217" s="243" t="e">
        <f>I217-#REF!-#REF!-#REF!-Y217</f>
        <v>#REF!</v>
      </c>
      <c r="AD217" s="246"/>
      <c r="AE217" s="247"/>
      <c r="AF217" s="243"/>
      <c r="AG217" s="243"/>
    </row>
    <row r="218" spans="1:36" s="232" customFormat="1" ht="30.05" customHeight="1" x14ac:dyDescent="0.3">
      <c r="A218" s="54" t="s">
        <v>65</v>
      </c>
      <c r="B218" s="41" t="s">
        <v>361</v>
      </c>
      <c r="C218" s="42" t="s">
        <v>6</v>
      </c>
      <c r="D218" s="169">
        <v>25.02</v>
      </c>
      <c r="E218" s="125">
        <v>700</v>
      </c>
      <c r="F218" s="125">
        <v>450</v>
      </c>
      <c r="G218" s="123">
        <f>ROUND(D218*E218,0)</f>
        <v>17514</v>
      </c>
      <c r="H218" s="123">
        <f>ROUND(D218*F218,0)</f>
        <v>11259</v>
      </c>
      <c r="I218" s="123">
        <f t="shared" si="23"/>
        <v>28773</v>
      </c>
      <c r="J218" s="242"/>
      <c r="K218" s="243"/>
      <c r="L218" s="245"/>
      <c r="M218" s="245"/>
      <c r="N218" s="243"/>
      <c r="O218" s="243"/>
      <c r="P218" s="245"/>
      <c r="Q218" s="245"/>
      <c r="R218" s="243"/>
      <c r="S218" s="243"/>
      <c r="T218" s="245"/>
      <c r="U218" s="245"/>
      <c r="V218" s="243"/>
      <c r="W218" s="243"/>
      <c r="X218" s="243"/>
      <c r="Y218" s="243"/>
      <c r="Z218" s="246" t="e">
        <f>#REF!-#REF!-#REF!-#REF!-X218</f>
        <v>#REF!</v>
      </c>
      <c r="AA218" s="247" t="e">
        <f>G218-#REF!-#REF!-#REF!-#REF!-#REF!-#REF!-#REF!-#REF!-#REF!-M218-Q218-U218</f>
        <v>#REF!</v>
      </c>
      <c r="AB218" s="243" t="e">
        <f>H218-#REF!-#REF!-#REF!-#REF!-#REF!-#REF!-#REF!-#REF!-#REF!-N218-R218-V218</f>
        <v>#REF!</v>
      </c>
      <c r="AC218" s="243" t="e">
        <f>I218-#REF!-#REF!-#REF!-Y218</f>
        <v>#REF!</v>
      </c>
      <c r="AD218" s="246"/>
      <c r="AE218" s="247"/>
      <c r="AF218" s="243"/>
      <c r="AG218" s="243"/>
    </row>
    <row r="219" spans="1:36" s="4" customFormat="1" ht="30.05" customHeight="1" x14ac:dyDescent="0.3">
      <c r="A219" s="54"/>
      <c r="B219" s="46" t="s">
        <v>170</v>
      </c>
      <c r="C219" s="42"/>
      <c r="D219" s="169"/>
      <c r="E219" s="123"/>
      <c r="F219" s="123"/>
      <c r="G219" s="258">
        <f>SUM(G214:G218)</f>
        <v>60624</v>
      </c>
      <c r="H219" s="258">
        <f>SUM(H214:H218)</f>
        <v>84973</v>
      </c>
      <c r="I219" s="258">
        <f t="shared" si="23"/>
        <v>145597</v>
      </c>
      <c r="J219" s="187"/>
      <c r="K219" s="63"/>
      <c r="L219" s="78"/>
      <c r="M219" s="63"/>
      <c r="N219" s="23"/>
      <c r="O219" s="78"/>
      <c r="P219" s="78"/>
      <c r="Q219" s="63"/>
      <c r="R219" s="23"/>
      <c r="S219" s="78"/>
      <c r="T219" s="78"/>
      <c r="U219" s="63"/>
      <c r="V219" s="23"/>
      <c r="W219" s="78"/>
      <c r="X219" s="78"/>
      <c r="Y219" s="63"/>
      <c r="Z219" s="23"/>
      <c r="AA219" s="23"/>
      <c r="AB219" s="23"/>
      <c r="AC219" s="21" t="e">
        <f>#REF!-#REF!-#REF!-#REF!-AA219</f>
        <v>#REF!</v>
      </c>
      <c r="AD219" s="22" t="e">
        <f>G219-#REF!-#REF!-#REF!-#REF!-#REF!-#REF!-#REF!-#REF!-L219-P219-T219-X219</f>
        <v>#REF!</v>
      </c>
      <c r="AE219" s="23" t="e">
        <f>H219-#REF!-#REF!-#REF!-#REF!-#REF!-#REF!-#REF!-#REF!-M219-Q219-U219-Y219</f>
        <v>#REF!</v>
      </c>
      <c r="AF219" s="23" t="e">
        <f>I219-#REF!-#REF!-#REF!-AB219</f>
        <v>#REF!</v>
      </c>
      <c r="AG219" s="21"/>
      <c r="AH219" s="22"/>
      <c r="AI219" s="23"/>
      <c r="AJ219" s="23"/>
    </row>
    <row r="220" spans="1:36" s="3" customFormat="1" ht="30.05" hidden="1" customHeight="1" x14ac:dyDescent="0.3">
      <c r="A220" s="43"/>
      <c r="B220" s="337" t="s">
        <v>288</v>
      </c>
      <c r="C220" s="43"/>
      <c r="D220" s="259"/>
      <c r="E220" s="260"/>
      <c r="F220" s="260"/>
      <c r="G220" s="260">
        <f>SUM(G219:G219)</f>
        <v>60624</v>
      </c>
      <c r="H220" s="260">
        <f>SUM(H219:H219)</f>
        <v>84973</v>
      </c>
      <c r="I220" s="261">
        <f>SUM(I219:I219)</f>
        <v>145597</v>
      </c>
      <c r="J220" s="205"/>
      <c r="K220" s="25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18"/>
      <c r="AB220" s="18"/>
      <c r="AC220" s="19" t="e">
        <f>#REF!-#REF!-#REF!-#REF!-AA220</f>
        <v>#REF!</v>
      </c>
      <c r="AD220" s="20" t="e">
        <f>G220-#REF!-#REF!-#REF!-#REF!-#REF!-#REF!-#REF!-#REF!-L220-P220-T220-X220</f>
        <v>#REF!</v>
      </c>
      <c r="AE220" s="18" t="e">
        <f>H220-#REF!-#REF!-#REF!-#REF!-#REF!-#REF!-#REF!-#REF!-M220-Q220-U220-Y220</f>
        <v>#REF!</v>
      </c>
      <c r="AF220" s="18" t="e">
        <f>I220-#REF!-#REF!-#REF!-AB220</f>
        <v>#REF!</v>
      </c>
      <c r="AG220" s="19"/>
      <c r="AH220" s="20"/>
      <c r="AI220" s="18"/>
      <c r="AJ220" s="18"/>
    </row>
    <row r="221" spans="1:36" s="4" customFormat="1" ht="30.05" customHeight="1" x14ac:dyDescent="0.3">
      <c r="A221" s="52" t="s">
        <v>67</v>
      </c>
      <c r="B221" s="37" t="s">
        <v>387</v>
      </c>
      <c r="C221" s="166"/>
      <c r="D221" s="256"/>
      <c r="E221" s="257"/>
      <c r="F221" s="257"/>
      <c r="G221" s="257"/>
      <c r="H221" s="257"/>
      <c r="I221" s="257"/>
      <c r="J221" s="208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23"/>
      <c r="AB221" s="23"/>
      <c r="AC221" s="21" t="e">
        <f>#REF!-#REF!-#REF!-#REF!-AA221</f>
        <v>#REF!</v>
      </c>
      <c r="AD221" s="22" t="e">
        <f>G221-#REF!-#REF!-#REF!-#REF!-#REF!-#REF!-#REF!-#REF!-L221-P221-T221-X221</f>
        <v>#REF!</v>
      </c>
      <c r="AE221" s="23" t="e">
        <f>H221-#REF!-#REF!-#REF!-#REF!-#REF!-#REF!-#REF!-#REF!-M221-Q221-U221-Y221</f>
        <v>#REF!</v>
      </c>
      <c r="AF221" s="23" t="e">
        <f>I221-#REF!-#REF!-#REF!-AB221</f>
        <v>#REF!</v>
      </c>
      <c r="AG221" s="21"/>
      <c r="AH221" s="22"/>
      <c r="AI221" s="23"/>
      <c r="AJ221" s="23"/>
    </row>
    <row r="222" spans="1:36" s="4" customFormat="1" ht="30.05" customHeight="1" x14ac:dyDescent="0.3">
      <c r="A222" s="52"/>
      <c r="B222" s="272" t="s">
        <v>200</v>
      </c>
      <c r="C222" s="166"/>
      <c r="D222" s="256"/>
      <c r="E222" s="257"/>
      <c r="F222" s="257"/>
      <c r="G222" s="257"/>
      <c r="H222" s="257"/>
      <c r="I222" s="257"/>
      <c r="J222" s="208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23"/>
      <c r="AB222" s="23"/>
      <c r="AC222" s="21"/>
      <c r="AD222" s="22"/>
      <c r="AE222" s="23"/>
      <c r="AF222" s="23"/>
      <c r="AG222" s="21"/>
      <c r="AH222" s="22"/>
      <c r="AI222" s="23"/>
      <c r="AJ222" s="23"/>
    </row>
    <row r="223" spans="1:36" s="4" customFormat="1" ht="44.3" customHeight="1" x14ac:dyDescent="0.3">
      <c r="A223" s="54" t="s">
        <v>243</v>
      </c>
      <c r="B223" s="57" t="s">
        <v>201</v>
      </c>
      <c r="C223" s="42" t="s">
        <v>6</v>
      </c>
      <c r="D223" s="169">
        <v>274.27</v>
      </c>
      <c r="E223" s="123">
        <v>200</v>
      </c>
      <c r="F223" s="123"/>
      <c r="G223" s="123">
        <f>ROUND(D223*E223,0)</f>
        <v>54854</v>
      </c>
      <c r="H223" s="123"/>
      <c r="I223" s="123">
        <f>SUM(G223:H223)</f>
        <v>54854</v>
      </c>
      <c r="J223" s="208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23"/>
      <c r="AB223" s="23"/>
      <c r="AC223" s="21"/>
      <c r="AD223" s="22"/>
      <c r="AE223" s="23"/>
      <c r="AF223" s="23"/>
      <c r="AG223" s="21"/>
      <c r="AH223" s="22"/>
      <c r="AI223" s="23"/>
      <c r="AJ223" s="23"/>
    </row>
    <row r="224" spans="1:36" s="96" customFormat="1" ht="30.05" customHeight="1" x14ac:dyDescent="0.3">
      <c r="A224" s="53"/>
      <c r="B224" s="48" t="s">
        <v>202</v>
      </c>
      <c r="C224" s="49" t="s">
        <v>7</v>
      </c>
      <c r="D224" s="170">
        <f>D223*0.1*1.05</f>
        <v>28.798349999999999</v>
      </c>
      <c r="E224" s="124"/>
      <c r="F224" s="124">
        <v>4300</v>
      </c>
      <c r="G224" s="124"/>
      <c r="H224" s="124">
        <f t="shared" ref="H224:H255" si="24">ROUND(D224*F224,0)</f>
        <v>123833</v>
      </c>
      <c r="I224" s="124">
        <f t="shared" ref="I224:I255" si="25">SUM(G224:H224)</f>
        <v>123833</v>
      </c>
      <c r="J224" s="273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  <c r="U224" s="274"/>
      <c r="V224" s="274"/>
      <c r="W224" s="274"/>
      <c r="X224" s="274"/>
      <c r="Y224" s="274"/>
      <c r="Z224" s="274"/>
      <c r="AA224" s="100"/>
      <c r="AB224" s="100"/>
      <c r="AC224" s="102"/>
      <c r="AD224" s="103"/>
      <c r="AE224" s="100"/>
      <c r="AF224" s="100"/>
      <c r="AG224" s="102"/>
      <c r="AH224" s="103"/>
      <c r="AI224" s="100"/>
      <c r="AJ224" s="100"/>
    </row>
    <row r="225" spans="1:36" s="96" customFormat="1" ht="30.05" customHeight="1" x14ac:dyDescent="0.3">
      <c r="A225" s="53"/>
      <c r="B225" s="48" t="s">
        <v>203</v>
      </c>
      <c r="C225" s="49" t="s">
        <v>26</v>
      </c>
      <c r="D225" s="170">
        <f>D223*0.06*1.05</f>
        <v>17.27901</v>
      </c>
      <c r="E225" s="124"/>
      <c r="F225" s="124">
        <v>305</v>
      </c>
      <c r="G225" s="124"/>
      <c r="H225" s="124">
        <f t="shared" si="24"/>
        <v>5270</v>
      </c>
      <c r="I225" s="124">
        <f t="shared" si="25"/>
        <v>5270</v>
      </c>
      <c r="J225" s="273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100"/>
      <c r="AB225" s="100"/>
      <c r="AC225" s="102"/>
      <c r="AD225" s="103"/>
      <c r="AE225" s="100"/>
      <c r="AF225" s="100"/>
      <c r="AG225" s="102"/>
      <c r="AH225" s="103"/>
      <c r="AI225" s="100"/>
      <c r="AJ225" s="100"/>
    </row>
    <row r="226" spans="1:36" s="73" customFormat="1" ht="52.45" customHeight="1" x14ac:dyDescent="0.3">
      <c r="A226" s="54" t="s">
        <v>244</v>
      </c>
      <c r="B226" s="41" t="s">
        <v>351</v>
      </c>
      <c r="C226" s="275" t="s">
        <v>6</v>
      </c>
      <c r="D226" s="276">
        <v>1688.96</v>
      </c>
      <c r="E226" s="123">
        <v>200</v>
      </c>
      <c r="F226" s="277"/>
      <c r="G226" s="277">
        <f>ROUND(D226*E226,0)</f>
        <v>337792</v>
      </c>
      <c r="H226" s="277"/>
      <c r="I226" s="277">
        <f>SUM(G226:H226)</f>
        <v>337792</v>
      </c>
      <c r="J226" s="20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  <c r="AA226" s="60"/>
      <c r="AB226" s="60"/>
      <c r="AC226" s="58"/>
      <c r="AD226" s="59"/>
      <c r="AE226" s="60"/>
      <c r="AF226" s="60"/>
      <c r="AG226" s="58"/>
      <c r="AH226" s="59"/>
      <c r="AI226" s="60"/>
      <c r="AJ226" s="60"/>
    </row>
    <row r="227" spans="1:36" s="96" customFormat="1" ht="45.1" customHeight="1" x14ac:dyDescent="0.3">
      <c r="A227" s="279"/>
      <c r="B227" s="48" t="s">
        <v>204</v>
      </c>
      <c r="C227" s="49" t="s">
        <v>7</v>
      </c>
      <c r="D227" s="170">
        <v>84.45</v>
      </c>
      <c r="E227" s="124"/>
      <c r="F227" s="124">
        <v>4300</v>
      </c>
      <c r="G227" s="124"/>
      <c r="H227" s="124">
        <f>ROUND(D227*F227,0)</f>
        <v>363135</v>
      </c>
      <c r="I227" s="124">
        <f>SUM(G227:H227)</f>
        <v>363135</v>
      </c>
      <c r="J227" s="273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100"/>
      <c r="AB227" s="100"/>
      <c r="AC227" s="102"/>
      <c r="AD227" s="103"/>
      <c r="AE227" s="100"/>
      <c r="AF227" s="100"/>
      <c r="AG227" s="102"/>
      <c r="AH227" s="103"/>
      <c r="AI227" s="100"/>
      <c r="AJ227" s="100"/>
    </row>
    <row r="228" spans="1:36" s="96" customFormat="1" ht="30.05" customHeight="1" x14ac:dyDescent="0.3">
      <c r="A228" s="279"/>
      <c r="B228" s="48" t="s">
        <v>203</v>
      </c>
      <c r="C228" s="49" t="s">
        <v>26</v>
      </c>
      <c r="D228" s="170">
        <f>D226*0.06*1.05</f>
        <v>106.40447999999999</v>
      </c>
      <c r="E228" s="124"/>
      <c r="F228" s="124">
        <v>305</v>
      </c>
      <c r="G228" s="124"/>
      <c r="H228" s="124">
        <f>ROUND(D228*F228,0)</f>
        <v>32453</v>
      </c>
      <c r="I228" s="124">
        <f>SUM(G228:H228)</f>
        <v>32453</v>
      </c>
      <c r="J228" s="273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100"/>
      <c r="AB228" s="100"/>
      <c r="AC228" s="102"/>
      <c r="AD228" s="103"/>
      <c r="AE228" s="100"/>
      <c r="AF228" s="100"/>
      <c r="AG228" s="102"/>
      <c r="AH228" s="103"/>
      <c r="AI228" s="100"/>
      <c r="AJ228" s="100"/>
    </row>
    <row r="229" spans="1:36" s="4" customFormat="1" ht="30.05" customHeight="1" x14ac:dyDescent="0.3">
      <c r="A229" s="54" t="s">
        <v>289</v>
      </c>
      <c r="B229" s="281" t="s">
        <v>352</v>
      </c>
      <c r="C229" s="129" t="s">
        <v>6</v>
      </c>
      <c r="D229" s="169">
        <v>4662.95</v>
      </c>
      <c r="E229" s="125">
        <v>200</v>
      </c>
      <c r="F229" s="125">
        <v>200</v>
      </c>
      <c r="G229" s="123">
        <f t="shared" ref="G229:G251" si="26">ROUND(D229*E229,0)</f>
        <v>932590</v>
      </c>
      <c r="H229" s="123">
        <f t="shared" si="24"/>
        <v>932590</v>
      </c>
      <c r="I229" s="123">
        <f t="shared" si="25"/>
        <v>1865180</v>
      </c>
      <c r="J229" s="187"/>
      <c r="K229" s="23"/>
      <c r="L229" s="69"/>
      <c r="M229" s="23"/>
      <c r="N229" s="23"/>
      <c r="O229" s="69"/>
      <c r="P229" s="69"/>
      <c r="Q229" s="23"/>
      <c r="R229" s="23"/>
      <c r="S229" s="69"/>
      <c r="T229" s="69"/>
      <c r="U229" s="23"/>
      <c r="V229" s="23"/>
      <c r="W229" s="69"/>
      <c r="X229" s="69"/>
      <c r="Y229" s="23"/>
      <c r="Z229" s="23"/>
      <c r="AA229" s="23"/>
      <c r="AB229" s="23"/>
      <c r="AC229" s="21" t="e">
        <f>#REF!-#REF!-#REF!-#REF!-AA229</f>
        <v>#REF!</v>
      </c>
      <c r="AD229" s="22" t="e">
        <f>G229-#REF!-#REF!-#REF!-#REF!-#REF!-#REF!-#REF!-#REF!-L229-P229-T229-X229</f>
        <v>#REF!</v>
      </c>
      <c r="AE229" s="23" t="e">
        <f>H229-#REF!-#REF!-#REF!-#REF!-#REF!-#REF!-#REF!-#REF!-M229-Q229-U229-Y229</f>
        <v>#REF!</v>
      </c>
      <c r="AF229" s="23" t="e">
        <f>I229-#REF!-#REF!-#REF!-AB229</f>
        <v>#REF!</v>
      </c>
      <c r="AG229" s="21"/>
      <c r="AH229" s="22"/>
      <c r="AI229" s="23"/>
      <c r="AJ229" s="23"/>
    </row>
    <row r="230" spans="1:36" s="4" customFormat="1" ht="30.05" customHeight="1" x14ac:dyDescent="0.3">
      <c r="A230" s="54" t="s">
        <v>290</v>
      </c>
      <c r="B230" s="281" t="s">
        <v>354</v>
      </c>
      <c r="C230" s="129" t="s">
        <v>6</v>
      </c>
      <c r="D230" s="169">
        <v>1583.63</v>
      </c>
      <c r="E230" s="125">
        <v>180</v>
      </c>
      <c r="F230" s="125">
        <v>180</v>
      </c>
      <c r="G230" s="123">
        <f>ROUND(D230*E230,0)</f>
        <v>285053</v>
      </c>
      <c r="H230" s="123">
        <f>ROUND(D230*F230,0)</f>
        <v>285053</v>
      </c>
      <c r="I230" s="123">
        <f>SUM(G230:H230)</f>
        <v>570106</v>
      </c>
      <c r="J230" s="187"/>
      <c r="K230" s="23"/>
      <c r="L230" s="69"/>
      <c r="M230" s="23"/>
      <c r="N230" s="23"/>
      <c r="O230" s="69"/>
      <c r="P230" s="69"/>
      <c r="Q230" s="23"/>
      <c r="R230" s="23"/>
      <c r="S230" s="69"/>
      <c r="T230" s="69"/>
      <c r="U230" s="23"/>
      <c r="V230" s="23"/>
      <c r="W230" s="69"/>
      <c r="X230" s="69"/>
      <c r="Y230" s="23"/>
      <c r="Z230" s="23"/>
      <c r="AA230" s="23"/>
      <c r="AB230" s="23"/>
      <c r="AC230" s="21" t="e">
        <f>#REF!-#REF!-#REF!-#REF!-AA230</f>
        <v>#REF!</v>
      </c>
      <c r="AD230" s="22" t="e">
        <f>G230-#REF!-#REF!-#REF!-#REF!-#REF!-#REF!-#REF!-#REF!-L230-P230-T230-X230</f>
        <v>#REF!</v>
      </c>
      <c r="AE230" s="23" t="e">
        <f>H230-#REF!-#REF!-#REF!-#REF!-#REF!-#REF!-#REF!-#REF!-M230-Q230-U230-Y230</f>
        <v>#REF!</v>
      </c>
      <c r="AF230" s="23" t="e">
        <f>I230-#REF!-#REF!-#REF!-AB230</f>
        <v>#REF!</v>
      </c>
      <c r="AG230" s="21"/>
      <c r="AH230" s="22"/>
      <c r="AI230" s="23"/>
      <c r="AJ230" s="23"/>
    </row>
    <row r="231" spans="1:36" s="4" customFormat="1" ht="30.05" customHeight="1" x14ac:dyDescent="0.3">
      <c r="A231" s="54" t="s">
        <v>291</v>
      </c>
      <c r="B231" s="281" t="s">
        <v>353</v>
      </c>
      <c r="C231" s="129" t="s">
        <v>6</v>
      </c>
      <c r="D231" s="169">
        <v>3857.37</v>
      </c>
      <c r="E231" s="125">
        <v>150</v>
      </c>
      <c r="F231" s="125">
        <v>152</v>
      </c>
      <c r="G231" s="123">
        <f t="shared" si="26"/>
        <v>578606</v>
      </c>
      <c r="H231" s="123">
        <f t="shared" si="24"/>
        <v>586320</v>
      </c>
      <c r="I231" s="123">
        <f t="shared" si="25"/>
        <v>1164926</v>
      </c>
      <c r="J231" s="187"/>
      <c r="K231" s="23"/>
      <c r="L231" s="69"/>
      <c r="M231" s="23"/>
      <c r="N231" s="23"/>
      <c r="O231" s="69"/>
      <c r="P231" s="69"/>
      <c r="Q231" s="23"/>
      <c r="R231" s="23"/>
      <c r="S231" s="69"/>
      <c r="T231" s="69"/>
      <c r="U231" s="23"/>
      <c r="V231" s="23"/>
      <c r="W231" s="69"/>
      <c r="X231" s="69"/>
      <c r="Y231" s="23"/>
      <c r="Z231" s="23"/>
      <c r="AA231" s="23"/>
      <c r="AB231" s="23"/>
      <c r="AC231" s="21" t="e">
        <f>#REF!-#REF!-#REF!-#REF!-AA231</f>
        <v>#REF!</v>
      </c>
      <c r="AD231" s="22" t="e">
        <f>G231-#REF!-#REF!-#REF!-#REF!-#REF!-#REF!-#REF!-#REF!-L231-P231-T231-X231</f>
        <v>#REF!</v>
      </c>
      <c r="AE231" s="23" t="e">
        <f>H231-#REF!-#REF!-#REF!-#REF!-#REF!-#REF!-#REF!-#REF!-M231-Q231-U231-Y231</f>
        <v>#REF!</v>
      </c>
      <c r="AF231" s="23" t="e">
        <f>I231-#REF!-#REF!-#REF!-AB231</f>
        <v>#REF!</v>
      </c>
      <c r="AG231" s="21"/>
      <c r="AH231" s="22"/>
      <c r="AI231" s="23"/>
      <c r="AJ231" s="23"/>
    </row>
    <row r="232" spans="1:36" s="4" customFormat="1" ht="30.05" customHeight="1" x14ac:dyDescent="0.3">
      <c r="A232" s="54" t="s">
        <v>292</v>
      </c>
      <c r="B232" s="281" t="s">
        <v>111</v>
      </c>
      <c r="C232" s="129" t="s">
        <v>6</v>
      </c>
      <c r="D232" s="169">
        <v>44.4</v>
      </c>
      <c r="E232" s="125">
        <v>450</v>
      </c>
      <c r="F232" s="125">
        <v>600</v>
      </c>
      <c r="G232" s="123">
        <f t="shared" si="26"/>
        <v>19980</v>
      </c>
      <c r="H232" s="123">
        <f t="shared" si="24"/>
        <v>26640</v>
      </c>
      <c r="I232" s="123">
        <f t="shared" si="25"/>
        <v>46620</v>
      </c>
      <c r="J232" s="187"/>
      <c r="K232" s="23"/>
      <c r="L232" s="69"/>
      <c r="M232" s="23"/>
      <c r="N232" s="23"/>
      <c r="O232" s="69"/>
      <c r="P232" s="69"/>
      <c r="Q232" s="23"/>
      <c r="R232" s="23"/>
      <c r="S232" s="69"/>
      <c r="T232" s="69"/>
      <c r="U232" s="23"/>
      <c r="V232" s="23"/>
      <c r="W232" s="69"/>
      <c r="X232" s="69"/>
      <c r="Y232" s="23"/>
      <c r="Z232" s="23"/>
      <c r="AA232" s="23"/>
      <c r="AB232" s="23"/>
      <c r="AC232" s="21"/>
      <c r="AD232" s="22"/>
      <c r="AE232" s="23"/>
      <c r="AF232" s="23"/>
      <c r="AG232" s="21"/>
      <c r="AH232" s="22"/>
      <c r="AI232" s="23"/>
      <c r="AJ232" s="23"/>
    </row>
    <row r="233" spans="1:36" s="115" customFormat="1" ht="30.05" customHeight="1" x14ac:dyDescent="0.3">
      <c r="A233" s="52"/>
      <c r="B233" s="282" t="s">
        <v>206</v>
      </c>
      <c r="C233" s="283"/>
      <c r="D233" s="256"/>
      <c r="E233" s="258"/>
      <c r="F233" s="258"/>
      <c r="G233" s="123"/>
      <c r="H233" s="123"/>
      <c r="I233" s="123"/>
      <c r="J233" s="187"/>
      <c r="K233" s="63"/>
      <c r="L233" s="77"/>
      <c r="M233" s="63"/>
      <c r="N233" s="63"/>
      <c r="O233" s="77"/>
      <c r="P233" s="77"/>
      <c r="Q233" s="63"/>
      <c r="R233" s="63"/>
      <c r="S233" s="77"/>
      <c r="T233" s="77"/>
      <c r="U233" s="63"/>
      <c r="V233" s="63"/>
      <c r="W233" s="77"/>
      <c r="X233" s="77"/>
      <c r="Y233" s="63"/>
      <c r="Z233" s="63"/>
      <c r="AA233" s="63"/>
      <c r="AB233" s="63"/>
      <c r="AC233" s="116"/>
      <c r="AD233" s="117"/>
      <c r="AE233" s="63"/>
      <c r="AF233" s="63"/>
      <c r="AG233" s="116"/>
      <c r="AH233" s="117"/>
      <c r="AI233" s="63"/>
      <c r="AJ233" s="63"/>
    </row>
    <row r="234" spans="1:36" s="4" customFormat="1" ht="30.05" customHeight="1" x14ac:dyDescent="0.3">
      <c r="A234" s="54" t="s">
        <v>293</v>
      </c>
      <c r="B234" s="281" t="s">
        <v>69</v>
      </c>
      <c r="C234" s="129" t="s">
        <v>6</v>
      </c>
      <c r="D234" s="169">
        <v>2411.17</v>
      </c>
      <c r="E234" s="125">
        <v>400</v>
      </c>
      <c r="F234" s="125">
        <v>800</v>
      </c>
      <c r="G234" s="123">
        <f t="shared" si="26"/>
        <v>964468</v>
      </c>
      <c r="H234" s="123">
        <f t="shared" si="24"/>
        <v>1928936</v>
      </c>
      <c r="I234" s="123">
        <f t="shared" si="25"/>
        <v>2893404</v>
      </c>
      <c r="J234" s="187"/>
      <c r="K234" s="23"/>
      <c r="L234" s="69"/>
      <c r="M234" s="23"/>
      <c r="N234" s="23"/>
      <c r="O234" s="69"/>
      <c r="P234" s="69"/>
      <c r="Q234" s="23"/>
      <c r="R234" s="23"/>
      <c r="S234" s="69"/>
      <c r="T234" s="69"/>
      <c r="U234" s="23"/>
      <c r="V234" s="23"/>
      <c r="W234" s="69"/>
      <c r="X234" s="69"/>
      <c r="Y234" s="23"/>
      <c r="Z234" s="23"/>
      <c r="AA234" s="23"/>
      <c r="AB234" s="23"/>
      <c r="AC234" s="21" t="e">
        <f>#REF!-#REF!-#REF!-#REF!-AA234</f>
        <v>#REF!</v>
      </c>
      <c r="AD234" s="22" t="e">
        <f>G234-#REF!-#REF!-#REF!-#REF!-#REF!-#REF!-#REF!-#REF!-L234-P234-T234-X234</f>
        <v>#REF!</v>
      </c>
      <c r="AE234" s="23" t="e">
        <f>H234-#REF!-#REF!-#REF!-#REF!-#REF!-#REF!-#REF!-#REF!-M234-Q234-U234-Y234</f>
        <v>#REF!</v>
      </c>
      <c r="AF234" s="23" t="e">
        <f>I234-#REF!-#REF!-#REF!-AB234</f>
        <v>#REF!</v>
      </c>
      <c r="AG234" s="21"/>
      <c r="AH234" s="22"/>
      <c r="AI234" s="23"/>
      <c r="AJ234" s="23"/>
    </row>
    <row r="235" spans="1:36" s="4" customFormat="1" ht="30.05" customHeight="1" x14ac:dyDescent="0.3">
      <c r="A235" s="54" t="s">
        <v>294</v>
      </c>
      <c r="B235" s="281" t="s">
        <v>110</v>
      </c>
      <c r="C235" s="129" t="s">
        <v>6</v>
      </c>
      <c r="D235" s="169">
        <v>11.47</v>
      </c>
      <c r="E235" s="125">
        <v>400</v>
      </c>
      <c r="F235" s="125">
        <v>800</v>
      </c>
      <c r="G235" s="123">
        <f t="shared" si="26"/>
        <v>4588</v>
      </c>
      <c r="H235" s="123">
        <f t="shared" si="24"/>
        <v>9176</v>
      </c>
      <c r="I235" s="123">
        <f t="shared" si="25"/>
        <v>13764</v>
      </c>
      <c r="J235" s="187"/>
      <c r="K235" s="23"/>
      <c r="L235" s="69"/>
      <c r="M235" s="23"/>
      <c r="N235" s="23"/>
      <c r="O235" s="69"/>
      <c r="P235" s="69"/>
      <c r="Q235" s="23"/>
      <c r="R235" s="23"/>
      <c r="S235" s="69"/>
      <c r="T235" s="69"/>
      <c r="U235" s="23"/>
      <c r="V235" s="23"/>
      <c r="W235" s="69"/>
      <c r="X235" s="69"/>
      <c r="Y235" s="23"/>
      <c r="Z235" s="23"/>
      <c r="AA235" s="23"/>
      <c r="AB235" s="23"/>
      <c r="AC235" s="21"/>
      <c r="AD235" s="22"/>
      <c r="AE235" s="23"/>
      <c r="AF235" s="23"/>
      <c r="AG235" s="21"/>
      <c r="AH235" s="22"/>
      <c r="AI235" s="23"/>
      <c r="AJ235" s="23"/>
    </row>
    <row r="236" spans="1:36" s="4" customFormat="1" ht="30.05" customHeight="1" x14ac:dyDescent="0.3">
      <c r="A236" s="54" t="s">
        <v>295</v>
      </c>
      <c r="B236" s="281" t="s">
        <v>355</v>
      </c>
      <c r="C236" s="129" t="s">
        <v>6</v>
      </c>
      <c r="D236" s="169">
        <v>1009.1</v>
      </c>
      <c r="E236" s="125">
        <v>150</v>
      </c>
      <c r="F236" s="125">
        <v>150</v>
      </c>
      <c r="G236" s="123">
        <f t="shared" si="26"/>
        <v>151365</v>
      </c>
      <c r="H236" s="123">
        <f t="shared" si="24"/>
        <v>151365</v>
      </c>
      <c r="I236" s="123">
        <f t="shared" si="25"/>
        <v>302730</v>
      </c>
      <c r="J236" s="187"/>
      <c r="K236" s="23"/>
      <c r="L236" s="69"/>
      <c r="M236" s="23"/>
      <c r="N236" s="23"/>
      <c r="O236" s="69"/>
      <c r="P236" s="69"/>
      <c r="Q236" s="23"/>
      <c r="R236" s="23"/>
      <c r="S236" s="69"/>
      <c r="T236" s="69"/>
      <c r="U236" s="23"/>
      <c r="V236" s="23"/>
      <c r="W236" s="69"/>
      <c r="X236" s="69"/>
      <c r="Y236" s="23"/>
      <c r="Z236" s="23"/>
      <c r="AA236" s="23"/>
      <c r="AB236" s="23"/>
      <c r="AC236" s="21" t="e">
        <f>#REF!-#REF!-#REF!-#REF!-AA236</f>
        <v>#REF!</v>
      </c>
      <c r="AD236" s="22" t="e">
        <f>G236-#REF!-#REF!-#REF!-#REF!-#REF!-#REF!-#REF!-#REF!-L236-P236-T236-X236</f>
        <v>#REF!</v>
      </c>
      <c r="AE236" s="23" t="e">
        <f>H236-#REF!-#REF!-#REF!-#REF!-#REF!-#REF!-#REF!-#REF!-M236-Q236-U236-Y236</f>
        <v>#REF!</v>
      </c>
      <c r="AF236" s="23" t="e">
        <f>I236-#REF!-#REF!-#REF!-AB236</f>
        <v>#REF!</v>
      </c>
      <c r="AG236" s="21"/>
      <c r="AH236" s="22"/>
      <c r="AI236" s="23"/>
      <c r="AJ236" s="23"/>
    </row>
    <row r="237" spans="1:36" s="115" customFormat="1" ht="30.05" customHeight="1" x14ac:dyDescent="0.3">
      <c r="A237" s="52"/>
      <c r="B237" s="282" t="s">
        <v>207</v>
      </c>
      <c r="C237" s="283"/>
      <c r="D237" s="256"/>
      <c r="E237" s="258"/>
      <c r="F237" s="258"/>
      <c r="G237" s="123"/>
      <c r="H237" s="123"/>
      <c r="I237" s="123"/>
      <c r="J237" s="187"/>
      <c r="K237" s="63"/>
      <c r="L237" s="77"/>
      <c r="M237" s="63"/>
      <c r="N237" s="63"/>
      <c r="O237" s="77"/>
      <c r="P237" s="77"/>
      <c r="Q237" s="63"/>
      <c r="R237" s="63"/>
      <c r="S237" s="77"/>
      <c r="T237" s="77"/>
      <c r="U237" s="63"/>
      <c r="V237" s="63"/>
      <c r="W237" s="77"/>
      <c r="X237" s="77"/>
      <c r="Y237" s="63"/>
      <c r="Z237" s="63"/>
      <c r="AA237" s="63"/>
      <c r="AB237" s="63"/>
      <c r="AC237" s="116"/>
      <c r="AD237" s="117"/>
      <c r="AE237" s="63"/>
      <c r="AF237" s="63"/>
      <c r="AG237" s="116"/>
      <c r="AH237" s="117"/>
      <c r="AI237" s="63"/>
      <c r="AJ237" s="63"/>
    </row>
    <row r="238" spans="1:36" s="4" customFormat="1" ht="30.05" customHeight="1" x14ac:dyDescent="0.3">
      <c r="A238" s="54" t="s">
        <v>296</v>
      </c>
      <c r="B238" s="114" t="s">
        <v>242</v>
      </c>
      <c r="C238" s="129" t="s">
        <v>6</v>
      </c>
      <c r="D238" s="169">
        <f>702.4+25.42+608.86+6+2851.3+11148</f>
        <v>15341.98</v>
      </c>
      <c r="E238" s="125">
        <v>150</v>
      </c>
      <c r="F238" s="125">
        <v>320</v>
      </c>
      <c r="G238" s="123">
        <f t="shared" si="26"/>
        <v>2301297</v>
      </c>
      <c r="H238" s="123">
        <f t="shared" si="24"/>
        <v>4909434</v>
      </c>
      <c r="I238" s="123">
        <f t="shared" si="25"/>
        <v>7210731</v>
      </c>
      <c r="J238" s="187"/>
      <c r="K238" s="23"/>
      <c r="L238" s="69"/>
      <c r="M238" s="23"/>
      <c r="N238" s="23"/>
      <c r="O238" s="69"/>
      <c r="P238" s="69"/>
      <c r="Q238" s="23"/>
      <c r="R238" s="23"/>
      <c r="S238" s="69"/>
      <c r="T238" s="69"/>
      <c r="U238" s="23"/>
      <c r="V238" s="23"/>
      <c r="W238" s="69"/>
      <c r="X238" s="69"/>
      <c r="Y238" s="23"/>
      <c r="Z238" s="23"/>
      <c r="AA238" s="23"/>
      <c r="AB238" s="23"/>
      <c r="AC238" s="21" t="e">
        <f>#REF!-#REF!-#REF!-#REF!-AA238</f>
        <v>#REF!</v>
      </c>
      <c r="AD238" s="22" t="e">
        <f>G238-#REF!-#REF!-#REF!-#REF!-#REF!-#REF!-#REF!-#REF!-L238-P238-T238-X238</f>
        <v>#REF!</v>
      </c>
      <c r="AE238" s="23" t="e">
        <f>H238-#REF!-#REF!-#REF!-#REF!-#REF!-#REF!-#REF!-#REF!-M238-Q238-U238-Y238</f>
        <v>#REF!</v>
      </c>
      <c r="AF238" s="23" t="e">
        <f>I238-#REF!-#REF!-#REF!-AB238</f>
        <v>#REF!</v>
      </c>
      <c r="AG238" s="21"/>
      <c r="AH238" s="22"/>
      <c r="AI238" s="23"/>
      <c r="AJ238" s="23"/>
    </row>
    <row r="239" spans="1:36" s="96" customFormat="1" ht="30.05" customHeight="1" x14ac:dyDescent="0.3">
      <c r="A239" s="53"/>
      <c r="B239" s="284" t="s">
        <v>72</v>
      </c>
      <c r="C239" s="285" t="s">
        <v>6</v>
      </c>
      <c r="D239" s="170">
        <v>1230.8399999999999</v>
      </c>
      <c r="E239" s="126"/>
      <c r="F239" s="126">
        <v>19.399999999999999</v>
      </c>
      <c r="G239" s="124"/>
      <c r="H239" s="124">
        <f t="shared" si="24"/>
        <v>23878</v>
      </c>
      <c r="I239" s="124">
        <f t="shared" si="25"/>
        <v>23878</v>
      </c>
      <c r="J239" s="207"/>
      <c r="K239" s="100"/>
      <c r="L239" s="101"/>
      <c r="M239" s="100"/>
      <c r="N239" s="100"/>
      <c r="O239" s="101"/>
      <c r="P239" s="101"/>
      <c r="Q239" s="100"/>
      <c r="R239" s="100"/>
      <c r="S239" s="101"/>
      <c r="T239" s="101"/>
      <c r="U239" s="100"/>
      <c r="V239" s="100"/>
      <c r="W239" s="101"/>
      <c r="X239" s="101"/>
      <c r="Y239" s="100"/>
      <c r="Z239" s="100"/>
      <c r="AA239" s="100"/>
      <c r="AB239" s="100"/>
      <c r="AC239" s="102" t="e">
        <f>#REF!-#REF!-#REF!-#REF!-AA239</f>
        <v>#REF!</v>
      </c>
      <c r="AD239" s="103" t="e">
        <f>G239-#REF!-#REF!-#REF!-#REF!-#REF!-#REF!-#REF!-#REF!-L239-P239-T239-X239</f>
        <v>#REF!</v>
      </c>
      <c r="AE239" s="100" t="e">
        <f>H239-#REF!-#REF!-#REF!-#REF!-#REF!-#REF!-#REF!-#REF!-M239-Q239-U239-Y239</f>
        <v>#REF!</v>
      </c>
      <c r="AF239" s="100" t="e">
        <f>I239-#REF!-#REF!-#REF!-AB239</f>
        <v>#REF!</v>
      </c>
      <c r="AG239" s="102"/>
      <c r="AH239" s="103"/>
      <c r="AI239" s="100"/>
      <c r="AJ239" s="100"/>
    </row>
    <row r="240" spans="1:36" s="4" customFormat="1" ht="30.05" customHeight="1" x14ac:dyDescent="0.3">
      <c r="A240" s="54" t="s">
        <v>297</v>
      </c>
      <c r="B240" s="114" t="s">
        <v>70</v>
      </c>
      <c r="C240" s="129" t="s">
        <v>6</v>
      </c>
      <c r="D240" s="169">
        <v>1490.49</v>
      </c>
      <c r="E240" s="125">
        <v>100</v>
      </c>
      <c r="F240" s="125">
        <v>150</v>
      </c>
      <c r="G240" s="123">
        <f t="shared" si="26"/>
        <v>149049</v>
      </c>
      <c r="H240" s="123">
        <f t="shared" si="24"/>
        <v>223574</v>
      </c>
      <c r="I240" s="123">
        <f t="shared" si="25"/>
        <v>372623</v>
      </c>
      <c r="J240" s="187"/>
      <c r="K240" s="23"/>
      <c r="L240" s="69"/>
      <c r="M240" s="23"/>
      <c r="N240" s="23"/>
      <c r="O240" s="69"/>
      <c r="P240" s="69"/>
      <c r="Q240" s="23"/>
      <c r="R240" s="23"/>
      <c r="S240" s="69"/>
      <c r="T240" s="69"/>
      <c r="U240" s="23"/>
      <c r="V240" s="23"/>
      <c r="W240" s="69"/>
      <c r="X240" s="69"/>
      <c r="Y240" s="23"/>
      <c r="Z240" s="23"/>
      <c r="AA240" s="23"/>
      <c r="AB240" s="23"/>
      <c r="AC240" s="21" t="e">
        <f>#REF!-#REF!-#REF!-#REF!-AA240</f>
        <v>#REF!</v>
      </c>
      <c r="AD240" s="22" t="e">
        <f>G240-#REF!-#REF!-#REF!-#REF!-#REF!-#REF!-#REF!-#REF!-L240-P240-T240-X240</f>
        <v>#REF!</v>
      </c>
      <c r="AE240" s="23" t="e">
        <f>H240-#REF!-#REF!-#REF!-#REF!-#REF!-#REF!-#REF!-#REF!-M240-Q240-U240-Y240</f>
        <v>#REF!</v>
      </c>
      <c r="AF240" s="23" t="e">
        <f>I240-#REF!-#REF!-#REF!-AB240</f>
        <v>#REF!</v>
      </c>
      <c r="AG240" s="21"/>
      <c r="AH240" s="22"/>
      <c r="AI240" s="23"/>
      <c r="AJ240" s="23"/>
    </row>
    <row r="241" spans="1:36" s="73" customFormat="1" ht="30.05" customHeight="1" x14ac:dyDescent="0.3">
      <c r="A241" s="54" t="s">
        <v>298</v>
      </c>
      <c r="B241" s="41" t="s">
        <v>73</v>
      </c>
      <c r="C241" s="129" t="s">
        <v>6</v>
      </c>
      <c r="D241" s="169">
        <v>608.88</v>
      </c>
      <c r="E241" s="125">
        <v>50</v>
      </c>
      <c r="F241" s="125">
        <v>250</v>
      </c>
      <c r="G241" s="123">
        <f t="shared" si="26"/>
        <v>30444</v>
      </c>
      <c r="H241" s="123">
        <f t="shared" si="24"/>
        <v>152220</v>
      </c>
      <c r="I241" s="123">
        <f t="shared" si="25"/>
        <v>182664</v>
      </c>
      <c r="J241" s="187"/>
      <c r="K241" s="60"/>
      <c r="L241" s="72"/>
      <c r="M241" s="60"/>
      <c r="N241" s="60"/>
      <c r="O241" s="72"/>
      <c r="P241" s="72"/>
      <c r="Q241" s="60"/>
      <c r="R241" s="60"/>
      <c r="S241" s="72"/>
      <c r="T241" s="72"/>
      <c r="U241" s="60"/>
      <c r="V241" s="60"/>
      <c r="W241" s="72"/>
      <c r="X241" s="72"/>
      <c r="Y241" s="60"/>
      <c r="Z241" s="60"/>
      <c r="AA241" s="60"/>
      <c r="AB241" s="60"/>
      <c r="AC241" s="58" t="e">
        <f>#REF!-#REF!-#REF!-#REF!-AA241</f>
        <v>#REF!</v>
      </c>
      <c r="AD241" s="59" t="e">
        <f>G241-#REF!-#REF!-#REF!-#REF!-#REF!-#REF!-#REF!-#REF!-L241-P241-T241-X241</f>
        <v>#REF!</v>
      </c>
      <c r="AE241" s="60" t="e">
        <f>H241-#REF!-#REF!-#REF!-#REF!-#REF!-#REF!-#REF!-#REF!-M241-Q241-U241-Y241</f>
        <v>#REF!</v>
      </c>
      <c r="AF241" s="60" t="e">
        <f>I241-#REF!-#REF!-#REF!-AB241</f>
        <v>#REF!</v>
      </c>
      <c r="AG241" s="58"/>
      <c r="AH241" s="59"/>
      <c r="AI241" s="60"/>
      <c r="AJ241" s="60"/>
    </row>
    <row r="242" spans="1:36" s="73" customFormat="1" ht="30.05" customHeight="1" x14ac:dyDescent="0.3">
      <c r="A242" s="54" t="s">
        <v>299</v>
      </c>
      <c r="B242" s="41" t="s">
        <v>216</v>
      </c>
      <c r="C242" s="129" t="s">
        <v>6</v>
      </c>
      <c r="D242" s="169">
        <v>17.34</v>
      </c>
      <c r="E242" s="125">
        <v>50</v>
      </c>
      <c r="F242" s="125">
        <v>250</v>
      </c>
      <c r="G242" s="123">
        <f t="shared" si="26"/>
        <v>867</v>
      </c>
      <c r="H242" s="123">
        <f t="shared" si="24"/>
        <v>4335</v>
      </c>
      <c r="I242" s="123">
        <f t="shared" si="25"/>
        <v>5202</v>
      </c>
      <c r="J242" s="187"/>
      <c r="K242" s="60"/>
      <c r="L242" s="72"/>
      <c r="M242" s="60"/>
      <c r="N242" s="60"/>
      <c r="O242" s="72"/>
      <c r="P242" s="72"/>
      <c r="Q242" s="60"/>
      <c r="R242" s="60"/>
      <c r="S242" s="72"/>
      <c r="T242" s="72"/>
      <c r="U242" s="60"/>
      <c r="V242" s="60"/>
      <c r="W242" s="72"/>
      <c r="X242" s="72"/>
      <c r="Y242" s="60"/>
      <c r="Z242" s="60"/>
      <c r="AA242" s="60"/>
      <c r="AB242" s="60"/>
      <c r="AC242" s="58" t="e">
        <f>#REF!-#REF!-#REF!-#REF!-AA242</f>
        <v>#REF!</v>
      </c>
      <c r="AD242" s="59" t="e">
        <f>G242-#REF!-#REF!-#REF!-#REF!-#REF!-#REF!-#REF!-#REF!-L242-P242-T242-X242</f>
        <v>#REF!</v>
      </c>
      <c r="AE242" s="60" t="e">
        <f>H242-#REF!-#REF!-#REF!-#REF!-#REF!-#REF!-#REF!-#REF!-M242-Q242-U242-Y242</f>
        <v>#REF!</v>
      </c>
      <c r="AF242" s="60" t="e">
        <f>I242-#REF!-#REF!-#REF!-AB242</f>
        <v>#REF!</v>
      </c>
      <c r="AG242" s="58"/>
      <c r="AH242" s="59"/>
      <c r="AI242" s="60"/>
      <c r="AJ242" s="60"/>
    </row>
    <row r="243" spans="1:36" s="4" customFormat="1" ht="42.75" customHeight="1" x14ac:dyDescent="0.3">
      <c r="A243" s="54" t="s">
        <v>300</v>
      </c>
      <c r="B243" s="41" t="s">
        <v>217</v>
      </c>
      <c r="C243" s="129" t="s">
        <v>6</v>
      </c>
      <c r="D243" s="169">
        <f>609+622</f>
        <v>1231</v>
      </c>
      <c r="E243" s="125">
        <v>100</v>
      </c>
      <c r="F243" s="125"/>
      <c r="G243" s="123">
        <f t="shared" si="26"/>
        <v>123100</v>
      </c>
      <c r="H243" s="123"/>
      <c r="I243" s="123">
        <f t="shared" si="25"/>
        <v>123100</v>
      </c>
      <c r="J243" s="187"/>
      <c r="K243" s="23"/>
      <c r="L243" s="69"/>
      <c r="M243" s="23"/>
      <c r="N243" s="23"/>
      <c r="O243" s="69"/>
      <c r="P243" s="69"/>
      <c r="Q243" s="23"/>
      <c r="R243" s="23"/>
      <c r="S243" s="69"/>
      <c r="T243" s="69"/>
      <c r="U243" s="23"/>
      <c r="V243" s="23"/>
      <c r="W243" s="69"/>
      <c r="X243" s="69"/>
      <c r="Y243" s="23"/>
      <c r="Z243" s="23"/>
      <c r="AA243" s="23"/>
      <c r="AB243" s="23"/>
      <c r="AC243" s="21" t="e">
        <f>#REF!-#REF!-#REF!-#REF!-AA243</f>
        <v>#REF!</v>
      </c>
      <c r="AD243" s="22" t="e">
        <f>G243-#REF!-#REF!-#REF!-#REF!-#REF!-#REF!-#REF!-#REF!-L243-P243-T243-X243</f>
        <v>#REF!</v>
      </c>
      <c r="AE243" s="23" t="e">
        <f>H243-#REF!-#REF!-#REF!-#REF!-#REF!-#REF!-#REF!-#REF!-M243-Q243-U243-Y243</f>
        <v>#REF!</v>
      </c>
      <c r="AF243" s="23" t="e">
        <f>I243-#REF!-#REF!-#REF!-AB243</f>
        <v>#REF!</v>
      </c>
      <c r="AG243" s="21"/>
      <c r="AH243" s="22"/>
      <c r="AI243" s="23"/>
      <c r="AJ243" s="23"/>
    </row>
    <row r="244" spans="1:36" s="96" customFormat="1" ht="30.05" customHeight="1" x14ac:dyDescent="0.3">
      <c r="A244" s="53"/>
      <c r="B244" s="48" t="s">
        <v>218</v>
      </c>
      <c r="C244" s="285" t="s">
        <v>7</v>
      </c>
      <c r="D244" s="170">
        <f>2.18+31.1</f>
        <v>33.28</v>
      </c>
      <c r="E244" s="126"/>
      <c r="F244" s="126">
        <v>4300</v>
      </c>
      <c r="G244" s="124"/>
      <c r="H244" s="124">
        <f t="shared" si="24"/>
        <v>143104</v>
      </c>
      <c r="I244" s="124">
        <f t="shared" si="25"/>
        <v>143104</v>
      </c>
      <c r="J244" s="207"/>
      <c r="K244" s="100"/>
      <c r="L244" s="101"/>
      <c r="M244" s="100"/>
      <c r="N244" s="100"/>
      <c r="O244" s="101"/>
      <c r="P244" s="101"/>
      <c r="Q244" s="100"/>
      <c r="R244" s="100"/>
      <c r="S244" s="101"/>
      <c r="T244" s="101"/>
      <c r="U244" s="100"/>
      <c r="V244" s="100"/>
      <c r="W244" s="101"/>
      <c r="X244" s="101"/>
      <c r="Y244" s="100"/>
      <c r="Z244" s="100"/>
      <c r="AA244" s="100"/>
      <c r="AB244" s="100"/>
      <c r="AC244" s="102" t="e">
        <f>#REF!-#REF!-#REF!-#REF!-AA244</f>
        <v>#REF!</v>
      </c>
      <c r="AD244" s="103" t="e">
        <f>G244-#REF!-#REF!-#REF!-#REF!-#REF!-#REF!-#REF!-#REF!-L244-P244-T244-X244</f>
        <v>#REF!</v>
      </c>
      <c r="AE244" s="100" t="e">
        <f>H244-#REF!-#REF!-#REF!-#REF!-#REF!-#REF!-#REF!-#REF!-M244-Q244-U244-Y244</f>
        <v>#REF!</v>
      </c>
      <c r="AF244" s="100" t="e">
        <f>I244-#REF!-#REF!-#REF!-AB244</f>
        <v>#REF!</v>
      </c>
      <c r="AG244" s="102"/>
      <c r="AH244" s="103"/>
      <c r="AI244" s="100"/>
      <c r="AJ244" s="100"/>
    </row>
    <row r="245" spans="1:36" s="96" customFormat="1" ht="30.05" customHeight="1" x14ac:dyDescent="0.3">
      <c r="A245" s="53"/>
      <c r="B245" s="48" t="s">
        <v>208</v>
      </c>
      <c r="C245" s="168" t="s">
        <v>7</v>
      </c>
      <c r="D245" s="170">
        <v>12.54</v>
      </c>
      <c r="E245" s="126"/>
      <c r="F245" s="126">
        <v>4300</v>
      </c>
      <c r="G245" s="124"/>
      <c r="H245" s="124">
        <f t="shared" si="24"/>
        <v>53922</v>
      </c>
      <c r="I245" s="124">
        <f t="shared" si="25"/>
        <v>53922</v>
      </c>
      <c r="J245" s="207"/>
      <c r="K245" s="100"/>
      <c r="L245" s="101"/>
      <c r="M245" s="100"/>
      <c r="N245" s="100"/>
      <c r="O245" s="101"/>
      <c r="P245" s="101"/>
      <c r="Q245" s="100"/>
      <c r="R245" s="100"/>
      <c r="S245" s="101"/>
      <c r="T245" s="101"/>
      <c r="U245" s="100"/>
      <c r="V245" s="100"/>
      <c r="W245" s="101"/>
      <c r="X245" s="101"/>
      <c r="Y245" s="100"/>
      <c r="Z245" s="100"/>
      <c r="AA245" s="100"/>
      <c r="AB245" s="100"/>
      <c r="AC245" s="102" t="e">
        <f>#REF!-#REF!-#REF!-#REF!-AA245</f>
        <v>#REF!</v>
      </c>
      <c r="AD245" s="103" t="e">
        <f>G245-#REF!-#REF!-#REF!-#REF!-#REF!-#REF!-#REF!-#REF!-L245-P245-T245-X245</f>
        <v>#REF!</v>
      </c>
      <c r="AE245" s="100" t="e">
        <f>H245-#REF!-#REF!-#REF!-#REF!-#REF!-#REF!-#REF!-#REF!-M245-Q245-U245-Y245</f>
        <v>#REF!</v>
      </c>
      <c r="AF245" s="100" t="e">
        <f>I245-#REF!-#REF!-#REF!-AB245</f>
        <v>#REF!</v>
      </c>
      <c r="AG245" s="102"/>
      <c r="AH245" s="103"/>
      <c r="AI245" s="100"/>
      <c r="AJ245" s="100"/>
    </row>
    <row r="246" spans="1:36" s="4" customFormat="1" ht="45.7" customHeight="1" x14ac:dyDescent="0.3">
      <c r="A246" s="54" t="s">
        <v>301</v>
      </c>
      <c r="B246" s="41" t="s">
        <v>71</v>
      </c>
      <c r="C246" s="129" t="s">
        <v>6</v>
      </c>
      <c r="D246" s="169">
        <v>3551.61</v>
      </c>
      <c r="E246" s="125">
        <v>450</v>
      </c>
      <c r="F246" s="125"/>
      <c r="G246" s="123">
        <f t="shared" si="26"/>
        <v>1598225</v>
      </c>
      <c r="H246" s="123"/>
      <c r="I246" s="123">
        <f t="shared" si="25"/>
        <v>1598225</v>
      </c>
      <c r="J246" s="187"/>
      <c r="K246" s="23"/>
      <c r="L246" s="69"/>
      <c r="M246" s="23"/>
      <c r="N246" s="23"/>
      <c r="O246" s="69"/>
      <c r="P246" s="69"/>
      <c r="Q246" s="23"/>
      <c r="R246" s="23"/>
      <c r="S246" s="69"/>
      <c r="T246" s="69"/>
      <c r="U246" s="23"/>
      <c r="V246" s="23"/>
      <c r="W246" s="69"/>
      <c r="X246" s="69"/>
      <c r="Y246" s="23"/>
      <c r="Z246" s="23"/>
      <c r="AA246" s="23"/>
      <c r="AB246" s="23"/>
      <c r="AC246" s="21" t="e">
        <f>#REF!-#REF!-#REF!-#REF!-AA246</f>
        <v>#REF!</v>
      </c>
      <c r="AD246" s="22" t="e">
        <f>G246-#REF!-#REF!-#REF!-#REF!-#REF!-#REF!-#REF!-#REF!-L246-P246-T246-X246</f>
        <v>#REF!</v>
      </c>
      <c r="AE246" s="23" t="e">
        <f>H246-#REF!-#REF!-#REF!-#REF!-#REF!-#REF!-#REF!-#REF!-M246-Q246-U246-Y246</f>
        <v>#REF!</v>
      </c>
      <c r="AF246" s="23" t="e">
        <f>I246-#REF!-#REF!-#REF!-AB246</f>
        <v>#REF!</v>
      </c>
      <c r="AG246" s="21"/>
      <c r="AH246" s="22"/>
      <c r="AI246" s="23"/>
      <c r="AJ246" s="23"/>
    </row>
    <row r="247" spans="1:36" s="234" customFormat="1" ht="35.1" customHeight="1" x14ac:dyDescent="0.3">
      <c r="A247" s="53"/>
      <c r="B247" s="48" t="s">
        <v>356</v>
      </c>
      <c r="C247" s="168" t="s">
        <v>6</v>
      </c>
      <c r="D247" s="170">
        <f>31.93*1.1</f>
        <v>35.123000000000005</v>
      </c>
      <c r="E247" s="126"/>
      <c r="F247" s="126">
        <v>560</v>
      </c>
      <c r="G247" s="124"/>
      <c r="H247" s="124">
        <f>ROUND(D247*F247,0)</f>
        <v>19669</v>
      </c>
      <c r="I247" s="124">
        <f>SUM(G247:H247)</f>
        <v>19669</v>
      </c>
      <c r="J247" s="233"/>
    </row>
    <row r="248" spans="1:36" s="232" customFormat="1" ht="35.1" customHeight="1" x14ac:dyDescent="0.3">
      <c r="A248" s="53"/>
      <c r="B248" s="48" t="s">
        <v>219</v>
      </c>
      <c r="C248" s="168" t="s">
        <v>6</v>
      </c>
      <c r="D248" s="170">
        <f>3519.07*1.1</f>
        <v>3870.9770000000003</v>
      </c>
      <c r="E248" s="126"/>
      <c r="F248" s="126">
        <v>490</v>
      </c>
      <c r="G248" s="124"/>
      <c r="H248" s="124">
        <f>ROUND(D248*F248,0)</f>
        <v>1896779</v>
      </c>
      <c r="I248" s="124">
        <f>SUM(G248:H248)</f>
        <v>1896779</v>
      </c>
      <c r="J248" s="231"/>
    </row>
    <row r="249" spans="1:36" s="237" customFormat="1" ht="35.1" customHeight="1" x14ac:dyDescent="0.3">
      <c r="A249" s="235"/>
      <c r="B249" s="48" t="s">
        <v>209</v>
      </c>
      <c r="C249" s="168" t="s">
        <v>26</v>
      </c>
      <c r="D249" s="49">
        <f>ROUND(D246*14.3,2)</f>
        <v>50788.02</v>
      </c>
      <c r="E249" s="126"/>
      <c r="F249" s="126">
        <v>25</v>
      </c>
      <c r="G249" s="123"/>
      <c r="H249" s="123">
        <f>ROUND(F249*D249,0)</f>
        <v>1269701</v>
      </c>
      <c r="I249" s="123">
        <f>G249+H249</f>
        <v>1269701</v>
      </c>
      <c r="J249" s="236"/>
    </row>
    <row r="250" spans="1:36" s="232" customFormat="1" ht="35.1" customHeight="1" x14ac:dyDescent="0.3">
      <c r="A250" s="235"/>
      <c r="B250" s="48" t="s">
        <v>205</v>
      </c>
      <c r="C250" s="168" t="s">
        <v>26</v>
      </c>
      <c r="D250" s="49">
        <f>ROUND(D246*0.194,0)</f>
        <v>689</v>
      </c>
      <c r="E250" s="126"/>
      <c r="F250" s="126">
        <v>85</v>
      </c>
      <c r="G250" s="123"/>
      <c r="H250" s="123">
        <f>ROUND(F250*D250,0)</f>
        <v>58565</v>
      </c>
      <c r="I250" s="123">
        <f>G250+H250</f>
        <v>58565</v>
      </c>
      <c r="J250" s="231"/>
    </row>
    <row r="251" spans="1:36" s="4" customFormat="1" ht="30.05" customHeight="1" x14ac:dyDescent="0.3">
      <c r="A251" s="54" t="s">
        <v>302</v>
      </c>
      <c r="B251" s="41" t="s">
        <v>74</v>
      </c>
      <c r="C251" s="129" t="s">
        <v>75</v>
      </c>
      <c r="D251" s="169">
        <v>2080.15</v>
      </c>
      <c r="E251" s="125">
        <v>150</v>
      </c>
      <c r="F251" s="125"/>
      <c r="G251" s="123">
        <f t="shared" si="26"/>
        <v>312023</v>
      </c>
      <c r="H251" s="123"/>
      <c r="I251" s="123">
        <f t="shared" si="25"/>
        <v>312023</v>
      </c>
      <c r="J251" s="187"/>
      <c r="K251" s="23"/>
      <c r="L251" s="69"/>
      <c r="M251" s="23"/>
      <c r="N251" s="23"/>
      <c r="O251" s="69"/>
      <c r="P251" s="69"/>
      <c r="Q251" s="23"/>
      <c r="R251" s="23"/>
      <c r="S251" s="69"/>
      <c r="T251" s="69"/>
      <c r="U251" s="23"/>
      <c r="V251" s="23"/>
      <c r="W251" s="69"/>
      <c r="X251" s="69"/>
      <c r="Y251" s="23"/>
      <c r="Z251" s="23"/>
      <c r="AA251" s="23"/>
      <c r="AB251" s="23"/>
      <c r="AC251" s="21" t="e">
        <f>#REF!-#REF!-#REF!-#REF!-AA251</f>
        <v>#REF!</v>
      </c>
      <c r="AD251" s="22" t="e">
        <f>G251-#REF!-#REF!-#REF!-#REF!-#REF!-#REF!-#REF!-#REF!-L251-P251-T251-X251</f>
        <v>#REF!</v>
      </c>
      <c r="AE251" s="23" t="e">
        <f>H251-#REF!-#REF!-#REF!-#REF!-#REF!-#REF!-#REF!-#REF!-M251-Q251-U251-Y251</f>
        <v>#REF!</v>
      </c>
      <c r="AF251" s="23" t="e">
        <f>I251-#REF!-#REF!-#REF!-AB251</f>
        <v>#REF!</v>
      </c>
      <c r="AG251" s="21"/>
      <c r="AH251" s="22"/>
      <c r="AI251" s="23"/>
      <c r="AJ251" s="23"/>
    </row>
    <row r="252" spans="1:36" s="96" customFormat="1" ht="30.05" customHeight="1" x14ac:dyDescent="0.3">
      <c r="A252" s="53"/>
      <c r="B252" s="48" t="s">
        <v>219</v>
      </c>
      <c r="C252" s="168" t="s">
        <v>6</v>
      </c>
      <c r="D252" s="170">
        <f>D251*1.1*0.1</f>
        <v>228.81650000000005</v>
      </c>
      <c r="E252" s="126"/>
      <c r="F252" s="126">
        <v>490</v>
      </c>
      <c r="G252" s="124"/>
      <c r="H252" s="124">
        <f t="shared" si="24"/>
        <v>112120</v>
      </c>
      <c r="I252" s="124">
        <f t="shared" si="25"/>
        <v>112120</v>
      </c>
      <c r="J252" s="207"/>
      <c r="K252" s="100"/>
      <c r="L252" s="101"/>
      <c r="M252" s="100"/>
      <c r="N252" s="100"/>
      <c r="O252" s="101"/>
      <c r="P252" s="101"/>
      <c r="Q252" s="100"/>
      <c r="R252" s="100"/>
      <c r="S252" s="101"/>
      <c r="T252" s="101"/>
      <c r="U252" s="100"/>
      <c r="V252" s="100"/>
      <c r="W252" s="101"/>
      <c r="X252" s="101"/>
      <c r="Y252" s="100"/>
      <c r="Z252" s="100"/>
      <c r="AA252" s="100"/>
      <c r="AB252" s="100"/>
      <c r="AC252" s="102" t="e">
        <f>#REF!-#REF!-#REF!-#REF!-AA252</f>
        <v>#REF!</v>
      </c>
      <c r="AD252" s="103" t="e">
        <f>G252-#REF!-#REF!-#REF!-#REF!-#REF!-#REF!-#REF!-#REF!-L252-P252-T252-X252</f>
        <v>#REF!</v>
      </c>
      <c r="AE252" s="100" t="e">
        <f>H252-#REF!-#REF!-#REF!-#REF!-#REF!-#REF!-#REF!-#REF!-M252-Q252-U252-Y252</f>
        <v>#REF!</v>
      </c>
      <c r="AF252" s="100" t="e">
        <f>I252-#REF!-#REF!-#REF!-AB252</f>
        <v>#REF!</v>
      </c>
      <c r="AG252" s="102"/>
      <c r="AH252" s="103"/>
      <c r="AI252" s="100"/>
      <c r="AJ252" s="100"/>
    </row>
    <row r="253" spans="1:36" s="96" customFormat="1" ht="30.05" customHeight="1" x14ac:dyDescent="0.3">
      <c r="A253" s="286"/>
      <c r="B253" s="48" t="s">
        <v>209</v>
      </c>
      <c r="C253" s="168" t="s">
        <v>26</v>
      </c>
      <c r="D253" s="170">
        <f>ROUND(D252*14.3,2)</f>
        <v>3272.08</v>
      </c>
      <c r="E253" s="126"/>
      <c r="F253" s="126">
        <v>25</v>
      </c>
      <c r="G253" s="124"/>
      <c r="H253" s="124">
        <f t="shared" si="24"/>
        <v>81802</v>
      </c>
      <c r="I253" s="124">
        <f t="shared" si="25"/>
        <v>81802</v>
      </c>
      <c r="J253" s="207"/>
      <c r="K253" s="100"/>
      <c r="L253" s="101"/>
      <c r="M253" s="100"/>
      <c r="N253" s="100"/>
      <c r="O253" s="101"/>
      <c r="P253" s="101"/>
      <c r="Q253" s="100"/>
      <c r="R253" s="100"/>
      <c r="S253" s="101"/>
      <c r="T253" s="101"/>
      <c r="U253" s="100"/>
      <c r="V253" s="100"/>
      <c r="W253" s="101"/>
      <c r="X253" s="101"/>
      <c r="Y253" s="100"/>
      <c r="Z253" s="100"/>
      <c r="AA253" s="100"/>
      <c r="AB253" s="100"/>
      <c r="AC253" s="102" t="e">
        <f>#REF!-#REF!-#REF!-#REF!-AA253</f>
        <v>#REF!</v>
      </c>
      <c r="AD253" s="103" t="e">
        <f>G253-#REF!-#REF!-#REF!-#REF!-#REF!-#REF!-#REF!-#REF!-L253-P253-T253-X253</f>
        <v>#REF!</v>
      </c>
      <c r="AE253" s="100" t="e">
        <f>H253-#REF!-#REF!-#REF!-#REF!-#REF!-#REF!-#REF!-#REF!-M253-Q253-U253-Y253</f>
        <v>#REF!</v>
      </c>
      <c r="AF253" s="100" t="e">
        <f>I253-#REF!-#REF!-#REF!-AB253</f>
        <v>#REF!</v>
      </c>
      <c r="AG253" s="102"/>
      <c r="AH253" s="103"/>
      <c r="AI253" s="100"/>
      <c r="AJ253" s="100"/>
    </row>
    <row r="254" spans="1:36" s="96" customFormat="1" ht="30.05" customHeight="1" x14ac:dyDescent="0.3">
      <c r="A254" s="286"/>
      <c r="B254" s="48" t="s">
        <v>205</v>
      </c>
      <c r="C254" s="168" t="s">
        <v>26</v>
      </c>
      <c r="D254" s="170">
        <f>ROUND(D252*0.194,0)</f>
        <v>44</v>
      </c>
      <c r="E254" s="126"/>
      <c r="F254" s="126">
        <v>85.12</v>
      </c>
      <c r="G254" s="124"/>
      <c r="H254" s="124">
        <f t="shared" si="24"/>
        <v>3745</v>
      </c>
      <c r="I254" s="124">
        <f t="shared" si="25"/>
        <v>3745</v>
      </c>
      <c r="J254" s="207"/>
      <c r="K254" s="100"/>
      <c r="L254" s="101"/>
      <c r="M254" s="100"/>
      <c r="N254" s="100"/>
      <c r="O254" s="101"/>
      <c r="P254" s="101"/>
      <c r="Q254" s="100"/>
      <c r="R254" s="100"/>
      <c r="S254" s="101"/>
      <c r="T254" s="101"/>
      <c r="U254" s="100"/>
      <c r="V254" s="100"/>
      <c r="W254" s="101"/>
      <c r="X254" s="101"/>
      <c r="Y254" s="100"/>
      <c r="Z254" s="100"/>
      <c r="AA254" s="100"/>
      <c r="AB254" s="100"/>
      <c r="AC254" s="102"/>
      <c r="AD254" s="103"/>
      <c r="AE254" s="100"/>
      <c r="AF254" s="100"/>
      <c r="AG254" s="102"/>
      <c r="AH254" s="103"/>
      <c r="AI254" s="100"/>
      <c r="AJ254" s="100"/>
    </row>
    <row r="255" spans="1:36" s="237" customFormat="1" ht="30.05" customHeight="1" x14ac:dyDescent="0.3">
      <c r="A255" s="54" t="s">
        <v>303</v>
      </c>
      <c r="B255" s="41" t="s">
        <v>357</v>
      </c>
      <c r="C255" s="32" t="s">
        <v>6</v>
      </c>
      <c r="D255" s="169">
        <v>25.77</v>
      </c>
      <c r="E255" s="125">
        <v>650</v>
      </c>
      <c r="F255" s="125">
        <v>3500</v>
      </c>
      <c r="G255" s="123">
        <f>ROUND(D255*E255,0)</f>
        <v>16751</v>
      </c>
      <c r="H255" s="123">
        <f t="shared" si="24"/>
        <v>90195</v>
      </c>
      <c r="I255" s="123">
        <f t="shared" si="25"/>
        <v>106946</v>
      </c>
      <c r="J255" s="238"/>
      <c r="K255" s="239"/>
      <c r="L255" s="240"/>
      <c r="M255" s="240"/>
      <c r="N255" s="239"/>
      <c r="O255" s="239"/>
      <c r="P255" s="240"/>
      <c r="Q255" s="240"/>
      <c r="R255" s="239"/>
      <c r="S255" s="239"/>
      <c r="T255" s="240"/>
      <c r="U255" s="240"/>
      <c r="V255" s="239"/>
      <c r="W255" s="239"/>
      <c r="X255" s="239"/>
      <c r="Y255" s="239"/>
      <c r="Z255" s="241" t="e">
        <f>#REF!-#REF!-#REF!-#REF!-X255</f>
        <v>#REF!</v>
      </c>
      <c r="AA255" s="239" t="e">
        <f>G255-#REF!-#REF!-#REF!-#REF!-#REF!-#REF!-#REF!-#REF!-#REF!-M255-Q255-U255</f>
        <v>#REF!</v>
      </c>
      <c r="AB255" s="239" t="e">
        <f>H255-#REF!-#REF!-#REF!-#REF!-#REF!-#REF!-#REF!-#REF!-#REF!-N255-R255-V255</f>
        <v>#REF!</v>
      </c>
      <c r="AC255" s="239" t="e">
        <f>I255-#REF!-#REF!-#REF!-Y255</f>
        <v>#REF!</v>
      </c>
      <c r="AD255" s="241"/>
      <c r="AE255" s="239"/>
      <c r="AF255" s="239"/>
      <c r="AG255" s="239"/>
    </row>
    <row r="256" spans="1:36" s="4" customFormat="1" ht="30.05" customHeight="1" x14ac:dyDescent="0.3">
      <c r="A256" s="54"/>
      <c r="B256" s="46" t="s">
        <v>92</v>
      </c>
      <c r="C256" s="42"/>
      <c r="D256" s="169"/>
      <c r="E256" s="123"/>
      <c r="F256" s="123"/>
      <c r="G256" s="258">
        <f>SUM(G223:G255)</f>
        <v>7861052</v>
      </c>
      <c r="H256" s="125">
        <f>SUM(H223:H255)</f>
        <v>13487814</v>
      </c>
      <c r="I256" s="258">
        <f>SUM(G256:H256)</f>
        <v>21348866</v>
      </c>
      <c r="J256" s="187"/>
      <c r="K256" s="63"/>
      <c r="L256" s="78"/>
      <c r="M256" s="63"/>
      <c r="N256" s="23"/>
      <c r="O256" s="78"/>
      <c r="P256" s="78"/>
      <c r="Q256" s="63"/>
      <c r="R256" s="23"/>
      <c r="S256" s="78"/>
      <c r="T256" s="78"/>
      <c r="U256" s="63"/>
      <c r="V256" s="23"/>
      <c r="W256" s="78"/>
      <c r="X256" s="78"/>
      <c r="Y256" s="63"/>
      <c r="Z256" s="23"/>
      <c r="AA256" s="23"/>
      <c r="AB256" s="23"/>
      <c r="AC256" s="21" t="e">
        <f>#REF!-#REF!-#REF!-#REF!-AA256</f>
        <v>#REF!</v>
      </c>
      <c r="AD256" s="22" t="e">
        <f>G256-#REF!-#REF!-#REF!-#REF!-#REF!-#REF!-#REF!-#REF!-L256-P256-T256-X256</f>
        <v>#REF!</v>
      </c>
      <c r="AE256" s="23" t="e">
        <f>H256-#REF!-#REF!-#REF!-#REF!-#REF!-#REF!-#REF!-#REF!-M256-Q256-U256-Y256</f>
        <v>#REF!</v>
      </c>
      <c r="AF256" s="23" t="e">
        <f>I256-#REF!-#REF!-#REF!-AB256</f>
        <v>#REF!</v>
      </c>
      <c r="AG256" s="21"/>
      <c r="AH256" s="63">
        <f>SUM(AH229:AH255)</f>
        <v>0</v>
      </c>
      <c r="AI256" s="23"/>
      <c r="AJ256" s="63">
        <f>AH256</f>
        <v>0</v>
      </c>
    </row>
    <row r="257" spans="1:36" s="175" customFormat="1" ht="30.05" customHeight="1" x14ac:dyDescent="0.25">
      <c r="A257" s="54"/>
      <c r="B257" s="338" t="s">
        <v>249</v>
      </c>
      <c r="C257" s="42"/>
      <c r="D257" s="169"/>
      <c r="E257" s="123"/>
      <c r="F257" s="123"/>
      <c r="J257" s="197"/>
      <c r="P257" s="125">
        <f>ROUND(G256*0.11,0)</f>
        <v>864716</v>
      </c>
      <c r="Q257" s="123"/>
      <c r="R257" s="123">
        <f>P257</f>
        <v>864716</v>
      </c>
    </row>
    <row r="258" spans="1:36" s="175" customFormat="1" ht="30.05" customHeight="1" x14ac:dyDescent="0.25">
      <c r="A258" s="54"/>
      <c r="B258" s="338" t="s">
        <v>223</v>
      </c>
      <c r="C258" s="42"/>
      <c r="D258" s="169"/>
      <c r="E258" s="123"/>
      <c r="F258" s="123"/>
      <c r="J258" s="197"/>
      <c r="P258" s="125">
        <f>ROUND(G256*0.05,0)</f>
        <v>393053</v>
      </c>
      <c r="Q258" s="123"/>
      <c r="R258" s="123">
        <f>P258</f>
        <v>393053</v>
      </c>
    </row>
    <row r="259" spans="1:36" s="3" customFormat="1" ht="30.05" hidden="1" customHeight="1" x14ac:dyDescent="0.3">
      <c r="A259" s="43"/>
      <c r="B259" s="36" t="s">
        <v>304</v>
      </c>
      <c r="C259" s="43"/>
      <c r="D259" s="259"/>
      <c r="E259" s="260"/>
      <c r="F259" s="260"/>
      <c r="G259" s="260">
        <f>SUM(G256:G258)</f>
        <v>7861052</v>
      </c>
      <c r="H259" s="260">
        <f>SUM(H256:H258)</f>
        <v>13487814</v>
      </c>
      <c r="I259" s="261">
        <f>SUM(I256:I258)</f>
        <v>21348866</v>
      </c>
      <c r="J259" s="205"/>
      <c r="K259" s="25"/>
      <c r="L259" s="64"/>
      <c r="M259" s="65"/>
      <c r="N259" s="65"/>
      <c r="O259" s="64"/>
      <c r="P259" s="64"/>
      <c r="Q259" s="65"/>
      <c r="R259" s="65"/>
      <c r="S259" s="64"/>
      <c r="T259" s="64"/>
      <c r="U259" s="65"/>
      <c r="V259" s="65"/>
      <c r="W259" s="64"/>
      <c r="X259" s="64"/>
      <c r="Y259" s="65"/>
      <c r="Z259" s="65"/>
      <c r="AA259" s="18"/>
      <c r="AB259" s="18"/>
      <c r="AC259" s="19" t="e">
        <f>#REF!-#REF!-#REF!-#REF!-AA259</f>
        <v>#REF!</v>
      </c>
      <c r="AD259" s="20" t="e">
        <f>G259-#REF!-#REF!-#REF!-#REF!-#REF!-#REF!-#REF!-#REF!-L259-P259-T259-X259</f>
        <v>#REF!</v>
      </c>
      <c r="AE259" s="18" t="e">
        <f>H259-#REF!-#REF!-#REF!-#REF!-#REF!-#REF!-#REF!-#REF!-M259-Q259-U259-Y259</f>
        <v>#REF!</v>
      </c>
      <c r="AF259" s="18" t="e">
        <f>I259-#REF!-#REF!-#REF!-AB259</f>
        <v>#REF!</v>
      </c>
      <c r="AG259" s="19"/>
      <c r="AH259" s="65"/>
      <c r="AI259" s="65"/>
      <c r="AJ259" s="25" t="e">
        <f>AJ256+#REF!+AJ257+AJ258</f>
        <v>#REF!</v>
      </c>
    </row>
    <row r="260" spans="1:36" s="4" customFormat="1" ht="30.05" customHeight="1" x14ac:dyDescent="0.3">
      <c r="A260" s="52" t="s">
        <v>76</v>
      </c>
      <c r="B260" s="37" t="s">
        <v>388</v>
      </c>
      <c r="C260" s="166"/>
      <c r="D260" s="256"/>
      <c r="E260" s="257"/>
      <c r="F260" s="257"/>
      <c r="G260" s="257"/>
      <c r="H260" s="257"/>
      <c r="I260" s="257"/>
      <c r="J260" s="208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23"/>
      <c r="AB260" s="23"/>
      <c r="AC260" s="21" t="e">
        <f>#REF!-#REF!-#REF!-#REF!-AA260</f>
        <v>#REF!</v>
      </c>
      <c r="AD260" s="22" t="e">
        <f>G260-#REF!-#REF!-#REF!-#REF!-#REF!-#REF!-#REF!-#REF!-L260-P260-T260-X260</f>
        <v>#REF!</v>
      </c>
      <c r="AE260" s="23" t="e">
        <f>H260-#REF!-#REF!-#REF!-#REF!-#REF!-#REF!-#REF!-#REF!-M260-Q260-U260-Y260</f>
        <v>#REF!</v>
      </c>
      <c r="AF260" s="23" t="e">
        <f>I260-#REF!-#REF!-#REF!-AB260</f>
        <v>#REF!</v>
      </c>
      <c r="AG260" s="21"/>
      <c r="AH260" s="22"/>
      <c r="AI260" s="23"/>
      <c r="AJ260" s="23"/>
    </row>
    <row r="261" spans="1:36" s="4" customFormat="1" ht="30.05" customHeight="1" x14ac:dyDescent="0.3">
      <c r="A261" s="54" t="s">
        <v>78</v>
      </c>
      <c r="B261" s="41" t="s">
        <v>60</v>
      </c>
      <c r="C261" s="42" t="s">
        <v>9</v>
      </c>
      <c r="D261" s="169">
        <v>285</v>
      </c>
      <c r="E261" s="125">
        <v>50</v>
      </c>
      <c r="F261" s="125">
        <v>550</v>
      </c>
      <c r="G261" s="123">
        <f>ROUND(D261*E261,0)</f>
        <v>14250</v>
      </c>
      <c r="H261" s="123">
        <f>ROUND(D261*F261,0)</f>
        <v>156750</v>
      </c>
      <c r="I261" s="123">
        <f>SUM(G261:H261)</f>
        <v>171000</v>
      </c>
      <c r="J261" s="187"/>
      <c r="K261" s="23"/>
      <c r="L261" s="69"/>
      <c r="M261" s="23"/>
      <c r="N261" s="23"/>
      <c r="O261" s="69"/>
      <c r="P261" s="69"/>
      <c r="Q261" s="23"/>
      <c r="R261" s="23"/>
      <c r="S261" s="69"/>
      <c r="T261" s="69"/>
      <c r="U261" s="23"/>
      <c r="V261" s="23"/>
      <c r="W261" s="69"/>
      <c r="X261" s="69"/>
      <c r="Y261" s="23"/>
      <c r="Z261" s="23"/>
      <c r="AA261" s="23"/>
      <c r="AB261" s="23"/>
      <c r="AC261" s="21" t="e">
        <f>#REF!-#REF!-#REF!-#REF!-AA261</f>
        <v>#REF!</v>
      </c>
      <c r="AD261" s="22" t="e">
        <f>G261-#REF!-#REF!-#REF!-#REF!-#REF!-#REF!-#REF!-#REF!-L261-P261-T261-X261</f>
        <v>#REF!</v>
      </c>
      <c r="AE261" s="23" t="e">
        <f>H261-#REF!-#REF!-#REF!-#REF!-#REF!-#REF!-#REF!-#REF!-M261-Q261-U261-Y261</f>
        <v>#REF!</v>
      </c>
      <c r="AF261" s="23" t="e">
        <f>I261-#REF!-#REF!-#REF!-AB261</f>
        <v>#REF!</v>
      </c>
      <c r="AG261" s="21"/>
      <c r="AH261" s="22"/>
      <c r="AI261" s="23"/>
      <c r="AJ261" s="23"/>
    </row>
    <row r="262" spans="1:36" s="4" customFormat="1" ht="30.05" customHeight="1" x14ac:dyDescent="0.3">
      <c r="A262" s="54" t="s">
        <v>81</v>
      </c>
      <c r="B262" s="57" t="s">
        <v>210</v>
      </c>
      <c r="C262" s="42" t="s">
        <v>105</v>
      </c>
      <c r="D262" s="169">
        <v>1</v>
      </c>
      <c r="E262" s="123">
        <v>200000</v>
      </c>
      <c r="F262" s="123">
        <v>400000</v>
      </c>
      <c r="G262" s="123">
        <f>ROUND(D262*E262,0)</f>
        <v>200000</v>
      </c>
      <c r="H262" s="123">
        <f>ROUND(D262*F262,0)</f>
        <v>400000</v>
      </c>
      <c r="I262" s="123">
        <f>SUM(G262:H262)</f>
        <v>600000</v>
      </c>
      <c r="J262" s="208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23"/>
      <c r="AB262" s="23"/>
      <c r="AC262" s="21"/>
      <c r="AD262" s="22"/>
      <c r="AE262" s="23"/>
      <c r="AF262" s="23"/>
      <c r="AG262" s="21"/>
      <c r="AH262" s="22"/>
      <c r="AI262" s="23"/>
      <c r="AJ262" s="23"/>
    </row>
    <row r="263" spans="1:36" s="3" customFormat="1" ht="30.05" hidden="1" customHeight="1" x14ac:dyDescent="0.3">
      <c r="A263" s="43"/>
      <c r="B263" s="36" t="s">
        <v>305</v>
      </c>
      <c r="C263" s="43"/>
      <c r="D263" s="259"/>
      <c r="E263" s="260"/>
      <c r="F263" s="260"/>
      <c r="G263" s="260">
        <f>SUM(G261:G262)</f>
        <v>214250</v>
      </c>
      <c r="H263" s="260">
        <f>SUM(H261:H262)</f>
        <v>556750</v>
      </c>
      <c r="I263" s="261">
        <f>SUM(G263:H263)</f>
        <v>771000</v>
      </c>
      <c r="J263" s="205"/>
      <c r="K263" s="25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18"/>
      <c r="AB263" s="18"/>
      <c r="AC263" s="19" t="e">
        <f>#REF!-#REF!-#REF!-#REF!-AA263</f>
        <v>#REF!</v>
      </c>
      <c r="AD263" s="20" t="e">
        <f>G263-#REF!-#REF!-#REF!-#REF!-#REF!-#REF!-#REF!-#REF!-L263-P263-T263-X263</f>
        <v>#REF!</v>
      </c>
      <c r="AE263" s="18" t="e">
        <f>H263-#REF!-#REF!-#REF!-#REF!-#REF!-#REF!-#REF!-#REF!-M263-Q263-U263-Y263</f>
        <v>#REF!</v>
      </c>
      <c r="AF263" s="18" t="e">
        <f>I263-#REF!-#REF!-#REF!-AB263</f>
        <v>#REF!</v>
      </c>
      <c r="AG263" s="19"/>
      <c r="AH263" s="20"/>
      <c r="AI263" s="18"/>
      <c r="AJ263" s="18"/>
    </row>
    <row r="264" spans="1:36" s="4" customFormat="1" ht="30.05" customHeight="1" x14ac:dyDescent="0.3">
      <c r="A264" s="52" t="s">
        <v>245</v>
      </c>
      <c r="B264" s="37" t="s">
        <v>389</v>
      </c>
      <c r="C264" s="166"/>
      <c r="D264" s="256"/>
      <c r="E264" s="257"/>
      <c r="F264" s="257"/>
      <c r="G264" s="257"/>
      <c r="H264" s="257"/>
      <c r="I264" s="257"/>
      <c r="J264" s="208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23"/>
      <c r="AB264" s="23"/>
      <c r="AC264" s="21" t="e">
        <f>#REF!-#REF!-#REF!-#REF!-AA264</f>
        <v>#REF!</v>
      </c>
      <c r="AD264" s="22" t="e">
        <f>G264-#REF!-#REF!-#REF!-#REF!-#REF!-#REF!-#REF!-#REF!-L264-P264-T264-X264</f>
        <v>#REF!</v>
      </c>
      <c r="AE264" s="23" t="e">
        <f>H264-#REF!-#REF!-#REF!-#REF!-#REF!-#REF!-#REF!-#REF!-M264-Q264-U264-Y264</f>
        <v>#REF!</v>
      </c>
      <c r="AF264" s="23" t="e">
        <f>I264-#REF!-#REF!-#REF!-AB264</f>
        <v>#REF!</v>
      </c>
      <c r="AG264" s="21"/>
      <c r="AH264" s="22"/>
      <c r="AI264" s="23"/>
      <c r="AJ264" s="23"/>
    </row>
    <row r="265" spans="1:36" s="4" customFormat="1" ht="39.799999999999997" customHeight="1" x14ac:dyDescent="0.3">
      <c r="A265" s="54" t="s">
        <v>246</v>
      </c>
      <c r="B265" s="41" t="s">
        <v>64</v>
      </c>
      <c r="C265" s="42" t="s">
        <v>9</v>
      </c>
      <c r="D265" s="169">
        <v>2</v>
      </c>
      <c r="E265" s="125">
        <v>1</v>
      </c>
      <c r="F265" s="125">
        <v>3623000</v>
      </c>
      <c r="G265" s="123">
        <f>ROUND(D265*E265,0)</f>
        <v>2</v>
      </c>
      <c r="H265" s="125">
        <f>D265*F265</f>
        <v>7246000</v>
      </c>
      <c r="I265" s="123">
        <f>SUM(G265:H265)</f>
        <v>7246002</v>
      </c>
      <c r="J265" s="187"/>
      <c r="K265" s="23"/>
      <c r="L265" s="69"/>
      <c r="M265" s="23"/>
      <c r="N265" s="23"/>
      <c r="O265" s="69"/>
      <c r="P265" s="69"/>
      <c r="Q265" s="23"/>
      <c r="R265" s="23"/>
      <c r="S265" s="69"/>
      <c r="T265" s="69"/>
      <c r="U265" s="23"/>
      <c r="V265" s="23"/>
      <c r="W265" s="69"/>
      <c r="X265" s="69"/>
      <c r="Y265" s="23"/>
      <c r="Z265" s="23"/>
      <c r="AA265" s="23"/>
      <c r="AB265" s="23"/>
      <c r="AC265" s="21" t="e">
        <f>#REF!-#REF!-#REF!-#REF!-AA265</f>
        <v>#REF!</v>
      </c>
      <c r="AD265" s="22" t="e">
        <f>G265-#REF!-#REF!-#REF!-#REF!-#REF!-#REF!-#REF!-#REF!-L265-P265-T265-X265</f>
        <v>#REF!</v>
      </c>
      <c r="AE265" s="23" t="e">
        <f>H265-#REF!-#REF!-#REF!-#REF!-#REF!-#REF!-#REF!-#REF!-M265-Q265-U265-Y265</f>
        <v>#REF!</v>
      </c>
      <c r="AF265" s="23" t="e">
        <f>I265-#REF!-#REF!-#REF!-AB265</f>
        <v>#REF!</v>
      </c>
      <c r="AG265" s="21"/>
      <c r="AH265" s="22"/>
      <c r="AI265" s="23"/>
      <c r="AJ265" s="23"/>
    </row>
    <row r="266" spans="1:36" s="4" customFormat="1" ht="39.799999999999997" customHeight="1" x14ac:dyDescent="0.3">
      <c r="A266" s="54" t="s">
        <v>247</v>
      </c>
      <c r="B266" s="41" t="s">
        <v>66</v>
      </c>
      <c r="C266" s="42" t="s">
        <v>9</v>
      </c>
      <c r="D266" s="169">
        <v>1</v>
      </c>
      <c r="E266" s="125">
        <v>1</v>
      </c>
      <c r="F266" s="125">
        <v>3592000</v>
      </c>
      <c r="G266" s="123">
        <f>ROUND(D266*E266,0)</f>
        <v>1</v>
      </c>
      <c r="H266" s="125">
        <f>D266*F266</f>
        <v>3592000</v>
      </c>
      <c r="I266" s="123">
        <f>SUM(G266:H266)</f>
        <v>3592001</v>
      </c>
      <c r="J266" s="187"/>
      <c r="K266" s="23"/>
      <c r="L266" s="69"/>
      <c r="M266" s="23"/>
      <c r="N266" s="23"/>
      <c r="O266" s="69"/>
      <c r="P266" s="69"/>
      <c r="Q266" s="23"/>
      <c r="R266" s="23"/>
      <c r="S266" s="69"/>
      <c r="T266" s="69"/>
      <c r="U266" s="23"/>
      <c r="V266" s="23"/>
      <c r="W266" s="69"/>
      <c r="X266" s="69"/>
      <c r="Y266" s="23"/>
      <c r="Z266" s="23"/>
      <c r="AA266" s="23"/>
      <c r="AB266" s="23"/>
      <c r="AC266" s="21" t="e">
        <f>#REF!-#REF!-#REF!-#REF!-AA266</f>
        <v>#REF!</v>
      </c>
      <c r="AD266" s="22" t="e">
        <f>G266-#REF!-#REF!-#REF!-#REF!-#REF!-#REF!-#REF!-#REF!-L266-P266-T266-X266</f>
        <v>#REF!</v>
      </c>
      <c r="AE266" s="23" t="e">
        <f>H266-#REF!-#REF!-#REF!-#REF!-#REF!-#REF!-#REF!-#REF!-M266-Q266-U266-Y266</f>
        <v>#REF!</v>
      </c>
      <c r="AF266" s="23" t="e">
        <f>I266-#REF!-#REF!-#REF!-AB266</f>
        <v>#REF!</v>
      </c>
      <c r="AG266" s="21"/>
      <c r="AH266" s="22"/>
      <c r="AI266" s="23"/>
      <c r="AJ266" s="23"/>
    </row>
    <row r="267" spans="1:36" s="3" customFormat="1" ht="30.05" hidden="1" customHeight="1" x14ac:dyDescent="0.3">
      <c r="A267" s="43"/>
      <c r="B267" s="36" t="s">
        <v>306</v>
      </c>
      <c r="C267" s="43"/>
      <c r="D267" s="259"/>
      <c r="E267" s="260"/>
      <c r="F267" s="260"/>
      <c r="G267" s="260">
        <f>SUM(G265:G266)</f>
        <v>3</v>
      </c>
      <c r="H267" s="260">
        <f>SUM(H265:H266)</f>
        <v>10838000</v>
      </c>
      <c r="I267" s="261">
        <f>I265+I266</f>
        <v>10838003</v>
      </c>
      <c r="J267" s="205"/>
      <c r="K267" s="25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18"/>
      <c r="AB267" s="18"/>
      <c r="AC267" s="19" t="e">
        <f>#REF!-#REF!-#REF!-#REF!-AA267</f>
        <v>#REF!</v>
      </c>
      <c r="AD267" s="20" t="e">
        <f>G267-#REF!-#REF!-#REF!-#REF!-#REF!-#REF!-#REF!-#REF!-L267-P267-T267-X267</f>
        <v>#REF!</v>
      </c>
      <c r="AE267" s="18" t="e">
        <f>H267-#REF!-#REF!-#REF!-#REF!-#REF!-#REF!-#REF!-#REF!-M267-Q267-U267-Y267</f>
        <v>#REF!</v>
      </c>
      <c r="AF267" s="18" t="e">
        <f>I267-#REF!-#REF!-#REF!-AB267</f>
        <v>#REF!</v>
      </c>
      <c r="AG267" s="19"/>
      <c r="AH267" s="20"/>
      <c r="AI267" s="18"/>
      <c r="AJ267" s="18"/>
    </row>
    <row r="268" spans="1:36" s="81" customFormat="1" ht="30.05" customHeight="1" x14ac:dyDescent="0.3">
      <c r="A268" s="52" t="s">
        <v>307</v>
      </c>
      <c r="B268" s="37" t="s">
        <v>390</v>
      </c>
      <c r="C268" s="166"/>
      <c r="D268" s="256"/>
      <c r="E268" s="257"/>
      <c r="F268" s="257"/>
      <c r="G268" s="257"/>
      <c r="H268" s="257"/>
      <c r="I268" s="257"/>
      <c r="J268" s="210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23"/>
      <c r="AB268" s="23"/>
      <c r="AC268" s="21" t="e">
        <f>#REF!-#REF!-#REF!-#REF!-AA268</f>
        <v>#REF!</v>
      </c>
      <c r="AD268" s="22" t="e">
        <f>G268-#REF!-#REF!-#REF!-#REF!-#REF!-#REF!-#REF!-#REF!-L268-P268-T268-X268</f>
        <v>#REF!</v>
      </c>
      <c r="AE268" s="23" t="e">
        <f>H268-#REF!-#REF!-#REF!-#REF!-#REF!-#REF!-#REF!-#REF!-M268-Q268-U268-Y268</f>
        <v>#REF!</v>
      </c>
      <c r="AF268" s="23" t="e">
        <f>I268-#REF!-#REF!-#REF!-AB268</f>
        <v>#REF!</v>
      </c>
      <c r="AG268" s="21"/>
      <c r="AH268" s="22"/>
      <c r="AI268" s="23"/>
      <c r="AJ268" s="23"/>
    </row>
    <row r="269" spans="1:36" s="81" customFormat="1" ht="30.05" customHeight="1" x14ac:dyDescent="0.3">
      <c r="A269" s="54" t="s">
        <v>308</v>
      </c>
      <c r="B269" s="41" t="s">
        <v>79</v>
      </c>
      <c r="C269" s="42" t="s">
        <v>80</v>
      </c>
      <c r="D269" s="169">
        <v>1</v>
      </c>
      <c r="E269" s="163">
        <v>1</v>
      </c>
      <c r="F269" s="125">
        <f>12000000+1100000</f>
        <v>13100000</v>
      </c>
      <c r="G269" s="123">
        <f t="shared" ref="G269:G273" si="27">ROUND(D269*E269,0)</f>
        <v>1</v>
      </c>
      <c r="H269" s="125">
        <f>D269*F269</f>
        <v>13100000</v>
      </c>
      <c r="I269" s="123">
        <f t="shared" ref="I269:I273" si="28">SUM(G269:H269)</f>
        <v>13100001</v>
      </c>
      <c r="J269" s="211"/>
      <c r="K269" s="84"/>
      <c r="L269" s="83"/>
      <c r="M269" s="84"/>
      <c r="N269" s="84"/>
      <c r="O269" s="83"/>
      <c r="P269" s="83"/>
      <c r="Q269" s="84"/>
      <c r="R269" s="84"/>
      <c r="S269" s="83"/>
      <c r="T269" s="83"/>
      <c r="U269" s="84"/>
      <c r="V269" s="84"/>
      <c r="W269" s="83"/>
      <c r="X269" s="83"/>
      <c r="Y269" s="84"/>
      <c r="Z269" s="84"/>
      <c r="AA269" s="23"/>
      <c r="AB269" s="23"/>
      <c r="AC269" s="21" t="e">
        <f>#REF!-#REF!-#REF!-#REF!-AA269</f>
        <v>#REF!</v>
      </c>
      <c r="AD269" s="22" t="e">
        <f>G269-#REF!-#REF!-#REF!-#REF!-#REF!-#REF!-#REF!-#REF!-L269-P269-T269-X269</f>
        <v>#REF!</v>
      </c>
      <c r="AE269" s="23" t="e">
        <f>H269-#REF!-#REF!-#REF!-#REF!-#REF!-#REF!-#REF!-#REF!-M269-Q269-U269-Y269</f>
        <v>#REF!</v>
      </c>
      <c r="AF269" s="23" t="e">
        <f>I269-#REF!-#REF!-#REF!-AB269</f>
        <v>#REF!</v>
      </c>
      <c r="AG269" s="21"/>
      <c r="AH269" s="22"/>
      <c r="AI269" s="23"/>
      <c r="AJ269" s="23"/>
    </row>
    <row r="270" spans="1:36" s="81" customFormat="1" ht="30.05" customHeight="1" x14ac:dyDescent="0.3">
      <c r="A270" s="54" t="s">
        <v>309</v>
      </c>
      <c r="B270" s="41" t="s">
        <v>82</v>
      </c>
      <c r="C270" s="42" t="s">
        <v>80</v>
      </c>
      <c r="D270" s="169">
        <v>1</v>
      </c>
      <c r="E270" s="163">
        <v>1</v>
      </c>
      <c r="F270" s="125">
        <v>18226000</v>
      </c>
      <c r="G270" s="123">
        <f t="shared" si="27"/>
        <v>1</v>
      </c>
      <c r="H270" s="125">
        <f>D270*F270</f>
        <v>18226000</v>
      </c>
      <c r="I270" s="123">
        <f t="shared" si="28"/>
        <v>18226001</v>
      </c>
      <c r="J270" s="212"/>
      <c r="K270" s="83"/>
      <c r="L270" s="86"/>
      <c r="M270" s="84"/>
      <c r="N270" s="84"/>
      <c r="O270" s="86"/>
      <c r="P270" s="86"/>
      <c r="Q270" s="84"/>
      <c r="R270" s="84"/>
      <c r="S270" s="86"/>
      <c r="T270" s="86"/>
      <c r="U270" s="84"/>
      <c r="V270" s="84"/>
      <c r="W270" s="86"/>
      <c r="X270" s="86"/>
      <c r="Y270" s="84"/>
      <c r="Z270" s="84"/>
      <c r="AA270" s="23"/>
      <c r="AB270" s="23"/>
      <c r="AC270" s="21" t="e">
        <f>#REF!-#REF!-#REF!-#REF!-AA270</f>
        <v>#REF!</v>
      </c>
      <c r="AD270" s="22" t="e">
        <f>G270-#REF!-#REF!-#REF!-#REF!-#REF!-#REF!-#REF!-#REF!-L270-P270-T270-X270</f>
        <v>#REF!</v>
      </c>
      <c r="AE270" s="23" t="e">
        <f>H270-#REF!-#REF!-#REF!-#REF!-#REF!-#REF!-#REF!-#REF!-M270-Q270-U270-Y270</f>
        <v>#REF!</v>
      </c>
      <c r="AF270" s="23" t="e">
        <f>I270-#REF!-#REF!-#REF!-AB270</f>
        <v>#REF!</v>
      </c>
      <c r="AG270" s="21"/>
      <c r="AH270" s="22"/>
      <c r="AI270" s="23"/>
      <c r="AJ270" s="23"/>
    </row>
    <row r="271" spans="1:36" s="81" customFormat="1" ht="30.05" customHeight="1" x14ac:dyDescent="0.3">
      <c r="A271" s="54" t="s">
        <v>310</v>
      </c>
      <c r="B271" s="41" t="s">
        <v>83</v>
      </c>
      <c r="C271" s="42" t="s">
        <v>80</v>
      </c>
      <c r="D271" s="169">
        <v>1</v>
      </c>
      <c r="E271" s="163">
        <v>1</v>
      </c>
      <c r="F271" s="125">
        <f>9300000+700000</f>
        <v>10000000</v>
      </c>
      <c r="G271" s="123">
        <f t="shared" si="27"/>
        <v>1</v>
      </c>
      <c r="H271" s="125">
        <f>D271*F271</f>
        <v>10000000</v>
      </c>
      <c r="I271" s="123">
        <f t="shared" si="28"/>
        <v>10000001</v>
      </c>
      <c r="J271" s="211"/>
      <c r="K271" s="84"/>
      <c r="L271" s="86"/>
      <c r="M271" s="84"/>
      <c r="N271" s="84"/>
      <c r="O271" s="86"/>
      <c r="P271" s="86"/>
      <c r="Q271" s="84"/>
      <c r="R271" s="84"/>
      <c r="S271" s="86"/>
      <c r="T271" s="86"/>
      <c r="U271" s="84"/>
      <c r="V271" s="84"/>
      <c r="W271" s="86"/>
      <c r="X271" s="86"/>
      <c r="Y271" s="84"/>
      <c r="Z271" s="84"/>
      <c r="AA271" s="23"/>
      <c r="AB271" s="23"/>
      <c r="AC271" s="21" t="e">
        <f>#REF!-#REF!-#REF!-#REF!-AA271</f>
        <v>#REF!</v>
      </c>
      <c r="AD271" s="22" t="e">
        <f>G271-#REF!-#REF!-#REF!-#REF!-#REF!-#REF!-#REF!-#REF!-L271-P271-T271-X271</f>
        <v>#REF!</v>
      </c>
      <c r="AE271" s="23" t="e">
        <f>H271-#REF!-#REF!-#REF!-#REF!-#REF!-#REF!-#REF!-#REF!-M271-Q271-U271-Y271</f>
        <v>#REF!</v>
      </c>
      <c r="AF271" s="23" t="e">
        <f>I271-#REF!-#REF!-#REF!-AB271</f>
        <v>#REF!</v>
      </c>
      <c r="AG271" s="21"/>
      <c r="AH271" s="22"/>
      <c r="AI271" s="23"/>
      <c r="AJ271" s="23"/>
    </row>
    <row r="272" spans="1:36" s="81" customFormat="1" ht="30.05" customHeight="1" x14ac:dyDescent="0.3">
      <c r="A272" s="54" t="s">
        <v>311</v>
      </c>
      <c r="B272" s="41" t="s">
        <v>84</v>
      </c>
      <c r="C272" s="42" t="s">
        <v>80</v>
      </c>
      <c r="D272" s="169">
        <v>1</v>
      </c>
      <c r="E272" s="163">
        <v>1</v>
      </c>
      <c r="F272" s="125">
        <f>4341009+300000</f>
        <v>4641009</v>
      </c>
      <c r="G272" s="123">
        <f t="shared" si="27"/>
        <v>1</v>
      </c>
      <c r="H272" s="125">
        <f>D272*F272</f>
        <v>4641009</v>
      </c>
      <c r="I272" s="123">
        <f t="shared" si="28"/>
        <v>4641010</v>
      </c>
      <c r="J272" s="211"/>
      <c r="K272" s="84"/>
      <c r="L272" s="86"/>
      <c r="M272" s="84"/>
      <c r="N272" s="84"/>
      <c r="O272" s="86"/>
      <c r="P272" s="86"/>
      <c r="Q272" s="84"/>
      <c r="R272" s="84"/>
      <c r="S272" s="86"/>
      <c r="T272" s="86"/>
      <c r="U272" s="84"/>
      <c r="V272" s="84"/>
      <c r="W272" s="86"/>
      <c r="X272" s="86"/>
      <c r="Y272" s="84"/>
      <c r="Z272" s="84"/>
      <c r="AA272" s="23"/>
      <c r="AB272" s="23"/>
      <c r="AC272" s="21" t="e">
        <f>#REF!-#REF!-#REF!-#REF!-AA272</f>
        <v>#REF!</v>
      </c>
      <c r="AD272" s="22" t="e">
        <f>G272-#REF!-#REF!-#REF!-#REF!-#REF!-#REF!-#REF!-#REF!-L272-P272-T272-X272</f>
        <v>#REF!</v>
      </c>
      <c r="AE272" s="23" t="e">
        <f>H272-#REF!-#REF!-#REF!-#REF!-#REF!-#REF!-#REF!-#REF!-M272-Q272-U272-Y272</f>
        <v>#REF!</v>
      </c>
      <c r="AF272" s="23" t="e">
        <f>I272-#REF!-#REF!-#REF!-AB272</f>
        <v>#REF!</v>
      </c>
      <c r="AG272" s="21"/>
      <c r="AH272" s="22"/>
      <c r="AI272" s="23"/>
      <c r="AJ272" s="23"/>
    </row>
    <row r="273" spans="1:36" s="81" customFormat="1" ht="30.05" customHeight="1" x14ac:dyDescent="0.3">
      <c r="A273" s="54" t="s">
        <v>312</v>
      </c>
      <c r="B273" s="41" t="s">
        <v>85</v>
      </c>
      <c r="C273" s="42" t="s">
        <v>80</v>
      </c>
      <c r="D273" s="169">
        <v>1</v>
      </c>
      <c r="E273" s="163">
        <v>1</v>
      </c>
      <c r="F273" s="125">
        <f>11948991+2000000</f>
        <v>13948991</v>
      </c>
      <c r="G273" s="123">
        <f t="shared" si="27"/>
        <v>1</v>
      </c>
      <c r="H273" s="125">
        <f>D273*F273</f>
        <v>13948991</v>
      </c>
      <c r="I273" s="123">
        <f t="shared" si="28"/>
        <v>13948992</v>
      </c>
      <c r="J273" s="211"/>
      <c r="K273" s="84"/>
      <c r="L273" s="86"/>
      <c r="M273" s="84"/>
      <c r="N273" s="84"/>
      <c r="O273" s="86"/>
      <c r="P273" s="86"/>
      <c r="Q273" s="84"/>
      <c r="R273" s="84"/>
      <c r="S273" s="86"/>
      <c r="T273" s="86"/>
      <c r="U273" s="84"/>
      <c r="V273" s="84"/>
      <c r="W273" s="86"/>
      <c r="X273" s="86"/>
      <c r="Y273" s="84"/>
      <c r="Z273" s="84"/>
      <c r="AA273" s="23"/>
      <c r="AB273" s="23"/>
      <c r="AC273" s="21" t="e">
        <f>#REF!-#REF!-#REF!-#REF!-AA273</f>
        <v>#REF!</v>
      </c>
      <c r="AD273" s="22" t="e">
        <f>G273-#REF!-#REF!-#REF!-#REF!-#REF!-#REF!-#REF!-#REF!-L273-P273-T273-X273</f>
        <v>#REF!</v>
      </c>
      <c r="AE273" s="23" t="e">
        <f>H273-#REF!-#REF!-#REF!-#REF!-#REF!-#REF!-#REF!-#REF!-M273-Q273-U273-Y273</f>
        <v>#REF!</v>
      </c>
      <c r="AF273" s="23" t="e">
        <f>I273-#REF!-#REF!-#REF!-AB273</f>
        <v>#REF!</v>
      </c>
      <c r="AG273" s="21"/>
      <c r="AH273" s="22"/>
      <c r="AI273" s="23"/>
      <c r="AJ273" s="23"/>
    </row>
    <row r="274" spans="1:36" s="68" customFormat="1" ht="30.05" hidden="1" customHeight="1" x14ac:dyDescent="0.3">
      <c r="A274" s="43"/>
      <c r="B274" s="320" t="s">
        <v>394</v>
      </c>
      <c r="C274" s="43"/>
      <c r="D274" s="259"/>
      <c r="E274" s="260"/>
      <c r="F274" s="260"/>
      <c r="G274" s="260">
        <f>SUM(G269:G273)</f>
        <v>5</v>
      </c>
      <c r="H274" s="260">
        <f>SUM(H269:H273)</f>
        <v>59916000</v>
      </c>
      <c r="I274" s="260">
        <f>SUM(I269:I273)</f>
        <v>59916005</v>
      </c>
      <c r="J274" s="213"/>
      <c r="K274" s="28"/>
      <c r="L274" s="225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  <c r="AA274" s="25"/>
      <c r="AB274" s="25"/>
      <c r="AC274" s="61" t="e">
        <f>#REF!-#REF!-#REF!-#REF!-AA274</f>
        <v>#REF!</v>
      </c>
      <c r="AD274" s="62" t="e">
        <f>G274-#REF!-#REF!-#REF!-#REF!-#REF!-#REF!-#REF!-#REF!-L274-P274-T274-X274</f>
        <v>#REF!</v>
      </c>
      <c r="AE274" s="25" t="e">
        <f>H274-#REF!-#REF!-#REF!-#REF!-#REF!-#REF!-#REF!-#REF!-M274-Q274-U274-Y274</f>
        <v>#REF!</v>
      </c>
      <c r="AF274" s="25" t="e">
        <f>I274-#REF!-#REF!-#REF!-AB274</f>
        <v>#REF!</v>
      </c>
      <c r="AG274" s="61"/>
      <c r="AH274" s="62"/>
      <c r="AI274" s="25"/>
      <c r="AJ274" s="25"/>
    </row>
    <row r="275" spans="1:36" s="118" customFormat="1" ht="30.05" customHeight="1" x14ac:dyDescent="0.3">
      <c r="A275" s="166">
        <v>18</v>
      </c>
      <c r="B275" s="46" t="s">
        <v>391</v>
      </c>
      <c r="C275" s="166"/>
      <c r="D275" s="256"/>
      <c r="E275" s="257"/>
      <c r="F275" s="257"/>
      <c r="G275" s="257"/>
      <c r="H275" s="257"/>
      <c r="I275" s="257"/>
      <c r="J275" s="214"/>
      <c r="K275" s="127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  <c r="AA275" s="63"/>
      <c r="AB275" s="63"/>
      <c r="AC275" s="116"/>
      <c r="AD275" s="117"/>
      <c r="AE275" s="63"/>
      <c r="AF275" s="63"/>
      <c r="AG275" s="116"/>
      <c r="AH275" s="117"/>
      <c r="AI275" s="63"/>
      <c r="AJ275" s="63"/>
    </row>
    <row r="276" spans="1:36" s="81" customFormat="1" ht="30.05" customHeight="1" x14ac:dyDescent="0.3">
      <c r="A276" s="54" t="s">
        <v>316</v>
      </c>
      <c r="B276" s="57" t="s">
        <v>315</v>
      </c>
      <c r="C276" s="32" t="s">
        <v>21</v>
      </c>
      <c r="D276" s="169">
        <v>5278</v>
      </c>
      <c r="E276" s="123">
        <v>1800</v>
      </c>
      <c r="F276" s="123"/>
      <c r="G276" s="123">
        <f>ROUND(D276*E276,0)</f>
        <v>9500400</v>
      </c>
      <c r="H276" s="123"/>
      <c r="I276" s="123">
        <f>SUM(G276:H276)</f>
        <v>9500400</v>
      </c>
      <c r="J276" s="215"/>
      <c r="K276" s="69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23">
        <v>461</v>
      </c>
      <c r="AB276" s="69">
        <f>AA276*(E276+F276)</f>
        <v>829800</v>
      </c>
      <c r="AC276" s="21" t="e">
        <f>#REF!-#REF!-#REF!-#REF!-AA276</f>
        <v>#REF!</v>
      </c>
      <c r="AD276" s="22" t="e">
        <f>G276-#REF!-#REF!-#REF!-#REF!-#REF!-#REF!-#REF!-#REF!-L276-P276-T276-X276</f>
        <v>#REF!</v>
      </c>
      <c r="AE276" s="23" t="e">
        <f>H276-#REF!-#REF!-#REF!-#REF!-#REF!-#REF!-#REF!-#REF!-M276-Q276-U276-Y276</f>
        <v>#REF!</v>
      </c>
      <c r="AF276" s="23" t="e">
        <f>I276-#REF!-#REF!-#REF!-AB276</f>
        <v>#REF!</v>
      </c>
      <c r="AG276" s="21">
        <v>450</v>
      </c>
      <c r="AH276" s="22">
        <f>AG276*E276</f>
        <v>810000</v>
      </c>
      <c r="AI276" s="23"/>
      <c r="AJ276" s="23">
        <f>AH276+AI276</f>
        <v>810000</v>
      </c>
    </row>
    <row r="277" spans="1:36" s="81" customFormat="1" ht="30.05" customHeight="1" x14ac:dyDescent="0.3">
      <c r="A277" s="54"/>
      <c r="B277" s="57"/>
      <c r="C277" s="32"/>
      <c r="D277" s="169"/>
      <c r="E277" s="123"/>
      <c r="F277" s="123"/>
      <c r="G277" s="123"/>
      <c r="H277" s="123"/>
      <c r="I277" s="123"/>
      <c r="J277" s="215"/>
      <c r="K277" s="69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23"/>
      <c r="AB277" s="69"/>
      <c r="AC277" s="21"/>
      <c r="AD277" s="22"/>
      <c r="AE277" s="23"/>
      <c r="AF277" s="23"/>
      <c r="AG277" s="21"/>
      <c r="AH277" s="22"/>
      <c r="AI277" s="23"/>
      <c r="AJ277" s="23"/>
    </row>
    <row r="278" spans="1:36" s="68" customFormat="1" ht="31.95" hidden="1" customHeight="1" x14ac:dyDescent="0.3">
      <c r="A278" s="67"/>
      <c r="B278" s="320" t="s">
        <v>317</v>
      </c>
      <c r="C278" s="43"/>
      <c r="D278" s="259"/>
      <c r="E278" s="260"/>
      <c r="F278" s="260"/>
      <c r="G278" s="260">
        <f>SUM(G276)</f>
        <v>9500400</v>
      </c>
      <c r="H278" s="260"/>
      <c r="I278" s="261">
        <f>SUM(G278:H278)</f>
        <v>9500400</v>
      </c>
      <c r="J278" s="216"/>
      <c r="K278" s="27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25"/>
      <c r="AB278" s="27"/>
      <c r="AC278" s="61"/>
      <c r="AD278" s="62"/>
      <c r="AE278" s="25"/>
      <c r="AF278" s="25"/>
      <c r="AG278" s="61"/>
      <c r="AH278" s="62"/>
      <c r="AI278" s="25"/>
      <c r="AJ278" s="25"/>
    </row>
    <row r="279" spans="1:36" s="333" customFormat="1" ht="30.05" customHeight="1" x14ac:dyDescent="0.3">
      <c r="A279" s="321"/>
      <c r="B279" s="322" t="s">
        <v>373</v>
      </c>
      <c r="C279" s="323"/>
      <c r="D279" s="324"/>
      <c r="E279" s="325"/>
      <c r="F279" s="325"/>
      <c r="G279" s="325"/>
      <c r="H279" s="325"/>
      <c r="I279" s="326"/>
      <c r="J279" s="327"/>
      <c r="K279" s="328"/>
      <c r="L279" s="329"/>
      <c r="M279" s="329"/>
      <c r="N279" s="329"/>
      <c r="O279" s="329"/>
      <c r="P279" s="329"/>
      <c r="Q279" s="329"/>
      <c r="R279" s="329"/>
      <c r="S279" s="329"/>
      <c r="T279" s="329"/>
      <c r="U279" s="329"/>
      <c r="V279" s="329"/>
      <c r="W279" s="329"/>
      <c r="X279" s="329"/>
      <c r="Y279" s="329"/>
      <c r="Z279" s="329"/>
      <c r="AA279" s="330"/>
      <c r="AB279" s="328"/>
      <c r="AC279" s="331"/>
      <c r="AD279" s="332"/>
      <c r="AE279" s="330"/>
      <c r="AF279" s="330"/>
      <c r="AG279" s="331"/>
      <c r="AH279" s="332"/>
      <c r="AI279" s="330"/>
      <c r="AJ279" s="330"/>
    </row>
    <row r="280" spans="1:36" s="333" customFormat="1" ht="30.05" customHeight="1" x14ac:dyDescent="0.3">
      <c r="A280" s="321" t="s">
        <v>374</v>
      </c>
      <c r="B280" s="334" t="s">
        <v>249</v>
      </c>
      <c r="C280" s="323"/>
      <c r="D280" s="324"/>
      <c r="E280" s="325"/>
      <c r="F280" s="325"/>
      <c r="G280" s="325">
        <f>P280</f>
        <v>7822228</v>
      </c>
      <c r="H280" s="325"/>
      <c r="I280" s="326">
        <f>G280</f>
        <v>7822228</v>
      </c>
      <c r="J280" s="327"/>
      <c r="K280" s="328"/>
      <c r="L280" s="329"/>
      <c r="M280" s="329"/>
      <c r="N280" s="329"/>
      <c r="O280" s="329"/>
      <c r="P280" s="339">
        <f>P23+P32+P56+P95+P112+P130+P156+P166+P192+P205+P257</f>
        <v>7822228</v>
      </c>
      <c r="Q280" s="329"/>
      <c r="R280" s="329">
        <f>SUM(R18:R279)</f>
        <v>11377787</v>
      </c>
      <c r="S280" s="329"/>
      <c r="T280" s="329"/>
      <c r="U280" s="329"/>
      <c r="V280" s="329"/>
      <c r="W280" s="329"/>
      <c r="X280" s="329"/>
      <c r="Y280" s="329"/>
      <c r="Z280" s="329"/>
      <c r="AA280" s="330"/>
      <c r="AB280" s="328"/>
      <c r="AC280" s="331"/>
      <c r="AD280" s="332"/>
      <c r="AE280" s="330"/>
      <c r="AF280" s="330"/>
      <c r="AG280" s="331"/>
      <c r="AH280" s="332"/>
      <c r="AI280" s="330"/>
      <c r="AJ280" s="330"/>
    </row>
    <row r="281" spans="1:36" s="333" customFormat="1" ht="30.05" customHeight="1" x14ac:dyDescent="0.3">
      <c r="A281" s="321" t="s">
        <v>375</v>
      </c>
      <c r="B281" s="334" t="s">
        <v>398</v>
      </c>
      <c r="C281" s="323"/>
      <c r="D281" s="324"/>
      <c r="E281" s="325"/>
      <c r="F281" s="325"/>
      <c r="G281" s="325">
        <f>P281</f>
        <v>3555559</v>
      </c>
      <c r="H281" s="325"/>
      <c r="I281" s="326">
        <f>G281</f>
        <v>3555559</v>
      </c>
      <c r="J281" s="327"/>
      <c r="K281" s="328"/>
      <c r="L281" s="329"/>
      <c r="M281" s="329"/>
      <c r="N281" s="329"/>
      <c r="O281" s="329"/>
      <c r="P281" s="339">
        <f>P24+P33+P57+P96+P113+P131+P157+P167+P193+P206+P258</f>
        <v>3555559</v>
      </c>
      <c r="Q281" s="329"/>
      <c r="R281" s="339">
        <f>P280+P281-R280</f>
        <v>0</v>
      </c>
      <c r="S281" s="329"/>
      <c r="T281" s="329"/>
      <c r="U281" s="329"/>
      <c r="V281" s="329"/>
      <c r="W281" s="329"/>
      <c r="X281" s="329"/>
      <c r="Y281" s="329"/>
      <c r="Z281" s="329"/>
      <c r="AA281" s="330"/>
      <c r="AB281" s="328"/>
      <c r="AC281" s="331"/>
      <c r="AD281" s="332"/>
      <c r="AE281" s="330"/>
      <c r="AF281" s="330"/>
      <c r="AG281" s="331"/>
      <c r="AH281" s="332"/>
      <c r="AI281" s="330"/>
      <c r="AJ281" s="330"/>
    </row>
    <row r="282" spans="1:36" s="68" customFormat="1" ht="30.05" customHeight="1" x14ac:dyDescent="0.3">
      <c r="A282" s="67"/>
      <c r="B282" s="320" t="s">
        <v>395</v>
      </c>
      <c r="C282" s="43"/>
      <c r="D282" s="259"/>
      <c r="E282" s="260"/>
      <c r="F282" s="260"/>
      <c r="G282" s="260">
        <f>SUM(G280:G281)</f>
        <v>11377787</v>
      </c>
      <c r="H282" s="260"/>
      <c r="I282" s="260">
        <f>SUM(I280:I281)</f>
        <v>11377787</v>
      </c>
      <c r="J282" s="216"/>
      <c r="K282" s="27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25"/>
      <c r="AB282" s="27"/>
      <c r="AC282" s="61"/>
      <c r="AD282" s="62"/>
      <c r="AE282" s="25"/>
      <c r="AF282" s="25"/>
      <c r="AG282" s="61"/>
      <c r="AH282" s="62"/>
      <c r="AI282" s="25"/>
      <c r="AJ282" s="25"/>
    </row>
    <row r="283" spans="1:36" s="185" customFormat="1" ht="30.05" customHeight="1" x14ac:dyDescent="0.3">
      <c r="A283" s="296"/>
      <c r="B283" s="112" t="s">
        <v>399</v>
      </c>
      <c r="C283" s="297"/>
      <c r="D283" s="266"/>
      <c r="E283" s="255"/>
      <c r="F283" s="255"/>
      <c r="G283" s="255"/>
      <c r="H283" s="255"/>
      <c r="I283" s="295"/>
      <c r="J283" s="316"/>
      <c r="K283" s="317"/>
      <c r="L283" s="12"/>
      <c r="M283" s="12"/>
      <c r="N283" s="12"/>
      <c r="O283" s="12"/>
      <c r="P283" s="12"/>
      <c r="Q283" s="12"/>
      <c r="R283" s="12"/>
      <c r="S283" s="123">
        <v>2000</v>
      </c>
      <c r="T283" s="123">
        <v>6879</v>
      </c>
      <c r="U283" s="347">
        <f>S283+T283</f>
        <v>8879</v>
      </c>
      <c r="V283" s="12"/>
      <c r="W283" s="12"/>
      <c r="X283" s="12"/>
      <c r="Y283" s="12"/>
      <c r="Z283" s="12"/>
      <c r="AA283" s="24"/>
      <c r="AB283" s="317"/>
      <c r="AC283" s="318"/>
      <c r="AD283" s="319"/>
      <c r="AE283" s="24"/>
      <c r="AF283" s="24"/>
      <c r="AG283" s="318"/>
      <c r="AH283" s="319"/>
      <c r="AI283" s="24"/>
      <c r="AJ283" s="24"/>
    </row>
    <row r="284" spans="1:36" s="81" customFormat="1" ht="30.05" customHeight="1" x14ac:dyDescent="0.3">
      <c r="A284" s="52"/>
      <c r="B284" s="343" t="s">
        <v>396</v>
      </c>
      <c r="C284" s="166"/>
      <c r="D284" s="256"/>
      <c r="E284" s="257"/>
      <c r="F284" s="257"/>
      <c r="G284" s="258">
        <f>G25+G34+G58+G97+G114+G132+G148+G158+G168+G194+G207+G212+G220+G259+G263+G267+G274+G278+G282</f>
        <v>101613957</v>
      </c>
      <c r="H284" s="258">
        <f>H25+H34+H58+H97+H114+H132+H148+H158+H168+H194+H207+H212+H220+H259+H263+H267+H274+H278+H282</f>
        <v>228242046</v>
      </c>
      <c r="I284" s="258">
        <f>I25+I34+I58+I97+I114+I132+I148+I158+I168+I194+I207+I212+I220+I259+I263+I267+I274+I278+I282</f>
        <v>329856003</v>
      </c>
      <c r="L284" s="82"/>
      <c r="M284" s="82"/>
      <c r="N284" s="82"/>
      <c r="O284" s="82"/>
      <c r="P284" s="82"/>
      <c r="Q284" s="82"/>
      <c r="R284" s="82"/>
      <c r="S284" s="217">
        <f>G284+H284</f>
        <v>329856003</v>
      </c>
      <c r="T284" s="217" t="s">
        <v>392</v>
      </c>
      <c r="U284" s="82"/>
      <c r="V284" s="82"/>
      <c r="W284" s="82"/>
      <c r="X284" s="82"/>
      <c r="Y284" s="82"/>
      <c r="Z284" s="82"/>
      <c r="AA284" s="77"/>
      <c r="AB284" s="89" t="e">
        <f>#REF!+AB263+AB267+#REF!+AB276</f>
        <v>#REF!</v>
      </c>
      <c r="AC284" s="21" t="e">
        <f>#REF!-#REF!-#REF!-#REF!-AA284</f>
        <v>#REF!</v>
      </c>
      <c r="AD284" s="22" t="e">
        <f>G284-#REF!-#REF!-#REF!-#REF!-#REF!-#REF!-#REF!-#REF!-L284-P284-#REF!-X284</f>
        <v>#REF!</v>
      </c>
      <c r="AE284" s="23" t="e">
        <f>H284-#REF!-#REF!-#REF!-#REF!-#REF!-#REF!-#REF!-#REF!-M284-Q284-U284-Y284</f>
        <v>#REF!</v>
      </c>
      <c r="AF284" s="23" t="e">
        <f>I284-#REF!-#REF!-#REF!-AB284</f>
        <v>#REF!</v>
      </c>
      <c r="AG284" s="21"/>
      <c r="AH284" s="22"/>
      <c r="AI284" s="23"/>
      <c r="AJ284" s="89" t="e">
        <f>ROUND(#REF!+AJ263+AJ267+#REF!+AJ276,0)</f>
        <v>#REF!</v>
      </c>
    </row>
    <row r="285" spans="1:36" s="16" customFormat="1" ht="30.05" customHeight="1" x14ac:dyDescent="0.3">
      <c r="A285" s="54"/>
      <c r="B285" s="344" t="s">
        <v>397</v>
      </c>
      <c r="C285" s="32"/>
      <c r="D285" s="169"/>
      <c r="E285" s="287"/>
      <c r="F285" s="287"/>
      <c r="G285" s="287"/>
      <c r="H285" s="287"/>
      <c r="I285" s="123">
        <f>ROUND(I284/1.2*0.2,2)</f>
        <v>54976000.5</v>
      </c>
      <c r="J285" s="218"/>
      <c r="K285" s="90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69"/>
      <c r="AB285" s="90" t="e">
        <f>ROUND(AB284/1.18*0.18,2)</f>
        <v>#REF!</v>
      </c>
      <c r="AC285" s="21" t="e">
        <f>#REF!-#REF!-#REF!-#REF!-AA285</f>
        <v>#REF!</v>
      </c>
      <c r="AD285" s="22" t="e">
        <f>G285-#REF!-#REF!-#REF!-#REF!-#REF!-#REF!-#REF!-#REF!-L285-P285-T285-X285</f>
        <v>#REF!</v>
      </c>
      <c r="AE285" s="23" t="e">
        <f>H285-#REF!-#REF!-#REF!-#REF!-#REF!-#REF!-#REF!-#REF!-M285-Q285-U285-Y285</f>
        <v>#REF!</v>
      </c>
      <c r="AF285" s="23" t="e">
        <f>I285-#REF!-#REF!-#REF!-AB285</f>
        <v>#REF!</v>
      </c>
      <c r="AG285" s="21"/>
      <c r="AH285" s="22"/>
      <c r="AI285" s="23"/>
      <c r="AJ285" s="90" t="e">
        <f>ROUND(AJ284/1.2*0.2,2)</f>
        <v>#REF!</v>
      </c>
    </row>
    <row r="286" spans="1:36" ht="15.65" x14ac:dyDescent="0.3">
      <c r="S286" s="346">
        <v>329846796</v>
      </c>
      <c r="T286" s="348">
        <v>329856003</v>
      </c>
      <c r="U286" s="345">
        <f>T286-S286</f>
        <v>9207</v>
      </c>
      <c r="V286" s="345">
        <f>U286-U283-8</f>
        <v>320</v>
      </c>
    </row>
    <row r="287" spans="1:36" x14ac:dyDescent="0.25">
      <c r="S287" s="345">
        <f>S286+S283+T283</f>
        <v>329855675</v>
      </c>
      <c r="U287" s="345">
        <f>S287-S286</f>
        <v>8879</v>
      </c>
    </row>
    <row r="289" spans="19:19" x14ac:dyDescent="0.25">
      <c r="S289" s="345">
        <f>I284-S287</f>
        <v>328</v>
      </c>
    </row>
  </sheetData>
  <autoFilter xmlns:x14="http://schemas.microsoft.com/office/spreadsheetml/2009/9/main" ref="A17:R285">
    <filterColumn colId="1">
      <filters blank="1">
        <mc:AlternateContent xmlns:mc="http://schemas.openxmlformats.org/markup-compatibility/2006">
          <mc:Choice Requires="x14">
            <x14:filter val="Cметная прибыль 5%"/>
            <x14:filter val="Антикоррозионная обработка стыка свай"/>
            <x14:filter val="АПС и автоматика"/>
            <x14:filter val="Арматура Ф10мм L=300мм"/>
            <x14:filter val="Бетон  В25 W6 F100"/>
            <x14:filter val="Бетон  В30 W8 F200"/>
            <x14:filter val="Бетон В30 W8 F200"/>
            <x14:filter val="Бетон В7,5 W4 F50"/>
            <x14:filter val="Бетон В7,5 W4 F7,5"/>
            <x14:filter val="Бетон кл. В15 W4 F100"/>
            <x14:filter val="БетонВ25, F100, W6"/>
            <x14:filter val="БетонВ30, F200, W6"/>
            <x14:filter val="БетонВ30, F200, W8"/>
            <x14:filter val="бетонные блоки 600х250х50"/>
            <x14:filter val="Блоки из ячеистых бетонов по ГОСТ 31360 2007,Блок l/600*300*250/D/B2,5/F25  на строительном клее Senego GS39 по ТУ 5745-005-9128015-2012-250мм"/>
            <x14:filter val="Блоки из ячеистых бетонов по ГОСТ 31360 2007,Блок l/625*250*250/D500/B2,5/F25  на строительном клее Senego GS39 по ТУ 5745-005-9128015-2012-250мм"/>
            <x14:filter val="в т.ч. НДС"/>
            <x14:filter val="Витражи входных групп"/>
            <x14:filter val="ВСЕГО ПО СМЕТЕ"/>
            <x14:filter val="Гидроизоляция – обмазочная за 2 слоя по битумному праймеру – 3мм_x000a__x000a_"/>
            <x14:filter val="гидропрокладка  Penebar"/>
            <x14:filter val="Гипсовые пазогребневые плиты торговой марки &quot;МАГМА&quot;(МАГМА-гипсоплиты полнотелые  стандартные тип 1.1) ТУ 5742-030-86214064-2015 на гипсовом клею МАГМА &quot;Монтаж&quot;(МАГМА &quot;Монтаж Зима&quot;) ТУ 5745-009-86214064-2012- толщ. 80мм"/>
            <x14:filter val="ДАВ О Бпр Дв Л Р 2150х1550"/>
            <x14:filter val="ДАВ О Бпр Дв Пр Р 2150х1550"/>
            <x14:filter val="ДАН О Бпр Дв Пр Р 2150х1550"/>
            <x14:filter val="ДАН О Бпр ДвЛ Р 2150х1550"/>
            <x14:filter val="ДВ 1 Рп 21х9 Г Пр Мд1"/>
            <x14:filter val="Дверь входная деревянные 21х10 Лев"/>
            <x14:filter val="Дверь входная деревянные 21х10 Пр"/>
            <x14:filter val="ДПВ Г П Оп Л Р 2100х900"/>
            <x14:filter val="ДПВ Км Бпр Дп Л Р 2100х1350"/>
            <x14:filter val="ДПН Г П Оп Л Р 1790х1040"/>
            <x14:filter val="ДПН Г П Оп Пр Р 1850х1040"/>
            <x14:filter val="ДПН Км Бпр Ф Дп Л Р 2760х1350"/>
            <x14:filter val="ДПН Км Бпр Ф Дп Л Р 2790х1350"/>
            <x14:filter val="ДПН Км Бпр Ф Дп Пр 2790х1350"/>
            <x14:filter val="ДПС 01 1790х1000 EI60"/>
            <x14:filter val="ДПС 01 2050х1000 Пр EI30"/>
            <x14:filter val="ДПС 01 2100х1000 Л ЕIS60"/>
            <x14:filter val="ДПС 02 2100х1400 EI60"/>
            <x14:filter val="ДПС Пульс -60 1350*1000 ЕIS60"/>
            <x14:filter val="ДСН Оп Прг Пр Н Псн 2000х1000"/>
            <x14:filter val="ДСН Оп Прг Пр Н Псп 2100х1240"/>
            <x14:filter val="Закладные детали для кладки наружных стен"/>
            <x14:filter val="Затирка для плитки"/>
            <x14:filter val="Изол ФШ 150 по ТУ5762-002-84277528-2008 с изм.№1-5 (или аналог)  - 50 мм;"/>
            <x14:filter val="итого"/>
            <x14:filter val="Итого 100"/>
            <x14:filter val="Калитки 1,8*1,2"/>
            <x14:filter val="Камни бетонные стеновые СКЦ1Р-1ПГ-1425 кг/м3/,М100 по ТУ 5741-008-49975776-2010 на цементно-известняковом кладочном р-ре М75,Пк2 ГОСТ 28013-98*-190мм"/>
            <x14:filter val="Камни керамзитобетонные стеновые КП-ПР-ПС-39-50-1100 кг/м³ по ГОСТ 6133-99"/>
            <x14:filter val="Керамогранит с противоскользящим покрытием 300х300х12 мм"/>
            <x14:filter val="Керамогранит с противоскользящим покрытием 300х300х9 мм"/>
            <x14:filter val="Кирпич керамический"/>
            <x14:filter val="Кирпич силикатный"/>
            <x14:filter val="Кирпичная кладка стен  из кирпича керамического"/>
            <x14:filter val="Кирпичная кладка стен  из кирпича силикатного"/>
            <x14:filter val="Клей для газобетона, 25 кг"/>
            <x14:filter val="Клей пена Технониколь"/>
            <x14:filter val="Клей плиточный - 11мм"/>
            <x14:filter val="Композитная арматура Ф10мм L=290мм"/>
            <x14:filter val="Кровля &quot;теплых балконов&quot; (пароизоляция- Стеклоизол ХПП, цементно-песчанная стяжка толщ 10-20мм, пенополистирол Технониколь толщ 200мм, ЦСП толщ.12 мм в 2 слоя (24 мм), покраска праймером  ЦСП с 2-х сторон,  гидроизоляция Унифлекс ЭПП,гидроизоляция Техноэласт ЭПП, гидроизоляция Техноэласт ЭКП)"/>
            <x14:filter val="Кровля над техническим помещения  из профлиста (профлист,пароизоляция- Стеклоизол ХПП, утеплитель Изолеко толщ 50мм, разуклонка из плит Изол толщ 50мм,стяжка из  ЦСП толщ.12 мм в 2 слоя (24 мм), покраска праймером  ЦСП с 2-х сторон,  гидроизоляция Унифлекс ЭПП,гидроизоляция Техноэласт ЭКП)"/>
            <x14:filter val="Кровля холодных балконов (пароизоляция- Стеклоизол ХПП, цементно-песчанная стяжка толщ 10-20мм,   гидроизоляция Техноэласт Фикс, гидроизоляция Техноэласт ЭКП, , пенополистирол Технониколь)"/>
            <x14:filter val="Лестница выхода на кровлю"/>
            <x14:filter val="Лифт пассажирский ЛП-1016БК грузоподъемоностью Q=1000 кг,, V=1,6м/с., производства Могилёв"/>
            <x14:filter val="Лифт пассажирский ЛП-1016БШ грузоподъемоностью Q=1000 кг,, V=1,6м/с., производства Могилёв"/>
            <x14:filter val="Металическое ограждение незадымляемых балконов"/>
            <x14:filter val="Металическое ограждение холодных балконов"/>
            <x14:filter val="Металл"/>
            <x14:filter val="Металлические ограждения (кондиционеры) на навесных вентилируемых фасадах"/>
            <x14:filter val="Металлические элементы машинного помещения"/>
            <x14:filter val="Металлический поддоны в подвале"/>
            <x14:filter val="Металлическое ограждение кровли"/>
            <x14:filter val="Монолитный пояс МП-1, МП-2, МП-3 машинного отделения"/>
            <x14:filter val="Монтаж вент.жалюзийных решеток продуха подвала"/>
            <x14:filter val="Монтаж лестниц  пожарных"/>
            <x14:filter val="Монтаж мет.ограждения высотой 1,8 м  в подвале"/>
            <x14:filter val="Монтаж систем ХВС, ГВС, канализация и пуско-наладка"/>
            <x14:filter val="Монтаж системы вентиляции и пуско-наладка"/>
            <x14:filter val="Монтаж системы отопления и пуско-наладка"/>
            <x14:filter val="Монтажные закладные для кондиционеров"/>
            <x14:filter val="Накладные расходы 11%"/>
            <x14:filter val="Обратная засыпка"/>
            <x14:filter val="Ограждение лестничных маршей h=0,9 м"/>
            <x14:filter val="Ограждение наружных пандусов из черног метала с порошковой окраской"/>
            <x14:filter val="Оклееечная гидроизоляция"/>
            <x14:filter val="Оклеечная гидроизоляция фундаментной плиты и  стен подвала в 2 слоя"/>
            <x14:filter val="Отделка керамической плиткой стен техподполья в спусках в техподполье,подступенков и цоколя у крыльца"/>
            <x14:filter val="Откосы"/>
            <x14:filter val="оцинковааное металлическое ограждение (секции)"/>
            <x14:filter val="Пароизоляция стеклоизол ХПП"/>
            <x14:filter val="Перегородки  гипсовые пазогребневые плиты гидрофобизированные толщ 80мм"/>
            <x14:filter val="Перегородки гипсовые пазогребневые плиты  толщ. 80мм"/>
            <x14:filter val="Перемычки"/>
            <x14:filter val="песок"/>
            <x14:filter val="Пешеходная дорожка тротуарная плитка на ц/п растворе"/>
            <x14:filter val="Пластиковый фиксатор нижней арматуры"/>
            <x14:filter val="Пленка полиэтиленовая – 200 мкм."/>
            <x14:filter val="Плитка (стены)"/>
            <x14:filter val="Погружение составных ж/б свай 35*35 см, сварной стык статической погрузкой"/>
            <x14:filter val="Подвесной потолок (МОП)"/>
            <x14:filter val="Подшивка козырьков из профлиста С21-1000-0,7"/>
            <x14:filter val="ПОЛЫ"/>
            <x14:filter val="Пороги балконных дверей"/>
            <x14:filter val="ПОТОЛКИ"/>
            <x14:filter val="Потолок ГКЛ"/>
            <x14:filter val="Почтовые ящики"/>
            <x14:filter val="Праймер битумный"/>
            <x14:filter val="Примыкания над техническим помещениями"/>
            <x14:filter val="Работа кранов и прочих механизмов"/>
            <x14:filter val="Раздел 1. Земляные работы"/>
            <x14:filter val="Раздел 10. Двери"/>
            <x14:filter val="Раздел 100. Организация работ"/>
            <x14:filter val="Раздел 11. Кровля"/>
            <x14:filter val="Раздел 12. Отделка полов входных групп, лестниц, пандусов"/>
            <x14:filter val="Раздел 13. Козырьки"/>
            <x14:filter val="Раздел 14. Отделочные работы"/>
            <x14:filter val="Раздел 15. Прочие"/>
            <x14:filter val="Раздел 16. Лифты"/>
            <x14:filter val="Раздел 17. Инженерные системы"/>
            <x14:filter val="Раздел 18. Механизмы"/>
            <x14:filter val="Раздел 2. Погружение составных ж/б свай. Срубка свай"/>
            <x14:filter val="Раздел 3. Устройство монолитного ж/б каркаса ниже отм. 0.000"/>
            <x14:filter val="Раздел 4. Устройство монолитного ж/б каркаса выше отм. 0.000"/>
            <x14:filter val="Раздел 5. Разные работы"/>
            <x14:filter val="Раздел 6. Стены наружные"/>
            <x14:filter val="Раздел 7. Внутренние стены и перегородки"/>
            <x14:filter val="Раздел 8. Устройство фасада"/>
            <x14:filter val="Раздел 9. Окна и витражи"/>
            <x14:filter val="Разработка котлована:"/>
            <x14:filter val="Раствор"/>
            <x14:filter val="Раствор цементно-песчаный м75"/>
            <x14:filter val="Сваи 35х35 см, усиленные L=20м, Свая С 80.35-Св-6; Свая С 120.35-Св-6"/>
            <x14:filter val="Сметная прибыль 5%"/>
            <x14:filter val="Состав Скрепа М500, b=0,2 м s=0,01"/>
            <x14:filter val="Срубка оголовков свай"/>
            <x14:filter val="СТЕНЫ"/>
            <x14:filter val="Техноэласт ЭПП (2 слоя)"/>
            <x14:filter val="Техноэласт ЭПП b=0,2 м"/>
            <x14:filter val="Уст-во сапожка из кер.гранита высотой 100мм с затир.плит.клеем"/>
            <x14:filter val="Уст-во утеплитель - ЭППС 28-35кг/м3 -0,032Вт (м*К)-20мм (по полу первого этажа и чердаку )"/>
            <x14:filter val="Устройство бетонной подготовки  под входные группы"/>
            <x14:filter val="Устройство бетонной подготовки толщ 100 мм под монолитную фундаментную плиту"/>
            <x14:filter val="Устройство вентилируемого фассада из керамогранита 60*60*10, 30*30,10"/>
            <x14:filter val="Устройство вертикального рабочего шва бетонирования"/>
            <x14:filter val="Устройство внутренних монолитных стен"/>
            <x14:filter val="Устройство водосточных воронок ф 100мм"/>
            <x14:filter val="Устройство водосточных желобов ф 100мм"/>
            <x14:filter val="Устройство водосточных труб 100х100 h=2,8м"/>
            <x14:filter val="Устройство входной группы"/>
            <x14:filter val="Устройство индивидуальных лестничных маршей  ИМЛ 30.12.15-4"/>
            <x14:filter val="Устройство каркаса козырька из мет.конструкций"/>
            <x14:filter val="Устройство кровли из кровельного покрытия Техноэласт ФИКС (пароизоляция- Стеклоизол ХПП, утеплитель Изолеко толщ150мм, разуклонка из плит Изол толщ 50мм,стяжка из  ЦСП толщ.12 мм в 2 слоя (24 мм), покраска праймером  ЦСП с 2-х сторон,  гидроизоляция Унифлекс ЭПП,гидроизоляция Техноэласт ЭКП)"/>
            <x14:filter val="Устройство мокрого фасада без утепления (откосы, балконы)"/>
            <x14:filter val="Устройство мокрого фасада с утеплением"/>
            <x14:filter val="Устройство монолитной ж/б наружней стены подвала"/>
            <x14:filter val="Устройство монолитной ж/б плиты перекрытия на отм. -0,12"/>
            <x14:filter val="Устройство монолитных ж/б лестничных площадок из бетона"/>
            <x14:filter val="Устройство монолитных перекрытий из бетона"/>
            <x14:filter val="Устройство монолитных стен лестнично-лифтового блока из бетона"/>
            <x14:filter val="Устройство монолитных стен лестнично-лифтового блока из бетона до отм 0.000"/>
            <x14:filter val="Устройство мусоропровода (Хризотилцементные трубы)"/>
            <x14:filter val="Устройство навесного вентилируемого фасада из кассетных навесных панелей"/>
            <x14:filter val="Устройство напольного покрытия из керамогранита противоскользящего (МОП)"/>
            <x14:filter val="Устройство наружных монолитных стен"/>
            <x14:filter val="Устройство ограждений балконов и лоджий"/>
            <x14:filter val="Устройство ПВХ балконных дверей"/>
            <x14:filter val="Устройство ПВХ заполнений балконов"/>
            <x14:filter val="Устройство ПВХ окон"/>
            <x14:filter val="Устройство полусухой стяжки"/>
            <x14:filter val="Устройство сплошного &quot;теплого&quot; витража стеклопакет толщиной 32мм , с учетом откосов_x000a_"/>
            <x14:filter val="Устройство термовкладыша"/>
            <x14:filter val="Устройство утепления стен  минераловатными плитами с теплопроводностью λБ - 0,043 Вт/(м*К), плотн.126-154 кг/м3  - 50 -100 мм"/>
            <x14:filter val="Устройство фасонных элементов на парапете кровли из оцинкованной стали"/>
            <x14:filter val="Устройство фундаментной монолитной ж/б плиты"/>
            <x14:filter val="Утепление стен подвала экструдированным пенополистиролом толщ.100мм"/>
            <x14:filter val="утеплитель ПСБ-С-35 толщ 20мм"/>
            <x14:filter val="утеплитель ЭППС-20мм"/>
            <x14:filter val="Шпаклевка покраска"/>
            <x14:filter val="шпатлевка, покраска потолка"/>
            <x14:filter val="Штукатурка,  покраска"/>
            <x14:filter val="Штукатурка, шпатлевка, покраска"/>
            <x14:filter val="Экструдированный пенополистерол"/>
            <x14:filter val="Электроосвещение"/>
          </mc:Choice>
          <mc:Fallback>
            <filter val="Cметная прибыль 5%"/>
            <filter val="Антикоррозионная обработка стыка свай"/>
            <filter val="АПС и автоматика"/>
            <filter val="Арматура Ф10мм L=300мм"/>
            <filter val="Бетон  В25 W6 F100"/>
            <filter val="Бетон  В30 W8 F200"/>
            <filter val="Бетон В30 W8 F200"/>
            <filter val="Бетон В7,5 W4 F50"/>
            <filter val="Бетон В7,5 W4 F7,5"/>
            <filter val="Бетон кл. В15 W4 F100"/>
            <filter val="БетонВ25, F100, W6"/>
            <filter val="БетонВ30, F200, W6"/>
            <filter val="БетонВ30, F200, W8"/>
            <filter val="бетонные блоки 600х250х50"/>
            <filter val="Блоки из ячеистых бетонов по ГОСТ 31360 2007,Блок l/600*300*250/D/B2,5/F25  на строительном клее Senego GS39 по ТУ 5745-005-9128015-2012-250мм"/>
            <filter val="Блоки из ячеистых бетонов по ГОСТ 31360 2007,Блок l/625*250*250/D500/B2,5/F25  на строительном клее Senego GS39 по ТУ 5745-005-9128015-2012-250мм"/>
            <filter val="в т.ч. НДС"/>
            <filter val="Витражи входных групп"/>
            <filter val="ВСЕГО ПО СМЕТЕ"/>
            <filter val="Гидроизоляция – обмазочная за 2 слоя по битумному праймеру – 3мм_x000a__x000a_"/>
            <filter val="гидропрокладка  Penebar"/>
            <filter val="Гипсовые пазогребневые плиты торговой марки &quot;МАГМА&quot;(МАГМА-гипсоплиты полнотелые  стандартные тип 1.1) ТУ 5742-030-86214064-2015 на гипсовом клею МАГМА &quot;Монтаж&quot;(МАГМА &quot;Монтаж Зима&quot;) ТУ 5745-009-86214064-2012- толщ. 80мм"/>
            <filter val="ДАВ О Бпр Дв Л Р 2150х1550"/>
            <filter val="ДАВ О Бпр Дв Пр Р 2150х1550"/>
            <filter val="ДАН О Бпр Дв Пр Р 2150х1550"/>
            <filter val="ДАН О Бпр ДвЛ Р 2150х1550"/>
            <filter val="ДВ 1 Рп 21х9 Г Пр Мд1"/>
            <filter val="Дверь входная деревянные 21х10 Лев"/>
            <filter val="Дверь входная деревянные 21х10 Пр"/>
            <filter val="ДПВ Г П Оп Л Р 2100х900"/>
            <filter val="ДПВ Км Бпр Дп Л Р 2100х1350"/>
            <filter val="ДПН Г П Оп Л Р 1790х1040"/>
            <filter val="ДПН Г П Оп Пр Р 1850х1040"/>
            <filter val="ДПН Км Бпр Ф Дп Л Р 2760х1350"/>
            <filter val="ДПН Км Бпр Ф Дп Л Р 2790х1350"/>
            <filter val="ДПН Км Бпр Ф Дп Пр 2790х1350"/>
            <filter val="ДПС 01 1790х1000 EI60"/>
            <filter val="ДПС 01 2050х1000 Пр EI30"/>
            <filter val="ДПС 01 2100х1000 Л ЕIS60"/>
            <filter val="ДПС 02 2100х1400 EI60"/>
            <filter val="ДПС Пульс -60 1350*1000 ЕIS60"/>
            <filter val="ДСН Оп Прг Пр Н Псн 2000х1000"/>
            <filter val="ДСН Оп Прг Пр Н Псп 2100х1240"/>
            <filter val="Закладные детали для кладки наружных стен"/>
            <filter val="Затирка для плитки"/>
            <filter val="Изол ФШ 150 по ТУ5762-002-84277528-2008 с изм.№1-5 (или аналог)  - 50 мм;"/>
            <filter val="итого"/>
            <filter val="Итого 100"/>
            <filter val="Калитки 1,8*1,2"/>
            <filter val="Камни бетонные стеновые СКЦ1Р-1ПГ-1425 кг/м3/,М100 по ТУ 5741-008-49975776-2010 на цементно-известняковом кладочном р-ре М75,Пк2 ГОСТ 28013-98*-190мм"/>
            <filter val="Камни керамзитобетонные стеновые КП-ПР-ПС-39-50-1100 кг/м³ по ГОСТ 6133-99"/>
            <filter val="Керамогранит с противоскользящим покрытием 300х300х12 мм"/>
            <filter val="Керамогранит с противоскользящим покрытием 300х300х9 мм"/>
            <filter val="Кирпич керамический"/>
            <filter val="Кирпич силикатный"/>
            <filter val="Кирпичная кладка стен  из кирпича керамического"/>
            <filter val="Кирпичная кладка стен  из кирпича силикатного"/>
            <filter val="Клей для газобетона, 25 кг"/>
            <filter val="Клей пена Технониколь"/>
            <filter val="Клей плиточный - 11мм"/>
            <filter val="Композитная арматура Ф10мм L=290мм"/>
            <filter val="Кровля холодных балконов (пароизоляция- Стеклоизол ХПП, цементно-песчанная стяжка толщ 10-20мм,   гидроизоляция Техноэласт Фикс, гидроизоляция Техноэласт ЭКП, , пенополистирол Технониколь)"/>
            <filter val="Лестница выхода на кровлю"/>
            <filter val="Лифт пассажирский ЛП-1016БК грузоподъемоностью Q=1000 кг,, V=1,6м/с., производства Могилёв"/>
            <filter val="Лифт пассажирский ЛП-1016БШ грузоподъемоностью Q=1000 кг,, V=1,6м/с., производства Могилёв"/>
            <filter val="Металическое ограждение незадымляемых балконов"/>
            <filter val="Металическое ограждение холодных балконов"/>
            <filter val="Металл"/>
            <filter val="Металлические ограждения (кондиционеры) на навесных вентилируемых фасадах"/>
            <filter val="Металлические элементы машинного помещения"/>
            <filter val="Металлический поддоны в подвале"/>
            <filter val="Металлическое ограждение кровли"/>
            <filter val="Монолитный пояс МП-1, МП-2, МП-3 машинного отделения"/>
            <filter val="Монтаж вент.жалюзийных решеток продуха подвала"/>
            <filter val="Монтаж лестниц  пожарных"/>
            <filter val="Монтаж мет.ограждения высотой 1,8 м  в подвале"/>
            <filter val="Монтаж систем ХВС, ГВС, канализация и пуско-наладка"/>
            <filter val="Монтаж системы вентиляции и пуско-наладка"/>
            <filter val="Монтаж системы отопления и пуско-наладка"/>
            <filter val="Монтажные закладные для кондиционеров"/>
            <filter val="Накладные расходы 11%"/>
            <filter val="Обратная засыпка"/>
            <filter val="Ограждение лестничных маршей h=0,9 м"/>
            <filter val="Ограждение наружных пандусов из черног метала с порошковой окраской"/>
            <filter val="Оклееечная гидроизоляция"/>
            <filter val="Оклеечная гидроизоляция фундаментной плиты и  стен подвала в 2 слоя"/>
            <filter val="Отделка керамической плиткой стен техподполья в спусках в техподполье,подступенков и цоколя у крыльца"/>
            <filter val="Откосы"/>
            <filter val="оцинковааное металлическое ограждение (секции)"/>
            <filter val="Пароизоляция стеклоизол ХПП"/>
            <filter val="Перегородки  гипсовые пазогребневые плиты гидрофобизированные толщ 80мм"/>
            <filter val="Перегородки гипсовые пазогребневые плиты  толщ. 80мм"/>
            <filter val="Перемычки"/>
            <filter val="песок"/>
            <filter val="Пешеходная дорожка тротуарная плитка на ц/п растворе"/>
            <filter val="Пластиковый фиксатор нижней арматуры"/>
            <filter val="Пленка полиэтиленовая – 200 мкм."/>
            <filter val="Плитка (стены)"/>
            <filter val="Погружение составных ж/б свай 35*35 см, сварной стык статической погрузкой"/>
            <filter val="Подвесной потолок (МОП)"/>
            <filter val="Подшивка козырьков из профлиста С21-1000-0,7"/>
            <filter val="ПОЛЫ"/>
            <filter val="Пороги балконных дверей"/>
            <filter val="ПОТОЛКИ"/>
            <filter val="Потолок ГКЛ"/>
            <filter val="Почтовые ящики"/>
            <filter val="Праймер битумный"/>
            <filter val="Примыкания над техническим помещениями"/>
            <filter val="Работа кранов и прочих механизмов"/>
            <filter val="Раздел 1. Земляные работы"/>
            <filter val="Раздел 10. Двери"/>
            <filter val="Раздел 100. Организация работ"/>
            <filter val="Раздел 11. Кровля"/>
            <filter val="Раздел 12. Отделка полов входных групп, лестниц, пандусов"/>
            <filter val="Раздел 13. Козырьки"/>
            <filter val="Раздел 14. Отделочные работы"/>
            <filter val="Раздел 15. Прочие"/>
            <filter val="Раздел 16. Лифты"/>
            <filter val="Раздел 17. Инженерные системы"/>
            <filter val="Раздел 18. Механизмы"/>
            <filter val="Раздел 2. Погружение составных ж/б свай. Срубка свай"/>
            <filter val="Раздел 3. Устройство монолитного ж/б каркаса ниже отм. 0.000"/>
            <filter val="Раздел 4. Устройство монолитного ж/б каркаса выше отм. 0.000"/>
            <filter val="Раздел 5. Разные работы"/>
            <filter val="Раздел 6. Стены наружные"/>
            <filter val="Раздел 7. Внутренние стены и перегородки"/>
            <filter val="Раздел 8. Устройство фасада"/>
            <filter val="Раздел 9. Окна и витражи"/>
            <filter val="Разработка котлована:"/>
            <filter val="Раствор"/>
            <filter val="Раствор цементно-песчаный м75"/>
            <filter val="Сваи 35х35 см, усиленные L=20м, Свая С 80.35-Св-6; Свая С 120.35-Св-6"/>
            <filter val="Сметная прибыль 5%"/>
            <filter val="Состав Скрепа М500, b=0,2 м s=0,01"/>
            <filter val="Срубка оголовков свай"/>
            <filter val="СТЕНЫ"/>
            <filter val="Техноэласт ЭПП (2 слоя)"/>
            <filter val="Техноэласт ЭПП b=0,2 м"/>
            <filter val="Уст-во сапожка из кер.гранита высотой 100мм с затир.плит.клеем"/>
            <filter val="Уст-во утеплитель - ЭППС 28-35кг/м3 -0,032Вт (м*К)-20мм (по полу первого этажа и чердаку )"/>
            <filter val="Устройство бетонной подготовки  под входные группы"/>
            <filter val="Устройство бетонной подготовки толщ 100 мм под монолитную фундаментную плиту"/>
            <filter val="Устройство вентилируемого фассада из керамогранита 60*60*10, 30*30,10"/>
            <filter val="Устройство вертикального рабочего шва бетонирования"/>
            <filter val="Устройство внутренних монолитных стен"/>
            <filter val="Устройство водосточных воронок ф 100мм"/>
            <filter val="Устройство водосточных желобов ф 100мм"/>
            <filter val="Устройство водосточных труб 100х100 h=2,8м"/>
            <filter val="Устройство входной группы"/>
            <filter val="Устройство индивидуальных лестничных маршей  ИМЛ 30.12.15-4"/>
            <filter val="Устройство каркаса козырька из мет.конструкций"/>
            <filter val="Устройство мокрого фасада без утепления (откосы, балконы)"/>
            <filter val="Устройство мокрого фасада с утеплением"/>
            <filter val="Устройство монолитной ж/б наружней стены подвала"/>
            <filter val="Устройство монолитной ж/б плиты перекрытия на отм. -0,12"/>
            <filter val="Устройство монолитных ж/б лестничных площадок из бетона"/>
            <filter val="Устройство монолитных перекрытий из бетона"/>
            <filter val="Устройство монолитных стен лестнично-лифтового блока из бетона"/>
            <filter val="Устройство монолитных стен лестнично-лифтового блока из бетона до отм 0.000"/>
            <filter val="Устройство мусоропровода (Хризотилцементные трубы)"/>
            <filter val="Устройство навесного вентилируемого фасада из кассетных навесных панелей"/>
            <filter val="Устройство напольного покрытия из керамогранита противоскользящего (МОП)"/>
            <filter val="Устройство наружных монолитных стен"/>
            <filter val="Устройство ограждений балконов и лоджий"/>
            <filter val="Устройство ПВХ балконных дверей"/>
            <filter val="Устройство ПВХ заполнений балконов"/>
            <filter val="Устройство ПВХ окон"/>
            <filter val="Устройство полусухой стяжки"/>
            <filter val="Устройство сплошного &quot;теплого&quot; витража стеклопакет толщиной 32мм , с учетом откосов_x000a_"/>
            <filter val="Устройство термовкладыша"/>
            <filter val="Устройство утепления стен  минераловатными плитами с теплопроводностью λБ - 0,043 Вт/(м*К), плотн.126-154 кг/м3  - 50 -100 мм"/>
            <filter val="Устройство фасонных элементов на парапете кровли из оцинкованной стали"/>
            <filter val="Устройство фундаментной монолитной ж/б плиты"/>
            <filter val="Утепление стен подвала экструдированным пенополистиролом толщ.100мм"/>
            <filter val="утеплитель ПСБ-С-35 толщ 20мм"/>
            <filter val="утеплитель ЭППС-20мм"/>
            <filter val="Шпаклевка покраска"/>
            <filter val="шпатлевка, покраска потолка"/>
            <filter val="Штукатурка,  покраска"/>
            <filter val="Штукатурка, шпатлевка, покраска"/>
            <filter val="Экструдированный пенополистерол"/>
            <filter val="Электроосвещение"/>
          </mc:Fallback>
        </mc:AlternateContent>
      </filters>
    </filterColumn>
    <filterColumn colId="4" showButton="0"/>
    <filterColumn colId="6" showButton="0"/>
    <filterColumn colId="11" showButton="0"/>
  </autoFilter>
  <mergeCells count="20">
    <mergeCell ref="A11:I11"/>
    <mergeCell ref="A13:I13"/>
    <mergeCell ref="B14:I14"/>
    <mergeCell ref="E16:H16"/>
    <mergeCell ref="E1:I1"/>
    <mergeCell ref="AG16:AJ16"/>
    <mergeCell ref="A17:A18"/>
    <mergeCell ref="B17:B18"/>
    <mergeCell ref="C17:C18"/>
    <mergeCell ref="D17:D18"/>
    <mergeCell ref="E17:F17"/>
    <mergeCell ref="AD17:AE17"/>
    <mergeCell ref="AG17:AJ17"/>
    <mergeCell ref="L17:M17"/>
    <mergeCell ref="G17:H17"/>
    <mergeCell ref="I17:I18"/>
    <mergeCell ref="T17:U17"/>
    <mergeCell ref="X17:Y17"/>
    <mergeCell ref="AA17:AB17"/>
    <mergeCell ref="AC16:AF16"/>
  </mergeCells>
  <pageMargins left="0.59055118110236227" right="0.19685039370078741" top="0.35433070866141736" bottom="0.39370078740157483" header="0" footer="0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280"/>
  <sheetViews>
    <sheetView topLeftCell="A10" zoomScaleNormal="100" workbookViewId="0">
      <selection activeCell="B232" sqref="B232"/>
    </sheetView>
  </sheetViews>
  <sheetFormatPr defaultColWidth="9.109375" defaultRowHeight="14.4" outlineLevelCol="1" x14ac:dyDescent="0.25"/>
  <cols>
    <col min="1" max="1" width="7.44140625" style="9" customWidth="1"/>
    <col min="2" max="2" width="66.109375" style="14" customWidth="1"/>
    <col min="3" max="3" width="12.109375" style="8" customWidth="1"/>
    <col min="4" max="4" width="17" style="288" customWidth="1"/>
    <col min="5" max="5" width="18.5546875" style="289" customWidth="1"/>
    <col min="6" max="6" width="14.88671875" style="289" customWidth="1"/>
    <col min="7" max="7" width="14.33203125" style="289" customWidth="1"/>
    <col min="8" max="8" width="15" style="289" customWidth="1"/>
    <col min="9" max="9" width="22.6640625" style="289" customWidth="1"/>
    <col min="10" max="10" width="22.6640625" style="219" customWidth="1"/>
    <col min="11" max="20" width="22.6640625" style="15" customWidth="1"/>
    <col min="21" max="21" width="12.5546875" style="15" customWidth="1" outlineLevel="1"/>
    <col min="22" max="22" width="14.33203125" style="15" customWidth="1" outlineLevel="1"/>
    <col min="23" max="23" width="15" style="15" customWidth="1" outlineLevel="1"/>
    <col min="24" max="26" width="16.5546875" style="15" customWidth="1" outlineLevel="1"/>
    <col min="27" max="27" width="14.88671875" style="15" customWidth="1" outlineLevel="1"/>
    <col min="28" max="28" width="14.33203125" style="15" customWidth="1" outlineLevel="1"/>
    <col min="29" max="29" width="15" style="15" customWidth="1" outlineLevel="1"/>
    <col min="30" max="30" width="16.33203125" style="15" customWidth="1" outlineLevel="1"/>
    <col min="31" max="32" width="16.5546875" style="15" customWidth="1" outlineLevel="1"/>
    <col min="33" max="34" width="14.88671875" style="15" customWidth="1" outlineLevel="1"/>
    <col min="35" max="35" width="14.33203125" style="15" customWidth="1" outlineLevel="1"/>
    <col min="36" max="36" width="15" style="15" customWidth="1" outlineLevel="1"/>
    <col min="37" max="38" width="16.5546875" style="15" customWidth="1" outlineLevel="1"/>
    <col min="39" max="40" width="14.88671875" style="15" customWidth="1" outlineLevel="1"/>
    <col min="41" max="41" width="14.33203125" style="15" customWidth="1" outlineLevel="1"/>
    <col min="42" max="42" width="17.33203125" style="15" customWidth="1" outlineLevel="1"/>
    <col min="43" max="44" width="14.88671875" style="15" customWidth="1" outlineLevel="1"/>
    <col min="45" max="45" width="14.33203125" style="15" customWidth="1" outlineLevel="1"/>
    <col min="46" max="46" width="15" style="15" customWidth="1" outlineLevel="1"/>
    <col min="47" max="48" width="14.88671875" style="15" customWidth="1" outlineLevel="1"/>
    <col min="49" max="49" width="14.33203125" style="15" customWidth="1" outlineLevel="1"/>
    <col min="50" max="50" width="15" style="15" customWidth="1" outlineLevel="1"/>
    <col min="51" max="52" width="14.88671875" style="15" customWidth="1" outlineLevel="1"/>
    <col min="53" max="53" width="14.33203125" style="15" customWidth="1" outlineLevel="1"/>
    <col min="54" max="54" width="15" style="15" customWidth="1" outlineLevel="1"/>
    <col min="55" max="56" width="14.88671875" style="15" customWidth="1" outlineLevel="1"/>
    <col min="57" max="57" width="14.33203125" style="15" customWidth="1" outlineLevel="1"/>
    <col min="58" max="58" width="15" style="15" customWidth="1" outlineLevel="1"/>
    <col min="59" max="60" width="14.88671875" style="15" customWidth="1" outlineLevel="1"/>
    <col min="61" max="61" width="14.33203125" style="15" customWidth="1" outlineLevel="1"/>
    <col min="62" max="62" width="15" style="15" customWidth="1" outlineLevel="1"/>
    <col min="63" max="64" width="14.88671875" style="15" customWidth="1" outlineLevel="1"/>
    <col min="65" max="65" width="14.33203125" style="15" customWidth="1" outlineLevel="1"/>
    <col min="66" max="66" width="15" style="15" customWidth="1" outlineLevel="1"/>
    <col min="67" max="68" width="14.88671875" style="15" customWidth="1" outlineLevel="1"/>
    <col min="69" max="69" width="14.33203125" style="15" customWidth="1" outlineLevel="1"/>
    <col min="70" max="70" width="15" style="15" customWidth="1" outlineLevel="1"/>
    <col min="71" max="72" width="14.88671875" style="15" customWidth="1" outlineLevel="1"/>
    <col min="73" max="73" width="14.33203125" style="15" customWidth="1" outlineLevel="1"/>
    <col min="74" max="74" width="15" style="15" customWidth="1" outlineLevel="1"/>
    <col min="75" max="75" width="16.5546875" style="15" customWidth="1" outlineLevel="1"/>
    <col min="76" max="76" width="20.6640625" style="15" customWidth="1" outlineLevel="1"/>
    <col min="77" max="78" width="14.88671875" style="15" customWidth="1"/>
    <col min="79" max="79" width="14.33203125" style="15" customWidth="1"/>
    <col min="80" max="80" width="15" style="15" customWidth="1"/>
    <col min="81" max="81" width="14.88671875" style="16" customWidth="1" collapsed="1"/>
    <col min="82" max="82" width="14.88671875" style="16" customWidth="1"/>
    <col min="83" max="83" width="14.33203125" style="16" customWidth="1"/>
    <col min="84" max="84" width="17.33203125" style="16" customWidth="1"/>
    <col min="85" max="16384" width="9.109375" style="15"/>
  </cols>
  <sheetData>
    <row r="1" spans="1:84" s="133" customFormat="1" ht="20.2" customHeight="1" x14ac:dyDescent="0.3">
      <c r="A1" s="130"/>
      <c r="B1" s="131"/>
      <c r="C1" s="222"/>
      <c r="D1" s="171"/>
      <c r="E1" s="224"/>
      <c r="F1" s="312" t="s">
        <v>318</v>
      </c>
      <c r="G1" s="312"/>
      <c r="H1" s="312"/>
      <c r="I1" s="312"/>
      <c r="J1" s="188"/>
    </row>
    <row r="2" spans="1:84" s="133" customFormat="1" ht="16.899999999999999" x14ac:dyDescent="0.3">
      <c r="A2" s="130"/>
      <c r="B2" s="131"/>
      <c r="C2" s="222"/>
      <c r="D2" s="171"/>
      <c r="E2" s="224"/>
      <c r="F2" s="224"/>
      <c r="G2" s="224"/>
      <c r="H2" s="224"/>
      <c r="I2" s="224"/>
      <c r="J2" s="188"/>
    </row>
    <row r="3" spans="1:84" s="132" customFormat="1" ht="4.55" customHeight="1" x14ac:dyDescent="0.3">
      <c r="B3" s="134"/>
      <c r="C3" s="224"/>
      <c r="D3" s="172"/>
      <c r="E3" s="155"/>
      <c r="F3" s="156"/>
      <c r="G3" s="156"/>
      <c r="H3" s="156"/>
      <c r="I3" s="156"/>
      <c r="J3" s="189"/>
    </row>
    <row r="4" spans="1:84" s="135" customFormat="1" ht="21" customHeight="1" x14ac:dyDescent="0.3">
      <c r="B4" s="136" t="s">
        <v>0</v>
      </c>
      <c r="C4" s="164" t="s">
        <v>1</v>
      </c>
      <c r="D4" s="173"/>
      <c r="E4" s="158"/>
      <c r="F4" s="159"/>
      <c r="G4" s="164" t="s">
        <v>1</v>
      </c>
      <c r="H4" s="159"/>
      <c r="I4" s="159"/>
      <c r="J4" s="190"/>
    </row>
    <row r="5" spans="1:84" s="137" customFormat="1" ht="11.3" customHeight="1" x14ac:dyDescent="0.3">
      <c r="B5" s="138"/>
      <c r="C5" s="165"/>
      <c r="D5" s="173"/>
      <c r="E5" s="158"/>
      <c r="F5" s="160"/>
      <c r="G5" s="165"/>
      <c r="H5" s="160"/>
      <c r="I5" s="160"/>
      <c r="J5" s="191"/>
    </row>
    <row r="6" spans="1:84" s="137" customFormat="1" ht="21" customHeight="1" x14ac:dyDescent="0.3">
      <c r="B6" s="136" t="s">
        <v>319</v>
      </c>
      <c r="C6" s="139" t="s">
        <v>320</v>
      </c>
      <c r="D6" s="173"/>
      <c r="E6" s="158"/>
      <c r="F6" s="160"/>
      <c r="G6" s="139" t="s">
        <v>91</v>
      </c>
      <c r="H6" s="160"/>
      <c r="I6" s="160"/>
      <c r="J6" s="191"/>
    </row>
    <row r="7" spans="1:84" s="137" customFormat="1" ht="27.1" customHeight="1" x14ac:dyDescent="0.3">
      <c r="B7" s="138"/>
      <c r="C7" s="139"/>
      <c r="D7" s="173"/>
      <c r="E7" s="158"/>
      <c r="F7" s="160"/>
      <c r="G7" s="139"/>
      <c r="H7" s="160"/>
      <c r="I7" s="160"/>
      <c r="J7" s="191"/>
    </row>
    <row r="8" spans="1:84" s="137" customFormat="1" ht="21" customHeight="1" x14ac:dyDescent="0.3">
      <c r="B8" s="136" t="s">
        <v>321</v>
      </c>
      <c r="C8" s="164" t="s">
        <v>322</v>
      </c>
      <c r="D8" s="173"/>
      <c r="E8" s="158"/>
      <c r="F8" s="160"/>
      <c r="G8" s="164" t="s">
        <v>323</v>
      </c>
      <c r="H8" s="160"/>
      <c r="I8" s="160"/>
      <c r="J8" s="191"/>
    </row>
    <row r="9" spans="1:84" s="137" customFormat="1" ht="17.55" x14ac:dyDescent="0.3">
      <c r="A9" s="140"/>
      <c r="B9" s="136"/>
      <c r="C9" s="161"/>
      <c r="D9" s="174"/>
      <c r="E9" s="158"/>
      <c r="F9" s="158"/>
      <c r="G9" s="157"/>
      <c r="H9" s="158"/>
      <c r="I9" s="158"/>
      <c r="J9" s="191"/>
    </row>
    <row r="10" spans="1:84" s="137" customFormat="1" ht="1.6" customHeight="1" x14ac:dyDescent="0.3">
      <c r="A10" s="140"/>
      <c r="B10" s="136"/>
      <c r="C10" s="161"/>
      <c r="D10" s="174"/>
      <c r="E10" s="158"/>
      <c r="F10" s="158"/>
      <c r="G10" s="157"/>
      <c r="H10" s="158"/>
      <c r="I10" s="158"/>
      <c r="J10" s="191"/>
    </row>
    <row r="11" spans="1:84" s="137" customFormat="1" ht="21" customHeight="1" x14ac:dyDescent="0.3">
      <c r="A11" s="308" t="s">
        <v>324</v>
      </c>
      <c r="B11" s="308"/>
      <c r="C11" s="308"/>
      <c r="D11" s="308"/>
      <c r="E11" s="308"/>
      <c r="F11" s="308"/>
      <c r="G11" s="308"/>
      <c r="H11" s="308"/>
      <c r="I11" s="308"/>
      <c r="J11" s="186"/>
      <c r="K11" s="141"/>
      <c r="L11" s="141"/>
      <c r="M11" s="141"/>
      <c r="N11" s="142"/>
      <c r="O11" s="142"/>
      <c r="V11" s="143"/>
      <c r="W11" s="144"/>
      <c r="X11" s="145"/>
      <c r="Y11" s="146"/>
      <c r="AA11" s="147"/>
      <c r="AC11" s="147"/>
      <c r="AD11" s="148"/>
      <c r="AE11" s="148"/>
    </row>
    <row r="12" spans="1:84" s="17" customFormat="1" ht="17.55" x14ac:dyDescent="0.3">
      <c r="A12" s="10"/>
      <c r="B12" s="149"/>
      <c r="C12" s="150"/>
      <c r="D12" s="251"/>
      <c r="E12" s="252"/>
      <c r="F12" s="252"/>
      <c r="G12" s="252"/>
      <c r="H12" s="252"/>
      <c r="I12" s="252"/>
      <c r="J12" s="192"/>
      <c r="CC12" s="91"/>
      <c r="CD12" s="91"/>
      <c r="CE12" s="91"/>
      <c r="CF12" s="91"/>
    </row>
    <row r="13" spans="1:84" s="17" customFormat="1" ht="17.55" x14ac:dyDescent="0.3">
      <c r="A13" s="309" t="s">
        <v>342</v>
      </c>
      <c r="B13" s="309"/>
      <c r="C13" s="309"/>
      <c r="D13" s="309"/>
      <c r="E13" s="309"/>
      <c r="F13" s="309"/>
      <c r="G13" s="309"/>
      <c r="H13" s="309"/>
      <c r="I13" s="309"/>
      <c r="J13" s="193"/>
      <c r="K13" s="11"/>
      <c r="L13" s="11"/>
      <c r="M13" s="11"/>
      <c r="N13" s="11"/>
      <c r="O13" s="11"/>
      <c r="P13" s="11"/>
      <c r="Q13" s="11"/>
      <c r="R13" s="11"/>
      <c r="S13" s="11"/>
      <c r="T13" s="11"/>
      <c r="CC13" s="91"/>
      <c r="CD13" s="91"/>
      <c r="CE13" s="91"/>
      <c r="CF13" s="91"/>
    </row>
    <row r="14" spans="1:84" s="17" customFormat="1" ht="31.5" customHeight="1" x14ac:dyDescent="0.3">
      <c r="A14" s="11"/>
      <c r="B14" s="310" t="s">
        <v>325</v>
      </c>
      <c r="C14" s="310"/>
      <c r="D14" s="310"/>
      <c r="E14" s="310"/>
      <c r="F14" s="310"/>
      <c r="G14" s="310"/>
      <c r="H14" s="310"/>
      <c r="I14" s="310"/>
      <c r="J14" s="194"/>
      <c r="K14" s="13"/>
      <c r="L14" s="13"/>
      <c r="M14" s="13"/>
      <c r="N14" s="13"/>
      <c r="O14" s="13"/>
      <c r="P14" s="13"/>
      <c r="Q14" s="13"/>
      <c r="R14" s="13"/>
      <c r="S14" s="13"/>
      <c r="T14" s="13"/>
      <c r="CC14" s="91"/>
      <c r="CD14" s="91"/>
      <c r="CE14" s="91"/>
      <c r="CF14" s="91"/>
    </row>
    <row r="15" spans="1:84" s="17" customFormat="1" ht="17.55" x14ac:dyDescent="0.3">
      <c r="A15" s="10"/>
      <c r="B15" s="149"/>
      <c r="C15" s="150"/>
      <c r="D15" s="251"/>
      <c r="E15" s="252"/>
      <c r="F15" s="252"/>
      <c r="G15" s="252"/>
      <c r="H15" s="252"/>
      <c r="I15" s="252"/>
      <c r="J15" s="192"/>
      <c r="CC15" s="91"/>
      <c r="CD15" s="91"/>
      <c r="CE15" s="91"/>
      <c r="CF15" s="91"/>
    </row>
    <row r="16" spans="1:84" s="17" customFormat="1" ht="16.45" customHeight="1" x14ac:dyDescent="0.3">
      <c r="A16" s="10"/>
      <c r="B16" s="149"/>
      <c r="C16" s="150"/>
      <c r="D16" s="251"/>
      <c r="E16" s="311" t="s">
        <v>90</v>
      </c>
      <c r="F16" s="311"/>
      <c r="G16" s="311"/>
      <c r="H16" s="311"/>
      <c r="I16" s="253">
        <f>I278</f>
        <v>335804796</v>
      </c>
      <c r="J16" s="195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314">
        <v>43405</v>
      </c>
      <c r="V16" s="314"/>
      <c r="W16" s="314"/>
      <c r="X16" s="314"/>
      <c r="Y16" s="152"/>
      <c r="Z16" s="152"/>
      <c r="AA16" s="314">
        <v>43435</v>
      </c>
      <c r="AB16" s="314"/>
      <c r="AC16" s="314"/>
      <c r="AD16" s="314"/>
      <c r="AE16" s="152"/>
      <c r="AF16" s="152"/>
      <c r="AG16" s="314">
        <v>43497</v>
      </c>
      <c r="AH16" s="314"/>
      <c r="AI16" s="314"/>
      <c r="AJ16" s="314"/>
      <c r="AK16" s="152"/>
      <c r="AL16" s="152"/>
      <c r="AM16" s="315">
        <v>43525</v>
      </c>
      <c r="AN16" s="315"/>
      <c r="AO16" s="315"/>
      <c r="AP16" s="315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  <c r="BS16" s="153"/>
      <c r="BT16" s="153"/>
      <c r="BU16" s="153"/>
      <c r="BV16" s="153"/>
      <c r="BW16" s="152"/>
      <c r="BX16" s="152"/>
      <c r="BY16" s="300" t="s">
        <v>97</v>
      </c>
      <c r="BZ16" s="300"/>
      <c r="CA16" s="300"/>
      <c r="CB16" s="300"/>
      <c r="CC16" s="301"/>
      <c r="CD16" s="301"/>
      <c r="CE16" s="301"/>
      <c r="CF16" s="301"/>
    </row>
    <row r="17" spans="1:84" s="184" customFormat="1" ht="30.05" customHeight="1" x14ac:dyDescent="0.3">
      <c r="A17" s="302" t="s">
        <v>2</v>
      </c>
      <c r="B17" s="303" t="s">
        <v>3</v>
      </c>
      <c r="C17" s="304" t="s">
        <v>4</v>
      </c>
      <c r="D17" s="305" t="s">
        <v>252</v>
      </c>
      <c r="E17" s="306" t="s">
        <v>86</v>
      </c>
      <c r="F17" s="306"/>
      <c r="G17" s="306" t="s">
        <v>92</v>
      </c>
      <c r="H17" s="306"/>
      <c r="I17" s="313" t="s">
        <v>88</v>
      </c>
      <c r="J17" s="196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83"/>
      <c r="V17" s="298" t="s">
        <v>92</v>
      </c>
      <c r="W17" s="298"/>
      <c r="X17" s="183" t="s">
        <v>93</v>
      </c>
      <c r="Y17" s="299" t="s">
        <v>96</v>
      </c>
      <c r="Z17" s="299"/>
      <c r="AA17" s="183"/>
      <c r="AB17" s="298" t="s">
        <v>92</v>
      </c>
      <c r="AC17" s="298"/>
      <c r="AD17" s="183" t="s">
        <v>93</v>
      </c>
      <c r="AE17" s="299" t="s">
        <v>96</v>
      </c>
      <c r="AF17" s="299"/>
      <c r="AG17" s="183"/>
      <c r="AH17" s="298" t="s">
        <v>92</v>
      </c>
      <c r="AI17" s="298"/>
      <c r="AJ17" s="183" t="s">
        <v>93</v>
      </c>
      <c r="AK17" s="299" t="s">
        <v>96</v>
      </c>
      <c r="AL17" s="299"/>
      <c r="AM17" s="183"/>
      <c r="AN17" s="298" t="s">
        <v>92</v>
      </c>
      <c r="AO17" s="298"/>
      <c r="AP17" s="183" t="s">
        <v>93</v>
      </c>
      <c r="AQ17" s="183"/>
      <c r="AR17" s="298"/>
      <c r="AS17" s="298"/>
      <c r="AT17" s="183"/>
      <c r="AU17" s="183"/>
      <c r="AV17" s="298"/>
      <c r="AW17" s="298"/>
      <c r="AX17" s="183"/>
      <c r="AY17" s="183"/>
      <c r="AZ17" s="298"/>
      <c r="BA17" s="298"/>
      <c r="BB17" s="183"/>
      <c r="BC17" s="183"/>
      <c r="BD17" s="298"/>
      <c r="BE17" s="298"/>
      <c r="BF17" s="183"/>
      <c r="BG17" s="183"/>
      <c r="BH17" s="298"/>
      <c r="BI17" s="298"/>
      <c r="BJ17" s="183"/>
      <c r="BK17" s="183"/>
      <c r="BL17" s="298"/>
      <c r="BM17" s="298"/>
      <c r="BN17" s="183"/>
      <c r="BO17" s="183"/>
      <c r="BP17" s="298"/>
      <c r="BQ17" s="298"/>
      <c r="BR17" s="183"/>
      <c r="BS17" s="183"/>
      <c r="BT17" s="298"/>
      <c r="BU17" s="298"/>
      <c r="BV17" s="183"/>
      <c r="BW17" s="299" t="s">
        <v>96</v>
      </c>
      <c r="BX17" s="299"/>
      <c r="BY17" s="183"/>
      <c r="BZ17" s="298" t="s">
        <v>92</v>
      </c>
      <c r="CA17" s="298"/>
      <c r="CB17" s="183" t="s">
        <v>93</v>
      </c>
      <c r="CC17" s="307">
        <v>43556</v>
      </c>
      <c r="CD17" s="307"/>
      <c r="CE17" s="307"/>
      <c r="CF17" s="307"/>
    </row>
    <row r="18" spans="1:84" s="185" customFormat="1" ht="30.05" customHeight="1" x14ac:dyDescent="0.25">
      <c r="A18" s="302"/>
      <c r="B18" s="303"/>
      <c r="C18" s="304"/>
      <c r="D18" s="305"/>
      <c r="E18" s="255" t="s">
        <v>89</v>
      </c>
      <c r="F18" s="255" t="s">
        <v>87</v>
      </c>
      <c r="G18" s="255" t="s">
        <v>89</v>
      </c>
      <c r="H18" s="255" t="s">
        <v>87</v>
      </c>
      <c r="I18" s="313"/>
      <c r="J18" s="196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80" t="s">
        <v>94</v>
      </c>
      <c r="V18" s="180" t="s">
        <v>89</v>
      </c>
      <c r="W18" s="180" t="s">
        <v>87</v>
      </c>
      <c r="X18" s="180"/>
      <c r="Y18" s="181"/>
      <c r="Z18" s="181"/>
      <c r="AA18" s="180" t="s">
        <v>94</v>
      </c>
      <c r="AB18" s="180" t="s">
        <v>89</v>
      </c>
      <c r="AC18" s="180" t="s">
        <v>87</v>
      </c>
      <c r="AD18" s="180" t="s">
        <v>95</v>
      </c>
      <c r="AE18" s="181"/>
      <c r="AF18" s="181"/>
      <c r="AG18" s="180" t="s">
        <v>94</v>
      </c>
      <c r="AH18" s="180" t="s">
        <v>89</v>
      </c>
      <c r="AI18" s="180" t="s">
        <v>87</v>
      </c>
      <c r="AJ18" s="180" t="s">
        <v>95</v>
      </c>
      <c r="AK18" s="181"/>
      <c r="AL18" s="181"/>
      <c r="AM18" s="180" t="s">
        <v>94</v>
      </c>
      <c r="AN18" s="180" t="s">
        <v>89</v>
      </c>
      <c r="AO18" s="180" t="s">
        <v>87</v>
      </c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1"/>
      <c r="BX18" s="181"/>
      <c r="BY18" s="180" t="s">
        <v>94</v>
      </c>
      <c r="BZ18" s="180" t="s">
        <v>89</v>
      </c>
      <c r="CA18" s="180" t="s">
        <v>87</v>
      </c>
      <c r="CB18" s="180"/>
      <c r="CC18" s="182"/>
      <c r="CD18" s="182"/>
      <c r="CE18" s="182"/>
      <c r="CF18" s="182"/>
    </row>
    <row r="19" spans="1:84" s="175" customFormat="1" ht="30.05" customHeight="1" x14ac:dyDescent="0.25">
      <c r="A19" s="52" t="s">
        <v>106</v>
      </c>
      <c r="B19" s="37" t="s">
        <v>112</v>
      </c>
      <c r="C19" s="166"/>
      <c r="D19" s="256"/>
      <c r="E19" s="257"/>
      <c r="F19" s="257"/>
      <c r="G19" s="257"/>
      <c r="H19" s="257"/>
      <c r="I19" s="257"/>
      <c r="J19" s="197"/>
    </row>
    <row r="20" spans="1:84" s="175" customFormat="1" ht="30.05" customHeight="1" x14ac:dyDescent="0.25">
      <c r="A20" s="54" t="s">
        <v>113</v>
      </c>
      <c r="B20" s="38" t="s">
        <v>114</v>
      </c>
      <c r="C20" s="39" t="s">
        <v>7</v>
      </c>
      <c r="D20" s="169">
        <v>4836</v>
      </c>
      <c r="E20" s="123">
        <v>250</v>
      </c>
      <c r="F20" s="125"/>
      <c r="G20" s="123">
        <f>ROUND(D20*E20,0)</f>
        <v>1209000</v>
      </c>
      <c r="H20" s="123">
        <f>ROUND(D20*F20,0)</f>
        <v>0</v>
      </c>
      <c r="I20" s="125">
        <f>G20+H20</f>
        <v>1209000</v>
      </c>
      <c r="J20" s="197"/>
    </row>
    <row r="21" spans="1:84" s="175" customFormat="1" ht="30.05" customHeight="1" x14ac:dyDescent="0.25">
      <c r="A21" s="54" t="s">
        <v>108</v>
      </c>
      <c r="B21" s="41" t="s">
        <v>115</v>
      </c>
      <c r="C21" s="42" t="s">
        <v>7</v>
      </c>
      <c r="D21" s="169">
        <v>2640.9</v>
      </c>
      <c r="E21" s="125">
        <v>150</v>
      </c>
      <c r="F21" s="125"/>
      <c r="G21" s="123">
        <f>ROUND(D21*E21,0)</f>
        <v>396135</v>
      </c>
      <c r="H21" s="123">
        <f>ROUND(D21*F21,0)</f>
        <v>0</v>
      </c>
      <c r="I21" s="125">
        <f>G21+H21</f>
        <v>396135</v>
      </c>
      <c r="J21" s="197"/>
    </row>
    <row r="22" spans="1:84" s="176" customFormat="1" ht="30.05" customHeight="1" x14ac:dyDescent="0.25">
      <c r="A22" s="52"/>
      <c r="B22" s="46" t="s">
        <v>119</v>
      </c>
      <c r="C22" s="35"/>
      <c r="D22" s="256"/>
      <c r="E22" s="258"/>
      <c r="F22" s="258"/>
      <c r="G22" s="258">
        <f>SUM(G20:G21)</f>
        <v>1605135</v>
      </c>
      <c r="H22" s="258"/>
      <c r="I22" s="258">
        <f>SUM(I20:I21)</f>
        <v>1605135</v>
      </c>
      <c r="J22" s="197"/>
    </row>
    <row r="23" spans="1:84" s="175" customFormat="1" ht="30.05" customHeight="1" x14ac:dyDescent="0.25">
      <c r="A23" s="54"/>
      <c r="B23" s="41" t="s">
        <v>249</v>
      </c>
      <c r="C23" s="42"/>
      <c r="D23" s="169"/>
      <c r="E23" s="123"/>
      <c r="F23" s="123"/>
      <c r="G23" s="125">
        <f>ROUND(G22*0.11,0)</f>
        <v>176565</v>
      </c>
      <c r="H23" s="123"/>
      <c r="I23" s="123">
        <f>G23</f>
        <v>176565</v>
      </c>
      <c r="J23" s="197"/>
    </row>
    <row r="24" spans="1:84" s="175" customFormat="1" ht="30.05" customHeight="1" x14ac:dyDescent="0.25">
      <c r="A24" s="54"/>
      <c r="B24" s="41" t="s">
        <v>223</v>
      </c>
      <c r="C24" s="42"/>
      <c r="D24" s="169"/>
      <c r="E24" s="123"/>
      <c r="F24" s="123"/>
      <c r="G24" s="125">
        <f>ROUND(G22*0.05,0)</f>
        <v>80257</v>
      </c>
      <c r="H24" s="123"/>
      <c r="I24" s="123">
        <f>G24</f>
        <v>80257</v>
      </c>
      <c r="J24" s="197"/>
    </row>
    <row r="25" spans="1:84" s="178" customFormat="1" ht="30.05" customHeight="1" x14ac:dyDescent="0.25">
      <c r="A25" s="177"/>
      <c r="B25" s="36" t="s">
        <v>257</v>
      </c>
      <c r="C25" s="43"/>
      <c r="D25" s="259"/>
      <c r="E25" s="260"/>
      <c r="F25" s="260"/>
      <c r="G25" s="260">
        <f>SUM(G22:G24)</f>
        <v>1861957</v>
      </c>
      <c r="H25" s="260"/>
      <c r="I25" s="261">
        <f>SUM(I22:I24)</f>
        <v>1861957</v>
      </c>
      <c r="J25" s="198">
        <f>I25</f>
        <v>1861957</v>
      </c>
    </row>
    <row r="26" spans="1:84" s="175" customFormat="1" ht="30.05" customHeight="1" x14ac:dyDescent="0.25">
      <c r="A26" s="52" t="s">
        <v>107</v>
      </c>
      <c r="B26" s="37" t="s">
        <v>116</v>
      </c>
      <c r="C26" s="37"/>
      <c r="D26" s="256"/>
      <c r="E26" s="257"/>
      <c r="F26" s="257"/>
      <c r="G26" s="257"/>
      <c r="H26" s="257"/>
      <c r="I26" s="257"/>
      <c r="J26" s="197"/>
      <c r="K26" s="250"/>
    </row>
    <row r="27" spans="1:84" s="175" customFormat="1" ht="35.25" customHeight="1" x14ac:dyDescent="0.25">
      <c r="A27" s="54" t="s">
        <v>98</v>
      </c>
      <c r="B27" s="44" t="s">
        <v>334</v>
      </c>
      <c r="C27" s="39" t="s">
        <v>103</v>
      </c>
      <c r="D27" s="169">
        <f>399*20</f>
        <v>7980</v>
      </c>
      <c r="E27" s="123">
        <v>730</v>
      </c>
      <c r="F27" s="123"/>
      <c r="G27" s="123">
        <f>ROUND(D27*E27,0)</f>
        <v>5825400</v>
      </c>
      <c r="H27" s="123"/>
      <c r="I27" s="123">
        <f>E27*D27</f>
        <v>5825400</v>
      </c>
      <c r="J27" s="197"/>
    </row>
    <row r="28" spans="1:84" s="175" customFormat="1" ht="30.05" customHeight="1" x14ac:dyDescent="0.25">
      <c r="A28" s="53"/>
      <c r="B28" s="56" t="s">
        <v>328</v>
      </c>
      <c r="C28" s="40" t="s">
        <v>9</v>
      </c>
      <c r="D28" s="170">
        <v>399</v>
      </c>
      <c r="E28" s="262"/>
      <c r="F28" s="124">
        <v>38000</v>
      </c>
      <c r="G28" s="123"/>
      <c r="H28" s="123">
        <f>ROUND(D28*F28,0)</f>
        <v>15162000</v>
      </c>
      <c r="I28" s="124">
        <f>F28*D28</f>
        <v>15162000</v>
      </c>
      <c r="J28" s="197"/>
    </row>
    <row r="29" spans="1:84" s="175" customFormat="1" ht="30.05" customHeight="1" x14ac:dyDescent="0.25">
      <c r="A29" s="54" t="s">
        <v>104</v>
      </c>
      <c r="B29" s="44" t="s">
        <v>117</v>
      </c>
      <c r="C29" s="39" t="s">
        <v>9</v>
      </c>
      <c r="D29" s="169">
        <v>399</v>
      </c>
      <c r="E29" s="123">
        <v>550</v>
      </c>
      <c r="F29" s="123">
        <v>643</v>
      </c>
      <c r="G29" s="123">
        <f>ROUND(D29*E29,0)</f>
        <v>219450</v>
      </c>
      <c r="H29" s="123">
        <f>ROUND(D29*F29,0)</f>
        <v>256557</v>
      </c>
      <c r="I29" s="123">
        <f>SUM(G29:H29)</f>
        <v>476007</v>
      </c>
      <c r="J29" s="197"/>
    </row>
    <row r="30" spans="1:84" s="175" customFormat="1" ht="30.05" customHeight="1" x14ac:dyDescent="0.25">
      <c r="A30" s="54" t="s">
        <v>99</v>
      </c>
      <c r="B30" s="44" t="s">
        <v>118</v>
      </c>
      <c r="C30" s="39" t="s">
        <v>9</v>
      </c>
      <c r="D30" s="169">
        <v>399</v>
      </c>
      <c r="E30" s="123">
        <v>600</v>
      </c>
      <c r="F30" s="123"/>
      <c r="G30" s="123">
        <f>ROUND(D30*E30,0)</f>
        <v>239400</v>
      </c>
      <c r="H30" s="123">
        <f>ROUND(D30*F30,0)</f>
        <v>0</v>
      </c>
      <c r="I30" s="125">
        <f>G30+H30</f>
        <v>239400</v>
      </c>
      <c r="J30" s="197"/>
      <c r="K30" s="250">
        <f>I16</f>
        <v>335804796</v>
      </c>
    </row>
    <row r="31" spans="1:84" s="175" customFormat="1" ht="30.05" customHeight="1" x14ac:dyDescent="0.25">
      <c r="A31" s="52"/>
      <c r="B31" s="46" t="s">
        <v>119</v>
      </c>
      <c r="C31" s="166"/>
      <c r="D31" s="256"/>
      <c r="E31" s="263"/>
      <c r="F31" s="263"/>
      <c r="G31" s="263">
        <f>SUM(G27:G30)</f>
        <v>6284250</v>
      </c>
      <c r="H31" s="263">
        <f>SUM(H27:H30)</f>
        <v>15418557</v>
      </c>
      <c r="I31" s="263">
        <f>SUM(G31:H31)</f>
        <v>21702807</v>
      </c>
      <c r="J31" s="197"/>
      <c r="K31" s="250">
        <v>335804796</v>
      </c>
    </row>
    <row r="32" spans="1:84" s="175" customFormat="1" ht="30.05" customHeight="1" x14ac:dyDescent="0.25">
      <c r="A32" s="54"/>
      <c r="B32" s="41" t="s">
        <v>249</v>
      </c>
      <c r="C32" s="42"/>
      <c r="D32" s="169"/>
      <c r="E32" s="123"/>
      <c r="F32" s="123"/>
      <c r="G32" s="125">
        <f>ROUND(G31*0.11,0)</f>
        <v>691268</v>
      </c>
      <c r="H32" s="123"/>
      <c r="I32" s="123">
        <f>G32</f>
        <v>691268</v>
      </c>
      <c r="J32" s="197"/>
      <c r="K32" s="250">
        <f>K31-K30</f>
        <v>0</v>
      </c>
    </row>
    <row r="33" spans="1:84" s="175" customFormat="1" ht="30.05" customHeight="1" x14ac:dyDescent="0.25">
      <c r="A33" s="54"/>
      <c r="B33" s="41" t="s">
        <v>223</v>
      </c>
      <c r="C33" s="42"/>
      <c r="D33" s="169"/>
      <c r="E33" s="123"/>
      <c r="F33" s="123"/>
      <c r="G33" s="125">
        <f>ROUND(G31*0.05,0)</f>
        <v>314213</v>
      </c>
      <c r="H33" s="123"/>
      <c r="I33" s="123">
        <f>G33</f>
        <v>314213</v>
      </c>
      <c r="J33" s="197"/>
      <c r="K33" s="175">
        <f>K32/D29</f>
        <v>0</v>
      </c>
    </row>
    <row r="34" spans="1:84" s="178" customFormat="1" ht="30.05" customHeight="1" x14ac:dyDescent="0.25">
      <c r="A34" s="67"/>
      <c r="B34" s="47" t="s">
        <v>220</v>
      </c>
      <c r="C34" s="43"/>
      <c r="D34" s="259"/>
      <c r="E34" s="264"/>
      <c r="F34" s="264"/>
      <c r="G34" s="264">
        <f>SUM(G31:G33)</f>
        <v>7289731</v>
      </c>
      <c r="H34" s="264">
        <f>SUM(H31:H33)</f>
        <v>15418557</v>
      </c>
      <c r="I34" s="264">
        <f>SUM(I31:I33)</f>
        <v>22708288</v>
      </c>
      <c r="J34" s="198">
        <f>I34</f>
        <v>22708288</v>
      </c>
    </row>
    <row r="35" spans="1:84" s="33" customFormat="1" ht="30.05" customHeight="1" x14ac:dyDescent="0.3">
      <c r="A35" s="52" t="s">
        <v>100</v>
      </c>
      <c r="B35" s="37" t="s">
        <v>327</v>
      </c>
      <c r="C35" s="166"/>
      <c r="D35" s="256"/>
      <c r="E35" s="257"/>
      <c r="F35" s="257"/>
      <c r="G35" s="257"/>
      <c r="H35" s="257"/>
      <c r="I35" s="257"/>
      <c r="J35" s="199"/>
    </row>
    <row r="36" spans="1:84" s="33" customFormat="1" ht="44.3" customHeight="1" x14ac:dyDescent="0.3">
      <c r="A36" s="54" t="s">
        <v>101</v>
      </c>
      <c r="B36" s="57" t="s">
        <v>120</v>
      </c>
      <c r="C36" s="42" t="s">
        <v>7</v>
      </c>
      <c r="D36" s="169">
        <v>82.11</v>
      </c>
      <c r="E36" s="123">
        <v>2500</v>
      </c>
      <c r="F36" s="123"/>
      <c r="G36" s="123">
        <f>ROUND(D36*E36,0)</f>
        <v>205275</v>
      </c>
      <c r="H36" s="123"/>
      <c r="I36" s="123">
        <f>G36+H36</f>
        <v>205275</v>
      </c>
      <c r="J36" s="199"/>
    </row>
    <row r="37" spans="1:84" s="50" customFormat="1" ht="30.05" customHeight="1" x14ac:dyDescent="0.3">
      <c r="A37" s="53"/>
      <c r="B37" s="48" t="s">
        <v>121</v>
      </c>
      <c r="C37" s="49" t="s">
        <v>7</v>
      </c>
      <c r="D37" s="169">
        <f>D36*1.015</f>
        <v>83.341649999999987</v>
      </c>
      <c r="E37" s="124"/>
      <c r="F37" s="124">
        <v>4000</v>
      </c>
      <c r="G37" s="123"/>
      <c r="H37" s="123">
        <f t="shared" ref="H37:H83" si="0">ROUND(D37*F37,0)</f>
        <v>333367</v>
      </c>
      <c r="I37" s="123">
        <f t="shared" ref="I37:I93" si="1">G37+H37</f>
        <v>333367</v>
      </c>
      <c r="J37" s="200"/>
    </row>
    <row r="38" spans="1:84" s="33" customFormat="1" ht="30.05" customHeight="1" x14ac:dyDescent="0.3">
      <c r="A38" s="54" t="s">
        <v>102</v>
      </c>
      <c r="B38" s="57" t="s">
        <v>339</v>
      </c>
      <c r="C38" s="42" t="s">
        <v>7</v>
      </c>
      <c r="D38" s="169">
        <v>856.59</v>
      </c>
      <c r="E38" s="123">
        <v>4500</v>
      </c>
      <c r="F38" s="123"/>
      <c r="G38" s="123">
        <f>ROUND(D38*E38,0)</f>
        <v>3854655</v>
      </c>
      <c r="H38" s="123">
        <f t="shared" si="0"/>
        <v>0</v>
      </c>
      <c r="I38" s="123">
        <f t="shared" si="1"/>
        <v>3854655</v>
      </c>
      <c r="J38" s="199"/>
    </row>
    <row r="39" spans="1:84" s="50" customFormat="1" ht="30.05" customHeight="1" x14ac:dyDescent="0.3">
      <c r="A39" s="53"/>
      <c r="B39" s="48" t="s">
        <v>122</v>
      </c>
      <c r="C39" s="49" t="s">
        <v>7</v>
      </c>
      <c r="D39" s="170">
        <f>D38*1.015</f>
        <v>869.43885</v>
      </c>
      <c r="E39" s="124"/>
      <c r="F39" s="124">
        <v>6000</v>
      </c>
      <c r="G39" s="123"/>
      <c r="H39" s="123">
        <f t="shared" si="0"/>
        <v>5216633</v>
      </c>
      <c r="I39" s="123">
        <f t="shared" si="1"/>
        <v>5216633</v>
      </c>
      <c r="J39" s="200"/>
    </row>
    <row r="40" spans="1:84" s="50" customFormat="1" ht="30.05" customHeight="1" x14ac:dyDescent="0.3">
      <c r="A40" s="53"/>
      <c r="B40" s="48" t="s">
        <v>123</v>
      </c>
      <c r="C40" s="49" t="s">
        <v>9</v>
      </c>
      <c r="D40" s="170">
        <v>5996</v>
      </c>
      <c r="E40" s="124"/>
      <c r="F40" s="124">
        <v>25</v>
      </c>
      <c r="G40" s="123"/>
      <c r="H40" s="123">
        <f t="shared" si="0"/>
        <v>149900</v>
      </c>
      <c r="I40" s="123">
        <f t="shared" si="1"/>
        <v>149900</v>
      </c>
      <c r="J40" s="200"/>
    </row>
    <row r="41" spans="1:84" s="50" customFormat="1" ht="30.05" customHeight="1" x14ac:dyDescent="0.3">
      <c r="A41" s="53"/>
      <c r="B41" s="48" t="s">
        <v>124</v>
      </c>
      <c r="C41" s="49"/>
      <c r="D41" s="170">
        <v>75.5</v>
      </c>
      <c r="E41" s="124"/>
      <c r="F41" s="124">
        <v>42000</v>
      </c>
      <c r="G41" s="123"/>
      <c r="H41" s="123">
        <f t="shared" si="0"/>
        <v>3171000</v>
      </c>
      <c r="I41" s="123">
        <f t="shared" si="1"/>
        <v>3171000</v>
      </c>
      <c r="J41" s="200"/>
    </row>
    <row r="42" spans="1:84" s="2" customFormat="1" ht="30.05" customHeight="1" x14ac:dyDescent="0.3">
      <c r="A42" s="54" t="s">
        <v>125</v>
      </c>
      <c r="B42" s="41" t="s">
        <v>148</v>
      </c>
      <c r="C42" s="32" t="s">
        <v>6</v>
      </c>
      <c r="D42" s="169">
        <v>528</v>
      </c>
      <c r="E42" s="123">
        <v>100</v>
      </c>
      <c r="F42" s="123"/>
      <c r="G42" s="123">
        <f>ROUND(D42*E42,0)</f>
        <v>52800</v>
      </c>
      <c r="H42" s="123"/>
      <c r="I42" s="123">
        <f>G42+H42</f>
        <v>52800</v>
      </c>
      <c r="J42" s="201"/>
      <c r="Y42" s="3"/>
      <c r="Z42" s="3"/>
      <c r="AE42" s="3"/>
      <c r="AF42" s="3"/>
      <c r="AK42" s="3"/>
      <c r="AL42" s="3"/>
      <c r="BW42" s="3"/>
      <c r="BX42" s="3"/>
      <c r="BY42" s="3"/>
      <c r="BZ42" s="3"/>
      <c r="CA42" s="3"/>
      <c r="CB42" s="3"/>
      <c r="CC42" s="4"/>
      <c r="CD42" s="4"/>
      <c r="CE42" s="4"/>
      <c r="CF42" s="4"/>
    </row>
    <row r="43" spans="1:84" s="97" customFormat="1" ht="30.05" customHeight="1" x14ac:dyDescent="0.3">
      <c r="A43" s="54"/>
      <c r="B43" s="48" t="s">
        <v>149</v>
      </c>
      <c r="C43" s="49" t="s">
        <v>6</v>
      </c>
      <c r="D43" s="170">
        <v>1203.8399999999999</v>
      </c>
      <c r="E43" s="124"/>
      <c r="F43" s="124">
        <v>210</v>
      </c>
      <c r="G43" s="123"/>
      <c r="H43" s="123">
        <f>ROUND(F43*D43,0)</f>
        <v>252806</v>
      </c>
      <c r="I43" s="123">
        <f>G43+H43</f>
        <v>252806</v>
      </c>
      <c r="J43" s="201"/>
      <c r="Y43" s="98"/>
      <c r="Z43" s="98"/>
      <c r="AE43" s="98"/>
      <c r="AF43" s="98"/>
      <c r="AK43" s="98"/>
      <c r="AL43" s="98"/>
      <c r="BW43" s="98"/>
      <c r="BX43" s="98"/>
      <c r="BY43" s="98"/>
      <c r="BZ43" s="98"/>
      <c r="CA43" s="98"/>
      <c r="CB43" s="98"/>
      <c r="CC43" s="99"/>
      <c r="CD43" s="99"/>
      <c r="CE43" s="99"/>
      <c r="CF43" s="99"/>
    </row>
    <row r="44" spans="1:84" s="97" customFormat="1" ht="30.05" customHeight="1" x14ac:dyDescent="0.3">
      <c r="A44" s="54"/>
      <c r="B44" s="48" t="s">
        <v>150</v>
      </c>
      <c r="C44" s="49" t="s">
        <v>26</v>
      </c>
      <c r="D44" s="170">
        <f>184.8*1.25</f>
        <v>231</v>
      </c>
      <c r="E44" s="124"/>
      <c r="F44" s="124">
        <v>140</v>
      </c>
      <c r="G44" s="123"/>
      <c r="H44" s="123">
        <f>ROUND(F44*D44,0)</f>
        <v>32340</v>
      </c>
      <c r="I44" s="123">
        <f>G44+H44</f>
        <v>32340</v>
      </c>
      <c r="J44" s="201"/>
      <c r="Y44" s="98"/>
      <c r="Z44" s="98"/>
      <c r="AE44" s="98"/>
      <c r="AF44" s="98"/>
      <c r="AK44" s="98"/>
      <c r="AL44" s="98"/>
      <c r="BW44" s="98"/>
      <c r="BX44" s="98"/>
      <c r="BY44" s="98"/>
      <c r="BZ44" s="98"/>
      <c r="CA44" s="98"/>
      <c r="CB44" s="98"/>
      <c r="CC44" s="99"/>
      <c r="CD44" s="99"/>
      <c r="CE44" s="99"/>
      <c r="CF44" s="99"/>
    </row>
    <row r="45" spans="1:84" s="51" customFormat="1" ht="30.05" customHeight="1" x14ac:dyDescent="0.3">
      <c r="A45" s="54" t="s">
        <v>131</v>
      </c>
      <c r="B45" s="57" t="s">
        <v>132</v>
      </c>
      <c r="C45" s="42" t="s">
        <v>7</v>
      </c>
      <c r="D45" s="169">
        <v>57.8</v>
      </c>
      <c r="E45" s="123">
        <v>5900</v>
      </c>
      <c r="F45" s="123"/>
      <c r="G45" s="123">
        <f>ROUND(D45*E45,0)</f>
        <v>341020</v>
      </c>
      <c r="H45" s="123"/>
      <c r="I45" s="123">
        <f t="shared" si="1"/>
        <v>341020</v>
      </c>
      <c r="J45" s="200"/>
    </row>
    <row r="46" spans="1:84" s="50" customFormat="1" ht="30.05" customHeight="1" x14ac:dyDescent="0.3">
      <c r="A46" s="53"/>
      <c r="B46" s="48" t="s">
        <v>133</v>
      </c>
      <c r="C46" s="49" t="s">
        <v>7</v>
      </c>
      <c r="D46" s="170">
        <f>D45*1.05</f>
        <v>60.69</v>
      </c>
      <c r="E46" s="124"/>
      <c r="F46" s="124">
        <v>6000</v>
      </c>
      <c r="G46" s="123"/>
      <c r="H46" s="123">
        <f t="shared" si="0"/>
        <v>364140</v>
      </c>
      <c r="I46" s="123">
        <f t="shared" si="1"/>
        <v>364140</v>
      </c>
      <c r="J46" s="200"/>
    </row>
    <row r="47" spans="1:84" s="50" customFormat="1" ht="30.05" customHeight="1" x14ac:dyDescent="0.3">
      <c r="A47" s="53"/>
      <c r="B47" s="48" t="s">
        <v>124</v>
      </c>
      <c r="C47" s="49"/>
      <c r="D47" s="170">
        <v>10.1</v>
      </c>
      <c r="E47" s="124"/>
      <c r="F47" s="124">
        <v>42000</v>
      </c>
      <c r="G47" s="123"/>
      <c r="H47" s="123">
        <f t="shared" si="0"/>
        <v>424200</v>
      </c>
      <c r="I47" s="123">
        <f t="shared" si="1"/>
        <v>424200</v>
      </c>
      <c r="J47" s="200"/>
    </row>
    <row r="48" spans="1:84" s="51" customFormat="1" ht="40.549999999999997" customHeight="1" x14ac:dyDescent="0.3">
      <c r="A48" s="54" t="s">
        <v>134</v>
      </c>
      <c r="B48" s="57" t="s">
        <v>256</v>
      </c>
      <c r="C48" s="42" t="s">
        <v>7</v>
      </c>
      <c r="D48" s="169">
        <v>48.76</v>
      </c>
      <c r="E48" s="123">
        <v>5900</v>
      </c>
      <c r="F48" s="123"/>
      <c r="G48" s="123">
        <f>ROUND(D48*E48,0)</f>
        <v>287684</v>
      </c>
      <c r="H48" s="123"/>
      <c r="I48" s="123">
        <f t="shared" si="1"/>
        <v>287684</v>
      </c>
      <c r="J48" s="200"/>
    </row>
    <row r="49" spans="1:10" s="50" customFormat="1" ht="30.05" customHeight="1" x14ac:dyDescent="0.3">
      <c r="A49" s="53"/>
      <c r="B49" s="48" t="s">
        <v>135</v>
      </c>
      <c r="C49" s="49" t="s">
        <v>7</v>
      </c>
      <c r="D49" s="170">
        <f>7.87+3.68</f>
        <v>11.55</v>
      </c>
      <c r="E49" s="124"/>
      <c r="F49" s="124">
        <v>260</v>
      </c>
      <c r="G49" s="123"/>
      <c r="H49" s="123">
        <f>ROUND(D49*F49,0)</f>
        <v>3003</v>
      </c>
      <c r="I49" s="123">
        <f t="shared" si="1"/>
        <v>3003</v>
      </c>
      <c r="J49" s="200"/>
    </row>
    <row r="50" spans="1:10" s="50" customFormat="1" ht="30.05" customHeight="1" x14ac:dyDescent="0.3">
      <c r="A50" s="53"/>
      <c r="B50" s="48" t="s">
        <v>133</v>
      </c>
      <c r="C50" s="49" t="s">
        <v>7</v>
      </c>
      <c r="D50" s="170">
        <f>D48*1.05</f>
        <v>51.198</v>
      </c>
      <c r="E50" s="124"/>
      <c r="F50" s="124">
        <v>6000</v>
      </c>
      <c r="G50" s="123"/>
      <c r="H50" s="123">
        <f>ROUND(D50*F50,0)</f>
        <v>307188</v>
      </c>
      <c r="I50" s="123">
        <f t="shared" si="1"/>
        <v>307188</v>
      </c>
      <c r="J50" s="200"/>
    </row>
    <row r="51" spans="1:10" s="50" customFormat="1" ht="30.05" customHeight="1" x14ac:dyDescent="0.3">
      <c r="A51" s="53"/>
      <c r="B51" s="48" t="s">
        <v>124</v>
      </c>
      <c r="C51" s="49" t="s">
        <v>8</v>
      </c>
      <c r="D51" s="170">
        <v>4.9619999999999997</v>
      </c>
      <c r="E51" s="124"/>
      <c r="F51" s="124">
        <v>42000</v>
      </c>
      <c r="G51" s="123"/>
      <c r="H51" s="123">
        <f>ROUND(D51*F51,0)</f>
        <v>208404</v>
      </c>
      <c r="I51" s="123">
        <f t="shared" si="1"/>
        <v>208404</v>
      </c>
      <c r="J51" s="200"/>
    </row>
    <row r="52" spans="1:10" s="51" customFormat="1" ht="30.05" customHeight="1" x14ac:dyDescent="0.3">
      <c r="A52" s="54" t="s">
        <v>5</v>
      </c>
      <c r="B52" s="57" t="s">
        <v>136</v>
      </c>
      <c r="C52" s="42" t="s">
        <v>7</v>
      </c>
      <c r="D52" s="169">
        <v>149.4</v>
      </c>
      <c r="E52" s="123">
        <v>5900</v>
      </c>
      <c r="F52" s="123"/>
      <c r="G52" s="123">
        <f>ROUND(D52*E52,0)</f>
        <v>881460</v>
      </c>
      <c r="H52" s="123"/>
      <c r="I52" s="123">
        <f t="shared" si="1"/>
        <v>881460</v>
      </c>
      <c r="J52" s="200"/>
    </row>
    <row r="53" spans="1:10" s="50" customFormat="1" ht="30.05" customHeight="1" x14ac:dyDescent="0.3">
      <c r="A53" s="53"/>
      <c r="B53" s="48" t="s">
        <v>137</v>
      </c>
      <c r="C53" s="49" t="s">
        <v>7</v>
      </c>
      <c r="D53" s="170">
        <f>D52*1.05</f>
        <v>156.87</v>
      </c>
      <c r="E53" s="124"/>
      <c r="F53" s="124">
        <v>5500</v>
      </c>
      <c r="G53" s="123"/>
      <c r="H53" s="123">
        <f>ROUND(D53*F53,0)</f>
        <v>862785</v>
      </c>
      <c r="I53" s="123">
        <f t="shared" si="1"/>
        <v>862785</v>
      </c>
      <c r="J53" s="200"/>
    </row>
    <row r="54" spans="1:10" s="50" customFormat="1" ht="30.05" customHeight="1" x14ac:dyDescent="0.3">
      <c r="A54" s="53"/>
      <c r="B54" s="48" t="s">
        <v>124</v>
      </c>
      <c r="C54" s="49" t="s">
        <v>8</v>
      </c>
      <c r="D54" s="170">
        <v>13.859</v>
      </c>
      <c r="E54" s="124"/>
      <c r="F54" s="124">
        <v>42000</v>
      </c>
      <c r="G54" s="123"/>
      <c r="H54" s="123">
        <f>ROUND(D54*F54,0)</f>
        <v>582078</v>
      </c>
      <c r="I54" s="123">
        <f t="shared" si="1"/>
        <v>582078</v>
      </c>
      <c r="J54" s="200"/>
    </row>
    <row r="55" spans="1:10" s="34" customFormat="1" ht="30.05" customHeight="1" x14ac:dyDescent="0.3">
      <c r="A55" s="52"/>
      <c r="B55" s="46" t="s">
        <v>92</v>
      </c>
      <c r="C55" s="35"/>
      <c r="D55" s="256"/>
      <c r="E55" s="257"/>
      <c r="F55" s="257"/>
      <c r="G55" s="258">
        <f>SUM(G36:G54)</f>
        <v>5622894</v>
      </c>
      <c r="H55" s="258">
        <f>SUM(H36:H54)</f>
        <v>11907844</v>
      </c>
      <c r="I55" s="258">
        <f>SUM(I36:I54)</f>
        <v>17530738</v>
      </c>
      <c r="J55" s="199"/>
    </row>
    <row r="56" spans="1:10" s="175" customFormat="1" ht="30.05" customHeight="1" x14ac:dyDescent="0.25">
      <c r="A56" s="54"/>
      <c r="B56" s="41" t="s">
        <v>249</v>
      </c>
      <c r="C56" s="42"/>
      <c r="D56" s="169"/>
      <c r="E56" s="123"/>
      <c r="F56" s="123"/>
      <c r="G56" s="125">
        <f>ROUND(G55*0.11,0)</f>
        <v>618518</v>
      </c>
      <c r="H56" s="123"/>
      <c r="I56" s="123">
        <f>G56</f>
        <v>618518</v>
      </c>
      <c r="J56" s="197"/>
    </row>
    <row r="57" spans="1:10" s="175" customFormat="1" ht="30.05" customHeight="1" x14ac:dyDescent="0.25">
      <c r="A57" s="54"/>
      <c r="B57" s="41" t="s">
        <v>223</v>
      </c>
      <c r="C57" s="42"/>
      <c r="D57" s="169"/>
      <c r="E57" s="123"/>
      <c r="F57" s="123"/>
      <c r="G57" s="125">
        <f>ROUND(G55*0.05,0)</f>
        <v>281145</v>
      </c>
      <c r="H57" s="123"/>
      <c r="I57" s="123">
        <f>G57</f>
        <v>281145</v>
      </c>
      <c r="J57" s="197"/>
    </row>
    <row r="58" spans="1:10" s="55" customFormat="1" ht="30.05" customHeight="1" x14ac:dyDescent="0.3">
      <c r="A58" s="43"/>
      <c r="B58" s="36" t="s">
        <v>221</v>
      </c>
      <c r="C58" s="43" t="s">
        <v>7</v>
      </c>
      <c r="D58" s="259">
        <f>D36+D38+D45</f>
        <v>996.5</v>
      </c>
      <c r="E58" s="260"/>
      <c r="F58" s="260"/>
      <c r="G58" s="260">
        <f>SUM(G55:G57)</f>
        <v>6522557</v>
      </c>
      <c r="H58" s="260">
        <f>SUM(H55:H57)</f>
        <v>11907844</v>
      </c>
      <c r="I58" s="261">
        <f>SUM(I55:I57)</f>
        <v>18430401</v>
      </c>
      <c r="J58" s="220">
        <f>I58</f>
        <v>18430401</v>
      </c>
    </row>
    <row r="59" spans="1:10" s="34" customFormat="1" ht="30.05" customHeight="1" x14ac:dyDescent="0.3">
      <c r="A59" s="166">
        <v>4</v>
      </c>
      <c r="B59" s="37" t="s">
        <v>326</v>
      </c>
      <c r="C59" s="166"/>
      <c r="D59" s="256"/>
      <c r="E59" s="257"/>
      <c r="F59" s="257"/>
      <c r="G59" s="257"/>
      <c r="H59" s="257"/>
      <c r="I59" s="258"/>
      <c r="J59" s="199"/>
    </row>
    <row r="60" spans="1:10" s="51" customFormat="1" ht="30.05" customHeight="1" x14ac:dyDescent="0.3">
      <c r="A60" s="54" t="s">
        <v>12</v>
      </c>
      <c r="B60" s="41" t="s">
        <v>141</v>
      </c>
      <c r="C60" s="42" t="s">
        <v>7</v>
      </c>
      <c r="D60" s="169">
        <f>10.02+70.62+272.74</f>
        <v>353.38</v>
      </c>
      <c r="E60" s="123">
        <v>5900</v>
      </c>
      <c r="F60" s="123"/>
      <c r="G60" s="123">
        <f>ROUND(D60*E60,0)</f>
        <v>2084942</v>
      </c>
      <c r="H60" s="123"/>
      <c r="I60" s="123">
        <f t="shared" si="1"/>
        <v>2084942</v>
      </c>
      <c r="J60" s="200"/>
    </row>
    <row r="61" spans="1:10" s="50" customFormat="1" ht="30.05" customHeight="1" x14ac:dyDescent="0.3">
      <c r="A61" s="53"/>
      <c r="B61" s="48" t="s">
        <v>142</v>
      </c>
      <c r="C61" s="49" t="s">
        <v>7</v>
      </c>
      <c r="D61" s="170">
        <f>10.02*1.05</f>
        <v>10.521000000000001</v>
      </c>
      <c r="E61" s="124"/>
      <c r="F61" s="124">
        <v>6000</v>
      </c>
      <c r="G61" s="123"/>
      <c r="H61" s="123">
        <f t="shared" si="0"/>
        <v>63126</v>
      </c>
      <c r="I61" s="123">
        <f t="shared" si="1"/>
        <v>63126</v>
      </c>
      <c r="J61" s="200"/>
    </row>
    <row r="62" spans="1:10" s="50" customFormat="1" ht="30.05" customHeight="1" x14ac:dyDescent="0.3">
      <c r="A62" s="53"/>
      <c r="B62" s="48" t="s">
        <v>143</v>
      </c>
      <c r="C62" s="49" t="s">
        <v>7</v>
      </c>
      <c r="D62" s="170">
        <f>70.62*1.05</f>
        <v>74.15100000000001</v>
      </c>
      <c r="E62" s="124"/>
      <c r="F62" s="124">
        <v>6000</v>
      </c>
      <c r="G62" s="123"/>
      <c r="H62" s="123">
        <f t="shared" si="0"/>
        <v>444906</v>
      </c>
      <c r="I62" s="123">
        <f t="shared" si="1"/>
        <v>444906</v>
      </c>
      <c r="J62" s="200"/>
    </row>
    <row r="63" spans="1:10" s="50" customFormat="1" ht="30.05" customHeight="1" x14ac:dyDescent="0.3">
      <c r="A63" s="53"/>
      <c r="B63" s="48" t="s">
        <v>144</v>
      </c>
      <c r="C63" s="49" t="s">
        <v>7</v>
      </c>
      <c r="D63" s="170">
        <f>272.74*1.05</f>
        <v>286.37700000000001</v>
      </c>
      <c r="E63" s="124"/>
      <c r="F63" s="124">
        <v>5500</v>
      </c>
      <c r="G63" s="123"/>
      <c r="H63" s="123">
        <f t="shared" si="0"/>
        <v>1575074</v>
      </c>
      <c r="I63" s="123">
        <f t="shared" si="1"/>
        <v>1575074</v>
      </c>
      <c r="J63" s="200"/>
    </row>
    <row r="64" spans="1:10" s="50" customFormat="1" ht="30.05" customHeight="1" x14ac:dyDescent="0.3">
      <c r="A64" s="53"/>
      <c r="B64" s="48" t="s">
        <v>124</v>
      </c>
      <c r="C64" s="49" t="s">
        <v>8</v>
      </c>
      <c r="D64" s="170">
        <v>45.136000000000003</v>
      </c>
      <c r="E64" s="124"/>
      <c r="F64" s="124">
        <v>42000</v>
      </c>
      <c r="G64" s="123"/>
      <c r="H64" s="123">
        <f t="shared" si="0"/>
        <v>1895712</v>
      </c>
      <c r="I64" s="123">
        <f t="shared" si="1"/>
        <v>1895712</v>
      </c>
      <c r="J64" s="200"/>
    </row>
    <row r="65" spans="1:10" s="51" customFormat="1" ht="30.05" customHeight="1" x14ac:dyDescent="0.3">
      <c r="A65" s="54" t="s">
        <v>16</v>
      </c>
      <c r="B65" s="41" t="s">
        <v>145</v>
      </c>
      <c r="C65" s="42" t="s">
        <v>7</v>
      </c>
      <c r="D65" s="169">
        <f>17.54+247.46+676</f>
        <v>941</v>
      </c>
      <c r="E65" s="123">
        <v>5900</v>
      </c>
      <c r="F65" s="123"/>
      <c r="G65" s="123">
        <f>ROUND(D65*E65,0)</f>
        <v>5551900</v>
      </c>
      <c r="H65" s="123"/>
      <c r="I65" s="123">
        <f t="shared" si="1"/>
        <v>5551900</v>
      </c>
      <c r="J65" s="200"/>
    </row>
    <row r="66" spans="1:10" s="50" customFormat="1" ht="30.05" customHeight="1" x14ac:dyDescent="0.3">
      <c r="A66" s="53"/>
      <c r="B66" s="48" t="s">
        <v>142</v>
      </c>
      <c r="C66" s="49" t="s">
        <v>7</v>
      </c>
      <c r="D66" s="170">
        <v>18.417000000000002</v>
      </c>
      <c r="E66" s="124"/>
      <c r="F66" s="124">
        <v>6000</v>
      </c>
      <c r="G66" s="123"/>
      <c r="H66" s="123">
        <f t="shared" si="0"/>
        <v>110502</v>
      </c>
      <c r="I66" s="123">
        <f t="shared" si="1"/>
        <v>110502</v>
      </c>
      <c r="J66" s="200"/>
    </row>
    <row r="67" spans="1:10" s="50" customFormat="1" ht="30.05" customHeight="1" x14ac:dyDescent="0.3">
      <c r="A67" s="53"/>
      <c r="B67" s="48" t="s">
        <v>143</v>
      </c>
      <c r="C67" s="49" t="s">
        <v>7</v>
      </c>
      <c r="D67" s="170">
        <v>259.75839999999999</v>
      </c>
      <c r="E67" s="124"/>
      <c r="F67" s="124">
        <v>6000</v>
      </c>
      <c r="G67" s="123"/>
      <c r="H67" s="123">
        <f t="shared" si="0"/>
        <v>1558550</v>
      </c>
      <c r="I67" s="123">
        <f t="shared" si="1"/>
        <v>1558550</v>
      </c>
      <c r="J67" s="200"/>
    </row>
    <row r="68" spans="1:10" s="50" customFormat="1" ht="30.05" customHeight="1" x14ac:dyDescent="0.3">
      <c r="A68" s="53"/>
      <c r="B68" s="48" t="s">
        <v>144</v>
      </c>
      <c r="C68" s="49" t="s">
        <v>7</v>
      </c>
      <c r="D68" s="170">
        <v>709.50720000000001</v>
      </c>
      <c r="E68" s="124"/>
      <c r="F68" s="124">
        <v>5500</v>
      </c>
      <c r="G68" s="123"/>
      <c r="H68" s="123">
        <f t="shared" si="0"/>
        <v>3902290</v>
      </c>
      <c r="I68" s="123">
        <f t="shared" si="1"/>
        <v>3902290</v>
      </c>
      <c r="J68" s="200"/>
    </row>
    <row r="69" spans="1:10" s="50" customFormat="1" ht="30.05" customHeight="1" x14ac:dyDescent="0.3">
      <c r="A69" s="53"/>
      <c r="B69" s="48" t="s">
        <v>124</v>
      </c>
      <c r="C69" s="49"/>
      <c r="D69" s="170">
        <v>115.90696000000001</v>
      </c>
      <c r="E69" s="124"/>
      <c r="F69" s="124">
        <v>42000</v>
      </c>
      <c r="G69" s="123"/>
      <c r="H69" s="123">
        <f t="shared" si="0"/>
        <v>4868092</v>
      </c>
      <c r="I69" s="123">
        <f t="shared" si="1"/>
        <v>4868092</v>
      </c>
      <c r="J69" s="200"/>
    </row>
    <row r="70" spans="1:10" s="33" customFormat="1" ht="30.05" customHeight="1" x14ac:dyDescent="0.3">
      <c r="A70" s="54" t="s">
        <v>151</v>
      </c>
      <c r="B70" s="57" t="s">
        <v>126</v>
      </c>
      <c r="C70" s="42" t="s">
        <v>127</v>
      </c>
      <c r="D70" s="169">
        <v>159.69999999999999</v>
      </c>
      <c r="E70" s="123">
        <v>350</v>
      </c>
      <c r="F70" s="123"/>
      <c r="G70" s="123">
        <f>ROUND(D70*E70,0)</f>
        <v>55895</v>
      </c>
      <c r="H70" s="123"/>
      <c r="I70" s="123">
        <f>G70+H70</f>
        <v>55895</v>
      </c>
      <c r="J70" s="199"/>
    </row>
    <row r="71" spans="1:10" s="50" customFormat="1" ht="30.05" customHeight="1" x14ac:dyDescent="0.3">
      <c r="A71" s="53"/>
      <c r="B71" s="48" t="s">
        <v>128</v>
      </c>
      <c r="C71" s="49" t="s">
        <v>127</v>
      </c>
      <c r="D71" s="170">
        <f>159.7*1.04</f>
        <v>166.08799999999999</v>
      </c>
      <c r="E71" s="124"/>
      <c r="F71" s="124">
        <v>360</v>
      </c>
      <c r="G71" s="123"/>
      <c r="H71" s="123">
        <f>ROUND(D71*F71,0)</f>
        <v>59792</v>
      </c>
      <c r="I71" s="123">
        <f>G71+H71</f>
        <v>59792</v>
      </c>
      <c r="J71" s="200"/>
    </row>
    <row r="72" spans="1:10" s="50" customFormat="1" ht="30.05" customHeight="1" x14ac:dyDescent="0.3">
      <c r="A72" s="53"/>
      <c r="B72" s="48" t="s">
        <v>129</v>
      </c>
      <c r="C72" s="49" t="s">
        <v>26</v>
      </c>
      <c r="D72" s="170">
        <v>57.491999999999997</v>
      </c>
      <c r="E72" s="124"/>
      <c r="F72" s="124">
        <v>56</v>
      </c>
      <c r="G72" s="123"/>
      <c r="H72" s="123">
        <f>ROUND(D72*F72,0)</f>
        <v>3220</v>
      </c>
      <c r="I72" s="123">
        <f>G72+H72</f>
        <v>3220</v>
      </c>
      <c r="J72" s="200"/>
    </row>
    <row r="73" spans="1:10" s="45" customFormat="1" ht="30.05" customHeight="1" x14ac:dyDescent="0.3">
      <c r="A73" s="53"/>
      <c r="B73" s="48" t="s">
        <v>130</v>
      </c>
      <c r="C73" s="49" t="s">
        <v>6</v>
      </c>
      <c r="D73" s="170">
        <v>36.42</v>
      </c>
      <c r="E73" s="124"/>
      <c r="F73" s="124">
        <v>184</v>
      </c>
      <c r="G73" s="123"/>
      <c r="H73" s="123">
        <f>ROUND(D73*F73,0)</f>
        <v>6701</v>
      </c>
      <c r="I73" s="123">
        <f>G73+H73</f>
        <v>6701</v>
      </c>
      <c r="J73" s="199"/>
    </row>
    <row r="74" spans="1:10" s="33" customFormat="1" ht="30.05" customHeight="1" x14ac:dyDescent="0.3">
      <c r="A74" s="54" t="s">
        <v>18</v>
      </c>
      <c r="B74" s="41" t="s">
        <v>146</v>
      </c>
      <c r="C74" s="42" t="s">
        <v>7</v>
      </c>
      <c r="D74" s="169">
        <v>3321.68</v>
      </c>
      <c r="E74" s="123">
        <v>5900</v>
      </c>
      <c r="F74" s="123"/>
      <c r="G74" s="123">
        <f>ROUND(D74*E74,0)</f>
        <v>19597912</v>
      </c>
      <c r="H74" s="123">
        <f t="shared" si="0"/>
        <v>0</v>
      </c>
      <c r="I74" s="123">
        <f t="shared" si="1"/>
        <v>19597912</v>
      </c>
      <c r="J74" s="199"/>
    </row>
    <row r="75" spans="1:10" s="50" customFormat="1" ht="30.05" customHeight="1" x14ac:dyDescent="0.3">
      <c r="A75" s="53"/>
      <c r="B75" s="48" t="s">
        <v>144</v>
      </c>
      <c r="C75" s="49" t="s">
        <v>7</v>
      </c>
      <c r="D75" s="170">
        <f>D74*1.015</f>
        <v>3371.5051999999996</v>
      </c>
      <c r="E75" s="124"/>
      <c r="F75" s="124">
        <v>5500</v>
      </c>
      <c r="G75" s="123"/>
      <c r="H75" s="123">
        <f t="shared" si="0"/>
        <v>18543279</v>
      </c>
      <c r="I75" s="123">
        <f t="shared" si="1"/>
        <v>18543279</v>
      </c>
      <c r="J75" s="200"/>
    </row>
    <row r="76" spans="1:10" s="50" customFormat="1" ht="30.05" customHeight="1" x14ac:dyDescent="0.3">
      <c r="A76" s="53"/>
      <c r="B76" s="48" t="s">
        <v>124</v>
      </c>
      <c r="C76" s="49" t="s">
        <v>8</v>
      </c>
      <c r="D76" s="170">
        <v>365.23644912000003</v>
      </c>
      <c r="E76" s="124"/>
      <c r="F76" s="124">
        <v>42000</v>
      </c>
      <c r="G76" s="123"/>
      <c r="H76" s="123">
        <f t="shared" si="0"/>
        <v>15339931</v>
      </c>
      <c r="I76" s="123">
        <f t="shared" si="1"/>
        <v>15339931</v>
      </c>
      <c r="J76" s="200"/>
    </row>
    <row r="77" spans="1:10" s="33" customFormat="1" ht="30.05" customHeight="1" x14ac:dyDescent="0.3">
      <c r="A77" s="54" t="s">
        <v>157</v>
      </c>
      <c r="B77" s="41" t="s">
        <v>335</v>
      </c>
      <c r="C77" s="42" t="s">
        <v>7</v>
      </c>
      <c r="D77" s="169">
        <f>99.24+487.86</f>
        <v>587.1</v>
      </c>
      <c r="E77" s="123">
        <v>5900</v>
      </c>
      <c r="F77" s="123"/>
      <c r="G77" s="123">
        <f>ROUND(D77*E77,0)</f>
        <v>3463890</v>
      </c>
      <c r="H77" s="123"/>
      <c r="I77" s="123">
        <f t="shared" si="1"/>
        <v>3463890</v>
      </c>
      <c r="J77" s="199"/>
    </row>
    <row r="78" spans="1:10" s="50" customFormat="1" ht="30.05" customHeight="1" x14ac:dyDescent="0.3">
      <c r="A78" s="53"/>
      <c r="B78" s="48" t="s">
        <v>142</v>
      </c>
      <c r="C78" s="49" t="s">
        <v>7</v>
      </c>
      <c r="D78" s="265">
        <f>99.24*1.05</f>
        <v>104.202</v>
      </c>
      <c r="E78" s="124"/>
      <c r="F78" s="124">
        <v>6000</v>
      </c>
      <c r="G78" s="123"/>
      <c r="H78" s="123">
        <f t="shared" si="0"/>
        <v>625212</v>
      </c>
      <c r="I78" s="123">
        <f t="shared" si="1"/>
        <v>625212</v>
      </c>
      <c r="J78" s="200"/>
    </row>
    <row r="79" spans="1:10" s="50" customFormat="1" ht="30.05" customHeight="1" x14ac:dyDescent="0.3">
      <c r="A79" s="53"/>
      <c r="B79" s="48" t="s">
        <v>144</v>
      </c>
      <c r="C79" s="49" t="s">
        <v>7</v>
      </c>
      <c r="D79" s="170">
        <f>487.86*1.015</f>
        <v>495.17789999999997</v>
      </c>
      <c r="E79" s="124"/>
      <c r="F79" s="124">
        <v>5500</v>
      </c>
      <c r="G79" s="123"/>
      <c r="H79" s="123">
        <f t="shared" si="0"/>
        <v>2723478</v>
      </c>
      <c r="I79" s="123">
        <f t="shared" si="1"/>
        <v>2723478</v>
      </c>
      <c r="J79" s="200"/>
    </row>
    <row r="80" spans="1:10" s="50" customFormat="1" ht="30.05" customHeight="1" x14ac:dyDescent="0.3">
      <c r="A80" s="53"/>
      <c r="B80" s="48" t="s">
        <v>124</v>
      </c>
      <c r="C80" s="49" t="s">
        <v>8</v>
      </c>
      <c r="D80" s="170">
        <v>62.301200000000001</v>
      </c>
      <c r="E80" s="124"/>
      <c r="F80" s="124">
        <v>42000</v>
      </c>
      <c r="G80" s="123"/>
      <c r="H80" s="123">
        <f t="shared" si="0"/>
        <v>2616650</v>
      </c>
      <c r="I80" s="123">
        <f t="shared" si="1"/>
        <v>2616650</v>
      </c>
      <c r="J80" s="200"/>
    </row>
    <row r="81" spans="1:84" s="33" customFormat="1" ht="30.05" customHeight="1" x14ac:dyDescent="0.3">
      <c r="A81" s="54" t="s">
        <v>159</v>
      </c>
      <c r="B81" s="41" t="s">
        <v>336</v>
      </c>
      <c r="C81" s="42" t="s">
        <v>7</v>
      </c>
      <c r="D81" s="169">
        <v>20.55</v>
      </c>
      <c r="E81" s="123">
        <v>5900</v>
      </c>
      <c r="F81" s="123"/>
      <c r="G81" s="123">
        <f>ROUND(D81*E81,0)</f>
        <v>121245</v>
      </c>
      <c r="H81" s="123"/>
      <c r="I81" s="123">
        <f t="shared" si="1"/>
        <v>121245</v>
      </c>
      <c r="J81" s="199"/>
    </row>
    <row r="82" spans="1:84" s="50" customFormat="1" ht="30.05" customHeight="1" x14ac:dyDescent="0.3">
      <c r="A82" s="53"/>
      <c r="B82" s="48" t="s">
        <v>144</v>
      </c>
      <c r="C82" s="49" t="s">
        <v>7</v>
      </c>
      <c r="D82" s="170">
        <f>D81*1.04</f>
        <v>21.372</v>
      </c>
      <c r="E82" s="124"/>
      <c r="F82" s="124">
        <v>5500</v>
      </c>
      <c r="G82" s="123"/>
      <c r="H82" s="123">
        <f t="shared" si="0"/>
        <v>117546</v>
      </c>
      <c r="I82" s="123">
        <f t="shared" si="1"/>
        <v>117546</v>
      </c>
      <c r="J82" s="200"/>
    </row>
    <row r="83" spans="1:84" s="50" customFormat="1" ht="30.05" customHeight="1" x14ac:dyDescent="0.3">
      <c r="A83" s="53"/>
      <c r="B83" s="48" t="s">
        <v>124</v>
      </c>
      <c r="C83" s="49" t="s">
        <v>8</v>
      </c>
      <c r="D83" s="170">
        <v>2.7456</v>
      </c>
      <c r="E83" s="124"/>
      <c r="F83" s="124">
        <v>42000</v>
      </c>
      <c r="G83" s="123"/>
      <c r="H83" s="123">
        <f t="shared" si="0"/>
        <v>115315</v>
      </c>
      <c r="I83" s="123">
        <f t="shared" si="1"/>
        <v>115315</v>
      </c>
      <c r="J83" s="200"/>
    </row>
    <row r="84" spans="1:84" s="2" customFormat="1" ht="30.05" customHeight="1" x14ac:dyDescent="0.3">
      <c r="A84" s="54" t="s">
        <v>161</v>
      </c>
      <c r="B84" s="41" t="s">
        <v>337</v>
      </c>
      <c r="C84" s="32" t="s">
        <v>9</v>
      </c>
      <c r="D84" s="169">
        <v>49</v>
      </c>
      <c r="E84" s="123">
        <v>950</v>
      </c>
      <c r="F84" s="123">
        <v>18200</v>
      </c>
      <c r="G84" s="123">
        <f>ROUND(D84*E84,0)</f>
        <v>46550</v>
      </c>
      <c r="H84" s="123">
        <f>ROUND(F84*D84,0)</f>
        <v>891800</v>
      </c>
      <c r="I84" s="123">
        <f t="shared" si="1"/>
        <v>938350</v>
      </c>
      <c r="J84" s="201"/>
      <c r="Y84" s="3"/>
      <c r="Z84" s="3"/>
      <c r="AE84" s="3"/>
      <c r="AF84" s="3"/>
      <c r="AK84" s="3"/>
      <c r="AL84" s="3"/>
      <c r="BW84" s="3"/>
      <c r="BX84" s="3"/>
      <c r="BY84" s="3"/>
      <c r="BZ84" s="3"/>
      <c r="CA84" s="3"/>
      <c r="CB84" s="3"/>
      <c r="CC84" s="4"/>
      <c r="CD84" s="4"/>
      <c r="CE84" s="4"/>
      <c r="CF84" s="4"/>
    </row>
    <row r="85" spans="1:84" s="94" customFormat="1" ht="30.05" customHeight="1" x14ac:dyDescent="0.35">
      <c r="A85" s="53"/>
      <c r="B85" s="48" t="s">
        <v>147</v>
      </c>
      <c r="C85" s="49" t="s">
        <v>7</v>
      </c>
      <c r="D85" s="170">
        <f>12/39*50</f>
        <v>15.384615384615385</v>
      </c>
      <c r="E85" s="126"/>
      <c r="F85" s="126">
        <v>4640</v>
      </c>
      <c r="G85" s="124"/>
      <c r="H85" s="124">
        <f>ROUND(F85*D85,0)</f>
        <v>71385</v>
      </c>
      <c r="I85" s="124">
        <f t="shared" si="1"/>
        <v>71385</v>
      </c>
      <c r="J85" s="202"/>
      <c r="Y85" s="95"/>
      <c r="Z85" s="95"/>
      <c r="AE85" s="95"/>
      <c r="AF85" s="95"/>
      <c r="AK85" s="95"/>
      <c r="AL85" s="95"/>
      <c r="BW85" s="95"/>
      <c r="BX85" s="95"/>
      <c r="BY85" s="95"/>
      <c r="BZ85" s="95"/>
      <c r="CA85" s="95"/>
      <c r="CB85" s="95"/>
      <c r="CC85" s="96"/>
      <c r="CD85" s="96"/>
      <c r="CE85" s="96"/>
      <c r="CF85" s="96"/>
    </row>
    <row r="86" spans="1:84" s="4" customFormat="1" ht="30.05" customHeight="1" x14ac:dyDescent="0.3">
      <c r="A86" s="54" t="s">
        <v>163</v>
      </c>
      <c r="B86" s="41" t="s">
        <v>164</v>
      </c>
      <c r="C86" s="42" t="s">
        <v>7</v>
      </c>
      <c r="D86" s="169">
        <v>2.42</v>
      </c>
      <c r="E86" s="125">
        <v>2800</v>
      </c>
      <c r="F86" s="125"/>
      <c r="G86" s="123">
        <f>ROUND(D86*E86,0)</f>
        <v>6776</v>
      </c>
      <c r="H86" s="123"/>
      <c r="I86" s="123">
        <f t="shared" si="1"/>
        <v>6776</v>
      </c>
      <c r="J86" s="203"/>
    </row>
    <row r="87" spans="1:84" s="4" customFormat="1" ht="30.05" customHeight="1" x14ac:dyDescent="0.3">
      <c r="A87" s="53"/>
      <c r="B87" s="48" t="s">
        <v>124</v>
      </c>
      <c r="C87" s="42" t="s">
        <v>8</v>
      </c>
      <c r="D87" s="169">
        <f>(11.52+16.38+30.06)/1000</f>
        <v>5.7959999999999991E-2</v>
      </c>
      <c r="E87" s="126"/>
      <c r="F87" s="126">
        <v>39000</v>
      </c>
      <c r="G87" s="123"/>
      <c r="H87" s="123">
        <f>ROUND(F87*D87,0)</f>
        <v>2260</v>
      </c>
      <c r="I87" s="123">
        <f t="shared" si="1"/>
        <v>2260</v>
      </c>
      <c r="J87" s="203"/>
    </row>
    <row r="88" spans="1:84" s="4" customFormat="1" ht="30.05" customHeight="1" x14ac:dyDescent="0.3">
      <c r="A88" s="53"/>
      <c r="B88" s="48" t="s">
        <v>165</v>
      </c>
      <c r="C88" s="42" t="s">
        <v>166</v>
      </c>
      <c r="D88" s="169">
        <f>D86*1.05</f>
        <v>2.5409999999999999</v>
      </c>
      <c r="E88" s="126"/>
      <c r="F88" s="126">
        <v>5000</v>
      </c>
      <c r="G88" s="123"/>
      <c r="H88" s="123">
        <f>ROUND(F88*D88,0)</f>
        <v>12705</v>
      </c>
      <c r="I88" s="123">
        <f t="shared" si="1"/>
        <v>12705</v>
      </c>
      <c r="J88" s="203"/>
    </row>
    <row r="89" spans="1:84" s="51" customFormat="1" ht="30.05" customHeight="1" x14ac:dyDescent="0.3">
      <c r="A89" s="54" t="s">
        <v>167</v>
      </c>
      <c r="B89" s="57" t="s">
        <v>138</v>
      </c>
      <c r="C89" s="42" t="s">
        <v>7</v>
      </c>
      <c r="D89" s="169">
        <v>1.96</v>
      </c>
      <c r="E89" s="123">
        <v>2500</v>
      </c>
      <c r="F89" s="123"/>
      <c r="G89" s="123">
        <f>ROUND(D89*E89,0)</f>
        <v>4900</v>
      </c>
      <c r="H89" s="123"/>
      <c r="I89" s="123">
        <f t="shared" si="1"/>
        <v>4900</v>
      </c>
      <c r="J89" s="200"/>
    </row>
    <row r="90" spans="1:84" s="50" customFormat="1" ht="30.05" customHeight="1" x14ac:dyDescent="0.3">
      <c r="A90" s="53"/>
      <c r="B90" s="48" t="s">
        <v>139</v>
      </c>
      <c r="C90" s="49" t="s">
        <v>7</v>
      </c>
      <c r="D90" s="169">
        <v>2.0579999999999998</v>
      </c>
      <c r="E90" s="124"/>
      <c r="F90" s="124">
        <v>4000</v>
      </c>
      <c r="G90" s="123"/>
      <c r="H90" s="123">
        <f>ROUND(D90*F90,0)</f>
        <v>8232</v>
      </c>
      <c r="I90" s="123">
        <f t="shared" si="1"/>
        <v>8232</v>
      </c>
      <c r="J90" s="200"/>
    </row>
    <row r="91" spans="1:84" s="51" customFormat="1" ht="30.05" customHeight="1" x14ac:dyDescent="0.3">
      <c r="A91" s="54" t="s">
        <v>169</v>
      </c>
      <c r="B91" s="57" t="s">
        <v>140</v>
      </c>
      <c r="C91" s="42" t="s">
        <v>7</v>
      </c>
      <c r="D91" s="169">
        <v>9.5399999999999991</v>
      </c>
      <c r="E91" s="123">
        <v>4500</v>
      </c>
      <c r="F91" s="123"/>
      <c r="G91" s="123">
        <f>ROUND(D91*E91,0)</f>
        <v>42930</v>
      </c>
      <c r="H91" s="123"/>
      <c r="I91" s="123">
        <f t="shared" si="1"/>
        <v>42930</v>
      </c>
      <c r="J91" s="200"/>
    </row>
    <row r="92" spans="1:84" s="50" customFormat="1" ht="30.05" customHeight="1" x14ac:dyDescent="0.3">
      <c r="A92" s="53"/>
      <c r="B92" s="48" t="s">
        <v>122</v>
      </c>
      <c r="C92" s="49" t="s">
        <v>7</v>
      </c>
      <c r="D92" s="169">
        <v>10.016999999999999</v>
      </c>
      <c r="E92" s="124"/>
      <c r="F92" s="124">
        <v>6000</v>
      </c>
      <c r="G92" s="123"/>
      <c r="H92" s="123">
        <f>ROUND(D92*F92,0)</f>
        <v>60102</v>
      </c>
      <c r="I92" s="123">
        <f t="shared" si="1"/>
        <v>60102</v>
      </c>
      <c r="J92" s="200"/>
    </row>
    <row r="93" spans="1:84" s="50" customFormat="1" ht="30.05" customHeight="1" x14ac:dyDescent="0.3">
      <c r="A93" s="53"/>
      <c r="B93" s="48" t="s">
        <v>124</v>
      </c>
      <c r="C93" s="49" t="s">
        <v>8</v>
      </c>
      <c r="D93" s="169">
        <v>1.2584</v>
      </c>
      <c r="E93" s="124"/>
      <c r="F93" s="124">
        <v>42000</v>
      </c>
      <c r="G93" s="123"/>
      <c r="H93" s="123">
        <f>ROUND(D93*F93,0)</f>
        <v>52853</v>
      </c>
      <c r="I93" s="123">
        <f t="shared" si="1"/>
        <v>52853</v>
      </c>
      <c r="J93" s="200"/>
    </row>
    <row r="94" spans="1:84" s="34" customFormat="1" ht="30.05" customHeight="1" x14ac:dyDescent="0.3">
      <c r="A94" s="52"/>
      <c r="B94" s="46" t="s">
        <v>92</v>
      </c>
      <c r="C94" s="35"/>
      <c r="D94" s="256"/>
      <c r="E94" s="257"/>
      <c r="F94" s="257"/>
      <c r="G94" s="258">
        <f>SUM(G60:G93)</f>
        <v>30976940</v>
      </c>
      <c r="H94" s="258">
        <f>SUM(H60:H93)</f>
        <v>55668713</v>
      </c>
      <c r="I94" s="258">
        <f>SUM(I60:I93)</f>
        <v>86645653</v>
      </c>
      <c r="J94" s="199"/>
    </row>
    <row r="95" spans="1:84" s="175" customFormat="1" ht="30.05" customHeight="1" x14ac:dyDescent="0.25">
      <c r="A95" s="54"/>
      <c r="B95" s="41" t="s">
        <v>249</v>
      </c>
      <c r="C95" s="42"/>
      <c r="D95" s="169"/>
      <c r="E95" s="123"/>
      <c r="F95" s="123"/>
      <c r="G95" s="125">
        <f>ROUND(G94*0.11,0)</f>
        <v>3407463</v>
      </c>
      <c r="H95" s="123"/>
      <c r="I95" s="123">
        <f>G95</f>
        <v>3407463</v>
      </c>
      <c r="J95" s="197"/>
    </row>
    <row r="96" spans="1:84" s="175" customFormat="1" ht="30.05" customHeight="1" x14ac:dyDescent="0.25">
      <c r="A96" s="54"/>
      <c r="B96" s="41" t="s">
        <v>223</v>
      </c>
      <c r="C96" s="42"/>
      <c r="D96" s="169"/>
      <c r="E96" s="123"/>
      <c r="F96" s="123"/>
      <c r="G96" s="125">
        <f>ROUND(G94*0.05,0)</f>
        <v>1548847</v>
      </c>
      <c r="H96" s="123"/>
      <c r="I96" s="123">
        <f>G96</f>
        <v>1548847</v>
      </c>
      <c r="J96" s="197"/>
    </row>
    <row r="97" spans="1:84" s="55" customFormat="1" ht="30.05" customHeight="1" x14ac:dyDescent="0.3">
      <c r="A97" s="43"/>
      <c r="B97" s="36" t="s">
        <v>260</v>
      </c>
      <c r="C97" s="43" t="s">
        <v>7</v>
      </c>
      <c r="D97" s="259">
        <f>D60+D65+D52+D74+D48+D77+D81+D86+D89+D91</f>
        <v>5435.7900000000009</v>
      </c>
      <c r="E97" s="260"/>
      <c r="F97" s="260"/>
      <c r="G97" s="260">
        <f>SUM(G94:G96)</f>
        <v>35933250</v>
      </c>
      <c r="H97" s="260">
        <f>SUM(H94:H96)</f>
        <v>55668713</v>
      </c>
      <c r="I97" s="261">
        <f>SUM(I94:I96)</f>
        <v>91601963</v>
      </c>
      <c r="J97" s="220">
        <f>I97</f>
        <v>91601963</v>
      </c>
    </row>
    <row r="98" spans="1:84" s="122" customFormat="1" ht="30.05" customHeight="1" x14ac:dyDescent="0.3">
      <c r="A98" s="167">
        <v>5</v>
      </c>
      <c r="B98" s="112" t="s">
        <v>215</v>
      </c>
      <c r="C98" s="29"/>
      <c r="D98" s="266"/>
      <c r="E98" s="255"/>
      <c r="F98" s="255"/>
      <c r="G98" s="255"/>
      <c r="H98" s="255"/>
      <c r="I98" s="267"/>
      <c r="J98" s="201"/>
      <c r="Y98" s="119"/>
      <c r="Z98" s="119"/>
      <c r="AE98" s="119"/>
      <c r="AF98" s="119"/>
      <c r="AK98" s="119"/>
      <c r="AL98" s="119"/>
      <c r="BW98" s="119"/>
      <c r="BX98" s="119"/>
      <c r="BY98" s="119"/>
      <c r="BZ98" s="119"/>
      <c r="CA98" s="119"/>
      <c r="CB98" s="119"/>
      <c r="CC98" s="115"/>
      <c r="CD98" s="115"/>
      <c r="CE98" s="115"/>
      <c r="CF98" s="115"/>
    </row>
    <row r="99" spans="1:84" s="2" customFormat="1" ht="30.05" customHeight="1" x14ac:dyDescent="0.3">
      <c r="A99" s="54" t="s">
        <v>23</v>
      </c>
      <c r="B99" s="57" t="s">
        <v>340</v>
      </c>
      <c r="C99" s="42" t="s">
        <v>152</v>
      </c>
      <c r="D99" s="169">
        <f>38.4</f>
        <v>38.4</v>
      </c>
      <c r="E99" s="123">
        <v>2500</v>
      </c>
      <c r="F99" s="123"/>
      <c r="G99" s="123">
        <f t="shared" ref="G99:G110" si="2">ROUND(D99*E99,0)</f>
        <v>96000</v>
      </c>
      <c r="H99" s="123"/>
      <c r="I99" s="123">
        <f t="shared" ref="I99:I110" si="3">G99+H99</f>
        <v>96000</v>
      </c>
      <c r="J99" s="201"/>
      <c r="K99" s="221"/>
      <c r="Y99" s="3"/>
      <c r="Z99" s="3"/>
      <c r="AE99" s="3"/>
      <c r="AF99" s="3"/>
      <c r="AK99" s="3"/>
      <c r="AL99" s="3"/>
      <c r="BW99" s="3"/>
      <c r="BX99" s="3"/>
      <c r="BY99" s="3"/>
      <c r="BZ99" s="3"/>
      <c r="CA99" s="3"/>
      <c r="CB99" s="3"/>
      <c r="CC99" s="4"/>
      <c r="CD99" s="4"/>
      <c r="CE99" s="4"/>
      <c r="CF99" s="4"/>
    </row>
    <row r="100" spans="1:84" s="2" customFormat="1" ht="30.05" customHeight="1" x14ac:dyDescent="0.3">
      <c r="A100" s="54"/>
      <c r="B100" s="48" t="s">
        <v>153</v>
      </c>
      <c r="C100" s="49" t="s">
        <v>103</v>
      </c>
      <c r="D100" s="170">
        <f>D99</f>
        <v>38.4</v>
      </c>
      <c r="E100" s="124"/>
      <c r="F100" s="124">
        <v>2700</v>
      </c>
      <c r="G100" s="123"/>
      <c r="H100" s="123">
        <f t="shared" ref="H100:H110" si="4">ROUND(F100*D100,0)</f>
        <v>103680</v>
      </c>
      <c r="I100" s="123">
        <f t="shared" si="3"/>
        <v>103680</v>
      </c>
      <c r="J100" s="201"/>
      <c r="K100" s="221"/>
      <c r="Y100" s="3"/>
      <c r="Z100" s="3"/>
      <c r="AE100" s="3"/>
      <c r="AF100" s="3"/>
      <c r="AK100" s="3"/>
      <c r="AL100" s="3"/>
      <c r="BW100" s="3"/>
      <c r="BX100" s="3"/>
      <c r="BY100" s="3"/>
      <c r="BZ100" s="3"/>
      <c r="CA100" s="3"/>
      <c r="CB100" s="3"/>
      <c r="CC100" s="4"/>
      <c r="CD100" s="4"/>
      <c r="CE100" s="4"/>
      <c r="CF100" s="4"/>
    </row>
    <row r="101" spans="1:84" s="2" customFormat="1" ht="30.05" customHeight="1" x14ac:dyDescent="0.3">
      <c r="A101" s="54"/>
      <c r="B101" s="48" t="s">
        <v>154</v>
      </c>
      <c r="C101" s="49" t="s">
        <v>9</v>
      </c>
      <c r="D101" s="170">
        <v>4</v>
      </c>
      <c r="E101" s="124"/>
      <c r="F101" s="124">
        <v>15000</v>
      </c>
      <c r="G101" s="123"/>
      <c r="H101" s="123">
        <f t="shared" si="4"/>
        <v>60000</v>
      </c>
      <c r="I101" s="123">
        <f t="shared" si="3"/>
        <v>60000</v>
      </c>
      <c r="J101" s="201"/>
      <c r="K101" s="221"/>
      <c r="Y101" s="3"/>
      <c r="Z101" s="3"/>
      <c r="AE101" s="3"/>
      <c r="AF101" s="3"/>
      <c r="AK101" s="3"/>
      <c r="AL101" s="3"/>
      <c r="BW101" s="3"/>
      <c r="BX101" s="3"/>
      <c r="BY101" s="3"/>
      <c r="BZ101" s="3"/>
      <c r="CA101" s="3"/>
      <c r="CB101" s="3"/>
      <c r="CC101" s="4"/>
      <c r="CD101" s="4"/>
      <c r="CE101" s="4"/>
      <c r="CF101" s="4"/>
    </row>
    <row r="102" spans="1:84" s="2" customFormat="1" ht="30.05" customHeight="1" x14ac:dyDescent="0.3">
      <c r="A102" s="54"/>
      <c r="B102" s="48" t="s">
        <v>155</v>
      </c>
      <c r="C102" s="49" t="s">
        <v>9</v>
      </c>
      <c r="D102" s="170">
        <v>30</v>
      </c>
      <c r="E102" s="124"/>
      <c r="F102" s="124">
        <v>878.83</v>
      </c>
      <c r="G102" s="123"/>
      <c r="H102" s="123">
        <f t="shared" si="4"/>
        <v>26365</v>
      </c>
      <c r="I102" s="123">
        <f t="shared" si="3"/>
        <v>26365</v>
      </c>
      <c r="J102" s="201"/>
      <c r="Y102" s="3"/>
      <c r="Z102" s="3"/>
      <c r="AE102" s="3"/>
      <c r="AF102" s="3"/>
      <c r="AK102" s="3"/>
      <c r="AL102" s="3"/>
      <c r="BW102" s="3"/>
      <c r="BX102" s="3"/>
      <c r="BY102" s="3"/>
      <c r="BZ102" s="3"/>
      <c r="CA102" s="3"/>
      <c r="CB102" s="3"/>
      <c r="CC102" s="4"/>
      <c r="CD102" s="4"/>
      <c r="CE102" s="4"/>
      <c r="CF102" s="4"/>
    </row>
    <row r="103" spans="1:84" s="2" customFormat="1" ht="30.05" customHeight="1" x14ac:dyDescent="0.3">
      <c r="A103" s="54" t="s">
        <v>25</v>
      </c>
      <c r="B103" s="41" t="s">
        <v>338</v>
      </c>
      <c r="C103" s="42" t="s">
        <v>8</v>
      </c>
      <c r="D103" s="169">
        <v>2.5</v>
      </c>
      <c r="E103" s="123">
        <v>25000</v>
      </c>
      <c r="F103" s="123">
        <v>45000</v>
      </c>
      <c r="G103" s="123">
        <f t="shared" si="2"/>
        <v>62500</v>
      </c>
      <c r="H103" s="123">
        <f t="shared" si="4"/>
        <v>112500</v>
      </c>
      <c r="I103" s="123">
        <f t="shared" si="3"/>
        <v>175000</v>
      </c>
      <c r="J103" s="201"/>
      <c r="Y103" s="3"/>
      <c r="Z103" s="3"/>
      <c r="AE103" s="3"/>
      <c r="AF103" s="3"/>
      <c r="AK103" s="3"/>
      <c r="AL103" s="3"/>
      <c r="BW103" s="3"/>
      <c r="BX103" s="3"/>
      <c r="BY103" s="3"/>
      <c r="BZ103" s="3"/>
      <c r="CA103" s="3"/>
      <c r="CB103" s="3"/>
      <c r="CC103" s="4"/>
      <c r="CD103" s="4"/>
      <c r="CE103" s="4"/>
      <c r="CF103" s="4"/>
    </row>
    <row r="104" spans="1:84" s="2" customFormat="1" ht="30.05" customHeight="1" x14ac:dyDescent="0.3">
      <c r="A104" s="54" t="s">
        <v>224</v>
      </c>
      <c r="B104" s="57" t="s">
        <v>156</v>
      </c>
      <c r="C104" s="42" t="s">
        <v>9</v>
      </c>
      <c r="D104" s="169">
        <v>2</v>
      </c>
      <c r="E104" s="123">
        <v>400</v>
      </c>
      <c r="F104" s="123">
        <v>1500</v>
      </c>
      <c r="G104" s="123">
        <f t="shared" si="2"/>
        <v>800</v>
      </c>
      <c r="H104" s="123">
        <f t="shared" si="4"/>
        <v>3000</v>
      </c>
      <c r="I104" s="123">
        <f t="shared" si="3"/>
        <v>3800</v>
      </c>
      <c r="J104" s="201"/>
      <c r="Y104" s="3"/>
      <c r="Z104" s="3"/>
      <c r="AE104" s="3"/>
      <c r="AF104" s="3"/>
      <c r="AK104" s="3"/>
      <c r="AL104" s="3"/>
      <c r="BW104" s="3"/>
      <c r="BX104" s="3"/>
      <c r="BY104" s="3"/>
      <c r="BZ104" s="3"/>
      <c r="CA104" s="3"/>
      <c r="CB104" s="3"/>
      <c r="CC104" s="4"/>
      <c r="CD104" s="4"/>
      <c r="CE104" s="4"/>
      <c r="CF104" s="4"/>
    </row>
    <row r="105" spans="1:84" s="2" customFormat="1" ht="30.05" customHeight="1" x14ac:dyDescent="0.3">
      <c r="A105" s="54" t="s">
        <v>225</v>
      </c>
      <c r="B105" s="41" t="s">
        <v>158</v>
      </c>
      <c r="C105" s="42" t="s">
        <v>8</v>
      </c>
      <c r="D105" s="169">
        <v>0.25700000000000001</v>
      </c>
      <c r="E105" s="125">
        <v>25000</v>
      </c>
      <c r="F105" s="125">
        <v>42000</v>
      </c>
      <c r="G105" s="123">
        <f t="shared" si="2"/>
        <v>6425</v>
      </c>
      <c r="H105" s="123">
        <f t="shared" si="4"/>
        <v>10794</v>
      </c>
      <c r="I105" s="123">
        <f t="shared" si="3"/>
        <v>17219</v>
      </c>
      <c r="J105" s="201"/>
      <c r="Y105" s="3"/>
      <c r="Z105" s="3"/>
      <c r="AE105" s="3"/>
      <c r="AF105" s="3"/>
      <c r="AK105" s="3"/>
      <c r="AL105" s="3"/>
      <c r="BW105" s="3"/>
      <c r="BX105" s="3"/>
      <c r="BY105" s="3"/>
      <c r="BZ105" s="3"/>
      <c r="CA105" s="3"/>
      <c r="CB105" s="3"/>
      <c r="CC105" s="4"/>
      <c r="CD105" s="4"/>
      <c r="CE105" s="4"/>
      <c r="CF105" s="4"/>
    </row>
    <row r="106" spans="1:84" s="2" customFormat="1" ht="30.05" customHeight="1" x14ac:dyDescent="0.3">
      <c r="A106" s="54" t="s">
        <v>226</v>
      </c>
      <c r="B106" s="41" t="s">
        <v>160</v>
      </c>
      <c r="C106" s="42" t="s">
        <v>8</v>
      </c>
      <c r="D106" s="169">
        <v>0.18</v>
      </c>
      <c r="E106" s="125">
        <v>25000</v>
      </c>
      <c r="F106" s="125">
        <v>42000</v>
      </c>
      <c r="G106" s="123">
        <f t="shared" si="2"/>
        <v>4500</v>
      </c>
      <c r="H106" s="123">
        <f t="shared" si="4"/>
        <v>7560</v>
      </c>
      <c r="I106" s="123">
        <f t="shared" si="3"/>
        <v>12060</v>
      </c>
      <c r="J106" s="201"/>
      <c r="Y106" s="3"/>
      <c r="Z106" s="3"/>
      <c r="AE106" s="3"/>
      <c r="AF106" s="3"/>
      <c r="AK106" s="3"/>
      <c r="AL106" s="3"/>
      <c r="BW106" s="3"/>
      <c r="BX106" s="3"/>
      <c r="BY106" s="3"/>
      <c r="BZ106" s="3"/>
      <c r="CA106" s="3"/>
      <c r="CB106" s="3"/>
      <c r="CC106" s="4"/>
      <c r="CD106" s="4"/>
      <c r="CE106" s="4"/>
      <c r="CF106" s="4"/>
    </row>
    <row r="107" spans="1:84" s="2" customFormat="1" ht="30.05" customHeight="1" x14ac:dyDescent="0.3">
      <c r="A107" s="54" t="s">
        <v>227</v>
      </c>
      <c r="B107" s="41" t="s">
        <v>162</v>
      </c>
      <c r="C107" s="42" t="s">
        <v>8</v>
      </c>
      <c r="D107" s="169">
        <v>0.75600000000000001</v>
      </c>
      <c r="E107" s="125">
        <v>25000</v>
      </c>
      <c r="F107" s="125">
        <v>42000</v>
      </c>
      <c r="G107" s="123">
        <f t="shared" si="2"/>
        <v>18900</v>
      </c>
      <c r="H107" s="123">
        <f t="shared" si="4"/>
        <v>31752</v>
      </c>
      <c r="I107" s="123">
        <f t="shared" si="3"/>
        <v>50652</v>
      </c>
      <c r="J107" s="201"/>
      <c r="Y107" s="3"/>
      <c r="Z107" s="3"/>
      <c r="AE107" s="3"/>
      <c r="AF107" s="3"/>
      <c r="AK107" s="3"/>
      <c r="AL107" s="3"/>
      <c r="BW107" s="3"/>
      <c r="BX107" s="3"/>
      <c r="BY107" s="3"/>
      <c r="BZ107" s="3"/>
      <c r="CA107" s="3"/>
      <c r="CB107" s="3"/>
      <c r="CC107" s="4"/>
      <c r="CD107" s="4"/>
      <c r="CE107" s="4"/>
      <c r="CF107" s="4"/>
    </row>
    <row r="108" spans="1:84" s="2" customFormat="1" ht="30.05" customHeight="1" x14ac:dyDescent="0.3">
      <c r="A108" s="54" t="s">
        <v>228</v>
      </c>
      <c r="B108" s="41" t="s">
        <v>168</v>
      </c>
      <c r="C108" s="42" t="s">
        <v>8</v>
      </c>
      <c r="D108" s="169">
        <v>0.51200000000000001</v>
      </c>
      <c r="E108" s="125">
        <v>25000</v>
      </c>
      <c r="F108" s="125">
        <v>42000</v>
      </c>
      <c r="G108" s="123">
        <f t="shared" si="2"/>
        <v>12800</v>
      </c>
      <c r="H108" s="123">
        <f t="shared" si="4"/>
        <v>21504</v>
      </c>
      <c r="I108" s="123">
        <f t="shared" si="3"/>
        <v>34304</v>
      </c>
      <c r="J108" s="201"/>
      <c r="Y108" s="3"/>
      <c r="Z108" s="3"/>
      <c r="AE108" s="3"/>
      <c r="AF108" s="3"/>
      <c r="AK108" s="3"/>
      <c r="AL108" s="3"/>
      <c r="BW108" s="3"/>
      <c r="BX108" s="3"/>
      <c r="BY108" s="3"/>
      <c r="BZ108" s="3"/>
      <c r="CA108" s="3"/>
      <c r="CB108" s="3"/>
      <c r="CC108" s="4"/>
      <c r="CD108" s="4"/>
      <c r="CE108" s="4"/>
      <c r="CF108" s="4"/>
    </row>
    <row r="109" spans="1:84" s="2" customFormat="1" ht="30.05" customHeight="1" x14ac:dyDescent="0.3">
      <c r="A109" s="54" t="s">
        <v>261</v>
      </c>
      <c r="B109" s="41" t="s">
        <v>343</v>
      </c>
      <c r="C109" s="42" t="s">
        <v>9</v>
      </c>
      <c r="D109" s="169">
        <v>190</v>
      </c>
      <c r="E109" s="123">
        <v>800</v>
      </c>
      <c r="F109" s="123">
        <v>4100</v>
      </c>
      <c r="G109" s="123">
        <f t="shared" si="2"/>
        <v>152000</v>
      </c>
      <c r="H109" s="123">
        <f t="shared" si="4"/>
        <v>779000</v>
      </c>
      <c r="I109" s="123">
        <f t="shared" si="3"/>
        <v>931000</v>
      </c>
      <c r="J109" s="201"/>
      <c r="Y109" s="3"/>
      <c r="Z109" s="3"/>
      <c r="AE109" s="3"/>
      <c r="AF109" s="3"/>
      <c r="AK109" s="3"/>
      <c r="AL109" s="3"/>
      <c r="BW109" s="3"/>
      <c r="BX109" s="3"/>
      <c r="BY109" s="3"/>
      <c r="BZ109" s="3"/>
      <c r="CA109" s="3"/>
      <c r="CB109" s="3"/>
      <c r="CC109" s="4"/>
      <c r="CD109" s="4"/>
      <c r="CE109" s="4"/>
      <c r="CF109" s="4"/>
    </row>
    <row r="110" spans="1:84" s="2" customFormat="1" ht="30.05" customHeight="1" x14ac:dyDescent="0.3">
      <c r="A110" s="54" t="s">
        <v>259</v>
      </c>
      <c r="B110" s="41" t="s">
        <v>333</v>
      </c>
      <c r="C110" s="42" t="s">
        <v>9</v>
      </c>
      <c r="D110" s="169">
        <f>D109*2</f>
        <v>380</v>
      </c>
      <c r="E110" s="123">
        <v>250</v>
      </c>
      <c r="F110" s="123">
        <v>800</v>
      </c>
      <c r="G110" s="123">
        <f t="shared" si="2"/>
        <v>95000</v>
      </c>
      <c r="H110" s="123">
        <f t="shared" si="4"/>
        <v>304000</v>
      </c>
      <c r="I110" s="123">
        <f t="shared" si="3"/>
        <v>399000</v>
      </c>
      <c r="J110" s="201"/>
      <c r="Y110" s="3"/>
      <c r="Z110" s="3"/>
      <c r="AE110" s="3"/>
      <c r="AF110" s="3"/>
      <c r="AK110" s="3"/>
      <c r="AL110" s="3"/>
      <c r="BW110" s="3"/>
      <c r="BX110" s="3"/>
      <c r="BY110" s="3"/>
      <c r="BZ110" s="3"/>
      <c r="CA110" s="3"/>
      <c r="CB110" s="3"/>
      <c r="CC110" s="4"/>
      <c r="CD110" s="4"/>
      <c r="CE110" s="4"/>
      <c r="CF110" s="4"/>
    </row>
    <row r="111" spans="1:84" s="2" customFormat="1" ht="30.05" customHeight="1" x14ac:dyDescent="0.3">
      <c r="A111" s="1"/>
      <c r="B111" s="31" t="s">
        <v>92</v>
      </c>
      <c r="C111" s="5"/>
      <c r="D111" s="169"/>
      <c r="E111" s="268"/>
      <c r="F111" s="268"/>
      <c r="G111" s="254">
        <f>SUM(G99:G110)</f>
        <v>448925</v>
      </c>
      <c r="H111" s="254">
        <f>SUM(H99:H110)</f>
        <v>1460155</v>
      </c>
      <c r="I111" s="254">
        <f>SUM(I99:I110)</f>
        <v>1909080</v>
      </c>
      <c r="J111" s="20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6"/>
      <c r="V111" s="24">
        <f>SUM(V98:V110)</f>
        <v>0</v>
      </c>
      <c r="W111" s="7"/>
      <c r="X111" s="24">
        <f>V111</f>
        <v>0</v>
      </c>
      <c r="Y111" s="25"/>
      <c r="Z111" s="27">
        <v>433030</v>
      </c>
      <c r="AA111" s="26"/>
      <c r="AB111" s="24">
        <f>SUM(AB98:AB110)</f>
        <v>0</v>
      </c>
      <c r="AC111" s="7"/>
      <c r="AD111" s="24">
        <f>AB111</f>
        <v>0</v>
      </c>
      <c r="AE111" s="25"/>
      <c r="AF111" s="18">
        <v>180212.76</v>
      </c>
      <c r="AG111" s="26"/>
      <c r="AH111" s="24">
        <f>SUM(AH98:AH110)</f>
        <v>0</v>
      </c>
      <c r="AI111" s="7"/>
      <c r="AJ111" s="24">
        <f>AH111</f>
        <v>0</v>
      </c>
      <c r="AK111" s="25"/>
      <c r="AL111" s="27">
        <v>471440</v>
      </c>
      <c r="AM111" s="26"/>
      <c r="AN111" s="24">
        <f>SUM(AN98:AN110)</f>
        <v>0</v>
      </c>
      <c r="AO111" s="7"/>
      <c r="AP111" s="24">
        <f>AN111</f>
        <v>0</v>
      </c>
      <c r="AQ111" s="26"/>
      <c r="AR111" s="24"/>
      <c r="AS111" s="7"/>
      <c r="AT111" s="24"/>
      <c r="AU111" s="26"/>
      <c r="AV111" s="24"/>
      <c r="AW111" s="7"/>
      <c r="AX111" s="24"/>
      <c r="AY111" s="26"/>
      <c r="AZ111" s="24"/>
      <c r="BA111" s="7"/>
      <c r="BB111" s="24"/>
      <c r="BC111" s="26"/>
      <c r="BD111" s="24"/>
      <c r="BE111" s="7"/>
      <c r="BF111" s="24"/>
      <c r="BG111" s="26"/>
      <c r="BH111" s="24"/>
      <c r="BI111" s="7"/>
      <c r="BJ111" s="24"/>
      <c r="BK111" s="26"/>
      <c r="BL111" s="24"/>
      <c r="BM111" s="7"/>
      <c r="BN111" s="24"/>
      <c r="BO111" s="26"/>
      <c r="BP111" s="24"/>
      <c r="BQ111" s="7"/>
      <c r="BR111" s="24"/>
      <c r="BS111" s="26"/>
      <c r="BT111" s="24"/>
      <c r="BU111" s="7"/>
      <c r="BV111" s="24"/>
      <c r="BW111" s="25"/>
      <c r="BX111" s="27">
        <v>847289</v>
      </c>
      <c r="BY111" s="19" t="e">
        <f>#REF!-Y111-AE111-AK111-BW111</f>
        <v>#REF!</v>
      </c>
      <c r="BZ111" s="20">
        <f>G111-V111-AB111-AH111-AN111-AR111-AV111-AZ111-BD111-BH111-BL111-BP111-BT111</f>
        <v>448925</v>
      </c>
      <c r="CA111" s="18">
        <f>H111-W111-AC111-AI111-AO111-AS111-AW111-BA111-BE111-BI111-BM111-BQ111-BU111</f>
        <v>1460155</v>
      </c>
      <c r="CB111" s="18">
        <f>I111-Z111-AF111-AL111-BX111</f>
        <v>-22891.760000000009</v>
      </c>
      <c r="CC111" s="21"/>
      <c r="CD111" s="24">
        <f>SUM(CD98:CD110)</f>
        <v>0</v>
      </c>
      <c r="CE111" s="7"/>
      <c r="CF111" s="24">
        <f>CD111</f>
        <v>0</v>
      </c>
    </row>
    <row r="112" spans="1:84" s="175" customFormat="1" ht="30.05" customHeight="1" x14ac:dyDescent="0.25">
      <c r="A112" s="54"/>
      <c r="B112" s="41" t="s">
        <v>249</v>
      </c>
      <c r="C112" s="42"/>
      <c r="D112" s="169"/>
      <c r="E112" s="123"/>
      <c r="F112" s="123"/>
      <c r="G112" s="125">
        <f>ROUND(G111*0.11,0)</f>
        <v>49382</v>
      </c>
      <c r="H112" s="123"/>
      <c r="I112" s="123">
        <f>G112</f>
        <v>49382</v>
      </c>
      <c r="J112" s="197"/>
    </row>
    <row r="113" spans="1:84" s="175" customFormat="1" ht="30.05" customHeight="1" x14ac:dyDescent="0.25">
      <c r="A113" s="54"/>
      <c r="B113" s="41" t="s">
        <v>223</v>
      </c>
      <c r="C113" s="42"/>
      <c r="D113" s="169"/>
      <c r="E113" s="123"/>
      <c r="F113" s="123"/>
      <c r="G113" s="125">
        <f>ROUND(G111*0.05,0)</f>
        <v>22446</v>
      </c>
      <c r="H113" s="123"/>
      <c r="I113" s="123">
        <f>G113</f>
        <v>22446</v>
      </c>
      <c r="J113" s="197"/>
    </row>
    <row r="114" spans="1:84" s="3" customFormat="1" ht="30.05" customHeight="1" x14ac:dyDescent="0.3">
      <c r="A114" s="43"/>
      <c r="B114" s="36" t="s">
        <v>262</v>
      </c>
      <c r="C114" s="43"/>
      <c r="D114" s="259"/>
      <c r="E114" s="260"/>
      <c r="F114" s="260"/>
      <c r="G114" s="260">
        <f>SUM(G111:G113)</f>
        <v>520753</v>
      </c>
      <c r="H114" s="260">
        <f>SUM(H111:H113)</f>
        <v>1460155</v>
      </c>
      <c r="I114" s="261">
        <f>SUM(I111:I113)</f>
        <v>1980908</v>
      </c>
      <c r="J114" s="205">
        <f>I114</f>
        <v>1980908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64"/>
      <c r="V114" s="64"/>
      <c r="W114" s="64"/>
      <c r="X114" s="25" t="e">
        <f>ROUND(X111+#REF!+X112+X113+1,0)</f>
        <v>#REF!</v>
      </c>
      <c r="Y114" s="25"/>
      <c r="Z114" s="27">
        <v>1220664</v>
      </c>
      <c r="AA114" s="64"/>
      <c r="AB114" s="64"/>
      <c r="AC114" s="64"/>
      <c r="AD114" s="25" t="e">
        <f>AD111+#REF!+AD112+AD113</f>
        <v>#REF!</v>
      </c>
      <c r="AE114" s="25"/>
      <c r="AF114" s="27">
        <v>524112</v>
      </c>
      <c r="AG114" s="64"/>
      <c r="AH114" s="64"/>
      <c r="AI114" s="64"/>
      <c r="AJ114" s="25" t="e">
        <f>AJ111+#REF!+AJ112+AJ113</f>
        <v>#REF!</v>
      </c>
      <c r="AK114" s="25"/>
      <c r="AL114" s="27">
        <v>1187279.28</v>
      </c>
      <c r="AM114" s="64"/>
      <c r="AN114" s="64"/>
      <c r="AO114" s="64"/>
      <c r="AP114" s="25" t="e">
        <f>AP111+#REF!+AP112+AP113</f>
        <v>#REF!</v>
      </c>
      <c r="AQ114" s="64"/>
      <c r="AR114" s="64"/>
      <c r="AS114" s="64"/>
      <c r="AT114" s="25"/>
      <c r="AU114" s="64"/>
      <c r="AV114" s="64"/>
      <c r="AW114" s="64"/>
      <c r="AX114" s="25"/>
      <c r="AY114" s="64"/>
      <c r="AZ114" s="64"/>
      <c r="BA114" s="64"/>
      <c r="BB114" s="25"/>
      <c r="BC114" s="64"/>
      <c r="BD114" s="64"/>
      <c r="BE114" s="64"/>
      <c r="BF114" s="25"/>
      <c r="BG114" s="64"/>
      <c r="BH114" s="64"/>
      <c r="BI114" s="64"/>
      <c r="BJ114" s="25"/>
      <c r="BK114" s="64"/>
      <c r="BL114" s="64"/>
      <c r="BM114" s="64"/>
      <c r="BN114" s="25"/>
      <c r="BO114" s="64"/>
      <c r="BP114" s="64"/>
      <c r="BQ114" s="64"/>
      <c r="BR114" s="25"/>
      <c r="BS114" s="64"/>
      <c r="BT114" s="64"/>
      <c r="BU114" s="64"/>
      <c r="BV114" s="25"/>
      <c r="BW114" s="25"/>
      <c r="BX114" s="27">
        <v>2328925</v>
      </c>
      <c r="BY114" s="19" t="e">
        <f>#REF!-Y114-AE114-AK114-BW114</f>
        <v>#REF!</v>
      </c>
      <c r="BZ114" s="20">
        <f t="shared" ref="BZ114:CA118" si="5">G114-V114-AB114-AH114-AN114-AR114-AV114-AZ114-BD114-BH114-BL114-BP114-BT114</f>
        <v>520753</v>
      </c>
      <c r="CA114" s="18">
        <f t="shared" si="5"/>
        <v>1460155</v>
      </c>
      <c r="CB114" s="18">
        <f>I114-Z114-AF114-AL114-BX114</f>
        <v>-3280072.2800000003</v>
      </c>
      <c r="CC114" s="19"/>
      <c r="CD114" s="64"/>
      <c r="CE114" s="64"/>
      <c r="CF114" s="25" t="e">
        <f>CF111+#REF!+CF112+CF113</f>
        <v>#REF!</v>
      </c>
    </row>
    <row r="115" spans="1:84" s="2" customFormat="1" ht="30.05" customHeight="1" x14ac:dyDescent="0.3">
      <c r="A115" s="1" t="s">
        <v>27</v>
      </c>
      <c r="B115" s="112" t="s">
        <v>11</v>
      </c>
      <c r="C115" s="29"/>
      <c r="D115" s="266"/>
      <c r="E115" s="255"/>
      <c r="F115" s="255"/>
      <c r="G115" s="255"/>
      <c r="H115" s="255"/>
      <c r="I115" s="255"/>
      <c r="J115" s="206"/>
      <c r="K115" s="6"/>
      <c r="L115" s="6"/>
      <c r="M115" s="6"/>
      <c r="N115" s="6"/>
      <c r="O115" s="6"/>
      <c r="P115" s="6"/>
      <c r="Q115" s="6"/>
      <c r="R115" s="6"/>
      <c r="S115" s="6"/>
      <c r="T115" s="6"/>
      <c r="X115" s="7">
        <f>V115+W115</f>
        <v>0</v>
      </c>
      <c r="Y115" s="18"/>
      <c r="Z115" s="18"/>
      <c r="AE115" s="18"/>
      <c r="AF115" s="18"/>
      <c r="AK115" s="18"/>
      <c r="AL115" s="18"/>
      <c r="BW115" s="18"/>
      <c r="BX115" s="18"/>
      <c r="BY115" s="19" t="e">
        <f>#REF!-Y115-AE115-AK115-BW115</f>
        <v>#REF!</v>
      </c>
      <c r="BZ115" s="20">
        <f t="shared" si="5"/>
        <v>0</v>
      </c>
      <c r="CA115" s="18">
        <f t="shared" si="5"/>
        <v>0</v>
      </c>
      <c r="CB115" s="18">
        <f>I115-Z115-AF115-AL115-BX115</f>
        <v>0</v>
      </c>
      <c r="CC115" s="21"/>
      <c r="CD115" s="22"/>
      <c r="CE115" s="23"/>
      <c r="CF115" s="23"/>
    </row>
    <row r="116" spans="1:84" s="4" customFormat="1" ht="59.95" customHeight="1" x14ac:dyDescent="0.3">
      <c r="A116" s="54" t="s">
        <v>29</v>
      </c>
      <c r="B116" s="41" t="s">
        <v>171</v>
      </c>
      <c r="C116" s="42" t="s">
        <v>7</v>
      </c>
      <c r="D116" s="169">
        <v>876.07</v>
      </c>
      <c r="E116" s="125">
        <v>2300</v>
      </c>
      <c r="F116" s="163"/>
      <c r="G116" s="125">
        <f>ROUND(D116*E116,0)</f>
        <v>2014961</v>
      </c>
      <c r="H116" s="125"/>
      <c r="I116" s="125">
        <f>SUM(G116:H116)</f>
        <v>2014961</v>
      </c>
      <c r="J116" s="187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70">
        <v>152.97999999999999</v>
      </c>
      <c r="V116" s="23">
        <f>(U116*E116)</f>
        <v>351854</v>
      </c>
      <c r="W116" s="23">
        <f>U116*F116</f>
        <v>0</v>
      </c>
      <c r="X116" s="23">
        <f>ROUND(V116+W116,0)</f>
        <v>351854</v>
      </c>
      <c r="Y116" s="23">
        <v>178.1</v>
      </c>
      <c r="Z116" s="23">
        <f>Y116*(E116+F116)</f>
        <v>409630</v>
      </c>
      <c r="AA116" s="4">
        <v>38.4</v>
      </c>
      <c r="AB116" s="23">
        <f>ROUND(AA116*E116,0)</f>
        <v>88320</v>
      </c>
      <c r="AC116" s="23">
        <f>ROUND(AA116*F116,0)</f>
        <v>0</v>
      </c>
      <c r="AD116" s="23">
        <f>AB116+AC116</f>
        <v>88320</v>
      </c>
      <c r="AE116" s="23">
        <v>68</v>
      </c>
      <c r="AF116" s="23">
        <f>AE116*(E116+F116)</f>
        <v>156400</v>
      </c>
      <c r="AG116" s="4">
        <v>30.596</v>
      </c>
      <c r="AH116" s="4">
        <f>ROUND(AG116*E116,0)</f>
        <v>70371</v>
      </c>
      <c r="AI116" s="23">
        <f>ROUND(AG116*F116,0)</f>
        <v>0</v>
      </c>
      <c r="AJ116" s="23">
        <f t="shared" ref="AJ116:AJ122" si="6">AH116+AI116</f>
        <v>70371</v>
      </c>
      <c r="AK116" s="23">
        <v>120</v>
      </c>
      <c r="AL116" s="23">
        <f>AK116*(E116+F116)</f>
        <v>276000</v>
      </c>
      <c r="AM116" s="71">
        <v>35</v>
      </c>
      <c r="AN116" s="23">
        <f>ROUND(AM116*E116,0)</f>
        <v>80500</v>
      </c>
      <c r="AO116" s="23">
        <f>AM116*F116</f>
        <v>0</v>
      </c>
      <c r="AP116" s="23">
        <f>AN116+AO116</f>
        <v>80500</v>
      </c>
      <c r="AS116" s="23"/>
      <c r="AT116" s="23"/>
      <c r="AW116" s="23"/>
      <c r="AX116" s="23"/>
      <c r="BA116" s="23"/>
      <c r="BB116" s="23"/>
      <c r="BE116" s="23"/>
      <c r="BF116" s="23"/>
      <c r="BI116" s="23"/>
      <c r="BJ116" s="23"/>
      <c r="BM116" s="23"/>
      <c r="BN116" s="23"/>
      <c r="BQ116" s="23"/>
      <c r="BR116" s="23"/>
      <c r="BU116" s="23"/>
      <c r="BV116" s="23"/>
      <c r="BW116" s="23">
        <v>296</v>
      </c>
      <c r="BX116" s="69">
        <f>BW116*(E116+F116)</f>
        <v>680800</v>
      </c>
      <c r="BY116" s="21" t="e">
        <f>#REF!-Y116-AE116-AK116-BW116</f>
        <v>#REF!</v>
      </c>
      <c r="BZ116" s="22">
        <f t="shared" si="5"/>
        <v>1423916</v>
      </c>
      <c r="CA116" s="23">
        <f t="shared" si="5"/>
        <v>0</v>
      </c>
      <c r="CB116" s="23">
        <f>I116-Z116-AF116-AL116-BX116</f>
        <v>492131</v>
      </c>
      <c r="CC116" s="21">
        <v>73</v>
      </c>
      <c r="CD116" s="22">
        <f>CC116*E116</f>
        <v>167900</v>
      </c>
      <c r="CE116" s="23">
        <f>CC116*F116</f>
        <v>0</v>
      </c>
      <c r="CF116" s="23">
        <f>CD116+CE116</f>
        <v>167900</v>
      </c>
    </row>
    <row r="117" spans="1:84" s="105" customFormat="1" ht="59.95" customHeight="1" x14ac:dyDescent="0.3">
      <c r="A117" s="53"/>
      <c r="B117" s="48" t="s">
        <v>13</v>
      </c>
      <c r="C117" s="49" t="s">
        <v>7</v>
      </c>
      <c r="D117" s="170">
        <f>D116</f>
        <v>876.07</v>
      </c>
      <c r="E117" s="162"/>
      <c r="F117" s="126">
        <v>2900</v>
      </c>
      <c r="G117" s="126"/>
      <c r="H117" s="126">
        <f t="shared" ref="H117:H128" si="7">ROUND(D117*F117,0)</f>
        <v>2540603</v>
      </c>
      <c r="I117" s="126">
        <f t="shared" ref="I117:I128" si="8">SUM(G117:H117)</f>
        <v>2540603</v>
      </c>
      <c r="J117" s="207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5">
        <v>152.97999999999999</v>
      </c>
      <c r="V117" s="104">
        <f>(U117*E117)</f>
        <v>0</v>
      </c>
      <c r="W117" s="104">
        <f>U117*F117</f>
        <v>443641.99999999994</v>
      </c>
      <c r="X117" s="104">
        <f t="shared" ref="X117:X125" si="9">ROUND(V117+W117,0)</f>
        <v>443642</v>
      </c>
      <c r="Y117" s="104">
        <v>178.1</v>
      </c>
      <c r="Z117" s="104">
        <f>Y117*(E117+F117)</f>
        <v>516490</v>
      </c>
      <c r="AA117" s="106">
        <v>38.4</v>
      </c>
      <c r="AB117" s="104">
        <f>ROUND(AA117*E117,0)</f>
        <v>0</v>
      </c>
      <c r="AC117" s="104">
        <f>ROUND(AA117*F117,0)</f>
        <v>111360</v>
      </c>
      <c r="AD117" s="104">
        <f t="shared" ref="AD117:AD128" si="10">AB117+AC117</f>
        <v>111360</v>
      </c>
      <c r="AE117" s="104">
        <v>68</v>
      </c>
      <c r="AF117" s="104">
        <f>AE117*(E117+F117)</f>
        <v>197200</v>
      </c>
      <c r="AG117" s="107">
        <f>AG116</f>
        <v>30.596</v>
      </c>
      <c r="AH117" s="105">
        <f>ROUND(AG117*E117,0)</f>
        <v>0</v>
      </c>
      <c r="AI117" s="104">
        <f>ROUND(AG117*F117,0)</f>
        <v>88728</v>
      </c>
      <c r="AJ117" s="104">
        <f t="shared" si="6"/>
        <v>88728</v>
      </c>
      <c r="AK117" s="104">
        <v>120</v>
      </c>
      <c r="AL117" s="104">
        <f>AK117*(E117+F117)</f>
        <v>348000</v>
      </c>
      <c r="AM117" s="107">
        <v>35</v>
      </c>
      <c r="AN117" s="104">
        <f>ROUND(AM117*E117,0)</f>
        <v>0</v>
      </c>
      <c r="AO117" s="104">
        <f>AM117*F117</f>
        <v>101500</v>
      </c>
      <c r="AP117" s="104">
        <f t="shared" ref="AP117:AP128" si="11">AN117+AO117</f>
        <v>101500</v>
      </c>
      <c r="AQ117" s="107"/>
      <c r="AS117" s="104"/>
      <c r="AT117" s="104"/>
      <c r="AU117" s="107"/>
      <c r="AW117" s="104"/>
      <c r="AX117" s="104"/>
      <c r="AY117" s="107"/>
      <c r="BA117" s="104"/>
      <c r="BB117" s="104"/>
      <c r="BC117" s="107"/>
      <c r="BE117" s="104"/>
      <c r="BF117" s="104"/>
      <c r="BG117" s="107"/>
      <c r="BI117" s="104"/>
      <c r="BJ117" s="104"/>
      <c r="BK117" s="107"/>
      <c r="BM117" s="104"/>
      <c r="BN117" s="104"/>
      <c r="BO117" s="107"/>
      <c r="BQ117" s="104"/>
      <c r="BR117" s="104"/>
      <c r="BS117" s="107"/>
      <c r="BU117" s="104"/>
      <c r="BV117" s="104"/>
      <c r="BW117" s="104">
        <v>296</v>
      </c>
      <c r="BX117" s="106">
        <f>BW117*(E117+F117)</f>
        <v>858400</v>
      </c>
      <c r="BY117" s="108" t="e">
        <f>#REF!-Y117-AE117-AK117-BW117</f>
        <v>#REF!</v>
      </c>
      <c r="BZ117" s="109">
        <f t="shared" si="5"/>
        <v>0</v>
      </c>
      <c r="CA117" s="104">
        <f t="shared" si="5"/>
        <v>1795373</v>
      </c>
      <c r="CB117" s="104">
        <f>I117-Z117-AF117-AL117-BX117</f>
        <v>620513</v>
      </c>
      <c r="CC117" s="108">
        <v>73</v>
      </c>
      <c r="CD117" s="109">
        <f>CC117*E117</f>
        <v>0</v>
      </c>
      <c r="CE117" s="104">
        <f>CC117*F117</f>
        <v>211700</v>
      </c>
      <c r="CF117" s="104">
        <f t="shared" ref="CF117:CF160" si="12">CD117+CE117</f>
        <v>211700</v>
      </c>
    </row>
    <row r="118" spans="1:84" s="105" customFormat="1" ht="30.05" customHeight="1" x14ac:dyDescent="0.3">
      <c r="A118" s="53"/>
      <c r="B118" s="48" t="s">
        <v>14</v>
      </c>
      <c r="C118" s="49" t="s">
        <v>15</v>
      </c>
      <c r="D118" s="170">
        <f>D116</f>
        <v>876.07</v>
      </c>
      <c r="E118" s="162"/>
      <c r="F118" s="126">
        <v>240</v>
      </c>
      <c r="G118" s="126"/>
      <c r="H118" s="126">
        <f t="shared" si="7"/>
        <v>210257</v>
      </c>
      <c r="I118" s="126">
        <f t="shared" si="8"/>
        <v>210257</v>
      </c>
      <c r="J118" s="207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5">
        <v>152.97999999999999</v>
      </c>
      <c r="V118" s="104">
        <f>(U118*E118)</f>
        <v>0</v>
      </c>
      <c r="W118" s="104">
        <f>U118*F118</f>
        <v>36715.199999999997</v>
      </c>
      <c r="X118" s="104">
        <f t="shared" si="9"/>
        <v>36715</v>
      </c>
      <c r="Y118" s="104">
        <v>178</v>
      </c>
      <c r="Z118" s="104">
        <f>Y118*(E118+F118)</f>
        <v>42720</v>
      </c>
      <c r="AA118" s="106">
        <v>38.4</v>
      </c>
      <c r="AB118" s="104">
        <f>ROUND(AA118*E118,0)</f>
        <v>0</v>
      </c>
      <c r="AC118" s="104">
        <f>ROUND(AA118*F118,0)</f>
        <v>9216</v>
      </c>
      <c r="AD118" s="104">
        <f t="shared" si="10"/>
        <v>9216</v>
      </c>
      <c r="AE118" s="104">
        <v>68</v>
      </c>
      <c r="AF118" s="104">
        <f>AE118*(E118+F118)</f>
        <v>16320</v>
      </c>
      <c r="AG118" s="107">
        <f>AG116</f>
        <v>30.596</v>
      </c>
      <c r="AH118" s="105">
        <f>ROUND(AG118*E118,0)</f>
        <v>0</v>
      </c>
      <c r="AI118" s="104">
        <f>ROUND(AG118*F118,0)</f>
        <v>7343</v>
      </c>
      <c r="AJ118" s="104">
        <f t="shared" si="6"/>
        <v>7343</v>
      </c>
      <c r="AK118" s="104">
        <v>120</v>
      </c>
      <c r="AL118" s="104">
        <f>AK118*(E118+F118)</f>
        <v>28800</v>
      </c>
      <c r="AM118" s="107">
        <v>35</v>
      </c>
      <c r="AN118" s="104">
        <f>ROUND(AM118*E118,0)</f>
        <v>0</v>
      </c>
      <c r="AO118" s="104">
        <f>AM118*F118</f>
        <v>8400</v>
      </c>
      <c r="AP118" s="104">
        <f t="shared" si="11"/>
        <v>8400</v>
      </c>
      <c r="AQ118" s="107"/>
      <c r="AS118" s="104"/>
      <c r="AT118" s="104"/>
      <c r="AU118" s="107"/>
      <c r="AW118" s="104"/>
      <c r="AX118" s="104"/>
      <c r="AY118" s="107"/>
      <c r="BA118" s="104"/>
      <c r="BB118" s="104"/>
      <c r="BC118" s="107"/>
      <c r="BE118" s="104"/>
      <c r="BF118" s="104"/>
      <c r="BG118" s="107"/>
      <c r="BI118" s="104"/>
      <c r="BJ118" s="104"/>
      <c r="BK118" s="107"/>
      <c r="BM118" s="104"/>
      <c r="BN118" s="104"/>
      <c r="BO118" s="107"/>
      <c r="BQ118" s="104"/>
      <c r="BR118" s="104"/>
      <c r="BS118" s="107"/>
      <c r="BU118" s="104"/>
      <c r="BV118" s="104"/>
      <c r="BW118" s="104">
        <v>296</v>
      </c>
      <c r="BX118" s="106">
        <f>BW118*(E118+F118)</f>
        <v>71040</v>
      </c>
      <c r="BY118" s="108" t="e">
        <f>#REF!-Y118-AE118-AK118-BW118</f>
        <v>#REF!</v>
      </c>
      <c r="BZ118" s="109">
        <f t="shared" si="5"/>
        <v>0</v>
      </c>
      <c r="CA118" s="104">
        <f t="shared" si="5"/>
        <v>148582.79999999999</v>
      </c>
      <c r="CB118" s="104">
        <f>I118-Z118-AF118-AL118-BX118</f>
        <v>51377</v>
      </c>
      <c r="CC118" s="108">
        <v>73</v>
      </c>
      <c r="CD118" s="109">
        <f>CC118*E118</f>
        <v>0</v>
      </c>
      <c r="CE118" s="104">
        <f>CC118*F118</f>
        <v>17520</v>
      </c>
      <c r="CF118" s="104">
        <f t="shared" si="12"/>
        <v>17520</v>
      </c>
    </row>
    <row r="119" spans="1:84" s="105" customFormat="1" ht="30.05" customHeight="1" x14ac:dyDescent="0.3">
      <c r="A119" s="53"/>
      <c r="B119" s="48" t="s">
        <v>211</v>
      </c>
      <c r="C119" s="49" t="s">
        <v>8</v>
      </c>
      <c r="D119" s="170">
        <v>4.5810000000000004</v>
      </c>
      <c r="E119" s="162"/>
      <c r="F119" s="126">
        <v>109000</v>
      </c>
      <c r="G119" s="126"/>
      <c r="H119" s="126">
        <f t="shared" si="7"/>
        <v>499329</v>
      </c>
      <c r="I119" s="126">
        <f t="shared" si="8"/>
        <v>499329</v>
      </c>
      <c r="J119" s="207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V119" s="104"/>
      <c r="W119" s="104"/>
      <c r="X119" s="104"/>
      <c r="Y119" s="104"/>
      <c r="Z119" s="104"/>
      <c r="AA119" s="106"/>
      <c r="AB119" s="104"/>
      <c r="AC119" s="104"/>
      <c r="AD119" s="104"/>
      <c r="AE119" s="104"/>
      <c r="AF119" s="104"/>
      <c r="AG119" s="107"/>
      <c r="AI119" s="104"/>
      <c r="AJ119" s="104"/>
      <c r="AK119" s="104"/>
      <c r="AL119" s="104"/>
      <c r="AM119" s="107"/>
      <c r="AN119" s="104"/>
      <c r="AO119" s="104"/>
      <c r="AP119" s="104"/>
      <c r="AQ119" s="107"/>
      <c r="AS119" s="104"/>
      <c r="AT119" s="104"/>
      <c r="AU119" s="107"/>
      <c r="AW119" s="104"/>
      <c r="AX119" s="104"/>
      <c r="AY119" s="107"/>
      <c r="BA119" s="104"/>
      <c r="BB119" s="104"/>
      <c r="BC119" s="107"/>
      <c r="BE119" s="104"/>
      <c r="BF119" s="104"/>
      <c r="BG119" s="107"/>
      <c r="BI119" s="104"/>
      <c r="BJ119" s="104"/>
      <c r="BK119" s="107"/>
      <c r="BM119" s="104"/>
      <c r="BN119" s="104"/>
      <c r="BO119" s="107"/>
      <c r="BQ119" s="104"/>
      <c r="BR119" s="104"/>
      <c r="BS119" s="107"/>
      <c r="BU119" s="104"/>
      <c r="BV119" s="104"/>
      <c r="BW119" s="104"/>
      <c r="BX119" s="106"/>
      <c r="BY119" s="108"/>
      <c r="BZ119" s="109"/>
      <c r="CA119" s="104"/>
      <c r="CB119" s="104"/>
      <c r="CC119" s="108"/>
      <c r="CD119" s="109"/>
      <c r="CE119" s="104"/>
      <c r="CF119" s="104"/>
    </row>
    <row r="120" spans="1:84" s="4" customFormat="1" ht="30.05" customHeight="1" x14ac:dyDescent="0.3">
      <c r="A120" s="54" t="s">
        <v>229</v>
      </c>
      <c r="B120" s="41" t="s">
        <v>222</v>
      </c>
      <c r="C120" s="42" t="s">
        <v>6</v>
      </c>
      <c r="D120" s="169">
        <v>1388.31</v>
      </c>
      <c r="E120" s="163">
        <v>700</v>
      </c>
      <c r="F120" s="163"/>
      <c r="G120" s="125">
        <f t="shared" ref="G120:G128" si="13">ROUND(D120*E120,0)</f>
        <v>971817</v>
      </c>
      <c r="H120" s="125"/>
      <c r="I120" s="125">
        <f t="shared" si="8"/>
        <v>971817</v>
      </c>
      <c r="J120" s="187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V120" s="23">
        <f t="shared" ref="V120:V125" si="14">(U120*E120)</f>
        <v>0</v>
      </c>
      <c r="W120" s="23">
        <f t="shared" ref="W120:W126" si="15">U120*F120</f>
        <v>0</v>
      </c>
      <c r="X120" s="23">
        <f t="shared" si="9"/>
        <v>0</v>
      </c>
      <c r="Y120" s="23"/>
      <c r="Z120" s="23">
        <f t="shared" ref="Z120:Z126" si="16">Y120*(E120+F120)</f>
        <v>0</v>
      </c>
      <c r="AB120" s="23">
        <f t="shared" ref="AB120:AB128" si="17">ROUND(AA120*E120,0)</f>
        <v>0</v>
      </c>
      <c r="AC120" s="23">
        <f t="shared" ref="AC120:AC128" si="18">ROUND(AA120*F120,0)</f>
        <v>0</v>
      </c>
      <c r="AD120" s="23">
        <f t="shared" si="10"/>
        <v>0</v>
      </c>
      <c r="AE120" s="23"/>
      <c r="AF120" s="23"/>
      <c r="AG120" s="4">
        <v>117.29</v>
      </c>
      <c r="AH120" s="4">
        <f>ROUND(AG120*E120,0)</f>
        <v>82103</v>
      </c>
      <c r="AI120" s="23">
        <f>ROUND(AG120*F120,0)</f>
        <v>0</v>
      </c>
      <c r="AJ120" s="23">
        <f t="shared" si="6"/>
        <v>82103</v>
      </c>
      <c r="AK120" s="23">
        <v>210</v>
      </c>
      <c r="AL120" s="23">
        <f t="shared" ref="AL120:AL128" si="19">AK120*(E120+F120)</f>
        <v>147000</v>
      </c>
      <c r="AM120" s="4">
        <v>40</v>
      </c>
      <c r="AN120" s="23">
        <f t="shared" ref="AN120:AN128" si="20">ROUND(AM120*E120,0)</f>
        <v>28000</v>
      </c>
      <c r="AO120" s="23">
        <f t="shared" ref="AO120:AO128" si="21">AM120*F120</f>
        <v>0</v>
      </c>
      <c r="AP120" s="23">
        <f t="shared" si="11"/>
        <v>28000</v>
      </c>
      <c r="AS120" s="23"/>
      <c r="AT120" s="23"/>
      <c r="AW120" s="23"/>
      <c r="AX120" s="23"/>
      <c r="BA120" s="23"/>
      <c r="BB120" s="23"/>
      <c r="BE120" s="23"/>
      <c r="BF120" s="23"/>
      <c r="BI120" s="23"/>
      <c r="BJ120" s="23"/>
      <c r="BM120" s="23"/>
      <c r="BN120" s="23"/>
      <c r="BQ120" s="23"/>
      <c r="BR120" s="23"/>
      <c r="BU120" s="23"/>
      <c r="BV120" s="23"/>
      <c r="BW120" s="23">
        <v>125</v>
      </c>
      <c r="BX120" s="69">
        <f>BW120*(E120+F120)</f>
        <v>87500</v>
      </c>
      <c r="BY120" s="21" t="e">
        <f>#REF!-Y120-AE120-AK120-BW120</f>
        <v>#REF!</v>
      </c>
      <c r="BZ120" s="22">
        <f t="shared" ref="BZ120:CA129" si="22">G120-V120-AB120-AH120-AN120-AR120-AV120-AZ120-BD120-BH120-BL120-BP120-BT120</f>
        <v>861714</v>
      </c>
      <c r="CA120" s="23">
        <f t="shared" si="22"/>
        <v>0</v>
      </c>
      <c r="CB120" s="23">
        <f t="shared" ref="CB120:CB129" si="23">I120-Z120-AF120-AL120-BX120</f>
        <v>737317</v>
      </c>
      <c r="CC120" s="21">
        <v>55</v>
      </c>
      <c r="CD120" s="22">
        <f t="shared" ref="CD120:CD128" si="24">CC120*E120</f>
        <v>38500</v>
      </c>
      <c r="CE120" s="23">
        <f t="shared" ref="CE120:CE128" si="25">CC120*F120</f>
        <v>0</v>
      </c>
      <c r="CF120" s="23">
        <f t="shared" si="12"/>
        <v>38500</v>
      </c>
    </row>
    <row r="121" spans="1:84" s="96" customFormat="1" ht="30.05" customHeight="1" x14ac:dyDescent="0.3">
      <c r="A121" s="53"/>
      <c r="B121" s="48" t="s">
        <v>212</v>
      </c>
      <c r="C121" s="49" t="s">
        <v>9</v>
      </c>
      <c r="D121" s="170">
        <f>D120/100*5040</f>
        <v>69970.823999999993</v>
      </c>
      <c r="E121" s="162"/>
      <c r="F121" s="126">
        <v>10.3</v>
      </c>
      <c r="G121" s="126"/>
      <c r="H121" s="126">
        <f t="shared" si="7"/>
        <v>720699</v>
      </c>
      <c r="I121" s="126">
        <f t="shared" si="8"/>
        <v>720699</v>
      </c>
      <c r="J121" s="207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V121" s="100">
        <f t="shared" si="14"/>
        <v>0</v>
      </c>
      <c r="W121" s="100">
        <f t="shared" si="15"/>
        <v>0</v>
      </c>
      <c r="X121" s="100">
        <f t="shared" si="9"/>
        <v>0</v>
      </c>
      <c r="Y121" s="100"/>
      <c r="Z121" s="100">
        <f t="shared" si="16"/>
        <v>0</v>
      </c>
      <c r="AA121" s="101"/>
      <c r="AB121" s="100">
        <f t="shared" si="17"/>
        <v>0</v>
      </c>
      <c r="AC121" s="100">
        <f t="shared" si="18"/>
        <v>0</v>
      </c>
      <c r="AD121" s="100">
        <f t="shared" si="10"/>
        <v>0</v>
      </c>
      <c r="AE121" s="100"/>
      <c r="AF121" s="100"/>
      <c r="AG121" s="110">
        <f>AG120*39</f>
        <v>4574.3100000000004</v>
      </c>
      <c r="AH121" s="96">
        <f>ROUND(AG121*E121,0)</f>
        <v>0</v>
      </c>
      <c r="AI121" s="100">
        <f>ROUND(AG121*F121,0)</f>
        <v>47115</v>
      </c>
      <c r="AJ121" s="100">
        <f t="shared" si="6"/>
        <v>47115</v>
      </c>
      <c r="AK121" s="100">
        <v>8190</v>
      </c>
      <c r="AL121" s="100">
        <f t="shared" si="19"/>
        <v>84357</v>
      </c>
      <c r="AM121" s="110">
        <v>1560</v>
      </c>
      <c r="AN121" s="100">
        <f t="shared" si="20"/>
        <v>0</v>
      </c>
      <c r="AO121" s="100">
        <f t="shared" si="21"/>
        <v>16068.000000000002</v>
      </c>
      <c r="AP121" s="100">
        <f t="shared" si="11"/>
        <v>16068.000000000002</v>
      </c>
      <c r="AQ121" s="110"/>
      <c r="AS121" s="100"/>
      <c r="AT121" s="100"/>
      <c r="AU121" s="110"/>
      <c r="AW121" s="100"/>
      <c r="AX121" s="100"/>
      <c r="AY121" s="110"/>
      <c r="BA121" s="100"/>
      <c r="BB121" s="100"/>
      <c r="BC121" s="110"/>
      <c r="BE121" s="100"/>
      <c r="BF121" s="100"/>
      <c r="BG121" s="110"/>
      <c r="BI121" s="100"/>
      <c r="BJ121" s="100"/>
      <c r="BK121" s="110"/>
      <c r="BM121" s="100"/>
      <c r="BN121" s="100"/>
      <c r="BO121" s="110"/>
      <c r="BQ121" s="100"/>
      <c r="BR121" s="100"/>
      <c r="BS121" s="110"/>
      <c r="BU121" s="100"/>
      <c r="BV121" s="100"/>
      <c r="BW121" s="100">
        <v>5870</v>
      </c>
      <c r="BX121" s="101">
        <f>BW121*(E121+F121)</f>
        <v>60461.000000000007</v>
      </c>
      <c r="BY121" s="102" t="e">
        <f>#REF!-Y121-AE121-AK121-BW121</f>
        <v>#REF!</v>
      </c>
      <c r="BZ121" s="103">
        <f t="shared" si="22"/>
        <v>0</v>
      </c>
      <c r="CA121" s="100">
        <f t="shared" si="22"/>
        <v>657516</v>
      </c>
      <c r="CB121" s="100">
        <f t="shared" si="23"/>
        <v>575881</v>
      </c>
      <c r="CC121" s="102">
        <v>2145</v>
      </c>
      <c r="CD121" s="103">
        <f t="shared" si="24"/>
        <v>0</v>
      </c>
      <c r="CE121" s="100">
        <f t="shared" si="25"/>
        <v>22093.5</v>
      </c>
      <c r="CF121" s="100">
        <f t="shared" si="12"/>
        <v>22093.5</v>
      </c>
    </row>
    <row r="122" spans="1:84" s="96" customFormat="1" ht="30.05" customHeight="1" x14ac:dyDescent="0.3">
      <c r="A122" s="53"/>
      <c r="B122" s="48" t="s">
        <v>17</v>
      </c>
      <c r="C122" s="49" t="s">
        <v>7</v>
      </c>
      <c r="D122" s="170">
        <f>D120/100*2.3</f>
        <v>31.931129999999996</v>
      </c>
      <c r="E122" s="162"/>
      <c r="F122" s="126">
        <v>3400</v>
      </c>
      <c r="G122" s="126"/>
      <c r="H122" s="126">
        <f t="shared" si="7"/>
        <v>108566</v>
      </c>
      <c r="I122" s="126">
        <f t="shared" si="8"/>
        <v>108566</v>
      </c>
      <c r="J122" s="207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V122" s="100">
        <f t="shared" si="14"/>
        <v>0</v>
      </c>
      <c r="W122" s="100">
        <f t="shared" si="15"/>
        <v>0</v>
      </c>
      <c r="X122" s="100">
        <f t="shared" si="9"/>
        <v>0</v>
      </c>
      <c r="Y122" s="100"/>
      <c r="Z122" s="100">
        <f t="shared" si="16"/>
        <v>0</v>
      </c>
      <c r="AA122" s="101"/>
      <c r="AB122" s="100">
        <f t="shared" si="17"/>
        <v>0</v>
      </c>
      <c r="AC122" s="100">
        <f t="shared" si="18"/>
        <v>0</v>
      </c>
      <c r="AD122" s="100">
        <f t="shared" si="10"/>
        <v>0</v>
      </c>
      <c r="AE122" s="100"/>
      <c r="AF122" s="100"/>
      <c r="AG122" s="110">
        <f>AG120*0.12*0.2</f>
        <v>2.8149600000000001</v>
      </c>
      <c r="AH122" s="96">
        <f>ROUND(AG122*E122,0)</f>
        <v>0</v>
      </c>
      <c r="AI122" s="100">
        <f>ROUND(AG122*F122,0)</f>
        <v>9571</v>
      </c>
      <c r="AJ122" s="100">
        <f t="shared" si="6"/>
        <v>9571</v>
      </c>
      <c r="AK122" s="100">
        <v>5.04</v>
      </c>
      <c r="AL122" s="100">
        <f t="shared" si="19"/>
        <v>17136</v>
      </c>
      <c r="AM122" s="110">
        <v>0.96</v>
      </c>
      <c r="AN122" s="100">
        <f t="shared" si="20"/>
        <v>0</v>
      </c>
      <c r="AO122" s="100">
        <f t="shared" si="21"/>
        <v>3264</v>
      </c>
      <c r="AP122" s="100">
        <f t="shared" si="11"/>
        <v>3264</v>
      </c>
      <c r="AQ122" s="110"/>
      <c r="AS122" s="100"/>
      <c r="AT122" s="100"/>
      <c r="AU122" s="110"/>
      <c r="AW122" s="100"/>
      <c r="AX122" s="100"/>
      <c r="AY122" s="110"/>
      <c r="BA122" s="100"/>
      <c r="BB122" s="100"/>
      <c r="BC122" s="110"/>
      <c r="BE122" s="100"/>
      <c r="BF122" s="100"/>
      <c r="BG122" s="110"/>
      <c r="BI122" s="100"/>
      <c r="BJ122" s="100"/>
      <c r="BK122" s="110"/>
      <c r="BM122" s="100"/>
      <c r="BN122" s="100"/>
      <c r="BO122" s="110"/>
      <c r="BQ122" s="100"/>
      <c r="BR122" s="100"/>
      <c r="BS122" s="110"/>
      <c r="BU122" s="100"/>
      <c r="BV122" s="100"/>
      <c r="BW122" s="100">
        <v>3</v>
      </c>
      <c r="BX122" s="101">
        <f>BW122*(E122+F122)</f>
        <v>10200</v>
      </c>
      <c r="BY122" s="102" t="e">
        <f>#REF!-Y122-AE122-AK122-BW122</f>
        <v>#REF!</v>
      </c>
      <c r="BZ122" s="103">
        <f t="shared" si="22"/>
        <v>0</v>
      </c>
      <c r="CA122" s="100">
        <f t="shared" si="22"/>
        <v>95731</v>
      </c>
      <c r="CB122" s="100">
        <f t="shared" si="23"/>
        <v>81230</v>
      </c>
      <c r="CC122" s="102">
        <v>1.32</v>
      </c>
      <c r="CD122" s="103">
        <f t="shared" si="24"/>
        <v>0</v>
      </c>
      <c r="CE122" s="100">
        <f t="shared" si="25"/>
        <v>4488</v>
      </c>
      <c r="CF122" s="100">
        <f t="shared" si="12"/>
        <v>4488</v>
      </c>
    </row>
    <row r="123" spans="1:84" s="4" customFormat="1" ht="30.05" customHeight="1" x14ac:dyDescent="0.3">
      <c r="A123" s="54" t="s">
        <v>32</v>
      </c>
      <c r="B123" s="57" t="s">
        <v>332</v>
      </c>
      <c r="C123" s="42" t="s">
        <v>7</v>
      </c>
      <c r="D123" s="169">
        <v>52.53</v>
      </c>
      <c r="E123" s="125">
        <v>2000</v>
      </c>
      <c r="F123" s="163"/>
      <c r="G123" s="125">
        <f t="shared" si="13"/>
        <v>105060</v>
      </c>
      <c r="H123" s="125"/>
      <c r="I123" s="125">
        <f t="shared" si="8"/>
        <v>105060</v>
      </c>
      <c r="J123" s="187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70"/>
      <c r="V123" s="23">
        <f t="shared" si="14"/>
        <v>0</v>
      </c>
      <c r="W123" s="23">
        <f t="shared" si="15"/>
        <v>0</v>
      </c>
      <c r="X123" s="23">
        <f t="shared" si="9"/>
        <v>0</v>
      </c>
      <c r="Y123" s="23"/>
      <c r="Z123" s="23">
        <f t="shared" si="16"/>
        <v>0</v>
      </c>
      <c r="AB123" s="23">
        <f t="shared" si="17"/>
        <v>0</v>
      </c>
      <c r="AC123" s="23">
        <f t="shared" si="18"/>
        <v>0</v>
      </c>
      <c r="AD123" s="23">
        <f t="shared" si="10"/>
        <v>0</v>
      </c>
      <c r="AE123" s="23"/>
      <c r="AF123" s="23"/>
      <c r="AI123" s="23"/>
      <c r="AJ123" s="23"/>
      <c r="AK123" s="23"/>
      <c r="AL123" s="23">
        <f t="shared" si="19"/>
        <v>0</v>
      </c>
      <c r="AN123" s="23">
        <f t="shared" si="20"/>
        <v>0</v>
      </c>
      <c r="AO123" s="23">
        <f t="shared" si="21"/>
        <v>0</v>
      </c>
      <c r="AP123" s="23">
        <f t="shared" si="11"/>
        <v>0</v>
      </c>
      <c r="AS123" s="23"/>
      <c r="AT123" s="23"/>
      <c r="AW123" s="23"/>
      <c r="AX123" s="23"/>
      <c r="BA123" s="23"/>
      <c r="BB123" s="23"/>
      <c r="BE123" s="23"/>
      <c r="BF123" s="23"/>
      <c r="BI123" s="23"/>
      <c r="BJ123" s="23"/>
      <c r="BM123" s="23"/>
      <c r="BN123" s="23"/>
      <c r="BQ123" s="23"/>
      <c r="BR123" s="23"/>
      <c r="BU123" s="23"/>
      <c r="BV123" s="23"/>
      <c r="BW123" s="23"/>
      <c r="BX123" s="69"/>
      <c r="BY123" s="21" t="e">
        <f>#REF!-Y123-AE123-AK123-BW123</f>
        <v>#REF!</v>
      </c>
      <c r="BZ123" s="22">
        <f t="shared" si="22"/>
        <v>105060</v>
      </c>
      <c r="CA123" s="23">
        <f t="shared" si="22"/>
        <v>0</v>
      </c>
      <c r="CB123" s="23">
        <f t="shared" si="23"/>
        <v>105060</v>
      </c>
      <c r="CC123" s="21"/>
      <c r="CD123" s="22">
        <f t="shared" si="24"/>
        <v>0</v>
      </c>
      <c r="CE123" s="23">
        <f t="shared" si="25"/>
        <v>0</v>
      </c>
      <c r="CF123" s="23">
        <f t="shared" si="12"/>
        <v>0</v>
      </c>
    </row>
    <row r="124" spans="1:84" s="96" customFormat="1" ht="30.05" customHeight="1" x14ac:dyDescent="0.3">
      <c r="A124" s="53"/>
      <c r="B124" s="48" t="s">
        <v>212</v>
      </c>
      <c r="C124" s="49" t="s">
        <v>9</v>
      </c>
      <c r="D124" s="170">
        <f>ROUND(394*D123,0)</f>
        <v>20697</v>
      </c>
      <c r="E124" s="162"/>
      <c r="F124" s="126">
        <v>10.3</v>
      </c>
      <c r="G124" s="126"/>
      <c r="H124" s="126">
        <f t="shared" si="7"/>
        <v>213179</v>
      </c>
      <c r="I124" s="126">
        <f t="shared" si="8"/>
        <v>213179</v>
      </c>
      <c r="J124" s="207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V124" s="100">
        <f t="shared" si="14"/>
        <v>0</v>
      </c>
      <c r="W124" s="100">
        <f t="shared" si="15"/>
        <v>0</v>
      </c>
      <c r="X124" s="100">
        <f t="shared" si="9"/>
        <v>0</v>
      </c>
      <c r="Y124" s="100"/>
      <c r="Z124" s="100">
        <f t="shared" si="16"/>
        <v>0</v>
      </c>
      <c r="AA124" s="101"/>
      <c r="AB124" s="100">
        <f t="shared" si="17"/>
        <v>0</v>
      </c>
      <c r="AC124" s="100">
        <f t="shared" si="18"/>
        <v>0</v>
      </c>
      <c r="AD124" s="100">
        <f t="shared" si="10"/>
        <v>0</v>
      </c>
      <c r="AE124" s="100"/>
      <c r="AF124" s="100"/>
      <c r="AG124" s="101"/>
      <c r="AH124" s="101"/>
      <c r="AI124" s="100"/>
      <c r="AJ124" s="100"/>
      <c r="AK124" s="100"/>
      <c r="AL124" s="100">
        <f t="shared" si="19"/>
        <v>0</v>
      </c>
      <c r="AM124" s="101"/>
      <c r="AN124" s="100">
        <f t="shared" si="20"/>
        <v>0</v>
      </c>
      <c r="AO124" s="100">
        <f t="shared" si="21"/>
        <v>0</v>
      </c>
      <c r="AP124" s="100">
        <f t="shared" si="11"/>
        <v>0</v>
      </c>
      <c r="AQ124" s="101"/>
      <c r="AR124" s="101"/>
      <c r="AS124" s="100"/>
      <c r="AT124" s="100"/>
      <c r="AU124" s="101"/>
      <c r="AV124" s="101"/>
      <c r="AW124" s="100"/>
      <c r="AX124" s="100"/>
      <c r="AY124" s="101"/>
      <c r="AZ124" s="101"/>
      <c r="BA124" s="100"/>
      <c r="BB124" s="100"/>
      <c r="BC124" s="101"/>
      <c r="BD124" s="101"/>
      <c r="BE124" s="100"/>
      <c r="BF124" s="100"/>
      <c r="BG124" s="101"/>
      <c r="BH124" s="101"/>
      <c r="BI124" s="100"/>
      <c r="BJ124" s="100"/>
      <c r="BK124" s="101"/>
      <c r="BL124" s="101"/>
      <c r="BM124" s="100"/>
      <c r="BN124" s="100"/>
      <c r="BO124" s="101"/>
      <c r="BP124" s="101"/>
      <c r="BQ124" s="100"/>
      <c r="BR124" s="100"/>
      <c r="BS124" s="101"/>
      <c r="BT124" s="101"/>
      <c r="BU124" s="100"/>
      <c r="BV124" s="100"/>
      <c r="BW124" s="100"/>
      <c r="BX124" s="101"/>
      <c r="BY124" s="102" t="e">
        <f>#REF!-Y124-AE124-AK124-BW124</f>
        <v>#REF!</v>
      </c>
      <c r="BZ124" s="103">
        <f t="shared" si="22"/>
        <v>0</v>
      </c>
      <c r="CA124" s="100">
        <f t="shared" si="22"/>
        <v>213179</v>
      </c>
      <c r="CB124" s="100">
        <f t="shared" si="23"/>
        <v>213179</v>
      </c>
      <c r="CC124" s="102"/>
      <c r="CD124" s="103">
        <f t="shared" si="24"/>
        <v>0</v>
      </c>
      <c r="CE124" s="100">
        <f t="shared" si="25"/>
        <v>0</v>
      </c>
      <c r="CF124" s="100">
        <f t="shared" si="12"/>
        <v>0</v>
      </c>
    </row>
    <row r="125" spans="1:84" s="96" customFormat="1" ht="30.05" customHeight="1" x14ac:dyDescent="0.3">
      <c r="A125" s="53"/>
      <c r="B125" s="48" t="s">
        <v>17</v>
      </c>
      <c r="C125" s="49" t="s">
        <v>7</v>
      </c>
      <c r="D125" s="170">
        <f>ROUND(0.241*D123,2)</f>
        <v>12.66</v>
      </c>
      <c r="E125" s="162"/>
      <c r="F125" s="126">
        <v>3400</v>
      </c>
      <c r="G125" s="126"/>
      <c r="H125" s="126">
        <f t="shared" si="7"/>
        <v>43044</v>
      </c>
      <c r="I125" s="126">
        <f t="shared" si="8"/>
        <v>43044</v>
      </c>
      <c r="J125" s="207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V125" s="100">
        <f t="shared" si="14"/>
        <v>0</v>
      </c>
      <c r="W125" s="100">
        <f t="shared" si="15"/>
        <v>0</v>
      </c>
      <c r="X125" s="100">
        <f t="shared" si="9"/>
        <v>0</v>
      </c>
      <c r="Y125" s="100"/>
      <c r="Z125" s="100">
        <f t="shared" si="16"/>
        <v>0</v>
      </c>
      <c r="AA125" s="101"/>
      <c r="AB125" s="100">
        <f t="shared" si="17"/>
        <v>0</v>
      </c>
      <c r="AC125" s="100">
        <f t="shared" si="18"/>
        <v>0</v>
      </c>
      <c r="AD125" s="100">
        <f t="shared" si="10"/>
        <v>0</v>
      </c>
      <c r="AE125" s="100"/>
      <c r="AF125" s="100"/>
      <c r="AG125" s="101"/>
      <c r="AH125" s="101"/>
      <c r="AI125" s="100"/>
      <c r="AJ125" s="100"/>
      <c r="AK125" s="100"/>
      <c r="AL125" s="100">
        <f t="shared" si="19"/>
        <v>0</v>
      </c>
      <c r="AM125" s="101"/>
      <c r="AN125" s="100">
        <f t="shared" si="20"/>
        <v>0</v>
      </c>
      <c r="AO125" s="100">
        <f t="shared" si="21"/>
        <v>0</v>
      </c>
      <c r="AP125" s="100">
        <f t="shared" si="11"/>
        <v>0</v>
      </c>
      <c r="AQ125" s="101"/>
      <c r="AR125" s="101"/>
      <c r="AS125" s="100"/>
      <c r="AT125" s="100"/>
      <c r="AU125" s="101"/>
      <c r="AV125" s="101"/>
      <c r="AW125" s="100"/>
      <c r="AX125" s="100"/>
      <c r="AY125" s="101"/>
      <c r="AZ125" s="101"/>
      <c r="BA125" s="100"/>
      <c r="BB125" s="100"/>
      <c r="BC125" s="101"/>
      <c r="BD125" s="101"/>
      <c r="BE125" s="100"/>
      <c r="BF125" s="100"/>
      <c r="BG125" s="101"/>
      <c r="BH125" s="101"/>
      <c r="BI125" s="100"/>
      <c r="BJ125" s="100"/>
      <c r="BK125" s="101"/>
      <c r="BL125" s="101"/>
      <c r="BM125" s="100"/>
      <c r="BN125" s="100"/>
      <c r="BO125" s="101"/>
      <c r="BP125" s="101"/>
      <c r="BQ125" s="100"/>
      <c r="BR125" s="100"/>
      <c r="BS125" s="101"/>
      <c r="BT125" s="101"/>
      <c r="BU125" s="100"/>
      <c r="BV125" s="100"/>
      <c r="BW125" s="100"/>
      <c r="BX125" s="101"/>
      <c r="BY125" s="102" t="e">
        <f>#REF!-Y125-AE125-AK125-BW125</f>
        <v>#REF!</v>
      </c>
      <c r="BZ125" s="103">
        <f t="shared" si="22"/>
        <v>0</v>
      </c>
      <c r="CA125" s="100">
        <f t="shared" si="22"/>
        <v>43044</v>
      </c>
      <c r="CB125" s="100">
        <f t="shared" si="23"/>
        <v>43044</v>
      </c>
      <c r="CC125" s="102"/>
      <c r="CD125" s="103">
        <f t="shared" si="24"/>
        <v>0</v>
      </c>
      <c r="CE125" s="100">
        <f t="shared" si="25"/>
        <v>0</v>
      </c>
      <c r="CF125" s="100">
        <f t="shared" si="12"/>
        <v>0</v>
      </c>
    </row>
    <row r="126" spans="1:84" s="73" customFormat="1" ht="30.05" customHeight="1" x14ac:dyDescent="0.3">
      <c r="A126" s="54" t="s">
        <v>34</v>
      </c>
      <c r="B126" s="41" t="s">
        <v>19</v>
      </c>
      <c r="C126" s="42" t="s">
        <v>8</v>
      </c>
      <c r="D126" s="169">
        <v>15.388999999999999</v>
      </c>
      <c r="E126" s="163">
        <v>18000</v>
      </c>
      <c r="F126" s="125">
        <v>42000</v>
      </c>
      <c r="G126" s="125">
        <f t="shared" si="13"/>
        <v>277002</v>
      </c>
      <c r="H126" s="125">
        <f t="shared" si="7"/>
        <v>646338</v>
      </c>
      <c r="I126" s="125">
        <f t="shared" si="8"/>
        <v>923340</v>
      </c>
      <c r="J126" s="187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73">
        <v>1.3</v>
      </c>
      <c r="V126" s="60">
        <f>U126*E126</f>
        <v>23400</v>
      </c>
      <c r="W126" s="60">
        <f t="shared" si="15"/>
        <v>54600</v>
      </c>
      <c r="X126" s="60">
        <f>ROUND(V126+W126,2)</f>
        <v>78000</v>
      </c>
      <c r="Y126" s="74">
        <v>1.3</v>
      </c>
      <c r="Z126" s="60">
        <f t="shared" si="16"/>
        <v>78000</v>
      </c>
      <c r="AA126" s="75">
        <v>1.3</v>
      </c>
      <c r="AB126" s="60">
        <f t="shared" si="17"/>
        <v>23400</v>
      </c>
      <c r="AC126" s="60">
        <f t="shared" si="18"/>
        <v>54600</v>
      </c>
      <c r="AD126" s="60">
        <f t="shared" si="10"/>
        <v>78000</v>
      </c>
      <c r="AE126" s="76">
        <v>1.3229309677419354</v>
      </c>
      <c r="AF126" s="72">
        <f>AE126*(E126+F126)</f>
        <v>79375.858064516127</v>
      </c>
      <c r="AG126" s="72"/>
      <c r="AH126" s="72"/>
      <c r="AI126" s="60"/>
      <c r="AJ126" s="60"/>
      <c r="AK126" s="72">
        <v>0.18</v>
      </c>
      <c r="AL126" s="60">
        <f t="shared" si="19"/>
        <v>10800</v>
      </c>
      <c r="AM126" s="72">
        <v>0.2</v>
      </c>
      <c r="AN126" s="60">
        <f t="shared" si="20"/>
        <v>3600</v>
      </c>
      <c r="AO126" s="60">
        <f t="shared" si="21"/>
        <v>8400</v>
      </c>
      <c r="AP126" s="60">
        <f t="shared" si="11"/>
        <v>12000</v>
      </c>
      <c r="AQ126" s="72"/>
      <c r="AR126" s="72"/>
      <c r="AS126" s="60"/>
      <c r="AT126" s="60"/>
      <c r="AU126" s="72"/>
      <c r="AV126" s="72"/>
      <c r="AW126" s="60"/>
      <c r="AX126" s="60"/>
      <c r="AY126" s="72"/>
      <c r="AZ126" s="72"/>
      <c r="BA126" s="60"/>
      <c r="BB126" s="60"/>
      <c r="BC126" s="72"/>
      <c r="BD126" s="72"/>
      <c r="BE126" s="60"/>
      <c r="BF126" s="60"/>
      <c r="BG126" s="72"/>
      <c r="BH126" s="72"/>
      <c r="BI126" s="60"/>
      <c r="BJ126" s="60"/>
      <c r="BK126" s="72"/>
      <c r="BL126" s="72"/>
      <c r="BM126" s="60"/>
      <c r="BN126" s="60"/>
      <c r="BO126" s="72"/>
      <c r="BP126" s="72"/>
      <c r="BQ126" s="60"/>
      <c r="BR126" s="60"/>
      <c r="BS126" s="72"/>
      <c r="BT126" s="72"/>
      <c r="BU126" s="60"/>
      <c r="BV126" s="60"/>
      <c r="BW126" s="75">
        <v>3.0132935483870971</v>
      </c>
      <c r="BX126" s="72">
        <f>BW126*(E126+F126)</f>
        <v>180797.61290322582</v>
      </c>
      <c r="BY126" s="58" t="e">
        <f>#REF!-Y126-AE126-AK126-BW126</f>
        <v>#REF!</v>
      </c>
      <c r="BZ126" s="59">
        <f t="shared" si="22"/>
        <v>226602</v>
      </c>
      <c r="CA126" s="60">
        <f t="shared" si="22"/>
        <v>528738</v>
      </c>
      <c r="CB126" s="60">
        <f t="shared" si="23"/>
        <v>574366.52903225808</v>
      </c>
      <c r="CC126" s="58"/>
      <c r="CD126" s="59">
        <f t="shared" si="24"/>
        <v>0</v>
      </c>
      <c r="CE126" s="60">
        <f t="shared" si="25"/>
        <v>0</v>
      </c>
      <c r="CF126" s="60">
        <f t="shared" si="12"/>
        <v>0</v>
      </c>
    </row>
    <row r="127" spans="1:84" s="4" customFormat="1" ht="30.05" customHeight="1" x14ac:dyDescent="0.3">
      <c r="A127" s="54" t="s">
        <v>230</v>
      </c>
      <c r="B127" s="41" t="s">
        <v>20</v>
      </c>
      <c r="C127" s="42" t="s">
        <v>8</v>
      </c>
      <c r="D127" s="169">
        <v>3.4</v>
      </c>
      <c r="E127" s="163">
        <v>25000</v>
      </c>
      <c r="F127" s="125">
        <v>42000</v>
      </c>
      <c r="G127" s="125">
        <f t="shared" si="13"/>
        <v>85000</v>
      </c>
      <c r="H127" s="125">
        <f t="shared" si="7"/>
        <v>142800</v>
      </c>
      <c r="I127" s="125">
        <f t="shared" si="8"/>
        <v>227800</v>
      </c>
      <c r="J127" s="187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V127" s="23"/>
      <c r="W127" s="23"/>
      <c r="X127" s="23"/>
      <c r="Y127" s="23"/>
      <c r="Z127" s="23"/>
      <c r="AA127" s="69"/>
      <c r="AB127" s="23">
        <f t="shared" si="17"/>
        <v>0</v>
      </c>
      <c r="AC127" s="23">
        <f t="shared" si="18"/>
        <v>0</v>
      </c>
      <c r="AD127" s="23">
        <f>AB127+AC127</f>
        <v>0</v>
      </c>
      <c r="AE127" s="23"/>
      <c r="AF127" s="69">
        <f>AE127*(E127+F127)</f>
        <v>0</v>
      </c>
      <c r="AG127" s="69">
        <v>0.47320000000000001</v>
      </c>
      <c r="AH127" s="4">
        <f>ROUND(AG127*E127,0)</f>
        <v>11830</v>
      </c>
      <c r="AI127" s="23">
        <f>ROUND(AG127*F127,0)</f>
        <v>19874</v>
      </c>
      <c r="AJ127" s="23">
        <f>AH127+AI127</f>
        <v>31704</v>
      </c>
      <c r="AK127" s="69">
        <v>0.8</v>
      </c>
      <c r="AL127" s="23">
        <f t="shared" si="19"/>
        <v>53600</v>
      </c>
      <c r="AM127" s="69"/>
      <c r="AN127" s="23">
        <f t="shared" si="20"/>
        <v>0</v>
      </c>
      <c r="AO127" s="23">
        <f t="shared" si="21"/>
        <v>0</v>
      </c>
      <c r="AP127" s="23">
        <f>AN127+AO127</f>
        <v>0</v>
      </c>
      <c r="AQ127" s="69"/>
      <c r="AS127" s="23"/>
      <c r="AT127" s="23"/>
      <c r="AU127" s="69"/>
      <c r="AW127" s="23"/>
      <c r="AX127" s="23"/>
      <c r="AY127" s="69"/>
      <c r="BA127" s="23"/>
      <c r="BB127" s="23"/>
      <c r="BC127" s="69"/>
      <c r="BE127" s="23"/>
      <c r="BF127" s="23"/>
      <c r="BG127" s="69"/>
      <c r="BI127" s="23"/>
      <c r="BJ127" s="23"/>
      <c r="BK127" s="69"/>
      <c r="BM127" s="23"/>
      <c r="BN127" s="23"/>
      <c r="BO127" s="69"/>
      <c r="BQ127" s="23"/>
      <c r="BR127" s="23"/>
      <c r="BS127" s="69"/>
      <c r="BU127" s="23"/>
      <c r="BV127" s="23"/>
      <c r="BW127" s="23"/>
      <c r="BX127" s="23"/>
      <c r="BY127" s="21" t="e">
        <f>#REF!-Y127-AE127-AK127-BW127</f>
        <v>#REF!</v>
      </c>
      <c r="BZ127" s="22">
        <f t="shared" si="22"/>
        <v>73170</v>
      </c>
      <c r="CA127" s="23">
        <f t="shared" si="22"/>
        <v>122926</v>
      </c>
      <c r="CB127" s="23">
        <f t="shared" si="23"/>
        <v>174200</v>
      </c>
      <c r="CC127" s="21"/>
      <c r="CD127" s="22">
        <f t="shared" si="24"/>
        <v>0</v>
      </c>
      <c r="CE127" s="23">
        <f t="shared" si="25"/>
        <v>0</v>
      </c>
      <c r="CF127" s="23">
        <f>CD127+CE127</f>
        <v>0</v>
      </c>
    </row>
    <row r="128" spans="1:84" s="4" customFormat="1" ht="30.05" customHeight="1" x14ac:dyDescent="0.3">
      <c r="A128" s="54" t="s">
        <v>258</v>
      </c>
      <c r="B128" s="41" t="s">
        <v>172</v>
      </c>
      <c r="C128" s="42" t="s">
        <v>8</v>
      </c>
      <c r="D128" s="169">
        <v>8.67</v>
      </c>
      <c r="E128" s="163">
        <v>25000</v>
      </c>
      <c r="F128" s="125">
        <v>42000</v>
      </c>
      <c r="G128" s="125">
        <f t="shared" si="13"/>
        <v>216750</v>
      </c>
      <c r="H128" s="125">
        <f t="shared" si="7"/>
        <v>364140</v>
      </c>
      <c r="I128" s="125">
        <f t="shared" si="8"/>
        <v>580890</v>
      </c>
      <c r="J128" s="187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V128" s="63"/>
      <c r="W128" s="23"/>
      <c r="X128" s="63"/>
      <c r="Y128" s="63"/>
      <c r="Z128" s="63"/>
      <c r="AA128" s="69"/>
      <c r="AB128" s="23">
        <f t="shared" si="17"/>
        <v>0</v>
      </c>
      <c r="AC128" s="23">
        <f t="shared" si="18"/>
        <v>0</v>
      </c>
      <c r="AD128" s="23">
        <f t="shared" si="10"/>
        <v>0</v>
      </c>
      <c r="AE128" s="63"/>
      <c r="AF128" s="69">
        <f>AE128*(E128+F128)</f>
        <v>0</v>
      </c>
      <c r="AG128" s="69">
        <v>0.47320000000000001</v>
      </c>
      <c r="AH128" s="4">
        <f>ROUND(AG128*E128,0)</f>
        <v>11830</v>
      </c>
      <c r="AI128" s="23">
        <f>ROUND(AG128*F128,0)</f>
        <v>19874</v>
      </c>
      <c r="AJ128" s="23">
        <f>AH128+AI128</f>
        <v>31704</v>
      </c>
      <c r="AK128" s="69">
        <v>0.8</v>
      </c>
      <c r="AL128" s="23">
        <f t="shared" si="19"/>
        <v>53600</v>
      </c>
      <c r="AM128" s="69"/>
      <c r="AN128" s="23">
        <f t="shared" si="20"/>
        <v>0</v>
      </c>
      <c r="AO128" s="23">
        <f t="shared" si="21"/>
        <v>0</v>
      </c>
      <c r="AP128" s="23">
        <f t="shared" si="11"/>
        <v>0</v>
      </c>
      <c r="AQ128" s="69"/>
      <c r="AS128" s="23"/>
      <c r="AT128" s="23"/>
      <c r="AU128" s="69"/>
      <c r="AW128" s="23"/>
      <c r="AX128" s="23"/>
      <c r="AY128" s="69"/>
      <c r="BA128" s="23"/>
      <c r="BB128" s="23"/>
      <c r="BC128" s="69"/>
      <c r="BE128" s="23"/>
      <c r="BF128" s="23"/>
      <c r="BG128" s="69"/>
      <c r="BI128" s="23"/>
      <c r="BJ128" s="23"/>
      <c r="BK128" s="69"/>
      <c r="BM128" s="23"/>
      <c r="BN128" s="23"/>
      <c r="BO128" s="69"/>
      <c r="BQ128" s="23"/>
      <c r="BR128" s="23"/>
      <c r="BS128" s="69"/>
      <c r="BU128" s="23"/>
      <c r="BV128" s="23"/>
      <c r="BW128" s="63"/>
      <c r="BX128" s="23"/>
      <c r="BY128" s="21" t="e">
        <f>#REF!-Y128-AE128-AK128-BW128</f>
        <v>#REF!</v>
      </c>
      <c r="BZ128" s="22">
        <f t="shared" si="22"/>
        <v>204920</v>
      </c>
      <c r="CA128" s="23">
        <f t="shared" si="22"/>
        <v>344266</v>
      </c>
      <c r="CB128" s="23">
        <f t="shared" si="23"/>
        <v>527290</v>
      </c>
      <c r="CC128" s="21"/>
      <c r="CD128" s="22">
        <f t="shared" si="24"/>
        <v>0</v>
      </c>
      <c r="CE128" s="23">
        <f t="shared" si="25"/>
        <v>0</v>
      </c>
      <c r="CF128" s="23">
        <f t="shared" si="12"/>
        <v>0</v>
      </c>
    </row>
    <row r="129" spans="1:84" s="4" customFormat="1" ht="30.05" customHeight="1" x14ac:dyDescent="0.3">
      <c r="A129" s="54"/>
      <c r="B129" s="46" t="s">
        <v>170</v>
      </c>
      <c r="C129" s="42"/>
      <c r="D129" s="169"/>
      <c r="E129" s="123"/>
      <c r="F129" s="123"/>
      <c r="G129" s="258">
        <f>SUM(G116:G128)</f>
        <v>3670590</v>
      </c>
      <c r="H129" s="258">
        <f>SUM(H116:H128)</f>
        <v>5488955</v>
      </c>
      <c r="I129" s="258">
        <f>SUM(G129:H129)</f>
        <v>9159545</v>
      </c>
      <c r="J129" s="187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78"/>
      <c r="V129" s="63">
        <f>SUM(V116:V128)</f>
        <v>375254</v>
      </c>
      <c r="W129" s="23"/>
      <c r="X129" s="63">
        <f>V129</f>
        <v>375254</v>
      </c>
      <c r="Y129" s="63"/>
      <c r="Z129" s="77">
        <v>433030</v>
      </c>
      <c r="AA129" s="78"/>
      <c r="AB129" s="63">
        <f>SUM(AB116:AB128)</f>
        <v>111720</v>
      </c>
      <c r="AC129" s="23"/>
      <c r="AD129" s="63">
        <f>AB129</f>
        <v>111720</v>
      </c>
      <c r="AE129" s="63"/>
      <c r="AF129" s="23">
        <v>180212.76</v>
      </c>
      <c r="AG129" s="78"/>
      <c r="AH129" s="63">
        <f>SUM(AH116:AH128)</f>
        <v>176134</v>
      </c>
      <c r="AI129" s="23"/>
      <c r="AJ129" s="63">
        <f>AH129</f>
        <v>176134</v>
      </c>
      <c r="AK129" s="63"/>
      <c r="AL129" s="77">
        <v>471440</v>
      </c>
      <c r="AM129" s="78"/>
      <c r="AN129" s="63">
        <f>SUM(AN116:AN128)</f>
        <v>112100</v>
      </c>
      <c r="AO129" s="23"/>
      <c r="AP129" s="63">
        <f>AN129</f>
        <v>112100</v>
      </c>
      <c r="AQ129" s="78"/>
      <c r="AR129" s="63"/>
      <c r="AS129" s="23"/>
      <c r="AT129" s="63"/>
      <c r="AU129" s="78"/>
      <c r="AV129" s="63"/>
      <c r="AW129" s="23"/>
      <c r="AX129" s="63"/>
      <c r="AY129" s="78"/>
      <c r="AZ129" s="63"/>
      <c r="BA129" s="23"/>
      <c r="BB129" s="63"/>
      <c r="BC129" s="78"/>
      <c r="BD129" s="63"/>
      <c r="BE129" s="23"/>
      <c r="BF129" s="63"/>
      <c r="BG129" s="78"/>
      <c r="BH129" s="63"/>
      <c r="BI129" s="23"/>
      <c r="BJ129" s="63"/>
      <c r="BK129" s="78"/>
      <c r="BL129" s="63"/>
      <c r="BM129" s="23"/>
      <c r="BN129" s="63"/>
      <c r="BO129" s="78"/>
      <c r="BP129" s="63"/>
      <c r="BQ129" s="23"/>
      <c r="BR129" s="63"/>
      <c r="BS129" s="78"/>
      <c r="BT129" s="63"/>
      <c r="BU129" s="23"/>
      <c r="BV129" s="63"/>
      <c r="BW129" s="63"/>
      <c r="BX129" s="77">
        <v>847289</v>
      </c>
      <c r="BY129" s="21" t="e">
        <f>#REF!-Y129-AE129-AK129-BW129</f>
        <v>#REF!</v>
      </c>
      <c r="BZ129" s="22">
        <f t="shared" si="22"/>
        <v>2895382</v>
      </c>
      <c r="CA129" s="23">
        <f t="shared" si="22"/>
        <v>5488955</v>
      </c>
      <c r="CB129" s="23">
        <f t="shared" si="23"/>
        <v>7227573.2400000002</v>
      </c>
      <c r="CC129" s="21"/>
      <c r="CD129" s="63">
        <f>SUM(CD116:CD128)</f>
        <v>206400</v>
      </c>
      <c r="CE129" s="23"/>
      <c r="CF129" s="63">
        <f>CD129</f>
        <v>206400</v>
      </c>
    </row>
    <row r="130" spans="1:84" s="175" customFormat="1" ht="30.05" customHeight="1" x14ac:dyDescent="0.25">
      <c r="A130" s="54"/>
      <c r="B130" s="41" t="s">
        <v>249</v>
      </c>
      <c r="C130" s="42"/>
      <c r="D130" s="169"/>
      <c r="E130" s="123"/>
      <c r="F130" s="123"/>
      <c r="G130" s="125">
        <f>ROUND(G129*0.11,0)</f>
        <v>403765</v>
      </c>
      <c r="H130" s="123"/>
      <c r="I130" s="123">
        <f>G130</f>
        <v>403765</v>
      </c>
      <c r="J130" s="197"/>
    </row>
    <row r="131" spans="1:84" s="175" customFormat="1" ht="30.05" customHeight="1" x14ac:dyDescent="0.25">
      <c r="A131" s="54"/>
      <c r="B131" s="41" t="s">
        <v>223</v>
      </c>
      <c r="C131" s="42"/>
      <c r="D131" s="169"/>
      <c r="E131" s="123"/>
      <c r="F131" s="123"/>
      <c r="G131" s="125">
        <f>ROUND(G129*0.05,0)</f>
        <v>183530</v>
      </c>
      <c r="H131" s="123"/>
      <c r="I131" s="123">
        <f>G131</f>
        <v>183530</v>
      </c>
      <c r="J131" s="197"/>
    </row>
    <row r="132" spans="1:84" s="3" customFormat="1" ht="30.05" customHeight="1" x14ac:dyDescent="0.3">
      <c r="A132" s="43"/>
      <c r="B132" s="36" t="s">
        <v>263</v>
      </c>
      <c r="C132" s="43"/>
      <c r="D132" s="259"/>
      <c r="E132" s="260"/>
      <c r="F132" s="260"/>
      <c r="G132" s="260">
        <f>SUM(G129:G131)</f>
        <v>4257885</v>
      </c>
      <c r="H132" s="260">
        <f>SUM(H129:H131)</f>
        <v>5488955</v>
      </c>
      <c r="I132" s="261">
        <f>SUM(I129:I131)</f>
        <v>9746840</v>
      </c>
      <c r="J132" s="205">
        <f>I132</f>
        <v>9746840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64"/>
      <c r="V132" s="64"/>
      <c r="W132" s="64"/>
      <c r="X132" s="25" t="e">
        <f>ROUND(X129+#REF!+X130+X131+1,0)</f>
        <v>#REF!</v>
      </c>
      <c r="Y132" s="25"/>
      <c r="Z132" s="27">
        <v>1220664</v>
      </c>
      <c r="AA132" s="64"/>
      <c r="AB132" s="64"/>
      <c r="AC132" s="64"/>
      <c r="AD132" s="25" t="e">
        <f>AD129+#REF!+AD130+AD131</f>
        <v>#REF!</v>
      </c>
      <c r="AE132" s="25"/>
      <c r="AF132" s="27">
        <v>524112</v>
      </c>
      <c r="AG132" s="64"/>
      <c r="AH132" s="64"/>
      <c r="AI132" s="64"/>
      <c r="AJ132" s="25" t="e">
        <f>AJ129+#REF!+AJ130+AJ131</f>
        <v>#REF!</v>
      </c>
      <c r="AK132" s="25"/>
      <c r="AL132" s="27">
        <v>1187279.28</v>
      </c>
      <c r="AM132" s="64"/>
      <c r="AN132" s="64"/>
      <c r="AO132" s="64"/>
      <c r="AP132" s="25" t="e">
        <f>AP129+#REF!+AP130+AP131</f>
        <v>#REF!</v>
      </c>
      <c r="AQ132" s="64"/>
      <c r="AR132" s="64"/>
      <c r="AS132" s="64"/>
      <c r="AT132" s="25"/>
      <c r="AU132" s="64"/>
      <c r="AV132" s="64"/>
      <c r="AW132" s="64"/>
      <c r="AX132" s="25"/>
      <c r="AY132" s="64"/>
      <c r="AZ132" s="64"/>
      <c r="BA132" s="64"/>
      <c r="BB132" s="25"/>
      <c r="BC132" s="64"/>
      <c r="BD132" s="64"/>
      <c r="BE132" s="64"/>
      <c r="BF132" s="25"/>
      <c r="BG132" s="64"/>
      <c r="BH132" s="64"/>
      <c r="BI132" s="64"/>
      <c r="BJ132" s="25"/>
      <c r="BK132" s="64"/>
      <c r="BL132" s="64"/>
      <c r="BM132" s="64"/>
      <c r="BN132" s="25"/>
      <c r="BO132" s="64"/>
      <c r="BP132" s="64"/>
      <c r="BQ132" s="64"/>
      <c r="BR132" s="25"/>
      <c r="BS132" s="64"/>
      <c r="BT132" s="64"/>
      <c r="BU132" s="64"/>
      <c r="BV132" s="25"/>
      <c r="BW132" s="25"/>
      <c r="BX132" s="27">
        <v>2328925</v>
      </c>
      <c r="BY132" s="19" t="e">
        <f>#REF!-Y132-AE132-AK132-BW132</f>
        <v>#REF!</v>
      </c>
      <c r="BZ132" s="20">
        <f t="shared" ref="BZ132:CA136" si="26">G132-V132-AB132-AH132-AN132-AR132-AV132-AZ132-BD132-BH132-BL132-BP132-BT132</f>
        <v>4257885</v>
      </c>
      <c r="CA132" s="18">
        <f t="shared" si="26"/>
        <v>5488955</v>
      </c>
      <c r="CB132" s="18">
        <f>I132-Z132-AF132-AL132-BX132</f>
        <v>4485859.72</v>
      </c>
      <c r="CC132" s="19"/>
      <c r="CD132" s="64"/>
      <c r="CE132" s="64"/>
      <c r="CF132" s="25" t="e">
        <f>CF129+#REF!+CF130+CF131</f>
        <v>#REF!</v>
      </c>
    </row>
    <row r="133" spans="1:84" s="4" customFormat="1" ht="30.05" customHeight="1" x14ac:dyDescent="0.3">
      <c r="A133" s="52" t="s">
        <v>36</v>
      </c>
      <c r="B133" s="37" t="s">
        <v>22</v>
      </c>
      <c r="C133" s="166"/>
      <c r="D133" s="256"/>
      <c r="E133" s="257"/>
      <c r="F133" s="257"/>
      <c r="G133" s="257"/>
      <c r="H133" s="257"/>
      <c r="I133" s="257"/>
      <c r="J133" s="208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23"/>
      <c r="W133" s="23"/>
      <c r="X133" s="23">
        <f>V133+W133</f>
        <v>0</v>
      </c>
      <c r="Y133" s="23"/>
      <c r="Z133" s="23"/>
      <c r="AA133" s="79"/>
      <c r="AB133" s="79"/>
      <c r="AC133" s="79"/>
      <c r="AD133" s="79"/>
      <c r="AE133" s="63"/>
      <c r="AF133" s="23"/>
      <c r="AG133" s="79"/>
      <c r="AH133" s="79"/>
      <c r="AI133" s="79"/>
      <c r="AJ133" s="79"/>
      <c r="AK133" s="23"/>
      <c r="AL133" s="23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23"/>
      <c r="BX133" s="23"/>
      <c r="BY133" s="21" t="e">
        <f>#REF!-Y133-AE133-AK133-BW133</f>
        <v>#REF!</v>
      </c>
      <c r="BZ133" s="22">
        <f t="shared" si="26"/>
        <v>0</v>
      </c>
      <c r="CA133" s="23">
        <f t="shared" si="26"/>
        <v>0</v>
      </c>
      <c r="CB133" s="23">
        <f>I133-Z133-AF133-AL133-BX133</f>
        <v>0</v>
      </c>
      <c r="CC133" s="21"/>
      <c r="CD133" s="22">
        <f>CC133*E133</f>
        <v>0</v>
      </c>
      <c r="CE133" s="23">
        <f>CC133*F133</f>
        <v>0</v>
      </c>
      <c r="CF133" s="23">
        <f t="shared" si="12"/>
        <v>0</v>
      </c>
    </row>
    <row r="134" spans="1:84" s="4" customFormat="1" ht="54.8" customHeight="1" x14ac:dyDescent="0.3">
      <c r="A134" s="54" t="s">
        <v>38</v>
      </c>
      <c r="B134" s="41" t="s">
        <v>24</v>
      </c>
      <c r="C134" s="42" t="s">
        <v>6</v>
      </c>
      <c r="D134" s="269">
        <f>6836.18+359.44</f>
        <v>7195.62</v>
      </c>
      <c r="E134" s="125">
        <v>730</v>
      </c>
      <c r="F134" s="163"/>
      <c r="G134" s="125">
        <f>ROUND(D134*E134,0)</f>
        <v>5252803</v>
      </c>
      <c r="H134" s="125"/>
      <c r="I134" s="125">
        <f>SUM(G134:H134)</f>
        <v>5252803</v>
      </c>
      <c r="J134" s="187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70">
        <v>1202.2</v>
      </c>
      <c r="V134" s="23">
        <f>U134*(E134+F134)</f>
        <v>877606</v>
      </c>
      <c r="W134" s="23"/>
      <c r="X134" s="23">
        <f t="shared" ref="X134:X146" si="27">ROUND(V134+W134,0)</f>
        <v>877606</v>
      </c>
      <c r="Y134" s="23">
        <v>1602</v>
      </c>
      <c r="Z134" s="23">
        <f>Y134*(E134+F134)</f>
        <v>1169460</v>
      </c>
      <c r="AA134" s="4">
        <v>1150.5999999999999</v>
      </c>
      <c r="AB134" s="23">
        <f>ROUND(AA134*E134,0)</f>
        <v>839938</v>
      </c>
      <c r="AC134" s="23">
        <f>ROUND(AA134*F134,0)</f>
        <v>0</v>
      </c>
      <c r="AD134" s="23">
        <f>AB134+AC134</f>
        <v>839938</v>
      </c>
      <c r="AE134" s="23">
        <v>1590</v>
      </c>
      <c r="AF134" s="69">
        <f>AE134*(E134+F134)</f>
        <v>1160700</v>
      </c>
      <c r="AG134" s="4">
        <v>520</v>
      </c>
      <c r="AH134" s="4">
        <f>ROUND(AG134*E134,0)</f>
        <v>379600</v>
      </c>
      <c r="AI134" s="23">
        <f>ROUND(AG134*F134,0)</f>
        <v>0</v>
      </c>
      <c r="AJ134" s="23">
        <f>AH134+AI134</f>
        <v>379600</v>
      </c>
      <c r="AK134" s="23">
        <v>590</v>
      </c>
      <c r="AL134" s="23">
        <f>AK134*(E134+F134)</f>
        <v>430700</v>
      </c>
      <c r="AM134" s="4">
        <v>500</v>
      </c>
      <c r="AN134" s="23">
        <f>ROUND(AM134*E134,0)</f>
        <v>365000</v>
      </c>
      <c r="AO134" s="23">
        <f>AM134*F134</f>
        <v>0</v>
      </c>
      <c r="AP134" s="23">
        <f>AN134+AO134</f>
        <v>365000</v>
      </c>
      <c r="AS134" s="23"/>
      <c r="AT134" s="23"/>
      <c r="AW134" s="23"/>
      <c r="AX134" s="23"/>
      <c r="BA134" s="23"/>
      <c r="BB134" s="23"/>
      <c r="BE134" s="23"/>
      <c r="BF134" s="23"/>
      <c r="BI134" s="23"/>
      <c r="BJ134" s="23"/>
      <c r="BM134" s="23"/>
      <c r="BN134" s="23"/>
      <c r="BQ134" s="23"/>
      <c r="BR134" s="23"/>
      <c r="BU134" s="23"/>
      <c r="BV134" s="23"/>
      <c r="BW134" s="23">
        <v>1350</v>
      </c>
      <c r="BX134" s="69">
        <f>BW134*(E134+F134)</f>
        <v>985500</v>
      </c>
      <c r="BY134" s="21" t="e">
        <f>#REF!-Y134-AE134-AK134-BW134</f>
        <v>#REF!</v>
      </c>
      <c r="BZ134" s="22">
        <f t="shared" si="26"/>
        <v>2790659</v>
      </c>
      <c r="CA134" s="23">
        <f t="shared" si="26"/>
        <v>0</v>
      </c>
      <c r="CB134" s="23">
        <f>I134-Z134-AF134-AL134-BX134</f>
        <v>1506443</v>
      </c>
      <c r="CC134" s="21">
        <v>270</v>
      </c>
      <c r="CD134" s="22">
        <f>CC134*E134</f>
        <v>197100</v>
      </c>
      <c r="CE134" s="23">
        <f>CC134*F134</f>
        <v>0</v>
      </c>
      <c r="CF134" s="23">
        <f t="shared" si="12"/>
        <v>197100</v>
      </c>
    </row>
    <row r="135" spans="1:84" s="105" customFormat="1" ht="54.8" customHeight="1" x14ac:dyDescent="0.3">
      <c r="A135" s="53"/>
      <c r="B135" s="48" t="s">
        <v>173</v>
      </c>
      <c r="C135" s="168" t="s">
        <v>9</v>
      </c>
      <c r="D135" s="170">
        <f>D134*13</f>
        <v>93543.06</v>
      </c>
      <c r="E135" s="162"/>
      <c r="F135" s="126">
        <v>56</v>
      </c>
      <c r="G135" s="126"/>
      <c r="H135" s="126">
        <f t="shared" ref="H135:H146" si="28">ROUND(D135*F135,0)</f>
        <v>5238411</v>
      </c>
      <c r="I135" s="126">
        <f t="shared" ref="I135:I146" si="29">SUM(G135:H135)</f>
        <v>5238411</v>
      </c>
      <c r="J135" s="207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5">
        <v>15628.6</v>
      </c>
      <c r="V135" s="104">
        <f>U135*E135</f>
        <v>0</v>
      </c>
      <c r="W135" s="104">
        <f>U135*F135</f>
        <v>875201.6</v>
      </c>
      <c r="X135" s="104">
        <f t="shared" si="27"/>
        <v>875202</v>
      </c>
      <c r="Y135" s="104">
        <f>Y134*13</f>
        <v>20826</v>
      </c>
      <c r="Z135" s="104">
        <f>Y135*(E135+F135)</f>
        <v>1166256</v>
      </c>
      <c r="AA135" s="106">
        <v>14957.8</v>
      </c>
      <c r="AB135" s="104">
        <f>ROUND(AA135*E135,0)</f>
        <v>0</v>
      </c>
      <c r="AC135" s="104">
        <f>ROUND(AA135*F135,0)</f>
        <v>837637</v>
      </c>
      <c r="AD135" s="104">
        <f>AB135+AC135</f>
        <v>837637</v>
      </c>
      <c r="AE135" s="104">
        <f>AE134*13</f>
        <v>20670</v>
      </c>
      <c r="AF135" s="106">
        <f>AE135*(E135+F135)</f>
        <v>1157520</v>
      </c>
      <c r="AG135" s="107">
        <f>AG134*13</f>
        <v>6760</v>
      </c>
      <c r="AH135" s="105">
        <f>ROUND(AG135*E135,0)</f>
        <v>0</v>
      </c>
      <c r="AI135" s="104">
        <f>ROUND(AG135*F135,0)</f>
        <v>378560</v>
      </c>
      <c r="AJ135" s="104">
        <f>AH135+AI135</f>
        <v>378560</v>
      </c>
      <c r="AK135" s="104">
        <v>7670</v>
      </c>
      <c r="AL135" s="104">
        <f>AK135*(E135+F135)</f>
        <v>429520</v>
      </c>
      <c r="AM135" s="107">
        <v>6500</v>
      </c>
      <c r="AN135" s="104">
        <f>ROUND(AM135*E135,0)</f>
        <v>0</v>
      </c>
      <c r="AO135" s="104">
        <f>AM135*F135</f>
        <v>364000</v>
      </c>
      <c r="AP135" s="104">
        <f t="shared" ref="AP135:AP146" si="30">AN135+AO135</f>
        <v>364000</v>
      </c>
      <c r="AQ135" s="107"/>
      <c r="AS135" s="104"/>
      <c r="AT135" s="104"/>
      <c r="AU135" s="107"/>
      <c r="AW135" s="104"/>
      <c r="AX135" s="104"/>
      <c r="AY135" s="107"/>
      <c r="BA135" s="104"/>
      <c r="BB135" s="104"/>
      <c r="BC135" s="107"/>
      <c r="BE135" s="104"/>
      <c r="BF135" s="104"/>
      <c r="BG135" s="107"/>
      <c r="BI135" s="104"/>
      <c r="BJ135" s="104"/>
      <c r="BK135" s="107"/>
      <c r="BM135" s="104"/>
      <c r="BN135" s="104"/>
      <c r="BO135" s="107"/>
      <c r="BQ135" s="104"/>
      <c r="BR135" s="104"/>
      <c r="BS135" s="107"/>
      <c r="BU135" s="104"/>
      <c r="BV135" s="104"/>
      <c r="BW135" s="104">
        <v>17550</v>
      </c>
      <c r="BX135" s="106">
        <f>BW135*(E135+F135)</f>
        <v>982800</v>
      </c>
      <c r="BY135" s="108" t="e">
        <f>#REF!-Y135-AE135-AK135-BW135</f>
        <v>#REF!</v>
      </c>
      <c r="BZ135" s="109">
        <f t="shared" si="26"/>
        <v>0</v>
      </c>
      <c r="CA135" s="104">
        <f t="shared" si="26"/>
        <v>2783012.4000000004</v>
      </c>
      <c r="CB135" s="104">
        <f>I135-Z135-AF135-AL135-BX135</f>
        <v>1502315</v>
      </c>
      <c r="CC135" s="108">
        <v>3510</v>
      </c>
      <c r="CD135" s="109">
        <f>CC135*E135</f>
        <v>0</v>
      </c>
      <c r="CE135" s="104">
        <f>CC135*F135</f>
        <v>196560</v>
      </c>
      <c r="CF135" s="104">
        <f t="shared" si="12"/>
        <v>196560</v>
      </c>
    </row>
    <row r="136" spans="1:84" s="105" customFormat="1" ht="30.05" customHeight="1" x14ac:dyDescent="0.3">
      <c r="A136" s="53"/>
      <c r="B136" s="48" t="s">
        <v>174</v>
      </c>
      <c r="C136" s="168" t="s">
        <v>7</v>
      </c>
      <c r="D136" s="170">
        <f>D134*0.0148</f>
        <v>106.495176</v>
      </c>
      <c r="E136" s="162"/>
      <c r="F136" s="126">
        <v>3400</v>
      </c>
      <c r="G136" s="126"/>
      <c r="H136" s="126">
        <f t="shared" si="28"/>
        <v>362084</v>
      </c>
      <c r="I136" s="126">
        <f t="shared" si="29"/>
        <v>362084</v>
      </c>
      <c r="J136" s="207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8">
        <v>45.97176470588235</v>
      </c>
      <c r="V136" s="104">
        <f>U136*E136</f>
        <v>0</v>
      </c>
      <c r="W136" s="104">
        <f>U136*F136+1</f>
        <v>156305</v>
      </c>
      <c r="X136" s="104">
        <f t="shared" si="27"/>
        <v>156305</v>
      </c>
      <c r="Y136" s="106">
        <v>60.875882352941176</v>
      </c>
      <c r="Z136" s="104">
        <f>Y136*(E136+F136)</f>
        <v>206978</v>
      </c>
      <c r="AA136" s="106">
        <v>247</v>
      </c>
      <c r="AB136" s="104">
        <f>ROUND(AA136*E136,0)</f>
        <v>0</v>
      </c>
      <c r="AC136" s="104">
        <f>ROUND(AA136*F136,0)</f>
        <v>839800</v>
      </c>
      <c r="AD136" s="104">
        <f>AB136+AC136</f>
        <v>839800</v>
      </c>
      <c r="AE136" s="106">
        <v>60.42</v>
      </c>
      <c r="AF136" s="106">
        <v>205428</v>
      </c>
      <c r="AG136" s="107">
        <f>45.9717647058824*-1</f>
        <v>-45.9717647058824</v>
      </c>
      <c r="AH136" s="105">
        <f>ROUND(AG136*E136,0)</f>
        <v>0</v>
      </c>
      <c r="AI136" s="104">
        <f>ROUND(AG136*F136,0)-1</f>
        <v>-156305</v>
      </c>
      <c r="AJ136" s="104">
        <f>AH136+AI136</f>
        <v>-156305</v>
      </c>
      <c r="AK136" s="106">
        <v>22.42</v>
      </c>
      <c r="AL136" s="104">
        <f>AK136*(E136+F136)</f>
        <v>76228</v>
      </c>
      <c r="AM136" s="107"/>
      <c r="AN136" s="104">
        <f>ROUND(AM136*E136,0)</f>
        <v>0</v>
      </c>
      <c r="AO136" s="104">
        <f>AM136*F136</f>
        <v>0</v>
      </c>
      <c r="AP136" s="104">
        <f t="shared" si="30"/>
        <v>0</v>
      </c>
      <c r="AQ136" s="107"/>
      <c r="AS136" s="104"/>
      <c r="AT136" s="104"/>
      <c r="AU136" s="107"/>
      <c r="AW136" s="104"/>
      <c r="AX136" s="104"/>
      <c r="AY136" s="107"/>
      <c r="BA136" s="104"/>
      <c r="BB136" s="104"/>
      <c r="BC136" s="107"/>
      <c r="BE136" s="104"/>
      <c r="BF136" s="104"/>
      <c r="BG136" s="107"/>
      <c r="BI136" s="104"/>
      <c r="BJ136" s="104"/>
      <c r="BK136" s="107"/>
      <c r="BM136" s="104"/>
      <c r="BN136" s="104"/>
      <c r="BO136" s="107"/>
      <c r="BQ136" s="104"/>
      <c r="BR136" s="104"/>
      <c r="BS136" s="107"/>
      <c r="BU136" s="104"/>
      <c r="BV136" s="104"/>
      <c r="BW136" s="106">
        <v>51.3</v>
      </c>
      <c r="BX136" s="106">
        <f>BW136*(E136+F136)</f>
        <v>174420</v>
      </c>
      <c r="BY136" s="108" t="e">
        <f>#REF!-Y136-AE136-AK136-BW136</f>
        <v>#REF!</v>
      </c>
      <c r="BZ136" s="109">
        <f t="shared" si="26"/>
        <v>0</v>
      </c>
      <c r="CA136" s="104">
        <f t="shared" si="26"/>
        <v>-477716</v>
      </c>
      <c r="CB136" s="104">
        <f>I136-Z136-AF136-AL136-BX136</f>
        <v>-300970</v>
      </c>
      <c r="CC136" s="108">
        <v>10.26</v>
      </c>
      <c r="CD136" s="109">
        <f>CC136*E136</f>
        <v>0</v>
      </c>
      <c r="CE136" s="104">
        <f>CC136*F136</f>
        <v>34884</v>
      </c>
      <c r="CF136" s="104">
        <f t="shared" si="12"/>
        <v>34884</v>
      </c>
    </row>
    <row r="137" spans="1:84" s="105" customFormat="1" ht="30.05" customHeight="1" x14ac:dyDescent="0.3">
      <c r="A137" s="53"/>
      <c r="B137" s="48" t="s">
        <v>175</v>
      </c>
      <c r="C137" s="168" t="s">
        <v>9</v>
      </c>
      <c r="D137" s="170">
        <f>D134/1.2</f>
        <v>5996.35</v>
      </c>
      <c r="E137" s="162"/>
      <c r="F137" s="126">
        <v>5.8</v>
      </c>
      <c r="G137" s="126"/>
      <c r="H137" s="126">
        <f t="shared" si="28"/>
        <v>34779</v>
      </c>
      <c r="I137" s="126">
        <f t="shared" si="29"/>
        <v>34779</v>
      </c>
      <c r="J137" s="207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8"/>
      <c r="V137" s="104"/>
      <c r="W137" s="104"/>
      <c r="X137" s="104"/>
      <c r="Y137" s="106"/>
      <c r="Z137" s="104"/>
      <c r="AA137" s="106"/>
      <c r="AB137" s="104"/>
      <c r="AC137" s="104"/>
      <c r="AD137" s="104"/>
      <c r="AE137" s="106"/>
      <c r="AF137" s="106"/>
      <c r="AG137" s="107"/>
      <c r="AI137" s="104"/>
      <c r="AJ137" s="104"/>
      <c r="AK137" s="106"/>
      <c r="AL137" s="104"/>
      <c r="AM137" s="107"/>
      <c r="AN137" s="104"/>
      <c r="AO137" s="104"/>
      <c r="AP137" s="104"/>
      <c r="AQ137" s="107"/>
      <c r="AS137" s="104"/>
      <c r="AT137" s="104"/>
      <c r="AU137" s="107"/>
      <c r="AW137" s="104"/>
      <c r="AX137" s="104"/>
      <c r="AY137" s="107"/>
      <c r="BA137" s="104"/>
      <c r="BB137" s="104"/>
      <c r="BC137" s="107"/>
      <c r="BE137" s="104"/>
      <c r="BF137" s="104"/>
      <c r="BG137" s="107"/>
      <c r="BI137" s="104"/>
      <c r="BJ137" s="104"/>
      <c r="BK137" s="107"/>
      <c r="BM137" s="104"/>
      <c r="BN137" s="104"/>
      <c r="BO137" s="107"/>
      <c r="BQ137" s="104"/>
      <c r="BR137" s="104"/>
      <c r="BS137" s="107"/>
      <c r="BU137" s="104"/>
      <c r="BV137" s="104"/>
      <c r="BW137" s="106"/>
      <c r="BX137" s="106"/>
      <c r="BY137" s="108"/>
      <c r="BZ137" s="109"/>
      <c r="CA137" s="104"/>
      <c r="CB137" s="104"/>
      <c r="CC137" s="108"/>
      <c r="CD137" s="109"/>
      <c r="CE137" s="104"/>
      <c r="CF137" s="104"/>
    </row>
    <row r="138" spans="1:84" s="105" customFormat="1" ht="30.05" customHeight="1" x14ac:dyDescent="0.3">
      <c r="A138" s="53"/>
      <c r="B138" s="48" t="s">
        <v>176</v>
      </c>
      <c r="C138" s="168" t="s">
        <v>8</v>
      </c>
      <c r="D138" s="170">
        <v>3.7</v>
      </c>
      <c r="E138" s="162"/>
      <c r="F138" s="126">
        <v>42000</v>
      </c>
      <c r="G138" s="126"/>
      <c r="H138" s="126">
        <f t="shared" si="28"/>
        <v>155400</v>
      </c>
      <c r="I138" s="126">
        <f t="shared" si="29"/>
        <v>155400</v>
      </c>
      <c r="J138" s="207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8"/>
      <c r="V138" s="104"/>
      <c r="W138" s="104"/>
      <c r="X138" s="104"/>
      <c r="Y138" s="106"/>
      <c r="Z138" s="104"/>
      <c r="AA138" s="106"/>
      <c r="AB138" s="104"/>
      <c r="AC138" s="104"/>
      <c r="AD138" s="104"/>
      <c r="AE138" s="106"/>
      <c r="AF138" s="106"/>
      <c r="AG138" s="107"/>
      <c r="AI138" s="104"/>
      <c r="AJ138" s="104"/>
      <c r="AK138" s="106"/>
      <c r="AL138" s="104"/>
      <c r="AM138" s="107"/>
      <c r="AN138" s="104"/>
      <c r="AO138" s="104"/>
      <c r="AP138" s="104"/>
      <c r="AQ138" s="107"/>
      <c r="AS138" s="104"/>
      <c r="AT138" s="104"/>
      <c r="AU138" s="107"/>
      <c r="AW138" s="104"/>
      <c r="AX138" s="104"/>
      <c r="AY138" s="107"/>
      <c r="BA138" s="104"/>
      <c r="BB138" s="104"/>
      <c r="BC138" s="107"/>
      <c r="BE138" s="104"/>
      <c r="BF138" s="104"/>
      <c r="BG138" s="107"/>
      <c r="BI138" s="104"/>
      <c r="BJ138" s="104"/>
      <c r="BK138" s="107"/>
      <c r="BM138" s="104"/>
      <c r="BN138" s="104"/>
      <c r="BO138" s="107"/>
      <c r="BQ138" s="104"/>
      <c r="BR138" s="104"/>
      <c r="BS138" s="107"/>
      <c r="BU138" s="104"/>
      <c r="BV138" s="104"/>
      <c r="BW138" s="106"/>
      <c r="BX138" s="106"/>
      <c r="BY138" s="108"/>
      <c r="BZ138" s="109"/>
      <c r="CA138" s="104"/>
      <c r="CB138" s="104"/>
      <c r="CC138" s="108"/>
      <c r="CD138" s="109"/>
      <c r="CE138" s="104"/>
      <c r="CF138" s="104"/>
    </row>
    <row r="139" spans="1:84" s="51" customFormat="1" ht="57" customHeight="1" x14ac:dyDescent="0.3">
      <c r="A139" s="54" t="s">
        <v>39</v>
      </c>
      <c r="B139" s="57" t="s">
        <v>344</v>
      </c>
      <c r="C139" s="42" t="s">
        <v>6</v>
      </c>
      <c r="D139" s="228">
        <v>5155.76</v>
      </c>
      <c r="E139" s="125">
        <v>460</v>
      </c>
      <c r="F139" s="125"/>
      <c r="G139" s="123">
        <f>ROUND(D139*E139,0)</f>
        <v>2371650</v>
      </c>
      <c r="H139" s="123"/>
      <c r="I139" s="123">
        <f>G139+H139</f>
        <v>2371650</v>
      </c>
      <c r="J139" s="229"/>
    </row>
    <row r="140" spans="1:84" s="51" customFormat="1" ht="82.5" customHeight="1" x14ac:dyDescent="0.3">
      <c r="A140" s="53"/>
      <c r="B140" s="48" t="s">
        <v>345</v>
      </c>
      <c r="C140" s="49" t="s">
        <v>6</v>
      </c>
      <c r="D140" s="230">
        <f>D139</f>
        <v>5155.76</v>
      </c>
      <c r="E140" s="126"/>
      <c r="F140" s="126">
        <v>418.9</v>
      </c>
      <c r="G140" s="123"/>
      <c r="H140" s="123">
        <f>ROUND(F140*D140,0)</f>
        <v>2159748</v>
      </c>
      <c r="I140" s="123">
        <f>G140+H140</f>
        <v>2159748</v>
      </c>
      <c r="J140" s="229"/>
    </row>
    <row r="141" spans="1:84" s="232" customFormat="1" ht="57" customHeight="1" x14ac:dyDescent="0.3">
      <c r="A141" s="54" t="s">
        <v>231</v>
      </c>
      <c r="B141" s="57" t="s">
        <v>346</v>
      </c>
      <c r="C141" s="42" t="s">
        <v>6</v>
      </c>
      <c r="D141" s="169">
        <f>5499.4*60%</f>
        <v>3299.64</v>
      </c>
      <c r="E141" s="125">
        <v>460</v>
      </c>
      <c r="F141" s="125"/>
      <c r="G141" s="123">
        <f>ROUND(D141*E141,0)</f>
        <v>1517834</v>
      </c>
      <c r="H141" s="123"/>
      <c r="I141" s="123">
        <f>G141+H141</f>
        <v>1517834</v>
      </c>
      <c r="J141" s="231"/>
    </row>
    <row r="142" spans="1:84" s="234" customFormat="1" ht="85.5" customHeight="1" x14ac:dyDescent="0.3">
      <c r="A142" s="53"/>
      <c r="B142" s="48" t="s">
        <v>345</v>
      </c>
      <c r="C142" s="49" t="s">
        <v>6</v>
      </c>
      <c r="D142" s="230">
        <f>D141</f>
        <v>3299.64</v>
      </c>
      <c r="E142" s="126"/>
      <c r="F142" s="126">
        <v>392.9</v>
      </c>
      <c r="G142" s="123"/>
      <c r="H142" s="123">
        <f>ROUND(F142*D142,0)</f>
        <v>1296429</v>
      </c>
      <c r="I142" s="123">
        <f>G142+H142</f>
        <v>1296429</v>
      </c>
      <c r="J142" s="233"/>
    </row>
    <row r="143" spans="1:84" s="4" customFormat="1" ht="30.05" customHeight="1" x14ac:dyDescent="0.3">
      <c r="A143" s="54" t="s">
        <v>40</v>
      </c>
      <c r="B143" s="57" t="s">
        <v>331</v>
      </c>
      <c r="C143" s="42" t="s">
        <v>7</v>
      </c>
      <c r="D143" s="169">
        <v>33.770000000000003</v>
      </c>
      <c r="E143" s="125">
        <v>2000</v>
      </c>
      <c r="F143" s="163"/>
      <c r="G143" s="125">
        <f>ROUND(D143*E143,0)</f>
        <v>67540</v>
      </c>
      <c r="H143" s="125"/>
      <c r="I143" s="125">
        <f t="shared" si="29"/>
        <v>67540</v>
      </c>
      <c r="J143" s="187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70"/>
      <c r="V143" s="23">
        <f>(U143*E143)</f>
        <v>0</v>
      </c>
      <c r="W143" s="23">
        <f>U143*F143</f>
        <v>0</v>
      </c>
      <c r="X143" s="23">
        <f t="shared" si="27"/>
        <v>0</v>
      </c>
      <c r="Y143" s="23"/>
      <c r="Z143" s="23">
        <f>Y143*(E143+F143)</f>
        <v>0</v>
      </c>
      <c r="AB143" s="23">
        <f>ROUND(AA143*E143,0)</f>
        <v>0</v>
      </c>
      <c r="AC143" s="23">
        <f>ROUND(AA143*F143,0)</f>
        <v>0</v>
      </c>
      <c r="AD143" s="23">
        <f>AB143+AC143</f>
        <v>0</v>
      </c>
      <c r="AE143" s="23"/>
      <c r="AF143" s="23"/>
      <c r="AI143" s="23"/>
      <c r="AJ143" s="23"/>
      <c r="AK143" s="23"/>
      <c r="AL143" s="23">
        <f>AK143*(E143+F143)</f>
        <v>0</v>
      </c>
      <c r="AN143" s="23">
        <f>ROUND(AM143*E143,0)</f>
        <v>0</v>
      </c>
      <c r="AO143" s="23">
        <f>AM143*F143</f>
        <v>0</v>
      </c>
      <c r="AP143" s="23">
        <f t="shared" si="30"/>
        <v>0</v>
      </c>
      <c r="AS143" s="23"/>
      <c r="AT143" s="23"/>
      <c r="AW143" s="23"/>
      <c r="AX143" s="23"/>
      <c r="BA143" s="23"/>
      <c r="BB143" s="23"/>
      <c r="BE143" s="23"/>
      <c r="BF143" s="23"/>
      <c r="BI143" s="23"/>
      <c r="BJ143" s="23"/>
      <c r="BM143" s="23"/>
      <c r="BN143" s="23"/>
      <c r="BQ143" s="23"/>
      <c r="BR143" s="23"/>
      <c r="BU143" s="23"/>
      <c r="BV143" s="23"/>
      <c r="BW143" s="23"/>
      <c r="BX143" s="69"/>
      <c r="BY143" s="21" t="e">
        <f>#REF!-Y143-AE143-AK143-BW143</f>
        <v>#REF!</v>
      </c>
      <c r="BZ143" s="22">
        <f t="shared" ref="BZ143:CA155" si="31">G143-V143-AB143-AH143-AN143-AR143-AV143-AZ143-BD143-BH143-BL143-BP143-BT143</f>
        <v>67540</v>
      </c>
      <c r="CA143" s="23">
        <f t="shared" si="31"/>
        <v>0</v>
      </c>
      <c r="CB143" s="23">
        <f t="shared" ref="CB143:CB155" si="32">I143-Z143-AF143-AL143-BX143</f>
        <v>67540</v>
      </c>
      <c r="CC143" s="21"/>
      <c r="CD143" s="22">
        <f>CC143*E143</f>
        <v>0</v>
      </c>
      <c r="CE143" s="23">
        <f>CC143*F143</f>
        <v>0</v>
      </c>
      <c r="CF143" s="23">
        <f t="shared" si="12"/>
        <v>0</v>
      </c>
    </row>
    <row r="144" spans="1:84" s="96" customFormat="1" ht="30.05" customHeight="1" x14ac:dyDescent="0.3">
      <c r="A144" s="53"/>
      <c r="B144" s="48" t="s">
        <v>177</v>
      </c>
      <c r="C144" s="49" t="s">
        <v>9</v>
      </c>
      <c r="D144" s="170">
        <f>ROUND(400*D143,0)</f>
        <v>13508</v>
      </c>
      <c r="E144" s="162"/>
      <c r="F144" s="126">
        <v>12.5</v>
      </c>
      <c r="G144" s="126"/>
      <c r="H144" s="126">
        <f t="shared" si="28"/>
        <v>168850</v>
      </c>
      <c r="I144" s="126">
        <f t="shared" si="29"/>
        <v>168850</v>
      </c>
      <c r="J144" s="207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V144" s="100">
        <f>(U144*E144)</f>
        <v>0</v>
      </c>
      <c r="W144" s="100">
        <f>U144*F144</f>
        <v>0</v>
      </c>
      <c r="X144" s="100">
        <f t="shared" si="27"/>
        <v>0</v>
      </c>
      <c r="Y144" s="100"/>
      <c r="Z144" s="100">
        <f>Y144*(E144+F144)</f>
        <v>0</v>
      </c>
      <c r="AA144" s="101"/>
      <c r="AB144" s="100">
        <f>ROUND(AA144*E144,0)</f>
        <v>0</v>
      </c>
      <c r="AC144" s="100">
        <f>ROUND(AA144*F144,0)</f>
        <v>0</v>
      </c>
      <c r="AD144" s="100">
        <f>AB144+AC144</f>
        <v>0</v>
      </c>
      <c r="AE144" s="100"/>
      <c r="AF144" s="100"/>
      <c r="AG144" s="101"/>
      <c r="AH144" s="101"/>
      <c r="AI144" s="100"/>
      <c r="AJ144" s="100"/>
      <c r="AK144" s="100"/>
      <c r="AL144" s="100">
        <f>AK144*(E144+F144)</f>
        <v>0</v>
      </c>
      <c r="AM144" s="101"/>
      <c r="AN144" s="100">
        <f>ROUND(AM144*E144,0)</f>
        <v>0</v>
      </c>
      <c r="AO144" s="100">
        <f>AM144*F144</f>
        <v>0</v>
      </c>
      <c r="AP144" s="100">
        <f t="shared" si="30"/>
        <v>0</v>
      </c>
      <c r="AQ144" s="101"/>
      <c r="AR144" s="101"/>
      <c r="AS144" s="100"/>
      <c r="AT144" s="100"/>
      <c r="AU144" s="101"/>
      <c r="AV144" s="101"/>
      <c r="AW144" s="100"/>
      <c r="AX144" s="100"/>
      <c r="AY144" s="101"/>
      <c r="AZ144" s="101"/>
      <c r="BA144" s="100"/>
      <c r="BB144" s="100"/>
      <c r="BC144" s="101"/>
      <c r="BD144" s="101"/>
      <c r="BE144" s="100"/>
      <c r="BF144" s="100"/>
      <c r="BG144" s="101"/>
      <c r="BH144" s="101"/>
      <c r="BI144" s="100"/>
      <c r="BJ144" s="100"/>
      <c r="BK144" s="101"/>
      <c r="BL144" s="101"/>
      <c r="BM144" s="100"/>
      <c r="BN144" s="100"/>
      <c r="BO144" s="101"/>
      <c r="BP144" s="101"/>
      <c r="BQ144" s="100"/>
      <c r="BR144" s="100"/>
      <c r="BS144" s="101"/>
      <c r="BT144" s="101"/>
      <c r="BU144" s="100"/>
      <c r="BV144" s="100"/>
      <c r="BW144" s="100"/>
      <c r="BX144" s="101"/>
      <c r="BY144" s="102" t="e">
        <f>#REF!-Y144-AE144-AK144-BW144</f>
        <v>#REF!</v>
      </c>
      <c r="BZ144" s="103">
        <f t="shared" si="31"/>
        <v>0</v>
      </c>
      <c r="CA144" s="100">
        <f t="shared" si="31"/>
        <v>168850</v>
      </c>
      <c r="CB144" s="100">
        <f t="shared" si="32"/>
        <v>168850</v>
      </c>
      <c r="CC144" s="102"/>
      <c r="CD144" s="103">
        <f>CC144*E144</f>
        <v>0</v>
      </c>
      <c r="CE144" s="100">
        <f>CC144*F144</f>
        <v>0</v>
      </c>
      <c r="CF144" s="100">
        <f t="shared" si="12"/>
        <v>0</v>
      </c>
    </row>
    <row r="145" spans="1:84" s="96" customFormat="1" ht="30.05" customHeight="1" x14ac:dyDescent="0.3">
      <c r="A145" s="53"/>
      <c r="B145" s="48" t="s">
        <v>17</v>
      </c>
      <c r="C145" s="49" t="s">
        <v>7</v>
      </c>
      <c r="D145" s="170">
        <f>ROUND(0.241*D143,2)</f>
        <v>8.14</v>
      </c>
      <c r="E145" s="162"/>
      <c r="F145" s="126">
        <v>3400</v>
      </c>
      <c r="G145" s="126"/>
      <c r="H145" s="126">
        <f t="shared" si="28"/>
        <v>27676</v>
      </c>
      <c r="I145" s="126">
        <f t="shared" si="29"/>
        <v>27676</v>
      </c>
      <c r="J145" s="207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V145" s="100">
        <f>(U145*E145)</f>
        <v>0</v>
      </c>
      <c r="W145" s="100">
        <f>U145*F145</f>
        <v>0</v>
      </c>
      <c r="X145" s="100">
        <f t="shared" si="27"/>
        <v>0</v>
      </c>
      <c r="Y145" s="100"/>
      <c r="Z145" s="100">
        <f>Y145*(E145+F145)</f>
        <v>0</v>
      </c>
      <c r="AA145" s="101"/>
      <c r="AB145" s="100">
        <f>ROUND(AA145*E145,0)</f>
        <v>0</v>
      </c>
      <c r="AC145" s="100">
        <f>ROUND(AA145*F145,0)</f>
        <v>0</v>
      </c>
      <c r="AD145" s="100">
        <f>AB145+AC145</f>
        <v>0</v>
      </c>
      <c r="AE145" s="100"/>
      <c r="AF145" s="100"/>
      <c r="AG145" s="101"/>
      <c r="AH145" s="101"/>
      <c r="AI145" s="100"/>
      <c r="AJ145" s="100"/>
      <c r="AK145" s="100"/>
      <c r="AL145" s="100">
        <f>AK145*(E145+F145)</f>
        <v>0</v>
      </c>
      <c r="AM145" s="101"/>
      <c r="AN145" s="100">
        <f>ROUND(AM145*E145,0)</f>
        <v>0</v>
      </c>
      <c r="AO145" s="100">
        <f>AM145*F145</f>
        <v>0</v>
      </c>
      <c r="AP145" s="100">
        <f t="shared" si="30"/>
        <v>0</v>
      </c>
      <c r="AQ145" s="101"/>
      <c r="AR145" s="101"/>
      <c r="AS145" s="100"/>
      <c r="AT145" s="100"/>
      <c r="AU145" s="101"/>
      <c r="AV145" s="101"/>
      <c r="AW145" s="100"/>
      <c r="AX145" s="100"/>
      <c r="AY145" s="101"/>
      <c r="AZ145" s="101"/>
      <c r="BA145" s="100"/>
      <c r="BB145" s="100"/>
      <c r="BC145" s="101"/>
      <c r="BD145" s="101"/>
      <c r="BE145" s="100"/>
      <c r="BF145" s="100"/>
      <c r="BG145" s="101"/>
      <c r="BH145" s="101"/>
      <c r="BI145" s="100"/>
      <c r="BJ145" s="100"/>
      <c r="BK145" s="101"/>
      <c r="BL145" s="101"/>
      <c r="BM145" s="100"/>
      <c r="BN145" s="100"/>
      <c r="BO145" s="101"/>
      <c r="BP145" s="101"/>
      <c r="BQ145" s="100"/>
      <c r="BR145" s="100"/>
      <c r="BS145" s="101"/>
      <c r="BT145" s="101"/>
      <c r="BU145" s="100"/>
      <c r="BV145" s="100"/>
      <c r="BW145" s="100"/>
      <c r="BX145" s="101"/>
      <c r="BY145" s="102" t="e">
        <f>#REF!-Y145-AE145-AK145-BW145</f>
        <v>#REF!</v>
      </c>
      <c r="BZ145" s="103">
        <f t="shared" si="31"/>
        <v>0</v>
      </c>
      <c r="CA145" s="100">
        <f t="shared" si="31"/>
        <v>27676</v>
      </c>
      <c r="CB145" s="100">
        <f t="shared" si="32"/>
        <v>27676</v>
      </c>
      <c r="CC145" s="102"/>
      <c r="CD145" s="103">
        <f>CC145*E145</f>
        <v>0</v>
      </c>
      <c r="CE145" s="100">
        <f>CC145*F145</f>
        <v>0</v>
      </c>
      <c r="CF145" s="100">
        <f t="shared" si="12"/>
        <v>0</v>
      </c>
    </row>
    <row r="146" spans="1:84" s="73" customFormat="1" ht="30.05" customHeight="1" x14ac:dyDescent="0.3">
      <c r="A146" s="54" t="s">
        <v>41</v>
      </c>
      <c r="B146" s="41" t="s">
        <v>19</v>
      </c>
      <c r="C146" s="42" t="s">
        <v>8</v>
      </c>
      <c r="D146" s="169">
        <v>6.62</v>
      </c>
      <c r="E146" s="163">
        <v>18000</v>
      </c>
      <c r="F146" s="163">
        <v>42000</v>
      </c>
      <c r="G146" s="125">
        <f>ROUND(D146*E146,0)</f>
        <v>119160</v>
      </c>
      <c r="H146" s="125">
        <f t="shared" si="28"/>
        <v>278040</v>
      </c>
      <c r="I146" s="125">
        <f t="shared" si="29"/>
        <v>397200</v>
      </c>
      <c r="J146" s="187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73">
        <v>0.4</v>
      </c>
      <c r="V146" s="60">
        <f>U146*E146</f>
        <v>7200</v>
      </c>
      <c r="W146" s="60">
        <f>U146*F146</f>
        <v>16800</v>
      </c>
      <c r="X146" s="60">
        <f t="shared" si="27"/>
        <v>24000</v>
      </c>
      <c r="Y146" s="76">
        <v>0.40057999999999999</v>
      </c>
      <c r="Z146" s="60">
        <f>Y146*(E146+F146)</f>
        <v>24034.799999999999</v>
      </c>
      <c r="AA146" s="73">
        <v>0.4</v>
      </c>
      <c r="AB146" s="60">
        <f>ROUND(AA146*E146,0)</f>
        <v>7200</v>
      </c>
      <c r="AC146" s="60">
        <f>ROUND(AA146*F146,0)</f>
        <v>16800</v>
      </c>
      <c r="AD146" s="60">
        <f>AB146+AC146</f>
        <v>24000</v>
      </c>
      <c r="AE146" s="60"/>
      <c r="AF146" s="60"/>
      <c r="AI146" s="60"/>
      <c r="AJ146" s="60"/>
      <c r="AK146" s="76">
        <v>0.80269999999999997</v>
      </c>
      <c r="AL146" s="60">
        <f>AK146*(E146+F146)</f>
        <v>48162</v>
      </c>
      <c r="AM146" s="73">
        <v>0.4</v>
      </c>
      <c r="AN146" s="60">
        <f>ROUND(AM146*E146,0)</f>
        <v>7200</v>
      </c>
      <c r="AO146" s="60">
        <f>AM146*F146</f>
        <v>16800</v>
      </c>
      <c r="AP146" s="60">
        <f t="shared" si="30"/>
        <v>24000</v>
      </c>
      <c r="AS146" s="60"/>
      <c r="AT146" s="60"/>
      <c r="AW146" s="60"/>
      <c r="AX146" s="60"/>
      <c r="BA146" s="60"/>
      <c r="BB146" s="60"/>
      <c r="BE146" s="60"/>
      <c r="BF146" s="60"/>
      <c r="BI146" s="60"/>
      <c r="BJ146" s="60"/>
      <c r="BM146" s="60"/>
      <c r="BN146" s="60"/>
      <c r="BQ146" s="60"/>
      <c r="BR146" s="60"/>
      <c r="BU146" s="60"/>
      <c r="BV146" s="60"/>
      <c r="BW146" s="76">
        <v>0.5</v>
      </c>
      <c r="BX146" s="72">
        <f>BW146*(E146+F146)</f>
        <v>30000</v>
      </c>
      <c r="BY146" s="58" t="e">
        <f>#REF!-Y146-AE146-AK146-BW146</f>
        <v>#REF!</v>
      </c>
      <c r="BZ146" s="59">
        <f t="shared" si="31"/>
        <v>97560</v>
      </c>
      <c r="CA146" s="60">
        <f t="shared" si="31"/>
        <v>227640</v>
      </c>
      <c r="CB146" s="60">
        <f t="shared" si="32"/>
        <v>295003.2</v>
      </c>
      <c r="CC146" s="58"/>
      <c r="CD146" s="59">
        <f>CC146*E146</f>
        <v>0</v>
      </c>
      <c r="CE146" s="60">
        <f>CC146*F146</f>
        <v>0</v>
      </c>
      <c r="CF146" s="60">
        <f t="shared" si="12"/>
        <v>0</v>
      </c>
    </row>
    <row r="147" spans="1:84" s="4" customFormat="1" ht="30.05" customHeight="1" x14ac:dyDescent="0.3">
      <c r="A147" s="54"/>
      <c r="B147" s="46" t="s">
        <v>92</v>
      </c>
      <c r="C147" s="42"/>
      <c r="D147" s="169"/>
      <c r="E147" s="123"/>
      <c r="F147" s="123"/>
      <c r="G147" s="258">
        <f>SUM(G134:G146)</f>
        <v>9328987</v>
      </c>
      <c r="H147" s="258">
        <f>SUM(H134:H146)</f>
        <v>9721417</v>
      </c>
      <c r="I147" s="258">
        <f>G147+H147</f>
        <v>19050404</v>
      </c>
      <c r="J147" s="187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78"/>
      <c r="V147" s="63">
        <f>SUM(V134:V146)</f>
        <v>884806</v>
      </c>
      <c r="W147" s="23"/>
      <c r="X147" s="63">
        <f>V147</f>
        <v>884806</v>
      </c>
      <c r="Y147" s="63"/>
      <c r="Z147" s="77">
        <v>1487944.5</v>
      </c>
      <c r="AA147" s="78"/>
      <c r="AB147" s="63">
        <f>SUM(AB134:AB146)</f>
        <v>847138</v>
      </c>
      <c r="AC147" s="23"/>
      <c r="AD147" s="63">
        <f>AB147</f>
        <v>847138</v>
      </c>
      <c r="AE147" s="63"/>
      <c r="AF147" s="77">
        <v>2343360</v>
      </c>
      <c r="AG147" s="78"/>
      <c r="AH147" s="63">
        <f>SUM(AH134:AH146)</f>
        <v>379600</v>
      </c>
      <c r="AI147" s="23"/>
      <c r="AJ147" s="63">
        <f>AH147</f>
        <v>379600</v>
      </c>
      <c r="AK147" s="63"/>
      <c r="AL147" s="77">
        <v>1147447</v>
      </c>
      <c r="AM147" s="78"/>
      <c r="AN147" s="63">
        <f>SUM(AN134:AN146)</f>
        <v>372200</v>
      </c>
      <c r="AO147" s="23"/>
      <c r="AP147" s="63">
        <f>AN147</f>
        <v>372200</v>
      </c>
      <c r="AQ147" s="78"/>
      <c r="AR147" s="63"/>
      <c r="AS147" s="23"/>
      <c r="AT147" s="63"/>
      <c r="AU147" s="78"/>
      <c r="AV147" s="63"/>
      <c r="AW147" s="23"/>
      <c r="AX147" s="63"/>
      <c r="AY147" s="78"/>
      <c r="AZ147" s="63"/>
      <c r="BA147" s="23"/>
      <c r="BB147" s="63"/>
      <c r="BC147" s="78"/>
      <c r="BD147" s="63"/>
      <c r="BE147" s="23"/>
      <c r="BF147" s="63"/>
      <c r="BG147" s="78"/>
      <c r="BH147" s="63"/>
      <c r="BI147" s="23"/>
      <c r="BJ147" s="63"/>
      <c r="BK147" s="78"/>
      <c r="BL147" s="63"/>
      <c r="BM147" s="23"/>
      <c r="BN147" s="63"/>
      <c r="BO147" s="78"/>
      <c r="BP147" s="63"/>
      <c r="BQ147" s="23"/>
      <c r="BR147" s="63"/>
      <c r="BS147" s="78"/>
      <c r="BT147" s="63"/>
      <c r="BU147" s="23"/>
      <c r="BV147" s="63"/>
      <c r="BW147" s="63"/>
      <c r="BX147" s="77">
        <v>2844000</v>
      </c>
      <c r="BY147" s="21" t="e">
        <f>#REF!-Y147-AE147-AK147-BW147</f>
        <v>#REF!</v>
      </c>
      <c r="BZ147" s="22">
        <f t="shared" si="31"/>
        <v>6845243</v>
      </c>
      <c r="CA147" s="23">
        <f t="shared" si="31"/>
        <v>9721417</v>
      </c>
      <c r="CB147" s="23">
        <f t="shared" si="32"/>
        <v>11227652.5</v>
      </c>
      <c r="CC147" s="21"/>
      <c r="CD147" s="63">
        <f>SUM(CD134:CD146)</f>
        <v>197100</v>
      </c>
      <c r="CE147" s="23"/>
      <c r="CF147" s="63">
        <f>CD147</f>
        <v>197100</v>
      </c>
    </row>
    <row r="148" spans="1:84" s="3" customFormat="1" ht="30.05" customHeight="1" x14ac:dyDescent="0.3">
      <c r="A148" s="43"/>
      <c r="B148" s="36" t="s">
        <v>264</v>
      </c>
      <c r="C148" s="43"/>
      <c r="D148" s="259"/>
      <c r="E148" s="260"/>
      <c r="F148" s="260"/>
      <c r="G148" s="260">
        <f>SUM(G147:G147)</f>
        <v>9328987</v>
      </c>
      <c r="H148" s="260">
        <f>SUM(H147:H147)</f>
        <v>9721417</v>
      </c>
      <c r="I148" s="261">
        <f>SUM(I147:I147)</f>
        <v>19050404</v>
      </c>
      <c r="J148" s="205">
        <f>I148</f>
        <v>19050404</v>
      </c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64"/>
      <c r="V148" s="64"/>
      <c r="W148" s="64"/>
      <c r="X148" s="25" t="e">
        <f>ROUND(X147+#REF!+#REF!+#REF!+1,0)</f>
        <v>#REF!</v>
      </c>
      <c r="Y148" s="25"/>
      <c r="Z148" s="27">
        <v>3743558</v>
      </c>
      <c r="AA148" s="64"/>
      <c r="AB148" s="64"/>
      <c r="AC148" s="64"/>
      <c r="AD148" s="25" t="e">
        <f>AD147+#REF!+#REF!+#REF!</f>
        <v>#REF!</v>
      </c>
      <c r="AE148" s="25"/>
      <c r="AF148" s="27">
        <v>5626269</v>
      </c>
      <c r="AG148" s="64"/>
      <c r="AH148" s="64"/>
      <c r="AI148" s="64"/>
      <c r="AJ148" s="25" t="e">
        <f>AJ147+#REF!+#REF!+#REF!</f>
        <v>#REF!</v>
      </c>
      <c r="AK148" s="25"/>
      <c r="AL148" s="27">
        <v>2854776.72</v>
      </c>
      <c r="AM148" s="64"/>
      <c r="AN148" s="64"/>
      <c r="AO148" s="64"/>
      <c r="AP148" s="25" t="e">
        <f>AP147+#REF!+#REF!+#REF!</f>
        <v>#REF!</v>
      </c>
      <c r="AQ148" s="64"/>
      <c r="AR148" s="64"/>
      <c r="AS148" s="64"/>
      <c r="AT148" s="25"/>
      <c r="AU148" s="64"/>
      <c r="AV148" s="64"/>
      <c r="AW148" s="64"/>
      <c r="AX148" s="25"/>
      <c r="AY148" s="64"/>
      <c r="AZ148" s="64"/>
      <c r="BA148" s="64"/>
      <c r="BB148" s="25"/>
      <c r="BC148" s="64"/>
      <c r="BD148" s="64"/>
      <c r="BE148" s="64"/>
      <c r="BF148" s="25"/>
      <c r="BG148" s="64"/>
      <c r="BH148" s="64"/>
      <c r="BI148" s="64"/>
      <c r="BJ148" s="25"/>
      <c r="BK148" s="64"/>
      <c r="BL148" s="64"/>
      <c r="BM148" s="64"/>
      <c r="BN148" s="25"/>
      <c r="BO148" s="64"/>
      <c r="BP148" s="64"/>
      <c r="BQ148" s="64"/>
      <c r="BR148" s="25"/>
      <c r="BS148" s="64"/>
      <c r="BT148" s="64"/>
      <c r="BU148" s="64"/>
      <c r="BV148" s="25"/>
      <c r="BW148" s="25"/>
      <c r="BX148" s="27">
        <v>6862657.7999999998</v>
      </c>
      <c r="BY148" s="19" t="e">
        <f>#REF!-Y148-AE148-AK148-BW148</f>
        <v>#REF!</v>
      </c>
      <c r="BZ148" s="20">
        <f t="shared" si="31"/>
        <v>9328987</v>
      </c>
      <c r="CA148" s="18">
        <f t="shared" si="31"/>
        <v>9721417</v>
      </c>
      <c r="CB148" s="18">
        <f t="shared" si="32"/>
        <v>-36857.520000000484</v>
      </c>
      <c r="CC148" s="19"/>
      <c r="CD148" s="64"/>
      <c r="CE148" s="64"/>
      <c r="CF148" s="25" t="e">
        <f>CF147+#REF!+#REF!+#REF!</f>
        <v>#REF!</v>
      </c>
    </row>
    <row r="149" spans="1:84" s="2" customFormat="1" ht="30.05" customHeight="1" x14ac:dyDescent="0.3">
      <c r="A149" s="30" t="s">
        <v>42</v>
      </c>
      <c r="B149" s="112" t="s">
        <v>28</v>
      </c>
      <c r="C149" s="29"/>
      <c r="D149" s="256"/>
      <c r="E149" s="255"/>
      <c r="F149" s="255"/>
      <c r="G149" s="255"/>
      <c r="H149" s="255"/>
      <c r="I149" s="255"/>
      <c r="J149" s="206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7">
        <f t="shared" ref="V149:V155" si="33">U149*E149</f>
        <v>0</v>
      </c>
      <c r="W149" s="7">
        <f t="shared" ref="W149:W155" si="34">U149*F149</f>
        <v>0</v>
      </c>
      <c r="X149" s="7">
        <f t="shared" ref="X149:X155" si="35">V149+W149</f>
        <v>0</v>
      </c>
      <c r="Y149" s="18"/>
      <c r="Z149" s="18"/>
      <c r="AA149" s="12"/>
      <c r="AB149" s="12"/>
      <c r="AC149" s="12"/>
      <c r="AD149" s="12"/>
      <c r="AE149" s="18"/>
      <c r="AF149" s="18"/>
      <c r="AG149" s="12"/>
      <c r="AH149" s="12"/>
      <c r="AI149" s="12"/>
      <c r="AJ149" s="12"/>
      <c r="AK149" s="18"/>
      <c r="AL149" s="18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8"/>
      <c r="BX149" s="18"/>
      <c r="BY149" s="19" t="e">
        <f>#REF!-Y149-AE149-AK149-BW149</f>
        <v>#REF!</v>
      </c>
      <c r="BZ149" s="20">
        <f t="shared" si="31"/>
        <v>0</v>
      </c>
      <c r="CA149" s="18">
        <f t="shared" si="31"/>
        <v>0</v>
      </c>
      <c r="CB149" s="18">
        <f t="shared" si="32"/>
        <v>0</v>
      </c>
      <c r="CC149" s="21"/>
      <c r="CD149" s="22">
        <f t="shared" ref="CD149:CD154" si="36">CC149*E149</f>
        <v>0</v>
      </c>
      <c r="CE149" s="23">
        <f t="shared" ref="CE149:CE154" si="37">CC149*F149</f>
        <v>0</v>
      </c>
      <c r="CF149" s="23">
        <f t="shared" si="12"/>
        <v>0</v>
      </c>
    </row>
    <row r="150" spans="1:84" s="4" customFormat="1" ht="30.05" customHeight="1" x14ac:dyDescent="0.3">
      <c r="A150" s="54" t="s">
        <v>232</v>
      </c>
      <c r="B150" s="41" t="s">
        <v>30</v>
      </c>
      <c r="C150" s="42" t="s">
        <v>6</v>
      </c>
      <c r="D150" s="169">
        <v>2351.35</v>
      </c>
      <c r="E150" s="125">
        <v>2100</v>
      </c>
      <c r="F150" s="125">
        <v>3600</v>
      </c>
      <c r="G150" s="125">
        <f>ROUND(D150*E150,0)</f>
        <v>4937835</v>
      </c>
      <c r="H150" s="125">
        <f>ROUND(D150*F150,0)</f>
        <v>8464860</v>
      </c>
      <c r="I150" s="125">
        <f t="shared" ref="I150:I155" si="38">SUM(G150:H150)</f>
        <v>13402695</v>
      </c>
      <c r="J150" s="187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70"/>
      <c r="V150" s="23">
        <f t="shared" si="33"/>
        <v>0</v>
      </c>
      <c r="W150" s="23">
        <f t="shared" si="34"/>
        <v>0</v>
      </c>
      <c r="X150" s="23">
        <f t="shared" si="35"/>
        <v>0</v>
      </c>
      <c r="Y150" s="23"/>
      <c r="Z150" s="23"/>
      <c r="AA150" s="70"/>
      <c r="AB150" s="23"/>
      <c r="AC150" s="23"/>
      <c r="AD150" s="70"/>
      <c r="AE150" s="23"/>
      <c r="AF150" s="23"/>
      <c r="AG150" s="70"/>
      <c r="AH150" s="70"/>
      <c r="AI150" s="23"/>
      <c r="AJ150" s="23"/>
      <c r="AK150" s="23"/>
      <c r="AL150" s="23"/>
      <c r="AM150" s="70"/>
      <c r="AN150" s="70"/>
      <c r="AO150" s="23"/>
      <c r="AP150" s="23"/>
      <c r="AQ150" s="70"/>
      <c r="AR150" s="70"/>
      <c r="AS150" s="23"/>
      <c r="AT150" s="23"/>
      <c r="AU150" s="70"/>
      <c r="AV150" s="70"/>
      <c r="AW150" s="23"/>
      <c r="AX150" s="23"/>
      <c r="AY150" s="70"/>
      <c r="AZ150" s="70"/>
      <c r="BA150" s="23"/>
      <c r="BB150" s="23"/>
      <c r="BC150" s="70"/>
      <c r="BD150" s="70"/>
      <c r="BE150" s="23"/>
      <c r="BF150" s="23"/>
      <c r="BG150" s="70"/>
      <c r="BH150" s="70"/>
      <c r="BI150" s="23"/>
      <c r="BJ150" s="23"/>
      <c r="BK150" s="70"/>
      <c r="BL150" s="70"/>
      <c r="BM150" s="23"/>
      <c r="BN150" s="23"/>
      <c r="BO150" s="70"/>
      <c r="BP150" s="70"/>
      <c r="BQ150" s="23"/>
      <c r="BR150" s="23"/>
      <c r="BS150" s="70"/>
      <c r="BT150" s="70"/>
      <c r="BU150" s="23"/>
      <c r="BV150" s="23"/>
      <c r="BW150" s="23">
        <v>600</v>
      </c>
      <c r="BX150" s="69">
        <f>BW150*(E150+F150)</f>
        <v>3420000</v>
      </c>
      <c r="BY150" s="21" t="e">
        <f>#REF!-Y150-AE150-AK150-BW150</f>
        <v>#REF!</v>
      </c>
      <c r="BZ150" s="22">
        <f t="shared" si="31"/>
        <v>4937835</v>
      </c>
      <c r="CA150" s="23">
        <f t="shared" si="31"/>
        <v>8464860</v>
      </c>
      <c r="CB150" s="23">
        <f t="shared" si="32"/>
        <v>9982695</v>
      </c>
      <c r="CC150" s="21">
        <v>600</v>
      </c>
      <c r="CD150" s="22">
        <f t="shared" si="36"/>
        <v>1260000</v>
      </c>
      <c r="CE150" s="23">
        <f t="shared" si="37"/>
        <v>2160000</v>
      </c>
      <c r="CF150" s="23">
        <f t="shared" si="12"/>
        <v>3420000</v>
      </c>
    </row>
    <row r="151" spans="1:84" s="4" customFormat="1" ht="30.05" customHeight="1" x14ac:dyDescent="0.3">
      <c r="A151" s="54" t="s">
        <v>233</v>
      </c>
      <c r="B151" s="41" t="s">
        <v>31</v>
      </c>
      <c r="C151" s="42" t="s">
        <v>6</v>
      </c>
      <c r="D151" s="169">
        <v>592.11</v>
      </c>
      <c r="E151" s="125">
        <v>1100</v>
      </c>
      <c r="F151" s="125">
        <v>3000</v>
      </c>
      <c r="G151" s="125">
        <f>ROUND(D151*E151,0)</f>
        <v>651321</v>
      </c>
      <c r="H151" s="125">
        <f>ROUND(D151*F151,0)</f>
        <v>1776330</v>
      </c>
      <c r="I151" s="125">
        <f t="shared" si="38"/>
        <v>2427651</v>
      </c>
      <c r="J151" s="187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70"/>
      <c r="V151" s="23">
        <f t="shared" si="33"/>
        <v>0</v>
      </c>
      <c r="W151" s="23">
        <f t="shared" si="34"/>
        <v>0</v>
      </c>
      <c r="X151" s="23">
        <f t="shared" si="35"/>
        <v>0</v>
      </c>
      <c r="Y151" s="23"/>
      <c r="Z151" s="23"/>
      <c r="AA151" s="70"/>
      <c r="AB151" s="23"/>
      <c r="AC151" s="23"/>
      <c r="AD151" s="70"/>
      <c r="AE151" s="23"/>
      <c r="AF151" s="23"/>
      <c r="AG151" s="70"/>
      <c r="AH151" s="70"/>
      <c r="AI151" s="23"/>
      <c r="AJ151" s="23"/>
      <c r="AK151" s="23"/>
      <c r="AL151" s="23"/>
      <c r="AM151" s="70"/>
      <c r="AN151" s="70"/>
      <c r="AO151" s="23"/>
      <c r="AP151" s="23"/>
      <c r="AQ151" s="70"/>
      <c r="AR151" s="70"/>
      <c r="AS151" s="23"/>
      <c r="AT151" s="23"/>
      <c r="AU151" s="70"/>
      <c r="AV151" s="70"/>
      <c r="AW151" s="23"/>
      <c r="AX151" s="23"/>
      <c r="AY151" s="70"/>
      <c r="AZ151" s="70"/>
      <c r="BA151" s="23"/>
      <c r="BB151" s="23"/>
      <c r="BC151" s="70"/>
      <c r="BD151" s="70"/>
      <c r="BE151" s="23"/>
      <c r="BF151" s="23"/>
      <c r="BG151" s="70"/>
      <c r="BH151" s="70"/>
      <c r="BI151" s="23"/>
      <c r="BJ151" s="23"/>
      <c r="BK151" s="70"/>
      <c r="BL151" s="70"/>
      <c r="BM151" s="23"/>
      <c r="BN151" s="23"/>
      <c r="BO151" s="70"/>
      <c r="BP151" s="70"/>
      <c r="BQ151" s="23"/>
      <c r="BR151" s="23"/>
      <c r="BS151" s="70"/>
      <c r="BT151" s="70"/>
      <c r="BU151" s="23"/>
      <c r="BV151" s="23"/>
      <c r="BW151" s="23"/>
      <c r="BX151" s="23"/>
      <c r="BY151" s="21" t="e">
        <f>#REF!-Y151-AE151-AK151-BW151</f>
        <v>#REF!</v>
      </c>
      <c r="BZ151" s="22">
        <f t="shared" si="31"/>
        <v>651321</v>
      </c>
      <c r="CA151" s="23">
        <f t="shared" si="31"/>
        <v>1776330</v>
      </c>
      <c r="CB151" s="23">
        <f t="shared" si="32"/>
        <v>2427651</v>
      </c>
      <c r="CC151" s="21"/>
      <c r="CD151" s="22">
        <f t="shared" si="36"/>
        <v>0</v>
      </c>
      <c r="CE151" s="23">
        <f t="shared" si="37"/>
        <v>0</v>
      </c>
      <c r="CF151" s="23">
        <f t="shared" si="12"/>
        <v>0</v>
      </c>
    </row>
    <row r="152" spans="1:84" s="4" customFormat="1" ht="30.05" customHeight="1" x14ac:dyDescent="0.3">
      <c r="A152" s="54" t="s">
        <v>234</v>
      </c>
      <c r="B152" s="41" t="s">
        <v>33</v>
      </c>
      <c r="C152" s="42" t="s">
        <v>6</v>
      </c>
      <c r="D152" s="169">
        <v>3858.42</v>
      </c>
      <c r="E152" s="125">
        <v>650</v>
      </c>
      <c r="F152" s="125">
        <v>1200</v>
      </c>
      <c r="G152" s="125">
        <f>ROUND(D152*E152,0)</f>
        <v>2507973</v>
      </c>
      <c r="H152" s="125">
        <f>ROUND(D152*F152,0)</f>
        <v>4630104</v>
      </c>
      <c r="I152" s="125">
        <f t="shared" si="38"/>
        <v>7138077</v>
      </c>
      <c r="J152" s="187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70"/>
      <c r="V152" s="23">
        <f t="shared" si="33"/>
        <v>0</v>
      </c>
      <c r="W152" s="23">
        <f t="shared" si="34"/>
        <v>0</v>
      </c>
      <c r="X152" s="23">
        <f t="shared" si="35"/>
        <v>0</v>
      </c>
      <c r="Y152" s="23"/>
      <c r="Z152" s="23"/>
      <c r="AA152" s="70"/>
      <c r="AB152" s="23"/>
      <c r="AC152" s="23"/>
      <c r="AD152" s="70"/>
      <c r="AE152" s="23"/>
      <c r="AF152" s="23"/>
      <c r="AG152" s="70"/>
      <c r="AH152" s="70"/>
      <c r="AI152" s="23"/>
      <c r="AJ152" s="23"/>
      <c r="AK152" s="23"/>
      <c r="AL152" s="23"/>
      <c r="AM152" s="70"/>
      <c r="AN152" s="70"/>
      <c r="AO152" s="23"/>
      <c r="AP152" s="23"/>
      <c r="AQ152" s="70"/>
      <c r="AR152" s="70"/>
      <c r="AS152" s="23"/>
      <c r="AT152" s="23"/>
      <c r="AU152" s="70"/>
      <c r="AV152" s="70"/>
      <c r="AW152" s="23"/>
      <c r="AX152" s="23"/>
      <c r="AY152" s="70"/>
      <c r="AZ152" s="70"/>
      <c r="BA152" s="23"/>
      <c r="BB152" s="23"/>
      <c r="BC152" s="70"/>
      <c r="BD152" s="70"/>
      <c r="BE152" s="23"/>
      <c r="BF152" s="23"/>
      <c r="BG152" s="70"/>
      <c r="BH152" s="70"/>
      <c r="BI152" s="23"/>
      <c r="BJ152" s="23"/>
      <c r="BK152" s="70"/>
      <c r="BL152" s="70"/>
      <c r="BM152" s="23"/>
      <c r="BN152" s="23"/>
      <c r="BO152" s="70"/>
      <c r="BP152" s="70"/>
      <c r="BQ152" s="23"/>
      <c r="BR152" s="23"/>
      <c r="BS152" s="70"/>
      <c r="BT152" s="70"/>
      <c r="BU152" s="23"/>
      <c r="BV152" s="23"/>
      <c r="BW152" s="23"/>
      <c r="BX152" s="23"/>
      <c r="BY152" s="21" t="e">
        <f>#REF!-Y152-AE152-AK152-BW152</f>
        <v>#REF!</v>
      </c>
      <c r="BZ152" s="22">
        <f t="shared" si="31"/>
        <v>2507973</v>
      </c>
      <c r="CA152" s="23">
        <f t="shared" si="31"/>
        <v>4630104</v>
      </c>
      <c r="CB152" s="23">
        <f t="shared" si="32"/>
        <v>7138077</v>
      </c>
      <c r="CC152" s="21"/>
      <c r="CD152" s="22">
        <f t="shared" si="36"/>
        <v>0</v>
      </c>
      <c r="CE152" s="23">
        <f t="shared" si="37"/>
        <v>0</v>
      </c>
      <c r="CF152" s="23">
        <f t="shared" si="12"/>
        <v>0</v>
      </c>
    </row>
    <row r="153" spans="1:84" s="4" customFormat="1" ht="30.05" customHeight="1" x14ac:dyDescent="0.3">
      <c r="A153" s="54" t="s">
        <v>235</v>
      </c>
      <c r="B153" s="41" t="s">
        <v>35</v>
      </c>
      <c r="C153" s="42" t="s">
        <v>6</v>
      </c>
      <c r="D153" s="169">
        <f>942.05+254.11</f>
        <v>1196.1599999999999</v>
      </c>
      <c r="E153" s="125">
        <v>550</v>
      </c>
      <c r="F153" s="125">
        <v>1000</v>
      </c>
      <c r="G153" s="125">
        <f>ROUND(D153*E153,0)</f>
        <v>657888</v>
      </c>
      <c r="H153" s="125">
        <f>ROUND(D153*F153,0)</f>
        <v>1196160</v>
      </c>
      <c r="I153" s="125">
        <f t="shared" si="38"/>
        <v>1854048</v>
      </c>
      <c r="J153" s="187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70"/>
      <c r="V153" s="23">
        <f t="shared" si="33"/>
        <v>0</v>
      </c>
      <c r="W153" s="23">
        <f t="shared" si="34"/>
        <v>0</v>
      </c>
      <c r="X153" s="23">
        <f t="shared" si="35"/>
        <v>0</v>
      </c>
      <c r="Y153" s="23"/>
      <c r="Z153" s="23"/>
      <c r="AA153" s="70"/>
      <c r="AB153" s="23"/>
      <c r="AC153" s="23"/>
      <c r="AD153" s="70"/>
      <c r="AE153" s="23"/>
      <c r="AF153" s="23"/>
      <c r="AG153" s="70"/>
      <c r="AH153" s="70"/>
      <c r="AI153" s="23"/>
      <c r="AJ153" s="23"/>
      <c r="AK153" s="23"/>
      <c r="AL153" s="23"/>
      <c r="AM153" s="70"/>
      <c r="AN153" s="70"/>
      <c r="AO153" s="23"/>
      <c r="AP153" s="23"/>
      <c r="AQ153" s="70"/>
      <c r="AR153" s="70"/>
      <c r="AS153" s="23"/>
      <c r="AT153" s="23"/>
      <c r="AU153" s="70"/>
      <c r="AV153" s="70"/>
      <c r="AW153" s="23"/>
      <c r="AX153" s="23"/>
      <c r="AY153" s="70"/>
      <c r="AZ153" s="70"/>
      <c r="BA153" s="23"/>
      <c r="BB153" s="23"/>
      <c r="BC153" s="70"/>
      <c r="BD153" s="70"/>
      <c r="BE153" s="23"/>
      <c r="BF153" s="23"/>
      <c r="BG153" s="70"/>
      <c r="BH153" s="70"/>
      <c r="BI153" s="23"/>
      <c r="BJ153" s="23"/>
      <c r="BK153" s="70"/>
      <c r="BL153" s="70"/>
      <c r="BM153" s="23"/>
      <c r="BN153" s="23"/>
      <c r="BO153" s="70"/>
      <c r="BP153" s="70"/>
      <c r="BQ153" s="23"/>
      <c r="BR153" s="23"/>
      <c r="BS153" s="70"/>
      <c r="BT153" s="70"/>
      <c r="BU153" s="23"/>
      <c r="BV153" s="23"/>
      <c r="BW153" s="23"/>
      <c r="BX153" s="23"/>
      <c r="BY153" s="21" t="e">
        <f>#REF!-Y153-AE153-AK153-BW153</f>
        <v>#REF!</v>
      </c>
      <c r="BZ153" s="22">
        <f t="shared" si="31"/>
        <v>657888</v>
      </c>
      <c r="CA153" s="23">
        <f t="shared" si="31"/>
        <v>1196160</v>
      </c>
      <c r="CB153" s="23">
        <f t="shared" si="32"/>
        <v>1854048</v>
      </c>
      <c r="CC153" s="21"/>
      <c r="CD153" s="22">
        <f t="shared" si="36"/>
        <v>0</v>
      </c>
      <c r="CE153" s="23">
        <f t="shared" si="37"/>
        <v>0</v>
      </c>
      <c r="CF153" s="23">
        <f t="shared" si="12"/>
        <v>0</v>
      </c>
    </row>
    <row r="154" spans="1:84" s="4" customFormat="1" ht="30.05" customHeight="1" x14ac:dyDescent="0.3">
      <c r="A154" s="54" t="s">
        <v>236</v>
      </c>
      <c r="B154" s="41" t="s">
        <v>349</v>
      </c>
      <c r="C154" s="42" t="s">
        <v>6</v>
      </c>
      <c r="D154" s="169">
        <f>10.03+55.67</f>
        <v>65.7</v>
      </c>
      <c r="E154" s="125">
        <v>550</v>
      </c>
      <c r="F154" s="125">
        <v>1500</v>
      </c>
      <c r="G154" s="125">
        <f>ROUND(D154*E154,0)</f>
        <v>36135</v>
      </c>
      <c r="H154" s="125">
        <f>ROUND(D154*F154,0)</f>
        <v>98550</v>
      </c>
      <c r="I154" s="125">
        <f t="shared" si="38"/>
        <v>134685</v>
      </c>
      <c r="J154" s="187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70"/>
      <c r="V154" s="23">
        <f t="shared" si="33"/>
        <v>0</v>
      </c>
      <c r="W154" s="23">
        <f t="shared" si="34"/>
        <v>0</v>
      </c>
      <c r="X154" s="23">
        <f t="shared" si="35"/>
        <v>0</v>
      </c>
      <c r="Y154" s="23"/>
      <c r="Z154" s="23"/>
      <c r="AA154" s="70"/>
      <c r="AB154" s="23"/>
      <c r="AC154" s="23"/>
      <c r="AD154" s="70"/>
      <c r="AE154" s="23"/>
      <c r="AF154" s="23"/>
      <c r="AG154" s="70"/>
      <c r="AH154" s="70"/>
      <c r="AI154" s="23"/>
      <c r="AJ154" s="23"/>
      <c r="AK154" s="23"/>
      <c r="AL154" s="23"/>
      <c r="AM154" s="70"/>
      <c r="AN154" s="70"/>
      <c r="AO154" s="23"/>
      <c r="AP154" s="23"/>
      <c r="AQ154" s="70"/>
      <c r="AR154" s="70"/>
      <c r="AS154" s="23"/>
      <c r="AT154" s="23"/>
      <c r="AU154" s="70"/>
      <c r="AV154" s="70"/>
      <c r="AW154" s="23"/>
      <c r="AX154" s="23"/>
      <c r="AY154" s="70"/>
      <c r="AZ154" s="70"/>
      <c r="BA154" s="23"/>
      <c r="BB154" s="23"/>
      <c r="BC154" s="70"/>
      <c r="BD154" s="70"/>
      <c r="BE154" s="23"/>
      <c r="BF154" s="23"/>
      <c r="BG154" s="70"/>
      <c r="BH154" s="70"/>
      <c r="BI154" s="23"/>
      <c r="BJ154" s="23"/>
      <c r="BK154" s="70"/>
      <c r="BL154" s="70"/>
      <c r="BM154" s="23"/>
      <c r="BN154" s="23"/>
      <c r="BO154" s="70"/>
      <c r="BP154" s="70"/>
      <c r="BQ154" s="23"/>
      <c r="BR154" s="23"/>
      <c r="BS154" s="70"/>
      <c r="BT154" s="70"/>
      <c r="BU154" s="23"/>
      <c r="BV154" s="23"/>
      <c r="BW154" s="23"/>
      <c r="BX154" s="23"/>
      <c r="BY154" s="21" t="e">
        <f>#REF!-Y154-AE154-AK154-BW154</f>
        <v>#REF!</v>
      </c>
      <c r="BZ154" s="22">
        <f t="shared" si="31"/>
        <v>36135</v>
      </c>
      <c r="CA154" s="23">
        <f t="shared" si="31"/>
        <v>98550</v>
      </c>
      <c r="CB154" s="23">
        <f t="shared" si="32"/>
        <v>134685</v>
      </c>
      <c r="CC154" s="21"/>
      <c r="CD154" s="22">
        <f t="shared" si="36"/>
        <v>0</v>
      </c>
      <c r="CE154" s="23">
        <f t="shared" si="37"/>
        <v>0</v>
      </c>
      <c r="CF154" s="23">
        <f t="shared" si="12"/>
        <v>0</v>
      </c>
    </row>
    <row r="155" spans="1:84" s="4" customFormat="1" ht="30.05" customHeight="1" x14ac:dyDescent="0.3">
      <c r="A155" s="54"/>
      <c r="B155" s="46" t="s">
        <v>170</v>
      </c>
      <c r="C155" s="42"/>
      <c r="D155" s="169"/>
      <c r="E155" s="123"/>
      <c r="F155" s="123"/>
      <c r="G155" s="258">
        <f>SUM(G150:G154)</f>
        <v>8791152</v>
      </c>
      <c r="H155" s="258">
        <f>SUM(H150:H154)</f>
        <v>16166004</v>
      </c>
      <c r="I155" s="258">
        <f t="shared" si="38"/>
        <v>24957156</v>
      </c>
      <c r="J155" s="187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78"/>
      <c r="V155" s="23">
        <f t="shared" si="33"/>
        <v>0</v>
      </c>
      <c r="W155" s="23">
        <f t="shared" si="34"/>
        <v>0</v>
      </c>
      <c r="X155" s="23">
        <f t="shared" si="35"/>
        <v>0</v>
      </c>
      <c r="Y155" s="23"/>
      <c r="Z155" s="23"/>
      <c r="AA155" s="78"/>
      <c r="AB155" s="63"/>
      <c r="AC155" s="23"/>
      <c r="AD155" s="78"/>
      <c r="AE155" s="23"/>
      <c r="AF155" s="23"/>
      <c r="AG155" s="78"/>
      <c r="AH155" s="78"/>
      <c r="AI155" s="63"/>
      <c r="AJ155" s="23"/>
      <c r="AK155" s="23"/>
      <c r="AL155" s="23"/>
      <c r="AM155" s="78"/>
      <c r="AN155" s="78"/>
      <c r="AO155" s="63"/>
      <c r="AP155" s="23"/>
      <c r="AQ155" s="78"/>
      <c r="AR155" s="78"/>
      <c r="AS155" s="63"/>
      <c r="AT155" s="23"/>
      <c r="AU155" s="78"/>
      <c r="AV155" s="78"/>
      <c r="AW155" s="63"/>
      <c r="AX155" s="23"/>
      <c r="AY155" s="78"/>
      <c r="AZ155" s="78"/>
      <c r="BA155" s="63"/>
      <c r="BB155" s="23"/>
      <c r="BC155" s="78"/>
      <c r="BD155" s="78"/>
      <c r="BE155" s="63"/>
      <c r="BF155" s="23"/>
      <c r="BG155" s="78"/>
      <c r="BH155" s="78"/>
      <c r="BI155" s="63"/>
      <c r="BJ155" s="23"/>
      <c r="BK155" s="78"/>
      <c r="BL155" s="78"/>
      <c r="BM155" s="63"/>
      <c r="BN155" s="23"/>
      <c r="BO155" s="78"/>
      <c r="BP155" s="78"/>
      <c r="BQ155" s="63"/>
      <c r="BR155" s="23"/>
      <c r="BS155" s="78"/>
      <c r="BT155" s="78"/>
      <c r="BU155" s="63"/>
      <c r="BV155" s="23"/>
      <c r="BW155" s="23"/>
      <c r="BX155" s="23">
        <v>1260000</v>
      </c>
      <c r="BY155" s="21" t="e">
        <f>#REF!-Y155-AE155-AK155-BW155</f>
        <v>#REF!</v>
      </c>
      <c r="BZ155" s="22">
        <f t="shared" si="31"/>
        <v>8791152</v>
      </c>
      <c r="CA155" s="23">
        <f t="shared" si="31"/>
        <v>16166004</v>
      </c>
      <c r="CB155" s="23">
        <f t="shared" si="32"/>
        <v>23697156</v>
      </c>
      <c r="CC155" s="21"/>
      <c r="CD155" s="63">
        <f>SUM(CD150:CD154)</f>
        <v>1260000</v>
      </c>
      <c r="CE155" s="23"/>
      <c r="CF155" s="63">
        <f>SUM(CD155:CE155)</f>
        <v>1260000</v>
      </c>
    </row>
    <row r="156" spans="1:84" s="175" customFormat="1" ht="30.05" customHeight="1" x14ac:dyDescent="0.25">
      <c r="A156" s="54"/>
      <c r="B156" s="41" t="s">
        <v>249</v>
      </c>
      <c r="C156" s="42"/>
      <c r="D156" s="169"/>
      <c r="E156" s="123"/>
      <c r="F156" s="123"/>
      <c r="G156" s="125">
        <f>ROUND(G155*0.11,0)</f>
        <v>967027</v>
      </c>
      <c r="H156" s="123"/>
      <c r="I156" s="123">
        <f>G156</f>
        <v>967027</v>
      </c>
      <c r="J156" s="197"/>
    </row>
    <row r="157" spans="1:84" s="175" customFormat="1" ht="30.05" customHeight="1" x14ac:dyDescent="0.25">
      <c r="A157" s="54"/>
      <c r="B157" s="41" t="s">
        <v>223</v>
      </c>
      <c r="C157" s="42"/>
      <c r="D157" s="169"/>
      <c r="E157" s="123"/>
      <c r="F157" s="123"/>
      <c r="G157" s="125">
        <f>ROUND(G155*0.05,0)</f>
        <v>439558</v>
      </c>
      <c r="H157" s="123"/>
      <c r="I157" s="123">
        <f>G157</f>
        <v>439558</v>
      </c>
      <c r="J157" s="197"/>
    </row>
    <row r="158" spans="1:84" s="3" customFormat="1" ht="30.05" customHeight="1" x14ac:dyDescent="0.3">
      <c r="A158" s="113"/>
      <c r="B158" s="36" t="s">
        <v>265</v>
      </c>
      <c r="C158" s="93"/>
      <c r="D158" s="270"/>
      <c r="E158" s="271"/>
      <c r="F158" s="271"/>
      <c r="G158" s="261">
        <f>SUM(G155:G157)</f>
        <v>10197737</v>
      </c>
      <c r="H158" s="261">
        <f>SUM(H155:H157)</f>
        <v>16166004</v>
      </c>
      <c r="I158" s="261">
        <f>SUM(I155:I157)</f>
        <v>26363741</v>
      </c>
      <c r="J158" s="205">
        <f>I158</f>
        <v>26363741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66"/>
      <c r="V158" s="18">
        <f>U158*E158</f>
        <v>0</v>
      </c>
      <c r="W158" s="18">
        <f>U158*F158</f>
        <v>0</v>
      </c>
      <c r="X158" s="18">
        <f>V158+W158</f>
        <v>0</v>
      </c>
      <c r="Y158" s="18"/>
      <c r="Z158" s="18"/>
      <c r="AA158" s="66"/>
      <c r="AB158" s="25"/>
      <c r="AC158" s="18"/>
      <c r="AD158" s="66"/>
      <c r="AE158" s="18"/>
      <c r="AF158" s="18"/>
      <c r="AG158" s="66"/>
      <c r="AH158" s="66"/>
      <c r="AI158" s="25"/>
      <c r="AJ158" s="18"/>
      <c r="AK158" s="18"/>
      <c r="AL158" s="18"/>
      <c r="AM158" s="66"/>
      <c r="AN158" s="66"/>
      <c r="AO158" s="25"/>
      <c r="AP158" s="18"/>
      <c r="AQ158" s="66"/>
      <c r="AR158" s="66"/>
      <c r="AS158" s="25"/>
      <c r="AT158" s="18"/>
      <c r="AU158" s="66"/>
      <c r="AV158" s="66"/>
      <c r="AW158" s="25"/>
      <c r="AX158" s="18"/>
      <c r="AY158" s="66"/>
      <c r="AZ158" s="66"/>
      <c r="BA158" s="25"/>
      <c r="BB158" s="18"/>
      <c r="BC158" s="66"/>
      <c r="BD158" s="66"/>
      <c r="BE158" s="25"/>
      <c r="BF158" s="18"/>
      <c r="BG158" s="66"/>
      <c r="BH158" s="66"/>
      <c r="BI158" s="25"/>
      <c r="BJ158" s="18"/>
      <c r="BK158" s="66"/>
      <c r="BL158" s="66"/>
      <c r="BM158" s="25"/>
      <c r="BN158" s="18"/>
      <c r="BO158" s="66"/>
      <c r="BP158" s="66"/>
      <c r="BQ158" s="25"/>
      <c r="BR158" s="18"/>
      <c r="BS158" s="66"/>
      <c r="BT158" s="66"/>
      <c r="BU158" s="25"/>
      <c r="BV158" s="18"/>
      <c r="BW158" s="18"/>
      <c r="BX158" s="18">
        <v>3420000</v>
      </c>
      <c r="BY158" s="19" t="e">
        <f>#REF!-Y158-AE158-AK158-BW158</f>
        <v>#REF!</v>
      </c>
      <c r="BZ158" s="20">
        <f t="shared" ref="BZ158:CA160" si="39">G158-V158-AB158-AH158-AN158-AR158-AV158-AZ158-BD158-BH158-BL158-BP158-BT158</f>
        <v>10197737</v>
      </c>
      <c r="CA158" s="18">
        <f t="shared" si="39"/>
        <v>16166004</v>
      </c>
      <c r="CB158" s="18">
        <f>I158-Z158-AF158-AL158-BX158</f>
        <v>22943741</v>
      </c>
      <c r="CC158" s="19"/>
      <c r="CD158" s="25"/>
      <c r="CE158" s="18"/>
      <c r="CF158" s="25">
        <f>SUM(CF155:CF155)</f>
        <v>1260000</v>
      </c>
    </row>
    <row r="159" spans="1:84" s="4" customFormat="1" ht="30.05" customHeight="1" x14ac:dyDescent="0.3">
      <c r="A159" s="52" t="s">
        <v>44</v>
      </c>
      <c r="B159" s="37" t="s">
        <v>37</v>
      </c>
      <c r="C159" s="166"/>
      <c r="D159" s="256"/>
      <c r="E159" s="257"/>
      <c r="F159" s="257"/>
      <c r="G159" s="257"/>
      <c r="H159" s="257"/>
      <c r="I159" s="257"/>
      <c r="J159" s="208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23">
        <f>U159*E159</f>
        <v>0</v>
      </c>
      <c r="W159" s="23">
        <f>U159*F159</f>
        <v>0</v>
      </c>
      <c r="X159" s="23">
        <f>V159+W159</f>
        <v>0</v>
      </c>
      <c r="Y159" s="23"/>
      <c r="Z159" s="23"/>
      <c r="AA159" s="79"/>
      <c r="AB159" s="79"/>
      <c r="AC159" s="79"/>
      <c r="AD159" s="79"/>
      <c r="AE159" s="23"/>
      <c r="AF159" s="23"/>
      <c r="AG159" s="79"/>
      <c r="AH159" s="79"/>
      <c r="AI159" s="79"/>
      <c r="AJ159" s="79"/>
      <c r="AK159" s="23"/>
      <c r="AL159" s="23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  <c r="BJ159" s="79"/>
      <c r="BK159" s="79"/>
      <c r="BL159" s="79"/>
      <c r="BM159" s="79"/>
      <c r="BN159" s="79"/>
      <c r="BO159" s="79"/>
      <c r="BP159" s="79"/>
      <c r="BQ159" s="79"/>
      <c r="BR159" s="79"/>
      <c r="BS159" s="79"/>
      <c r="BT159" s="79"/>
      <c r="BU159" s="79"/>
      <c r="BV159" s="79"/>
      <c r="BW159" s="23"/>
      <c r="BX159" s="23"/>
      <c r="BY159" s="21" t="e">
        <f>#REF!-Y159-AE159-AK159-BW159</f>
        <v>#REF!</v>
      </c>
      <c r="BZ159" s="22">
        <f t="shared" si="39"/>
        <v>0</v>
      </c>
      <c r="CA159" s="23">
        <f t="shared" si="39"/>
        <v>0</v>
      </c>
      <c r="CB159" s="23">
        <f>I159-Z159-AF159-AL159-BX159</f>
        <v>0</v>
      </c>
      <c r="CC159" s="21"/>
      <c r="CD159" s="22">
        <f>CC159*E159</f>
        <v>0</v>
      </c>
      <c r="CE159" s="23">
        <f>CC159*F159</f>
        <v>0</v>
      </c>
      <c r="CF159" s="23">
        <f t="shared" si="12"/>
        <v>0</v>
      </c>
    </row>
    <row r="160" spans="1:84" s="4" customFormat="1" ht="46.5" customHeight="1" x14ac:dyDescent="0.3">
      <c r="A160" s="54" t="s">
        <v>46</v>
      </c>
      <c r="B160" s="114" t="s">
        <v>213</v>
      </c>
      <c r="C160" s="42" t="s">
        <v>6</v>
      </c>
      <c r="D160" s="169">
        <v>1809</v>
      </c>
      <c r="E160" s="125">
        <v>3000</v>
      </c>
      <c r="F160" s="125">
        <v>7200</v>
      </c>
      <c r="G160" s="125">
        <f>ROUND(D160*E160,0)</f>
        <v>5427000</v>
      </c>
      <c r="H160" s="125">
        <f>ROUND(D160*F160,0)</f>
        <v>13024800</v>
      </c>
      <c r="I160" s="125">
        <f t="shared" ref="I160:I165" si="40">SUM(G160:H160)</f>
        <v>18451800</v>
      </c>
      <c r="J160" s="187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69"/>
      <c r="V160" s="23">
        <f>U160*E160</f>
        <v>0</v>
      </c>
      <c r="W160" s="23">
        <f>U160*F160</f>
        <v>0</v>
      </c>
      <c r="X160" s="23">
        <f>V160+W160</f>
        <v>0</v>
      </c>
      <c r="Y160" s="23"/>
      <c r="Z160" s="23"/>
      <c r="AA160" s="69"/>
      <c r="AB160" s="23"/>
      <c r="AC160" s="23"/>
      <c r="AD160" s="69"/>
      <c r="AE160" s="23"/>
      <c r="AF160" s="23"/>
      <c r="AG160" s="69"/>
      <c r="AH160" s="69"/>
      <c r="AI160" s="23"/>
      <c r="AJ160" s="23"/>
      <c r="AK160" s="23"/>
      <c r="AL160" s="23"/>
      <c r="AM160" s="69">
        <v>100</v>
      </c>
      <c r="AN160" s="23">
        <f>ROUND(AM160*E160,0)</f>
        <v>300000</v>
      </c>
      <c r="AO160" s="23">
        <f>AM160*F160</f>
        <v>720000</v>
      </c>
      <c r="AP160" s="23">
        <f>AN160+AO160</f>
        <v>1020000</v>
      </c>
      <c r="AQ160" s="69"/>
      <c r="AR160" s="69"/>
      <c r="AS160" s="23"/>
      <c r="AT160" s="23"/>
      <c r="AU160" s="69"/>
      <c r="AV160" s="69"/>
      <c r="AW160" s="23"/>
      <c r="AX160" s="23"/>
      <c r="AY160" s="69"/>
      <c r="AZ160" s="69"/>
      <c r="BA160" s="23"/>
      <c r="BB160" s="23"/>
      <c r="BC160" s="69"/>
      <c r="BD160" s="69"/>
      <c r="BE160" s="23"/>
      <c r="BF160" s="23"/>
      <c r="BG160" s="69"/>
      <c r="BH160" s="69"/>
      <c r="BI160" s="23"/>
      <c r="BJ160" s="23"/>
      <c r="BK160" s="69"/>
      <c r="BL160" s="69"/>
      <c r="BM160" s="23"/>
      <c r="BN160" s="23"/>
      <c r="BO160" s="69"/>
      <c r="BP160" s="69"/>
      <c r="BQ160" s="23"/>
      <c r="BR160" s="23"/>
      <c r="BS160" s="69"/>
      <c r="BT160" s="69"/>
      <c r="BU160" s="23"/>
      <c r="BV160" s="23"/>
      <c r="BW160" s="23"/>
      <c r="BX160" s="23"/>
      <c r="BY160" s="21" t="e">
        <f>#REF!-Y160-AE160-AK160-BW160</f>
        <v>#REF!</v>
      </c>
      <c r="BZ160" s="22">
        <f t="shared" si="39"/>
        <v>5127000</v>
      </c>
      <c r="CA160" s="23">
        <f t="shared" si="39"/>
        <v>12304800</v>
      </c>
      <c r="CB160" s="23">
        <f>I160-Z160-AF160-AL160-BX160</f>
        <v>18451800</v>
      </c>
      <c r="CC160" s="21"/>
      <c r="CD160" s="22">
        <f>CC160*E160</f>
        <v>0</v>
      </c>
      <c r="CE160" s="23">
        <f>CC160*F160</f>
        <v>0</v>
      </c>
      <c r="CF160" s="23">
        <f t="shared" si="12"/>
        <v>0</v>
      </c>
    </row>
    <row r="161" spans="1:84" s="4" customFormat="1" ht="30.05" customHeight="1" x14ac:dyDescent="0.3">
      <c r="A161" s="54" t="s">
        <v>180</v>
      </c>
      <c r="B161" s="114" t="s">
        <v>109</v>
      </c>
      <c r="C161" s="42" t="s">
        <v>6</v>
      </c>
      <c r="D161" s="169">
        <v>45.18</v>
      </c>
      <c r="E161" s="125">
        <v>3000</v>
      </c>
      <c r="F161" s="125">
        <v>7000</v>
      </c>
      <c r="G161" s="125">
        <f>ROUND(D161*E161,0)</f>
        <v>135540</v>
      </c>
      <c r="H161" s="125">
        <f>ROUND(D161*F161,0)</f>
        <v>316260</v>
      </c>
      <c r="I161" s="125">
        <f t="shared" si="40"/>
        <v>451800</v>
      </c>
      <c r="J161" s="187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69"/>
      <c r="V161" s="23"/>
      <c r="W161" s="23"/>
      <c r="X161" s="23"/>
      <c r="Y161" s="23"/>
      <c r="Z161" s="23"/>
      <c r="AA161" s="69"/>
      <c r="AB161" s="23"/>
      <c r="AC161" s="23"/>
      <c r="AD161" s="69"/>
      <c r="AE161" s="23"/>
      <c r="AF161" s="23"/>
      <c r="AG161" s="69"/>
      <c r="AH161" s="69"/>
      <c r="AI161" s="23"/>
      <c r="AJ161" s="23"/>
      <c r="AK161" s="23"/>
      <c r="AL161" s="23"/>
      <c r="AM161" s="69"/>
      <c r="AN161" s="23"/>
      <c r="AO161" s="23"/>
      <c r="AP161" s="23"/>
      <c r="AQ161" s="69"/>
      <c r="AR161" s="69"/>
      <c r="AS161" s="23"/>
      <c r="AT161" s="23"/>
      <c r="AU161" s="69"/>
      <c r="AV161" s="69"/>
      <c r="AW161" s="23"/>
      <c r="AX161" s="23"/>
      <c r="AY161" s="69"/>
      <c r="AZ161" s="69"/>
      <c r="BA161" s="23"/>
      <c r="BB161" s="23"/>
      <c r="BC161" s="69"/>
      <c r="BD161" s="69"/>
      <c r="BE161" s="23"/>
      <c r="BF161" s="23"/>
      <c r="BG161" s="69"/>
      <c r="BH161" s="69"/>
      <c r="BI161" s="23"/>
      <c r="BJ161" s="23"/>
      <c r="BK161" s="69"/>
      <c r="BL161" s="69"/>
      <c r="BM161" s="23"/>
      <c r="BN161" s="23"/>
      <c r="BO161" s="69"/>
      <c r="BP161" s="69"/>
      <c r="BQ161" s="23"/>
      <c r="BR161" s="23"/>
      <c r="BS161" s="69"/>
      <c r="BT161" s="69"/>
      <c r="BU161" s="23"/>
      <c r="BV161" s="23"/>
      <c r="BW161" s="23"/>
      <c r="BX161" s="23"/>
      <c r="BY161" s="21"/>
      <c r="BZ161" s="22"/>
      <c r="CA161" s="23"/>
      <c r="CB161" s="23"/>
      <c r="CC161" s="21"/>
      <c r="CD161" s="22"/>
      <c r="CE161" s="23"/>
      <c r="CF161" s="23"/>
    </row>
    <row r="162" spans="1:84" s="4" customFormat="1" ht="30.05" customHeight="1" x14ac:dyDescent="0.3">
      <c r="A162" s="54" t="s">
        <v>47</v>
      </c>
      <c r="B162" s="41" t="s">
        <v>348</v>
      </c>
      <c r="C162" s="42" t="s">
        <v>6</v>
      </c>
      <c r="D162" s="169">
        <v>1303.51</v>
      </c>
      <c r="E162" s="125">
        <v>800</v>
      </c>
      <c r="F162" s="125">
        <v>4500</v>
      </c>
      <c r="G162" s="125">
        <f>ROUND(D162*E162,0)</f>
        <v>1042808</v>
      </c>
      <c r="H162" s="125">
        <f>ROUND(D162*F162,0)</f>
        <v>5865795</v>
      </c>
      <c r="I162" s="125">
        <f t="shared" si="40"/>
        <v>6908603</v>
      </c>
      <c r="J162" s="187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69"/>
      <c r="V162" s="23">
        <f>U162*E162</f>
        <v>0</v>
      </c>
      <c r="W162" s="23">
        <f>U162*F162</f>
        <v>0</v>
      </c>
      <c r="X162" s="23">
        <f t="shared" ref="X162:X168" si="41">V162+W162</f>
        <v>0</v>
      </c>
      <c r="Y162" s="23"/>
      <c r="Z162" s="23"/>
      <c r="AA162" s="69"/>
      <c r="AB162" s="23"/>
      <c r="AC162" s="23"/>
      <c r="AD162" s="69"/>
      <c r="AE162" s="23"/>
      <c r="AF162" s="23"/>
      <c r="AG162" s="69">
        <v>177.51</v>
      </c>
      <c r="AH162" s="4">
        <f>ROUND(AG162*E162,0)</f>
        <v>142008</v>
      </c>
      <c r="AI162" s="23">
        <f>ROUND(AG162*F162,0)</f>
        <v>798795</v>
      </c>
      <c r="AJ162" s="23">
        <f>AH162+AI162</f>
        <v>940803</v>
      </c>
      <c r="AK162" s="23"/>
      <c r="AL162" s="23"/>
      <c r="AM162" s="69">
        <v>101.4</v>
      </c>
      <c r="AN162" s="23">
        <f>ROUND(AM162*E162,0)</f>
        <v>81120</v>
      </c>
      <c r="AO162" s="23">
        <f>AM162*F162</f>
        <v>456300</v>
      </c>
      <c r="AP162" s="23">
        <f>AN162+AO162</f>
        <v>537420</v>
      </c>
      <c r="AQ162" s="69"/>
      <c r="AR162" s="69"/>
      <c r="AS162" s="23"/>
      <c r="AT162" s="23"/>
      <c r="AU162" s="69"/>
      <c r="AV162" s="69"/>
      <c r="AW162" s="23"/>
      <c r="AX162" s="23"/>
      <c r="AY162" s="69"/>
      <c r="AZ162" s="69"/>
      <c r="BA162" s="23"/>
      <c r="BB162" s="23"/>
      <c r="BC162" s="69"/>
      <c r="BD162" s="69"/>
      <c r="BE162" s="23"/>
      <c r="BF162" s="23"/>
      <c r="BG162" s="69"/>
      <c r="BH162" s="69"/>
      <c r="BI162" s="23"/>
      <c r="BJ162" s="23"/>
      <c r="BK162" s="69"/>
      <c r="BL162" s="69"/>
      <c r="BM162" s="23"/>
      <c r="BN162" s="23"/>
      <c r="BO162" s="69"/>
      <c r="BP162" s="69"/>
      <c r="BQ162" s="23"/>
      <c r="BR162" s="23"/>
      <c r="BS162" s="69"/>
      <c r="BT162" s="69"/>
      <c r="BU162" s="23"/>
      <c r="BV162" s="23"/>
      <c r="BW162" s="23"/>
      <c r="BX162" s="23"/>
      <c r="BY162" s="21" t="e">
        <f>#REF!-Y162-AE162-AK162-BW162</f>
        <v>#REF!</v>
      </c>
      <c r="BZ162" s="22">
        <f t="shared" ref="BZ162:CA165" si="42">G162-V162-AB162-AH162-AN162-AR162-AV162-AZ162-BD162-BH162-BL162-BP162-BT162</f>
        <v>819680</v>
      </c>
      <c r="CA162" s="23">
        <f t="shared" si="42"/>
        <v>4610700</v>
      </c>
      <c r="CB162" s="23">
        <f>I162-Z162-AF162-AL162-BX162</f>
        <v>6908603</v>
      </c>
      <c r="CC162" s="21"/>
      <c r="CD162" s="22"/>
      <c r="CE162" s="23"/>
      <c r="CF162" s="23"/>
    </row>
    <row r="163" spans="1:84" s="4" customFormat="1" ht="30.05" customHeight="1" x14ac:dyDescent="0.3">
      <c r="A163" s="54" t="s">
        <v>184</v>
      </c>
      <c r="B163" s="41" t="s">
        <v>347</v>
      </c>
      <c r="C163" s="42" t="s">
        <v>6</v>
      </c>
      <c r="D163" s="169">
        <v>384.85</v>
      </c>
      <c r="E163" s="125">
        <v>800</v>
      </c>
      <c r="F163" s="125">
        <v>4000</v>
      </c>
      <c r="G163" s="125">
        <f>ROUND(D163*E163,0)</f>
        <v>307880</v>
      </c>
      <c r="H163" s="125">
        <f>ROUND(D163*F163,0)</f>
        <v>1539400</v>
      </c>
      <c r="I163" s="125">
        <f t="shared" si="40"/>
        <v>1847280</v>
      </c>
      <c r="J163" s="187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69"/>
      <c r="V163" s="23">
        <f>U163*E163</f>
        <v>0</v>
      </c>
      <c r="W163" s="23">
        <f>U163*F163</f>
        <v>0</v>
      </c>
      <c r="X163" s="23">
        <f t="shared" si="41"/>
        <v>0</v>
      </c>
      <c r="Y163" s="23"/>
      <c r="Z163" s="23"/>
      <c r="AA163" s="69"/>
      <c r="AB163" s="23"/>
      <c r="AC163" s="23"/>
      <c r="AD163" s="69"/>
      <c r="AE163" s="23"/>
      <c r="AF163" s="23"/>
      <c r="AG163" s="69"/>
      <c r="AH163" s="69"/>
      <c r="AI163" s="23"/>
      <c r="AJ163" s="23"/>
      <c r="AK163" s="23"/>
      <c r="AL163" s="23"/>
      <c r="AM163" s="69"/>
      <c r="AN163" s="69"/>
      <c r="AO163" s="23"/>
      <c r="AP163" s="23"/>
      <c r="AQ163" s="69"/>
      <c r="AR163" s="69"/>
      <c r="AS163" s="23"/>
      <c r="AT163" s="23"/>
      <c r="AU163" s="69"/>
      <c r="AV163" s="69"/>
      <c r="AW163" s="23"/>
      <c r="AX163" s="23"/>
      <c r="AY163" s="69"/>
      <c r="AZ163" s="69"/>
      <c r="BA163" s="23"/>
      <c r="BB163" s="23"/>
      <c r="BC163" s="69"/>
      <c r="BD163" s="69"/>
      <c r="BE163" s="23"/>
      <c r="BF163" s="23"/>
      <c r="BG163" s="69"/>
      <c r="BH163" s="69"/>
      <c r="BI163" s="23"/>
      <c r="BJ163" s="23"/>
      <c r="BK163" s="69"/>
      <c r="BL163" s="69"/>
      <c r="BM163" s="23"/>
      <c r="BN163" s="23"/>
      <c r="BO163" s="69"/>
      <c r="BP163" s="69"/>
      <c r="BQ163" s="23"/>
      <c r="BR163" s="23"/>
      <c r="BS163" s="69"/>
      <c r="BT163" s="69"/>
      <c r="BU163" s="23"/>
      <c r="BV163" s="23"/>
      <c r="BW163" s="23"/>
      <c r="BX163" s="23"/>
      <c r="BY163" s="21" t="e">
        <f>#REF!-Y163-AE163-AK163-BW163</f>
        <v>#REF!</v>
      </c>
      <c r="BZ163" s="22">
        <f t="shared" si="42"/>
        <v>307880</v>
      </c>
      <c r="CA163" s="23">
        <f t="shared" si="42"/>
        <v>1539400</v>
      </c>
      <c r="CB163" s="23">
        <f>I163-Z163-AF163-AL163-BX163</f>
        <v>1847280</v>
      </c>
      <c r="CC163" s="21"/>
      <c r="CD163" s="22"/>
      <c r="CE163" s="23"/>
      <c r="CF163" s="23"/>
    </row>
    <row r="164" spans="1:84" s="4" customFormat="1" ht="30.05" customHeight="1" x14ac:dyDescent="0.3">
      <c r="A164" s="54" t="s">
        <v>186</v>
      </c>
      <c r="B164" s="41" t="s">
        <v>237</v>
      </c>
      <c r="C164" s="42" t="s">
        <v>6</v>
      </c>
      <c r="D164" s="169">
        <v>1348.67</v>
      </c>
      <c r="E164" s="125">
        <v>700</v>
      </c>
      <c r="F164" s="125">
        <v>3000</v>
      </c>
      <c r="G164" s="125">
        <f>ROUND(D164*E164,0)</f>
        <v>944069</v>
      </c>
      <c r="H164" s="125">
        <f>ROUND(D164*F164,0)</f>
        <v>4046010</v>
      </c>
      <c r="I164" s="125">
        <f t="shared" si="40"/>
        <v>4990079</v>
      </c>
      <c r="J164" s="187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69"/>
      <c r="V164" s="23">
        <f>U164*E164</f>
        <v>0</v>
      </c>
      <c r="W164" s="23">
        <f>U164*F164</f>
        <v>0</v>
      </c>
      <c r="X164" s="23">
        <f t="shared" si="41"/>
        <v>0</v>
      </c>
      <c r="Y164" s="23"/>
      <c r="Z164" s="23"/>
      <c r="AA164" s="69"/>
      <c r="AB164" s="23"/>
      <c r="AC164" s="23"/>
      <c r="AD164" s="69"/>
      <c r="AE164" s="23"/>
      <c r="AF164" s="23"/>
      <c r="AG164" s="69"/>
      <c r="AH164" s="69"/>
      <c r="AI164" s="23"/>
      <c r="AJ164" s="23"/>
      <c r="AK164" s="23"/>
      <c r="AL164" s="23"/>
      <c r="AM164" s="69"/>
      <c r="AN164" s="23"/>
      <c r="AO164" s="23"/>
      <c r="AP164" s="23"/>
      <c r="AQ164" s="69"/>
      <c r="AR164" s="69"/>
      <c r="AS164" s="23"/>
      <c r="AT164" s="23"/>
      <c r="AU164" s="69"/>
      <c r="AV164" s="69"/>
      <c r="AW164" s="23"/>
      <c r="AX164" s="23"/>
      <c r="AY164" s="69"/>
      <c r="AZ164" s="69"/>
      <c r="BA164" s="23"/>
      <c r="BB164" s="23"/>
      <c r="BC164" s="69"/>
      <c r="BD164" s="69"/>
      <c r="BE164" s="23"/>
      <c r="BF164" s="23"/>
      <c r="BG164" s="69"/>
      <c r="BH164" s="69"/>
      <c r="BI164" s="23"/>
      <c r="BJ164" s="23"/>
      <c r="BK164" s="69"/>
      <c r="BL164" s="69"/>
      <c r="BM164" s="23"/>
      <c r="BN164" s="23"/>
      <c r="BO164" s="69"/>
      <c r="BP164" s="69"/>
      <c r="BQ164" s="23"/>
      <c r="BR164" s="23"/>
      <c r="BS164" s="69"/>
      <c r="BT164" s="69"/>
      <c r="BU164" s="23"/>
      <c r="BV164" s="23"/>
      <c r="BW164" s="23"/>
      <c r="BX164" s="23"/>
      <c r="BY164" s="21" t="e">
        <f>#REF!-Y164-AE164-AK164-BW164</f>
        <v>#REF!</v>
      </c>
      <c r="BZ164" s="22">
        <f t="shared" si="42"/>
        <v>944069</v>
      </c>
      <c r="CA164" s="23">
        <f t="shared" si="42"/>
        <v>4046010</v>
      </c>
      <c r="CB164" s="23">
        <f>I164-Z164-AF164-AL164-BX164</f>
        <v>4990079</v>
      </c>
      <c r="CC164" s="21"/>
      <c r="CD164" s="22"/>
      <c r="CE164" s="23"/>
      <c r="CF164" s="23"/>
    </row>
    <row r="165" spans="1:84" s="4" customFormat="1" ht="30.05" customHeight="1" x14ac:dyDescent="0.3">
      <c r="A165" s="54"/>
      <c r="B165" s="46" t="s">
        <v>92</v>
      </c>
      <c r="C165" s="42"/>
      <c r="D165" s="169"/>
      <c r="E165" s="123"/>
      <c r="F165" s="123"/>
      <c r="G165" s="258">
        <f>SUM(G160:G164)</f>
        <v>7857297</v>
      </c>
      <c r="H165" s="258">
        <f>SUM(H160:H164)</f>
        <v>24792265</v>
      </c>
      <c r="I165" s="258">
        <f t="shared" si="40"/>
        <v>32649562</v>
      </c>
      <c r="J165" s="187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78"/>
      <c r="V165" s="23">
        <f>U165*E165</f>
        <v>0</v>
      </c>
      <c r="W165" s="23">
        <f>U165*F165</f>
        <v>0</v>
      </c>
      <c r="X165" s="23">
        <f t="shared" si="41"/>
        <v>0</v>
      </c>
      <c r="Y165" s="23"/>
      <c r="Z165" s="23"/>
      <c r="AA165" s="78"/>
      <c r="AB165" s="63"/>
      <c r="AC165" s="23"/>
      <c r="AD165" s="78"/>
      <c r="AE165" s="23"/>
      <c r="AF165" s="23"/>
      <c r="AG165" s="78"/>
      <c r="AH165" s="63">
        <f>SUM(AH160:AH163)</f>
        <v>142008</v>
      </c>
      <c r="AI165" s="23"/>
      <c r="AJ165" s="63">
        <f>SUM(AH165:AI165)</f>
        <v>142008</v>
      </c>
      <c r="AK165" s="23"/>
      <c r="AL165" s="23"/>
      <c r="AM165" s="78"/>
      <c r="AN165" s="63">
        <f>SUM(AN160:AN163)</f>
        <v>381120</v>
      </c>
      <c r="AO165" s="23"/>
      <c r="AP165" s="63">
        <f>SUM(AN165:AO165)</f>
        <v>381120</v>
      </c>
      <c r="AQ165" s="78"/>
      <c r="AR165" s="78"/>
      <c r="AS165" s="63"/>
      <c r="AT165" s="23"/>
      <c r="AU165" s="78"/>
      <c r="AV165" s="78"/>
      <c r="AW165" s="63"/>
      <c r="AX165" s="23"/>
      <c r="AY165" s="78"/>
      <c r="AZ165" s="78"/>
      <c r="BA165" s="63"/>
      <c r="BB165" s="23"/>
      <c r="BC165" s="78"/>
      <c r="BD165" s="78"/>
      <c r="BE165" s="63"/>
      <c r="BF165" s="23"/>
      <c r="BG165" s="78"/>
      <c r="BH165" s="78"/>
      <c r="BI165" s="63"/>
      <c r="BJ165" s="23"/>
      <c r="BK165" s="78"/>
      <c r="BL165" s="78"/>
      <c r="BM165" s="63"/>
      <c r="BN165" s="23"/>
      <c r="BO165" s="78"/>
      <c r="BP165" s="78"/>
      <c r="BQ165" s="63"/>
      <c r="BR165" s="23"/>
      <c r="BS165" s="78"/>
      <c r="BT165" s="78"/>
      <c r="BU165" s="63"/>
      <c r="BV165" s="23"/>
      <c r="BW165" s="23"/>
      <c r="BX165" s="23"/>
      <c r="BY165" s="21" t="e">
        <f>#REF!-Y165-AE165-AK165-BW165</f>
        <v>#REF!</v>
      </c>
      <c r="BZ165" s="22">
        <f t="shared" si="42"/>
        <v>7334169</v>
      </c>
      <c r="CA165" s="23">
        <f t="shared" si="42"/>
        <v>24792265</v>
      </c>
      <c r="CB165" s="23">
        <f>I165-Z165-AF165-AL165-BX165</f>
        <v>32649562</v>
      </c>
      <c r="CC165" s="21"/>
      <c r="CD165" s="63">
        <f>SUM(CD160:CD163)</f>
        <v>0</v>
      </c>
      <c r="CE165" s="23"/>
      <c r="CF165" s="63">
        <f>SUM(CD165:CE165)</f>
        <v>0</v>
      </c>
    </row>
    <row r="166" spans="1:84" s="175" customFormat="1" ht="30.05" customHeight="1" x14ac:dyDescent="0.25">
      <c r="A166" s="54"/>
      <c r="B166" s="41" t="s">
        <v>249</v>
      </c>
      <c r="C166" s="42"/>
      <c r="D166" s="169"/>
      <c r="E166" s="123"/>
      <c r="F166" s="123"/>
      <c r="G166" s="125">
        <f>ROUND(G165*0.11,0)</f>
        <v>864303</v>
      </c>
      <c r="H166" s="123"/>
      <c r="I166" s="123">
        <f>G166</f>
        <v>864303</v>
      </c>
      <c r="J166" s="197"/>
    </row>
    <row r="167" spans="1:84" s="175" customFormat="1" ht="30.05" customHeight="1" x14ac:dyDescent="0.25">
      <c r="A167" s="54"/>
      <c r="B167" s="41" t="s">
        <v>223</v>
      </c>
      <c r="C167" s="42"/>
      <c r="D167" s="169"/>
      <c r="E167" s="123"/>
      <c r="F167" s="123"/>
      <c r="G167" s="125">
        <f>ROUND(G165*0.05,0)</f>
        <v>392865</v>
      </c>
      <c r="H167" s="123"/>
      <c r="I167" s="123">
        <f>G167</f>
        <v>392865</v>
      </c>
      <c r="J167" s="197"/>
    </row>
    <row r="168" spans="1:84" s="3" customFormat="1" ht="30.05" customHeight="1" x14ac:dyDescent="0.3">
      <c r="A168" s="43"/>
      <c r="B168" s="36" t="s">
        <v>266</v>
      </c>
      <c r="C168" s="43"/>
      <c r="D168" s="259"/>
      <c r="E168" s="260"/>
      <c r="F168" s="260"/>
      <c r="G168" s="260">
        <f>SUM(G165:G167)</f>
        <v>9114465</v>
      </c>
      <c r="H168" s="260">
        <f>SUM(H165:H167)</f>
        <v>24792265</v>
      </c>
      <c r="I168" s="261">
        <f>SUM(I165:I167)</f>
        <v>33906730</v>
      </c>
      <c r="J168" s="205">
        <f>I168</f>
        <v>33906730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64"/>
      <c r="V168" s="18">
        <f>U168*E168</f>
        <v>0</v>
      </c>
      <c r="W168" s="18">
        <f>U168*F168</f>
        <v>0</v>
      </c>
      <c r="X168" s="18">
        <f t="shared" si="41"/>
        <v>0</v>
      </c>
      <c r="Y168" s="18"/>
      <c r="Z168" s="18"/>
      <c r="AA168" s="64"/>
      <c r="AB168" s="64"/>
      <c r="AC168" s="64"/>
      <c r="AD168" s="64"/>
      <c r="AE168" s="18"/>
      <c r="AF168" s="18"/>
      <c r="AG168" s="64"/>
      <c r="AH168" s="64"/>
      <c r="AI168" s="64"/>
      <c r="AJ168" s="25">
        <f>SUM(AJ165:AJ165)</f>
        <v>142008</v>
      </c>
      <c r="AK168" s="18"/>
      <c r="AL168" s="18"/>
      <c r="AM168" s="64"/>
      <c r="AN168" s="64"/>
      <c r="AO168" s="64"/>
      <c r="AP168" s="25">
        <f>SUM(AP165:AP165)</f>
        <v>381120</v>
      </c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18"/>
      <c r="BX168" s="18"/>
      <c r="BY168" s="19" t="e">
        <f>#REF!-Y168-AE168-AK168-BW168</f>
        <v>#REF!</v>
      </c>
      <c r="BZ168" s="20">
        <f>G168-V168-AB168-AH168-AN168-AR168-AV168-AZ168-BD168-BH168-BL168-BP168-BT168</f>
        <v>9114465</v>
      </c>
      <c r="CA168" s="18">
        <f>H168-W168-AC168-AI168-AO168-AS168-AW168-BA168-BE168-BI168-BM168-BQ168-BU168</f>
        <v>24792265</v>
      </c>
      <c r="CB168" s="18">
        <f>I168-Z168-AF168-AL168-BX168</f>
        <v>33906730</v>
      </c>
      <c r="CC168" s="19"/>
      <c r="CD168" s="64"/>
      <c r="CE168" s="64"/>
      <c r="CF168" s="25">
        <f>SUM(CF165:CF165)</f>
        <v>0</v>
      </c>
    </row>
    <row r="169" spans="1:84" s="4" customFormat="1" ht="30.05" customHeight="1" x14ac:dyDescent="0.3">
      <c r="A169" s="52" t="s">
        <v>48</v>
      </c>
      <c r="B169" s="37" t="s">
        <v>43</v>
      </c>
      <c r="C169" s="32"/>
      <c r="D169" s="256"/>
      <c r="E169" s="257"/>
      <c r="F169" s="257"/>
      <c r="G169" s="257"/>
      <c r="H169" s="257"/>
      <c r="I169" s="257"/>
      <c r="J169" s="208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23"/>
      <c r="W169" s="23"/>
      <c r="X169" s="23"/>
      <c r="Y169" s="23"/>
      <c r="Z169" s="23"/>
      <c r="AA169" s="79"/>
      <c r="AB169" s="79"/>
      <c r="AC169" s="79"/>
      <c r="AD169" s="79"/>
      <c r="AE169" s="23"/>
      <c r="AF169" s="23"/>
      <c r="AG169" s="79"/>
      <c r="AH169" s="79"/>
      <c r="AI169" s="79"/>
      <c r="AJ169" s="79"/>
      <c r="AK169" s="23"/>
      <c r="AL169" s="23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23"/>
      <c r="BX169" s="23"/>
      <c r="BY169" s="21"/>
      <c r="BZ169" s="22"/>
      <c r="CA169" s="23"/>
      <c r="CB169" s="23"/>
      <c r="CC169" s="21"/>
      <c r="CD169" s="22"/>
      <c r="CE169" s="23"/>
      <c r="CF169" s="23"/>
    </row>
    <row r="170" spans="1:84" s="4" customFormat="1" ht="30.05" customHeight="1" x14ac:dyDescent="0.3">
      <c r="A170" s="54" t="s">
        <v>50</v>
      </c>
      <c r="B170" s="41" t="s">
        <v>178</v>
      </c>
      <c r="C170" s="32" t="s">
        <v>105</v>
      </c>
      <c r="D170" s="169">
        <v>1</v>
      </c>
      <c r="E170" s="123">
        <v>5000</v>
      </c>
      <c r="F170" s="123">
        <f>ROUND(24000/(1.3*2.77)*(2.15*1.55),0)</f>
        <v>22210</v>
      </c>
      <c r="G170" s="123">
        <f>ROUND(D170*E170,0)</f>
        <v>5000</v>
      </c>
      <c r="H170" s="123">
        <f>ROUND(D170*F170,0)</f>
        <v>22210</v>
      </c>
      <c r="I170" s="123">
        <f>SUM(G170:H170)</f>
        <v>27210</v>
      </c>
      <c r="J170" s="208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23"/>
      <c r="W170" s="23"/>
      <c r="X170" s="23"/>
      <c r="Y170" s="23"/>
      <c r="Z170" s="23"/>
      <c r="AA170" s="79"/>
      <c r="AB170" s="79"/>
      <c r="AC170" s="79"/>
      <c r="AD170" s="79"/>
      <c r="AE170" s="23"/>
      <c r="AF170" s="23"/>
      <c r="AG170" s="79"/>
      <c r="AH170" s="79"/>
      <c r="AI170" s="79"/>
      <c r="AJ170" s="79"/>
      <c r="AK170" s="23"/>
      <c r="AL170" s="23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23"/>
      <c r="BX170" s="23"/>
      <c r="BY170" s="21"/>
      <c r="BZ170" s="22"/>
      <c r="CA170" s="23"/>
      <c r="CB170" s="23"/>
      <c r="CC170" s="21"/>
      <c r="CD170" s="22"/>
      <c r="CE170" s="23"/>
      <c r="CF170" s="23"/>
    </row>
    <row r="171" spans="1:84" s="4" customFormat="1" ht="30.05" customHeight="1" x14ac:dyDescent="0.3">
      <c r="A171" s="54" t="s">
        <v>52</v>
      </c>
      <c r="B171" s="41" t="s">
        <v>179</v>
      </c>
      <c r="C171" s="32" t="s">
        <v>105</v>
      </c>
      <c r="D171" s="169">
        <v>1</v>
      </c>
      <c r="E171" s="123">
        <v>5000</v>
      </c>
      <c r="F171" s="123">
        <f>ROUND(24000/(1.3*2.77)*(2.15*1.55),0)</f>
        <v>22210</v>
      </c>
      <c r="G171" s="123">
        <f t="shared" ref="G171:G189" si="43">ROUND(D171*E171,0)</f>
        <v>5000</v>
      </c>
      <c r="H171" s="123">
        <f t="shared" ref="H171:H189" si="44">ROUND(D171*F171,0)</f>
        <v>22210</v>
      </c>
      <c r="I171" s="123">
        <f t="shared" ref="I171:I189" si="45">SUM(G171:H171)</f>
        <v>27210</v>
      </c>
      <c r="J171" s="208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23"/>
      <c r="W171" s="23"/>
      <c r="X171" s="23"/>
      <c r="Y171" s="23"/>
      <c r="Z171" s="23"/>
      <c r="AA171" s="79"/>
      <c r="AB171" s="79"/>
      <c r="AC171" s="79"/>
      <c r="AD171" s="79"/>
      <c r="AE171" s="23"/>
      <c r="AF171" s="23"/>
      <c r="AG171" s="79"/>
      <c r="AH171" s="79"/>
      <c r="AI171" s="79"/>
      <c r="AJ171" s="79"/>
      <c r="AK171" s="23"/>
      <c r="AL171" s="23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23"/>
      <c r="BX171" s="23"/>
      <c r="BY171" s="21"/>
      <c r="BZ171" s="22"/>
      <c r="CA171" s="23"/>
      <c r="CB171" s="23"/>
      <c r="CC171" s="21"/>
      <c r="CD171" s="22"/>
      <c r="CE171" s="23"/>
      <c r="CF171" s="23"/>
    </row>
    <row r="172" spans="1:84" s="4" customFormat="1" ht="30.05" customHeight="1" x14ac:dyDescent="0.3">
      <c r="A172" s="54" t="s">
        <v>238</v>
      </c>
      <c r="B172" s="41" t="s">
        <v>181</v>
      </c>
      <c r="C172" s="32" t="s">
        <v>105</v>
      </c>
      <c r="D172" s="169">
        <v>2</v>
      </c>
      <c r="E172" s="123">
        <v>5000</v>
      </c>
      <c r="F172" s="123">
        <f>ROUND(24000/(1.3*2.77)*(2.15*1.55),0)</f>
        <v>22210</v>
      </c>
      <c r="G172" s="123">
        <f t="shared" si="43"/>
        <v>10000</v>
      </c>
      <c r="H172" s="123">
        <f t="shared" si="44"/>
        <v>44420</v>
      </c>
      <c r="I172" s="123">
        <f t="shared" si="45"/>
        <v>54420</v>
      </c>
      <c r="J172" s="208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23"/>
      <c r="W172" s="23"/>
      <c r="X172" s="23"/>
      <c r="Y172" s="23"/>
      <c r="Z172" s="23"/>
      <c r="AA172" s="79"/>
      <c r="AB172" s="79"/>
      <c r="AC172" s="79"/>
      <c r="AD172" s="79"/>
      <c r="AE172" s="23"/>
      <c r="AF172" s="23"/>
      <c r="AG172" s="79"/>
      <c r="AH172" s="79"/>
      <c r="AI172" s="79"/>
      <c r="AJ172" s="79"/>
      <c r="AK172" s="23"/>
      <c r="AL172" s="23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23"/>
      <c r="BX172" s="23"/>
      <c r="BY172" s="21"/>
      <c r="BZ172" s="22"/>
      <c r="CA172" s="23"/>
      <c r="CB172" s="23"/>
      <c r="CC172" s="21"/>
      <c r="CD172" s="22"/>
      <c r="CE172" s="23"/>
      <c r="CF172" s="23"/>
    </row>
    <row r="173" spans="1:84" s="4" customFormat="1" ht="30.05" customHeight="1" x14ac:dyDescent="0.3">
      <c r="A173" s="54" t="s">
        <v>239</v>
      </c>
      <c r="B173" s="41" t="s">
        <v>182</v>
      </c>
      <c r="C173" s="32" t="s">
        <v>105</v>
      </c>
      <c r="D173" s="169">
        <v>2</v>
      </c>
      <c r="E173" s="123">
        <v>5000</v>
      </c>
      <c r="F173" s="123">
        <f>ROUND(24000/(1.3*2.77)*(2.15*1.55),0)</f>
        <v>22210</v>
      </c>
      <c r="G173" s="123">
        <f t="shared" si="43"/>
        <v>10000</v>
      </c>
      <c r="H173" s="123">
        <f t="shared" si="44"/>
        <v>44420</v>
      </c>
      <c r="I173" s="123">
        <f t="shared" si="45"/>
        <v>54420</v>
      </c>
      <c r="J173" s="208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23"/>
      <c r="W173" s="23"/>
      <c r="X173" s="23"/>
      <c r="Y173" s="23"/>
      <c r="Z173" s="23"/>
      <c r="AA173" s="79"/>
      <c r="AB173" s="79"/>
      <c r="AC173" s="79"/>
      <c r="AD173" s="79"/>
      <c r="AE173" s="23"/>
      <c r="AF173" s="23"/>
      <c r="AG173" s="79"/>
      <c r="AH173" s="79"/>
      <c r="AI173" s="79"/>
      <c r="AJ173" s="79"/>
      <c r="AK173" s="23"/>
      <c r="AL173" s="23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23"/>
      <c r="BX173" s="23"/>
      <c r="BY173" s="21"/>
      <c r="BZ173" s="22"/>
      <c r="CA173" s="23"/>
      <c r="CB173" s="23"/>
      <c r="CC173" s="21"/>
      <c r="CD173" s="22"/>
      <c r="CE173" s="23"/>
      <c r="CF173" s="23"/>
    </row>
    <row r="174" spans="1:84" s="4" customFormat="1" ht="30.05" customHeight="1" x14ac:dyDescent="0.3">
      <c r="A174" s="54" t="s">
        <v>240</v>
      </c>
      <c r="B174" s="41" t="s">
        <v>183</v>
      </c>
      <c r="C174" s="32" t="s">
        <v>105</v>
      </c>
      <c r="D174" s="169">
        <v>1</v>
      </c>
      <c r="E174" s="123">
        <v>2000</v>
      </c>
      <c r="F174" s="123">
        <f>ROUND(15000/(1.2*2.1)*(2.1*1.24),0)</f>
        <v>15500</v>
      </c>
      <c r="G174" s="123">
        <f t="shared" si="43"/>
        <v>2000</v>
      </c>
      <c r="H174" s="123">
        <f t="shared" si="44"/>
        <v>15500</v>
      </c>
      <c r="I174" s="123">
        <f t="shared" si="45"/>
        <v>17500</v>
      </c>
      <c r="J174" s="208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23"/>
      <c r="W174" s="23"/>
      <c r="X174" s="23"/>
      <c r="Y174" s="23"/>
      <c r="Z174" s="23"/>
      <c r="AA174" s="79"/>
      <c r="AB174" s="79"/>
      <c r="AC174" s="79"/>
      <c r="AD174" s="79"/>
      <c r="AE174" s="23"/>
      <c r="AF174" s="23"/>
      <c r="AG174" s="79"/>
      <c r="AH174" s="79"/>
      <c r="AI174" s="79"/>
      <c r="AJ174" s="79"/>
      <c r="AK174" s="23"/>
      <c r="AL174" s="23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23"/>
      <c r="BX174" s="23"/>
      <c r="BY174" s="21"/>
      <c r="BZ174" s="22"/>
      <c r="CA174" s="23"/>
      <c r="CB174" s="23"/>
      <c r="CC174" s="21"/>
      <c r="CD174" s="22"/>
      <c r="CE174" s="23"/>
      <c r="CF174" s="23"/>
    </row>
    <row r="175" spans="1:84" s="4" customFormat="1" ht="30.05" customHeight="1" x14ac:dyDescent="0.3">
      <c r="A175" s="54" t="s">
        <v>267</v>
      </c>
      <c r="B175" s="41" t="s">
        <v>185</v>
      </c>
      <c r="C175" s="32" t="s">
        <v>105</v>
      </c>
      <c r="D175" s="169">
        <v>1</v>
      </c>
      <c r="E175" s="123">
        <v>2000</v>
      </c>
      <c r="F175" s="123">
        <f>ROUND(14000/(1.3*2.72)*(2.79*1.35),0)</f>
        <v>14913</v>
      </c>
      <c r="G175" s="123">
        <f t="shared" si="43"/>
        <v>2000</v>
      </c>
      <c r="H175" s="123">
        <f t="shared" si="44"/>
        <v>14913</v>
      </c>
      <c r="I175" s="123">
        <f t="shared" si="45"/>
        <v>16913</v>
      </c>
      <c r="J175" s="208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23"/>
      <c r="W175" s="23"/>
      <c r="X175" s="23"/>
      <c r="Y175" s="23"/>
      <c r="Z175" s="23"/>
      <c r="AA175" s="79"/>
      <c r="AB175" s="79"/>
      <c r="AC175" s="79"/>
      <c r="AD175" s="79"/>
      <c r="AE175" s="23"/>
      <c r="AF175" s="23"/>
      <c r="AG175" s="79"/>
      <c r="AH175" s="79"/>
      <c r="AI175" s="79"/>
      <c r="AJ175" s="79"/>
      <c r="AK175" s="23"/>
      <c r="AL175" s="23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23"/>
      <c r="BX175" s="23"/>
      <c r="BY175" s="21"/>
      <c r="BZ175" s="22"/>
      <c r="CA175" s="23"/>
      <c r="CB175" s="23"/>
      <c r="CC175" s="21"/>
      <c r="CD175" s="22"/>
      <c r="CE175" s="23"/>
      <c r="CF175" s="23"/>
    </row>
    <row r="176" spans="1:84" s="4" customFormat="1" ht="30.05" customHeight="1" x14ac:dyDescent="0.3">
      <c r="A176" s="54" t="s">
        <v>268</v>
      </c>
      <c r="B176" s="41" t="s">
        <v>187</v>
      </c>
      <c r="C176" s="32" t="s">
        <v>105</v>
      </c>
      <c r="D176" s="169">
        <v>23</v>
      </c>
      <c r="E176" s="123">
        <v>2000</v>
      </c>
      <c r="F176" s="123">
        <f>ROUND(14000/(1.3*2.72)*(2.79*1.35),0)</f>
        <v>14913</v>
      </c>
      <c r="G176" s="123">
        <f t="shared" si="43"/>
        <v>46000</v>
      </c>
      <c r="H176" s="123">
        <f t="shared" si="44"/>
        <v>342999</v>
      </c>
      <c r="I176" s="123">
        <f t="shared" si="45"/>
        <v>388999</v>
      </c>
      <c r="J176" s="208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23"/>
      <c r="W176" s="23"/>
      <c r="X176" s="23"/>
      <c r="Y176" s="23"/>
      <c r="Z176" s="23"/>
      <c r="AA176" s="79"/>
      <c r="AB176" s="79"/>
      <c r="AC176" s="79"/>
      <c r="AD176" s="79"/>
      <c r="AE176" s="23"/>
      <c r="AF176" s="23"/>
      <c r="AG176" s="79"/>
      <c r="AH176" s="79"/>
      <c r="AI176" s="79"/>
      <c r="AJ176" s="79"/>
      <c r="AK176" s="23"/>
      <c r="AL176" s="23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23"/>
      <c r="BX176" s="23"/>
      <c r="BY176" s="21"/>
      <c r="BZ176" s="22"/>
      <c r="CA176" s="23"/>
      <c r="CB176" s="23"/>
      <c r="CC176" s="21"/>
      <c r="CD176" s="22"/>
      <c r="CE176" s="23"/>
      <c r="CF176" s="23"/>
    </row>
    <row r="177" spans="1:84" s="4" customFormat="1" ht="30.05" customHeight="1" x14ac:dyDescent="0.3">
      <c r="A177" s="54" t="s">
        <v>269</v>
      </c>
      <c r="B177" s="41" t="s">
        <v>188</v>
      </c>
      <c r="C177" s="32" t="s">
        <v>105</v>
      </c>
      <c r="D177" s="169">
        <v>23</v>
      </c>
      <c r="E177" s="123">
        <v>2000</v>
      </c>
      <c r="F177" s="123">
        <f>ROUND(14000/(1.3*2.72)*(2.79*1.35),0)</f>
        <v>14913</v>
      </c>
      <c r="G177" s="123">
        <f t="shared" si="43"/>
        <v>46000</v>
      </c>
      <c r="H177" s="123">
        <f t="shared" si="44"/>
        <v>342999</v>
      </c>
      <c r="I177" s="123">
        <f t="shared" si="45"/>
        <v>388999</v>
      </c>
      <c r="J177" s="208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23"/>
      <c r="W177" s="23"/>
      <c r="X177" s="23"/>
      <c r="Y177" s="23"/>
      <c r="Z177" s="23"/>
      <c r="AA177" s="79"/>
      <c r="AB177" s="79"/>
      <c r="AC177" s="79"/>
      <c r="AD177" s="79"/>
      <c r="AE177" s="23"/>
      <c r="AF177" s="23"/>
      <c r="AG177" s="79"/>
      <c r="AH177" s="79"/>
      <c r="AI177" s="79"/>
      <c r="AJ177" s="79"/>
      <c r="AK177" s="23"/>
      <c r="AL177" s="23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23"/>
      <c r="BX177" s="23"/>
      <c r="BY177" s="21"/>
      <c r="BZ177" s="22"/>
      <c r="CA177" s="23"/>
      <c r="CB177" s="23"/>
      <c r="CC177" s="21"/>
      <c r="CD177" s="22"/>
      <c r="CE177" s="23"/>
      <c r="CF177" s="23"/>
    </row>
    <row r="178" spans="1:84" s="4" customFormat="1" ht="30.05" customHeight="1" x14ac:dyDescent="0.3">
      <c r="A178" s="54" t="s">
        <v>270</v>
      </c>
      <c r="B178" s="41" t="s">
        <v>189</v>
      </c>
      <c r="C178" s="32" t="s">
        <v>105</v>
      </c>
      <c r="D178" s="169">
        <v>1</v>
      </c>
      <c r="E178" s="123">
        <v>2000</v>
      </c>
      <c r="F178" s="123">
        <f>ROUND(15400/(1.79*1)*(1.79*1.04),0)</f>
        <v>16016</v>
      </c>
      <c r="G178" s="123">
        <f t="shared" si="43"/>
        <v>2000</v>
      </c>
      <c r="H178" s="123">
        <f t="shared" si="44"/>
        <v>16016</v>
      </c>
      <c r="I178" s="123">
        <f t="shared" si="45"/>
        <v>18016</v>
      </c>
      <c r="J178" s="208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23"/>
      <c r="W178" s="23"/>
      <c r="X178" s="23"/>
      <c r="Y178" s="23"/>
      <c r="Z178" s="23"/>
      <c r="AA178" s="79"/>
      <c r="AB178" s="79"/>
      <c r="AC178" s="79"/>
      <c r="AD178" s="79"/>
      <c r="AE178" s="23"/>
      <c r="AF178" s="23"/>
      <c r="AG178" s="79"/>
      <c r="AH178" s="79"/>
      <c r="AI178" s="79"/>
      <c r="AJ178" s="79"/>
      <c r="AK178" s="23"/>
      <c r="AL178" s="23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23"/>
      <c r="BX178" s="23"/>
      <c r="BY178" s="21"/>
      <c r="BZ178" s="22"/>
      <c r="CA178" s="23"/>
      <c r="CB178" s="23"/>
      <c r="CC178" s="21"/>
      <c r="CD178" s="22"/>
      <c r="CE178" s="23"/>
      <c r="CF178" s="23"/>
    </row>
    <row r="179" spans="1:84" s="4" customFormat="1" ht="30.05" customHeight="1" x14ac:dyDescent="0.3">
      <c r="A179" s="54" t="s">
        <v>271</v>
      </c>
      <c r="B179" s="41" t="s">
        <v>190</v>
      </c>
      <c r="C179" s="32" t="s">
        <v>105</v>
      </c>
      <c r="D179" s="169">
        <v>1</v>
      </c>
      <c r="E179" s="123">
        <v>2000</v>
      </c>
      <c r="F179" s="123">
        <f>ROUND(15400/(1.79*1)*(1.85*1.04),0)</f>
        <v>16553</v>
      </c>
      <c r="G179" s="123">
        <f t="shared" si="43"/>
        <v>2000</v>
      </c>
      <c r="H179" s="123">
        <f t="shared" si="44"/>
        <v>16553</v>
      </c>
      <c r="I179" s="123">
        <f t="shared" si="45"/>
        <v>18553</v>
      </c>
      <c r="J179" s="208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23"/>
      <c r="W179" s="23"/>
      <c r="X179" s="23"/>
      <c r="Y179" s="23"/>
      <c r="Z179" s="23"/>
      <c r="AA179" s="79"/>
      <c r="AB179" s="79"/>
      <c r="AC179" s="79"/>
      <c r="AD179" s="79"/>
      <c r="AE179" s="23"/>
      <c r="AF179" s="23"/>
      <c r="AG179" s="79"/>
      <c r="AH179" s="79"/>
      <c r="AI179" s="79"/>
      <c r="AJ179" s="79"/>
      <c r="AK179" s="23"/>
      <c r="AL179" s="23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23"/>
      <c r="BX179" s="23"/>
      <c r="BY179" s="21"/>
      <c r="BZ179" s="22"/>
      <c r="CA179" s="23"/>
      <c r="CB179" s="23"/>
      <c r="CC179" s="21"/>
      <c r="CD179" s="22"/>
      <c r="CE179" s="23"/>
      <c r="CF179" s="23"/>
    </row>
    <row r="180" spans="1:84" s="4" customFormat="1" ht="30.05" customHeight="1" x14ac:dyDescent="0.3">
      <c r="A180" s="54" t="s">
        <v>272</v>
      </c>
      <c r="B180" s="41" t="s">
        <v>191</v>
      </c>
      <c r="C180" s="32" t="s">
        <v>105</v>
      </c>
      <c r="D180" s="169">
        <v>2</v>
      </c>
      <c r="E180" s="123">
        <v>2000</v>
      </c>
      <c r="F180" s="123">
        <v>10000</v>
      </c>
      <c r="G180" s="123">
        <f t="shared" si="43"/>
        <v>4000</v>
      </c>
      <c r="H180" s="123">
        <f t="shared" si="44"/>
        <v>20000</v>
      </c>
      <c r="I180" s="123">
        <f t="shared" si="45"/>
        <v>24000</v>
      </c>
      <c r="J180" s="208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23"/>
      <c r="W180" s="23"/>
      <c r="X180" s="23"/>
      <c r="Y180" s="23"/>
      <c r="Z180" s="23"/>
      <c r="AA180" s="79"/>
      <c r="AB180" s="79"/>
      <c r="AC180" s="79"/>
      <c r="AD180" s="79"/>
      <c r="AE180" s="23"/>
      <c r="AF180" s="23"/>
      <c r="AG180" s="79"/>
      <c r="AH180" s="79"/>
      <c r="AI180" s="79"/>
      <c r="AJ180" s="79"/>
      <c r="AK180" s="23"/>
      <c r="AL180" s="23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23"/>
      <c r="BX180" s="23"/>
      <c r="BY180" s="21"/>
      <c r="BZ180" s="22"/>
      <c r="CA180" s="23"/>
      <c r="CB180" s="23"/>
      <c r="CC180" s="21"/>
      <c r="CD180" s="22"/>
      <c r="CE180" s="23"/>
      <c r="CF180" s="23"/>
    </row>
    <row r="181" spans="1:84" s="4" customFormat="1" ht="30.05" customHeight="1" x14ac:dyDescent="0.3">
      <c r="A181" s="54" t="s">
        <v>273</v>
      </c>
      <c r="B181" s="41" t="s">
        <v>192</v>
      </c>
      <c r="C181" s="32" t="s">
        <v>105</v>
      </c>
      <c r="D181" s="169">
        <v>1</v>
      </c>
      <c r="E181" s="123">
        <v>2000</v>
      </c>
      <c r="F181" s="123">
        <v>10700</v>
      </c>
      <c r="G181" s="123">
        <f t="shared" si="43"/>
        <v>2000</v>
      </c>
      <c r="H181" s="123">
        <f t="shared" si="44"/>
        <v>10700</v>
      </c>
      <c r="I181" s="123">
        <f t="shared" si="45"/>
        <v>12700</v>
      </c>
      <c r="J181" s="208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23"/>
      <c r="W181" s="23"/>
      <c r="X181" s="23"/>
      <c r="Y181" s="23"/>
      <c r="Z181" s="23"/>
      <c r="AA181" s="79"/>
      <c r="AB181" s="79"/>
      <c r="AC181" s="79"/>
      <c r="AD181" s="79"/>
      <c r="AE181" s="23"/>
      <c r="AF181" s="23"/>
      <c r="AG181" s="79"/>
      <c r="AH181" s="79"/>
      <c r="AI181" s="79"/>
      <c r="AJ181" s="79"/>
      <c r="AK181" s="23"/>
      <c r="AL181" s="23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23"/>
      <c r="BX181" s="23"/>
      <c r="BY181" s="21"/>
      <c r="BZ181" s="22"/>
      <c r="CA181" s="23"/>
      <c r="CB181" s="23"/>
      <c r="CC181" s="21"/>
      <c r="CD181" s="22"/>
      <c r="CE181" s="23"/>
      <c r="CF181" s="23"/>
    </row>
    <row r="182" spans="1:84" s="4" customFormat="1" ht="30.05" customHeight="1" x14ac:dyDescent="0.3">
      <c r="A182" s="54" t="s">
        <v>274</v>
      </c>
      <c r="B182" s="41" t="s">
        <v>193</v>
      </c>
      <c r="C182" s="32" t="s">
        <v>105</v>
      </c>
      <c r="D182" s="169">
        <v>4</v>
      </c>
      <c r="E182" s="123">
        <v>2000</v>
      </c>
      <c r="F182" s="123">
        <v>10700</v>
      </c>
      <c r="G182" s="123">
        <f t="shared" si="43"/>
        <v>8000</v>
      </c>
      <c r="H182" s="123">
        <f t="shared" si="44"/>
        <v>42800</v>
      </c>
      <c r="I182" s="123">
        <f t="shared" si="45"/>
        <v>50800</v>
      </c>
      <c r="J182" s="208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23"/>
      <c r="W182" s="23"/>
      <c r="X182" s="23"/>
      <c r="Y182" s="23"/>
      <c r="Z182" s="23"/>
      <c r="AA182" s="79"/>
      <c r="AB182" s="79"/>
      <c r="AC182" s="79"/>
      <c r="AD182" s="79"/>
      <c r="AE182" s="23"/>
      <c r="AF182" s="23"/>
      <c r="AG182" s="79"/>
      <c r="AH182" s="79"/>
      <c r="AI182" s="79"/>
      <c r="AJ182" s="79"/>
      <c r="AK182" s="23"/>
      <c r="AL182" s="23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23"/>
      <c r="BX182" s="23"/>
      <c r="BY182" s="21"/>
      <c r="BZ182" s="22"/>
      <c r="CA182" s="23"/>
      <c r="CB182" s="23"/>
      <c r="CC182" s="21"/>
      <c r="CD182" s="22"/>
      <c r="CE182" s="23"/>
      <c r="CF182" s="23"/>
    </row>
    <row r="183" spans="1:84" s="4" customFormat="1" ht="30.05" customHeight="1" x14ac:dyDescent="0.3">
      <c r="A183" s="54" t="s">
        <v>275</v>
      </c>
      <c r="B183" s="41" t="s">
        <v>194</v>
      </c>
      <c r="C183" s="32" t="s">
        <v>105</v>
      </c>
      <c r="D183" s="169">
        <v>46</v>
      </c>
      <c r="E183" s="123">
        <v>2000</v>
      </c>
      <c r="F183" s="123">
        <f>ROUND(15000/(1.3*3)*(2.1*1.4),0)</f>
        <v>11308</v>
      </c>
      <c r="G183" s="123">
        <f t="shared" si="43"/>
        <v>92000</v>
      </c>
      <c r="H183" s="123">
        <f t="shared" si="44"/>
        <v>520168</v>
      </c>
      <c r="I183" s="123">
        <f t="shared" si="45"/>
        <v>612168</v>
      </c>
      <c r="J183" s="208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23"/>
      <c r="W183" s="23"/>
      <c r="X183" s="23"/>
      <c r="Y183" s="23"/>
      <c r="Z183" s="23"/>
      <c r="AA183" s="79"/>
      <c r="AB183" s="79"/>
      <c r="AC183" s="79"/>
      <c r="AD183" s="79"/>
      <c r="AE183" s="23"/>
      <c r="AF183" s="23"/>
      <c r="AG183" s="79"/>
      <c r="AH183" s="79"/>
      <c r="AI183" s="79"/>
      <c r="AJ183" s="79"/>
      <c r="AK183" s="23"/>
      <c r="AL183" s="23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23"/>
      <c r="BX183" s="23"/>
      <c r="BY183" s="21"/>
      <c r="BZ183" s="22"/>
      <c r="CA183" s="23"/>
      <c r="CB183" s="23"/>
      <c r="CC183" s="21"/>
      <c r="CD183" s="22"/>
      <c r="CE183" s="23"/>
      <c r="CF183" s="23"/>
    </row>
    <row r="184" spans="1:84" s="4" customFormat="1" ht="30.05" customHeight="1" x14ac:dyDescent="0.3">
      <c r="A184" s="54" t="s">
        <v>276</v>
      </c>
      <c r="B184" s="41" t="s">
        <v>195</v>
      </c>
      <c r="C184" s="32" t="s">
        <v>105</v>
      </c>
      <c r="D184" s="169">
        <v>24</v>
      </c>
      <c r="E184" s="123">
        <v>2000</v>
      </c>
      <c r="F184" s="123">
        <f>ROUND(14000/(1.3*2.1)*(2.1*1.4),0)</f>
        <v>15077</v>
      </c>
      <c r="G184" s="123">
        <f t="shared" si="43"/>
        <v>48000</v>
      </c>
      <c r="H184" s="123">
        <f t="shared" si="44"/>
        <v>361848</v>
      </c>
      <c r="I184" s="123">
        <f t="shared" si="45"/>
        <v>409848</v>
      </c>
      <c r="J184" s="208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23"/>
      <c r="W184" s="23"/>
      <c r="X184" s="23"/>
      <c r="Y184" s="23"/>
      <c r="Z184" s="23"/>
      <c r="AA184" s="79"/>
      <c r="AB184" s="79"/>
      <c r="AC184" s="79"/>
      <c r="AD184" s="79"/>
      <c r="AE184" s="23"/>
      <c r="AF184" s="23"/>
      <c r="AG184" s="79"/>
      <c r="AH184" s="79"/>
      <c r="AI184" s="79"/>
      <c r="AJ184" s="79"/>
      <c r="AK184" s="23"/>
      <c r="AL184" s="23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23"/>
      <c r="BX184" s="23"/>
      <c r="BY184" s="21"/>
      <c r="BZ184" s="22"/>
      <c r="CA184" s="23"/>
      <c r="CB184" s="23"/>
      <c r="CC184" s="21"/>
      <c r="CD184" s="22"/>
      <c r="CE184" s="23"/>
      <c r="CF184" s="23"/>
    </row>
    <row r="185" spans="1:84" s="4" customFormat="1" ht="30.05" customHeight="1" x14ac:dyDescent="0.3">
      <c r="A185" s="54" t="s">
        <v>277</v>
      </c>
      <c r="B185" s="41" t="s">
        <v>196</v>
      </c>
      <c r="C185" s="32" t="s">
        <v>105</v>
      </c>
      <c r="D185" s="169">
        <v>23</v>
      </c>
      <c r="E185" s="123">
        <v>1500</v>
      </c>
      <c r="F185" s="123">
        <f>ROUND(10000/(2.1*1)*(2.1*0.9),0)</f>
        <v>9000</v>
      </c>
      <c r="G185" s="123">
        <f t="shared" si="43"/>
        <v>34500</v>
      </c>
      <c r="H185" s="123">
        <f t="shared" si="44"/>
        <v>207000</v>
      </c>
      <c r="I185" s="123">
        <f t="shared" si="45"/>
        <v>241500</v>
      </c>
      <c r="J185" s="208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23"/>
      <c r="W185" s="23"/>
      <c r="X185" s="23"/>
      <c r="Y185" s="23"/>
      <c r="Z185" s="23"/>
      <c r="AA185" s="79"/>
      <c r="AB185" s="79"/>
      <c r="AC185" s="79"/>
      <c r="AD185" s="79"/>
      <c r="AE185" s="23"/>
      <c r="AF185" s="23"/>
      <c r="AG185" s="79"/>
      <c r="AH185" s="79"/>
      <c r="AI185" s="79"/>
      <c r="AJ185" s="79"/>
      <c r="AK185" s="23"/>
      <c r="AL185" s="23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23"/>
      <c r="BX185" s="23"/>
      <c r="BY185" s="21"/>
      <c r="BZ185" s="22"/>
      <c r="CA185" s="23"/>
      <c r="CB185" s="23"/>
      <c r="CC185" s="21"/>
      <c r="CD185" s="22"/>
      <c r="CE185" s="23"/>
      <c r="CF185" s="23"/>
    </row>
    <row r="186" spans="1:84" s="4" customFormat="1" ht="30.05" customHeight="1" x14ac:dyDescent="0.3">
      <c r="A186" s="54" t="s">
        <v>278</v>
      </c>
      <c r="B186" s="41" t="s">
        <v>254</v>
      </c>
      <c r="C186" s="32" t="s">
        <v>105</v>
      </c>
      <c r="D186" s="169">
        <v>237</v>
      </c>
      <c r="E186" s="123">
        <v>500</v>
      </c>
      <c r="F186" s="123">
        <v>1300</v>
      </c>
      <c r="G186" s="123">
        <f t="shared" si="43"/>
        <v>118500</v>
      </c>
      <c r="H186" s="123">
        <f t="shared" si="44"/>
        <v>308100</v>
      </c>
      <c r="I186" s="123">
        <f t="shared" si="45"/>
        <v>426600</v>
      </c>
      <c r="J186" s="208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23"/>
      <c r="W186" s="23"/>
      <c r="X186" s="23"/>
      <c r="Y186" s="23"/>
      <c r="Z186" s="23"/>
      <c r="AA186" s="79"/>
      <c r="AB186" s="79"/>
      <c r="AC186" s="79"/>
      <c r="AD186" s="79"/>
      <c r="AE186" s="23"/>
      <c r="AF186" s="23"/>
      <c r="AG186" s="79"/>
      <c r="AH186" s="79"/>
      <c r="AI186" s="79"/>
      <c r="AJ186" s="79"/>
      <c r="AK186" s="23"/>
      <c r="AL186" s="23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23"/>
      <c r="BX186" s="23"/>
      <c r="BY186" s="21"/>
      <c r="BZ186" s="22"/>
      <c r="CA186" s="23"/>
      <c r="CB186" s="23"/>
      <c r="CC186" s="21"/>
      <c r="CD186" s="22"/>
      <c r="CE186" s="23"/>
      <c r="CF186" s="23"/>
    </row>
    <row r="187" spans="1:84" s="4" customFormat="1" ht="30.05" customHeight="1" x14ac:dyDescent="0.3">
      <c r="A187" s="54" t="s">
        <v>279</v>
      </c>
      <c r="B187" s="41" t="s">
        <v>255</v>
      </c>
      <c r="C187" s="32" t="s">
        <v>105</v>
      </c>
      <c r="D187" s="169">
        <v>48</v>
      </c>
      <c r="E187" s="123">
        <v>500</v>
      </c>
      <c r="F187" s="123">
        <v>1300</v>
      </c>
      <c r="G187" s="123">
        <f t="shared" si="43"/>
        <v>24000</v>
      </c>
      <c r="H187" s="123">
        <f t="shared" si="44"/>
        <v>62400</v>
      </c>
      <c r="I187" s="123">
        <f t="shared" si="45"/>
        <v>86400</v>
      </c>
      <c r="J187" s="208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23"/>
      <c r="W187" s="23"/>
      <c r="X187" s="23"/>
      <c r="Y187" s="23"/>
      <c r="Z187" s="23"/>
      <c r="AA187" s="79"/>
      <c r="AB187" s="79"/>
      <c r="AC187" s="79"/>
      <c r="AD187" s="79"/>
      <c r="AE187" s="23"/>
      <c r="AF187" s="23"/>
      <c r="AG187" s="79"/>
      <c r="AH187" s="79"/>
      <c r="AI187" s="79"/>
      <c r="AJ187" s="79"/>
      <c r="AK187" s="23"/>
      <c r="AL187" s="23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23"/>
      <c r="BX187" s="23"/>
      <c r="BY187" s="21"/>
      <c r="BZ187" s="22"/>
      <c r="CA187" s="23"/>
      <c r="CB187" s="23"/>
      <c r="CC187" s="21"/>
      <c r="CD187" s="22"/>
      <c r="CE187" s="23"/>
      <c r="CF187" s="23"/>
    </row>
    <row r="188" spans="1:84" s="4" customFormat="1" ht="30.05" customHeight="1" x14ac:dyDescent="0.3">
      <c r="A188" s="54" t="s">
        <v>280</v>
      </c>
      <c r="B188" s="41" t="s">
        <v>197</v>
      </c>
      <c r="C188" s="32" t="s">
        <v>105</v>
      </c>
      <c r="D188" s="169">
        <v>1</v>
      </c>
      <c r="E188" s="123">
        <v>1500</v>
      </c>
      <c r="F188" s="123">
        <f>ROUND(10000/(2.1*1)*(2.1*0.9),0)</f>
        <v>9000</v>
      </c>
      <c r="G188" s="123">
        <f t="shared" si="43"/>
        <v>1500</v>
      </c>
      <c r="H188" s="123">
        <f t="shared" si="44"/>
        <v>9000</v>
      </c>
      <c r="I188" s="123">
        <f t="shared" si="45"/>
        <v>10500</v>
      </c>
      <c r="J188" s="208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23"/>
      <c r="W188" s="23"/>
      <c r="X188" s="23"/>
      <c r="Y188" s="23"/>
      <c r="Z188" s="23"/>
      <c r="AA188" s="79"/>
      <c r="AB188" s="79"/>
      <c r="AC188" s="79"/>
      <c r="AD188" s="79"/>
      <c r="AE188" s="23"/>
      <c r="AF188" s="23"/>
      <c r="AG188" s="79"/>
      <c r="AH188" s="79"/>
      <c r="AI188" s="79"/>
      <c r="AJ188" s="79"/>
      <c r="AK188" s="23"/>
      <c r="AL188" s="23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23"/>
      <c r="BX188" s="23"/>
      <c r="BY188" s="21"/>
      <c r="BZ188" s="22"/>
      <c r="CA188" s="23"/>
      <c r="CB188" s="23"/>
      <c r="CC188" s="21"/>
      <c r="CD188" s="22"/>
      <c r="CE188" s="23"/>
      <c r="CF188" s="23"/>
    </row>
    <row r="189" spans="1:84" s="4" customFormat="1" ht="30.05" customHeight="1" x14ac:dyDescent="0.3">
      <c r="A189" s="54" t="s">
        <v>281</v>
      </c>
      <c r="B189" s="41" t="s">
        <v>198</v>
      </c>
      <c r="C189" s="32" t="s">
        <v>105</v>
      </c>
      <c r="D189" s="169">
        <v>1</v>
      </c>
      <c r="E189" s="123">
        <v>2000</v>
      </c>
      <c r="F189" s="123">
        <v>10700</v>
      </c>
      <c r="G189" s="123">
        <f t="shared" si="43"/>
        <v>2000</v>
      </c>
      <c r="H189" s="123">
        <f t="shared" si="44"/>
        <v>10700</v>
      </c>
      <c r="I189" s="123">
        <f t="shared" si="45"/>
        <v>12700</v>
      </c>
      <c r="J189" s="208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23"/>
      <c r="W189" s="23"/>
      <c r="X189" s="23"/>
      <c r="Y189" s="23"/>
      <c r="Z189" s="23"/>
      <c r="AA189" s="79"/>
      <c r="AB189" s="79"/>
      <c r="AC189" s="79"/>
      <c r="AD189" s="79"/>
      <c r="AE189" s="23"/>
      <c r="AF189" s="23"/>
      <c r="AG189" s="79"/>
      <c r="AH189" s="79"/>
      <c r="AI189" s="79"/>
      <c r="AJ189" s="79"/>
      <c r="AK189" s="23"/>
      <c r="AL189" s="23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23"/>
      <c r="BX189" s="23"/>
      <c r="BY189" s="21"/>
      <c r="BZ189" s="22"/>
      <c r="CA189" s="23"/>
      <c r="CB189" s="23"/>
      <c r="CC189" s="21"/>
      <c r="CD189" s="22"/>
      <c r="CE189" s="23"/>
      <c r="CF189" s="23"/>
    </row>
    <row r="190" spans="1:84" s="4" customFormat="1" ht="30.05" customHeight="1" x14ac:dyDescent="0.3">
      <c r="A190" s="54" t="s">
        <v>273</v>
      </c>
      <c r="B190" s="41" t="s">
        <v>350</v>
      </c>
      <c r="C190" s="32" t="s">
        <v>105</v>
      </c>
      <c r="D190" s="169">
        <v>1</v>
      </c>
      <c r="E190" s="123">
        <v>2000</v>
      </c>
      <c r="F190" s="123">
        <f>ROUND(10700/2.1*1.35*1,0)</f>
        <v>6879</v>
      </c>
      <c r="G190" s="123">
        <f>ROUND(D190*E190,0)</f>
        <v>2000</v>
      </c>
      <c r="H190" s="123">
        <f>ROUND(D190*F190,0)</f>
        <v>6879</v>
      </c>
      <c r="I190" s="123">
        <f>SUM(G190:H190)</f>
        <v>8879</v>
      </c>
      <c r="J190" s="208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23"/>
      <c r="W190" s="23"/>
      <c r="X190" s="23"/>
      <c r="Y190" s="23"/>
      <c r="Z190" s="23"/>
      <c r="AA190" s="79"/>
      <c r="AB190" s="79"/>
      <c r="AC190" s="79"/>
      <c r="AD190" s="79"/>
      <c r="AE190" s="23"/>
      <c r="AF190" s="23"/>
      <c r="AG190" s="79"/>
      <c r="AH190" s="79"/>
      <c r="AI190" s="79"/>
      <c r="AJ190" s="79"/>
      <c r="AK190" s="23"/>
      <c r="AL190" s="23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23"/>
      <c r="BX190" s="23"/>
      <c r="BY190" s="21"/>
      <c r="BZ190" s="22"/>
      <c r="CA190" s="23"/>
      <c r="CB190" s="23"/>
      <c r="CC190" s="21"/>
      <c r="CD190" s="22"/>
      <c r="CE190" s="23"/>
      <c r="CF190" s="23"/>
    </row>
    <row r="191" spans="1:84" s="4" customFormat="1" ht="30.05" customHeight="1" x14ac:dyDescent="0.3">
      <c r="A191" s="54"/>
      <c r="B191" s="46" t="s">
        <v>170</v>
      </c>
      <c r="C191" s="42"/>
      <c r="D191" s="169"/>
      <c r="E191" s="123"/>
      <c r="F191" s="123"/>
      <c r="G191" s="258">
        <f>SUM(G170:G189)</f>
        <v>464500</v>
      </c>
      <c r="H191" s="258">
        <f>SUM(H170:H189)</f>
        <v>2434956</v>
      </c>
      <c r="I191" s="258">
        <f>SUM(G191:H191)</f>
        <v>2899456</v>
      </c>
      <c r="J191" s="187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78"/>
      <c r="V191" s="23">
        <f>U191*E191</f>
        <v>0</v>
      </c>
      <c r="W191" s="23">
        <f>U191*F191</f>
        <v>0</v>
      </c>
      <c r="X191" s="23">
        <f t="shared" ref="X191:X198" si="46">V191+W191</f>
        <v>0</v>
      </c>
      <c r="Y191" s="23"/>
      <c r="Z191" s="23"/>
      <c r="AA191" s="78"/>
      <c r="AB191" s="63"/>
      <c r="AC191" s="23"/>
      <c r="AD191" s="78"/>
      <c r="AE191" s="23"/>
      <c r="AF191" s="23"/>
      <c r="AG191" s="78"/>
      <c r="AH191" s="78"/>
      <c r="AI191" s="63"/>
      <c r="AJ191" s="23"/>
      <c r="AK191" s="23"/>
      <c r="AL191" s="23"/>
      <c r="AM191" s="78"/>
      <c r="AN191" s="78"/>
      <c r="AO191" s="63"/>
      <c r="AP191" s="23"/>
      <c r="AQ191" s="78"/>
      <c r="AR191" s="78"/>
      <c r="AS191" s="63"/>
      <c r="AT191" s="23"/>
      <c r="AU191" s="78"/>
      <c r="AV191" s="78"/>
      <c r="AW191" s="63"/>
      <c r="AX191" s="23"/>
      <c r="AY191" s="78"/>
      <c r="AZ191" s="78"/>
      <c r="BA191" s="63"/>
      <c r="BB191" s="23"/>
      <c r="BC191" s="78"/>
      <c r="BD191" s="78"/>
      <c r="BE191" s="63"/>
      <c r="BF191" s="23"/>
      <c r="BG191" s="78"/>
      <c r="BH191" s="78"/>
      <c r="BI191" s="63"/>
      <c r="BJ191" s="23"/>
      <c r="BK191" s="78"/>
      <c r="BL191" s="78"/>
      <c r="BM191" s="63"/>
      <c r="BN191" s="23"/>
      <c r="BO191" s="78"/>
      <c r="BP191" s="78"/>
      <c r="BQ191" s="63"/>
      <c r="BR191" s="23"/>
      <c r="BS191" s="78"/>
      <c r="BT191" s="78"/>
      <c r="BU191" s="63"/>
      <c r="BV191" s="23"/>
      <c r="BW191" s="23"/>
      <c r="BX191" s="23"/>
      <c r="BY191" s="21" t="e">
        <f>#REF!-Y191-AE191-AK191-BW191</f>
        <v>#REF!</v>
      </c>
      <c r="BZ191" s="22">
        <f>G191-V191-AB191-AH191-AN191-AR191-AV191-AZ191-BD191-BH191-BL191-BP191-BT191</f>
        <v>464500</v>
      </c>
      <c r="CA191" s="23">
        <f>H191-W191-AC191-AI191-AO191-AS191-AW191-BA191-BE191-BI191-BM191-BQ191-BU191</f>
        <v>2434956</v>
      </c>
      <c r="CB191" s="23">
        <f>I191-Z191-AF191-AL191-BX191</f>
        <v>2899456</v>
      </c>
      <c r="CC191" s="21"/>
      <c r="CD191" s="22"/>
      <c r="CE191" s="23"/>
      <c r="CF191" s="23"/>
    </row>
    <row r="192" spans="1:84" s="175" customFormat="1" ht="30.05" customHeight="1" x14ac:dyDescent="0.25">
      <c r="A192" s="54"/>
      <c r="B192" s="41" t="s">
        <v>249</v>
      </c>
      <c r="C192" s="42"/>
      <c r="D192" s="169"/>
      <c r="E192" s="123"/>
      <c r="F192" s="123"/>
      <c r="G192" s="125">
        <f>ROUND(G191*0.11,0)</f>
        <v>51095</v>
      </c>
      <c r="H192" s="123"/>
      <c r="I192" s="123">
        <f>G192</f>
        <v>51095</v>
      </c>
      <c r="J192" s="197"/>
    </row>
    <row r="193" spans="1:84" s="175" customFormat="1" ht="30.05" customHeight="1" x14ac:dyDescent="0.25">
      <c r="A193" s="54"/>
      <c r="B193" s="41" t="s">
        <v>223</v>
      </c>
      <c r="C193" s="42"/>
      <c r="D193" s="169"/>
      <c r="E193" s="123"/>
      <c r="F193" s="123"/>
      <c r="G193" s="125">
        <f>ROUND(G191*0.05,0)</f>
        <v>23225</v>
      </c>
      <c r="H193" s="123"/>
      <c r="I193" s="123">
        <f>G193</f>
        <v>23225</v>
      </c>
      <c r="J193" s="197"/>
    </row>
    <row r="194" spans="1:84" s="3" customFormat="1" ht="30.05" customHeight="1" x14ac:dyDescent="0.3">
      <c r="A194" s="43"/>
      <c r="B194" s="36" t="s">
        <v>282</v>
      </c>
      <c r="C194" s="43"/>
      <c r="D194" s="259"/>
      <c r="E194" s="260"/>
      <c r="F194" s="260"/>
      <c r="G194" s="260">
        <f>SUM(G191:G193)</f>
        <v>538820</v>
      </c>
      <c r="H194" s="260">
        <f>SUM(H191:H193)</f>
        <v>2434956</v>
      </c>
      <c r="I194" s="261">
        <f>SUM(I191:I193)</f>
        <v>2973776</v>
      </c>
      <c r="J194" s="205">
        <f>I194</f>
        <v>2973776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64"/>
      <c r="V194" s="18">
        <f t="shared" ref="V194:V200" si="47">U194*E194</f>
        <v>0</v>
      </c>
      <c r="W194" s="18">
        <f>U194*F194</f>
        <v>0</v>
      </c>
      <c r="X194" s="18">
        <f t="shared" si="46"/>
        <v>0</v>
      </c>
      <c r="Y194" s="18"/>
      <c r="Z194" s="18"/>
      <c r="AA194" s="64"/>
      <c r="AB194" s="64"/>
      <c r="AC194" s="64"/>
      <c r="AD194" s="64"/>
      <c r="AE194" s="18"/>
      <c r="AF194" s="18"/>
      <c r="AG194" s="64"/>
      <c r="AH194" s="64"/>
      <c r="AI194" s="64"/>
      <c r="AJ194" s="64"/>
      <c r="AK194" s="18"/>
      <c r="AL194" s="18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18"/>
      <c r="BX194" s="18"/>
      <c r="BY194" s="19" t="e">
        <f>#REF!-Y194-AE194-AK194-BW194</f>
        <v>#REF!</v>
      </c>
      <c r="BZ194" s="20">
        <f t="shared" ref="BZ194:CA198" si="48">G194-V194-AB194-AH194-AN194-AR194-AV194-AZ194-BD194-BH194-BL194-BP194-BT194</f>
        <v>538820</v>
      </c>
      <c r="CA194" s="18">
        <f t="shared" si="48"/>
        <v>2434956</v>
      </c>
      <c r="CB194" s="18">
        <f>I194-Z194-AF194-AL194-BX194</f>
        <v>2973776</v>
      </c>
      <c r="CC194" s="19"/>
      <c r="CD194" s="20"/>
      <c r="CE194" s="18"/>
      <c r="CF194" s="18"/>
    </row>
    <row r="195" spans="1:84" s="4" customFormat="1" ht="30.05" customHeight="1" x14ac:dyDescent="0.3">
      <c r="A195" s="52" t="s">
        <v>54</v>
      </c>
      <c r="B195" s="37" t="s">
        <v>45</v>
      </c>
      <c r="C195" s="166"/>
      <c r="D195" s="256"/>
      <c r="E195" s="257"/>
      <c r="F195" s="257"/>
      <c r="G195" s="257"/>
      <c r="H195" s="257"/>
      <c r="I195" s="257"/>
      <c r="J195" s="208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23">
        <f t="shared" si="47"/>
        <v>0</v>
      </c>
      <c r="W195" s="23">
        <f>U195*F195</f>
        <v>0</v>
      </c>
      <c r="X195" s="23">
        <f t="shared" si="46"/>
        <v>0</v>
      </c>
      <c r="Y195" s="23"/>
      <c r="Z195" s="23"/>
      <c r="AA195" s="79"/>
      <c r="AB195" s="79"/>
      <c r="AC195" s="79"/>
      <c r="AD195" s="79"/>
      <c r="AE195" s="23"/>
      <c r="AF195" s="23"/>
      <c r="AG195" s="79"/>
      <c r="AH195" s="79"/>
      <c r="AI195" s="79"/>
      <c r="AJ195" s="79"/>
      <c r="AK195" s="23"/>
      <c r="AL195" s="23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23"/>
      <c r="BX195" s="23"/>
      <c r="BY195" s="21" t="e">
        <f>#REF!-Y195-AE195-AK195-BW195</f>
        <v>#REF!</v>
      </c>
      <c r="BZ195" s="22">
        <f t="shared" si="48"/>
        <v>0</v>
      </c>
      <c r="CA195" s="23">
        <f t="shared" si="48"/>
        <v>0</v>
      </c>
      <c r="CB195" s="23">
        <f>I195-Z195-AF195-AL195-BX195</f>
        <v>0</v>
      </c>
      <c r="CC195" s="21"/>
      <c r="CD195" s="22"/>
      <c r="CE195" s="23"/>
      <c r="CF195" s="23"/>
    </row>
    <row r="196" spans="1:84" s="4" customFormat="1" ht="91.6" customHeight="1" x14ac:dyDescent="0.3">
      <c r="A196" s="54" t="s">
        <v>55</v>
      </c>
      <c r="B196" s="41" t="s">
        <v>250</v>
      </c>
      <c r="C196" s="42" t="s">
        <v>6</v>
      </c>
      <c r="D196" s="169">
        <v>556</v>
      </c>
      <c r="E196" s="125">
        <v>900</v>
      </c>
      <c r="F196" s="125">
        <v>2300</v>
      </c>
      <c r="G196" s="123">
        <f t="shared" ref="G196:G203" si="49">ROUND(D196*E196,0)</f>
        <v>500400</v>
      </c>
      <c r="H196" s="123">
        <f t="shared" ref="H196:H203" si="50">ROUND(D196*F196,0)</f>
        <v>1278800</v>
      </c>
      <c r="I196" s="123">
        <f t="shared" ref="I196:I203" si="51">SUM(G196:H196)</f>
        <v>1779200</v>
      </c>
      <c r="J196" s="187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70"/>
      <c r="V196" s="23">
        <f t="shared" si="47"/>
        <v>0</v>
      </c>
      <c r="W196" s="23">
        <f>U196*F196</f>
        <v>0</v>
      </c>
      <c r="X196" s="23">
        <f t="shared" si="46"/>
        <v>0</v>
      </c>
      <c r="Y196" s="23"/>
      <c r="Z196" s="23"/>
      <c r="AA196" s="69"/>
      <c r="AB196" s="23"/>
      <c r="AC196" s="23"/>
      <c r="AD196" s="70"/>
      <c r="AE196" s="23"/>
      <c r="AF196" s="23"/>
      <c r="AG196" s="69"/>
      <c r="AH196" s="69"/>
      <c r="AI196" s="23"/>
      <c r="AJ196" s="23"/>
      <c r="AK196" s="23"/>
      <c r="AL196" s="23"/>
      <c r="AM196" s="69"/>
      <c r="AN196" s="69"/>
      <c r="AO196" s="23"/>
      <c r="AP196" s="23"/>
      <c r="AQ196" s="69"/>
      <c r="AR196" s="69"/>
      <c r="AS196" s="23"/>
      <c r="AT196" s="23"/>
      <c r="AU196" s="69"/>
      <c r="AV196" s="69"/>
      <c r="AW196" s="23"/>
      <c r="AX196" s="23"/>
      <c r="AY196" s="69"/>
      <c r="AZ196" s="69"/>
      <c r="BA196" s="23"/>
      <c r="BB196" s="23"/>
      <c r="BC196" s="69"/>
      <c r="BD196" s="69"/>
      <c r="BE196" s="23"/>
      <c r="BF196" s="23"/>
      <c r="BG196" s="69"/>
      <c r="BH196" s="69"/>
      <c r="BI196" s="23"/>
      <c r="BJ196" s="23"/>
      <c r="BK196" s="69"/>
      <c r="BL196" s="69"/>
      <c r="BM196" s="23"/>
      <c r="BN196" s="23"/>
      <c r="BO196" s="69"/>
      <c r="BP196" s="69"/>
      <c r="BQ196" s="23"/>
      <c r="BR196" s="23"/>
      <c r="BS196" s="69"/>
      <c r="BT196" s="69"/>
      <c r="BU196" s="23"/>
      <c r="BV196" s="23"/>
      <c r="BW196" s="23"/>
      <c r="BX196" s="23"/>
      <c r="BY196" s="21" t="e">
        <f>#REF!-Y196-AE196-AK196-BW196</f>
        <v>#REF!</v>
      </c>
      <c r="BZ196" s="22">
        <f t="shared" si="48"/>
        <v>500400</v>
      </c>
      <c r="CA196" s="23">
        <f t="shared" si="48"/>
        <v>1278800</v>
      </c>
      <c r="CB196" s="23">
        <f>I196-Z196-AF196-AL196-BX196</f>
        <v>1779200</v>
      </c>
      <c r="CC196" s="21"/>
      <c r="CD196" s="22"/>
      <c r="CE196" s="23"/>
      <c r="CF196" s="23"/>
    </row>
    <row r="197" spans="1:84" s="4" customFormat="1" ht="100.5" customHeight="1" x14ac:dyDescent="0.3">
      <c r="A197" s="54" t="s">
        <v>56</v>
      </c>
      <c r="B197" s="41" t="s">
        <v>251</v>
      </c>
      <c r="C197" s="42" t="s">
        <v>6</v>
      </c>
      <c r="D197" s="169">
        <v>18</v>
      </c>
      <c r="E197" s="125">
        <v>900</v>
      </c>
      <c r="F197" s="125">
        <v>2300</v>
      </c>
      <c r="G197" s="123">
        <f t="shared" si="49"/>
        <v>16200</v>
      </c>
      <c r="H197" s="123">
        <f t="shared" si="50"/>
        <v>41400</v>
      </c>
      <c r="I197" s="123">
        <f t="shared" si="51"/>
        <v>57600</v>
      </c>
      <c r="J197" s="187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70"/>
      <c r="V197" s="23">
        <f t="shared" si="47"/>
        <v>0</v>
      </c>
      <c r="W197" s="23">
        <f>U197*F197</f>
        <v>0</v>
      </c>
      <c r="X197" s="23">
        <f t="shared" si="46"/>
        <v>0</v>
      </c>
      <c r="Y197" s="23"/>
      <c r="Z197" s="23"/>
      <c r="AA197" s="69"/>
      <c r="AB197" s="23"/>
      <c r="AC197" s="23"/>
      <c r="AD197" s="70"/>
      <c r="AE197" s="23"/>
      <c r="AF197" s="23"/>
      <c r="AG197" s="69"/>
      <c r="AH197" s="69"/>
      <c r="AI197" s="23"/>
      <c r="AJ197" s="23"/>
      <c r="AK197" s="23"/>
      <c r="AL197" s="23"/>
      <c r="AM197" s="69"/>
      <c r="AN197" s="69"/>
      <c r="AO197" s="23"/>
      <c r="AP197" s="23"/>
      <c r="AQ197" s="69"/>
      <c r="AR197" s="69"/>
      <c r="AS197" s="23"/>
      <c r="AT197" s="23"/>
      <c r="AU197" s="69"/>
      <c r="AV197" s="69"/>
      <c r="AW197" s="23"/>
      <c r="AX197" s="23"/>
      <c r="AY197" s="69"/>
      <c r="AZ197" s="69"/>
      <c r="BA197" s="23"/>
      <c r="BB197" s="23"/>
      <c r="BC197" s="69"/>
      <c r="BD197" s="69"/>
      <c r="BE197" s="23"/>
      <c r="BF197" s="23"/>
      <c r="BG197" s="69"/>
      <c r="BH197" s="69"/>
      <c r="BI197" s="23"/>
      <c r="BJ197" s="23"/>
      <c r="BK197" s="69"/>
      <c r="BL197" s="69"/>
      <c r="BM197" s="23"/>
      <c r="BN197" s="23"/>
      <c r="BO197" s="69"/>
      <c r="BP197" s="69"/>
      <c r="BQ197" s="23"/>
      <c r="BR197" s="23"/>
      <c r="BS197" s="69"/>
      <c r="BT197" s="69"/>
      <c r="BU197" s="23"/>
      <c r="BV197" s="23"/>
      <c r="BW197" s="23"/>
      <c r="BX197" s="23"/>
      <c r="BY197" s="21" t="e">
        <f>#REF!-Y197-AE197-AK197-BW197</f>
        <v>#REF!</v>
      </c>
      <c r="BZ197" s="22">
        <f t="shared" si="48"/>
        <v>16200</v>
      </c>
      <c r="CA197" s="23">
        <f t="shared" si="48"/>
        <v>41400</v>
      </c>
      <c r="CB197" s="23">
        <f>I197-Z197-AF197-AL197-BX197</f>
        <v>57600</v>
      </c>
      <c r="CC197" s="21"/>
      <c r="CD197" s="22"/>
      <c r="CE197" s="23"/>
      <c r="CF197" s="23"/>
    </row>
    <row r="198" spans="1:84" s="4" customFormat="1" ht="65.3" customHeight="1" x14ac:dyDescent="0.3">
      <c r="A198" s="54" t="s">
        <v>283</v>
      </c>
      <c r="B198" s="41" t="s">
        <v>341</v>
      </c>
      <c r="C198" s="42" t="s">
        <v>6</v>
      </c>
      <c r="D198" s="169">
        <v>32</v>
      </c>
      <c r="E198" s="125">
        <v>700</v>
      </c>
      <c r="F198" s="125">
        <v>1400</v>
      </c>
      <c r="G198" s="123">
        <f t="shared" si="49"/>
        <v>22400</v>
      </c>
      <c r="H198" s="123">
        <f t="shared" si="50"/>
        <v>44800</v>
      </c>
      <c r="I198" s="123">
        <f t="shared" si="51"/>
        <v>67200</v>
      </c>
      <c r="J198" s="187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70"/>
      <c r="V198" s="23">
        <f t="shared" si="47"/>
        <v>0</v>
      </c>
      <c r="W198" s="23">
        <f>U198*F198</f>
        <v>0</v>
      </c>
      <c r="X198" s="23">
        <f t="shared" si="46"/>
        <v>0</v>
      </c>
      <c r="Y198" s="23"/>
      <c r="Z198" s="23"/>
      <c r="AA198" s="69"/>
      <c r="AB198" s="23"/>
      <c r="AC198" s="23"/>
      <c r="AD198" s="70"/>
      <c r="AE198" s="23"/>
      <c r="AF198" s="23"/>
      <c r="AG198" s="69"/>
      <c r="AH198" s="69"/>
      <c r="AI198" s="23"/>
      <c r="AJ198" s="23"/>
      <c r="AK198" s="23"/>
      <c r="AL198" s="23"/>
      <c r="AM198" s="69"/>
      <c r="AN198" s="69"/>
      <c r="AO198" s="23"/>
      <c r="AP198" s="23"/>
      <c r="AQ198" s="69"/>
      <c r="AR198" s="69"/>
      <c r="AS198" s="23"/>
      <c r="AT198" s="23"/>
      <c r="AU198" s="69"/>
      <c r="AV198" s="69"/>
      <c r="AW198" s="23"/>
      <c r="AX198" s="23"/>
      <c r="AY198" s="69"/>
      <c r="AZ198" s="69"/>
      <c r="BA198" s="23"/>
      <c r="BB198" s="23"/>
      <c r="BC198" s="69"/>
      <c r="BD198" s="69"/>
      <c r="BE198" s="23"/>
      <c r="BF198" s="23"/>
      <c r="BG198" s="69"/>
      <c r="BH198" s="69"/>
      <c r="BI198" s="23"/>
      <c r="BJ198" s="23"/>
      <c r="BK198" s="69"/>
      <c r="BL198" s="69"/>
      <c r="BM198" s="23"/>
      <c r="BN198" s="23"/>
      <c r="BO198" s="69"/>
      <c r="BP198" s="69"/>
      <c r="BQ198" s="23"/>
      <c r="BR198" s="23"/>
      <c r="BS198" s="69"/>
      <c r="BT198" s="69"/>
      <c r="BU198" s="23"/>
      <c r="BV198" s="23"/>
      <c r="BW198" s="23"/>
      <c r="BX198" s="23"/>
      <c r="BY198" s="21" t="e">
        <f>#REF!-Y198-AE198-AK198-BW198</f>
        <v>#REF!</v>
      </c>
      <c r="BZ198" s="22">
        <f t="shared" si="48"/>
        <v>22400</v>
      </c>
      <c r="CA198" s="23">
        <f t="shared" si="48"/>
        <v>44800</v>
      </c>
      <c r="CB198" s="23">
        <f>I198-Z198-AF198-AL198-BX198</f>
        <v>67200</v>
      </c>
      <c r="CC198" s="21"/>
      <c r="CD198" s="22"/>
      <c r="CE198" s="23"/>
      <c r="CF198" s="23"/>
    </row>
    <row r="199" spans="1:84" s="4" customFormat="1" ht="30.05" customHeight="1" x14ac:dyDescent="0.3">
      <c r="A199" s="54" t="s">
        <v>284</v>
      </c>
      <c r="B199" s="41" t="s">
        <v>199</v>
      </c>
      <c r="C199" s="42" t="s">
        <v>75</v>
      </c>
      <c r="D199" s="169">
        <f>150+44.9+40+29</f>
        <v>263.89999999999998</v>
      </c>
      <c r="E199" s="125">
        <v>100</v>
      </c>
      <c r="F199" s="125">
        <v>1500</v>
      </c>
      <c r="G199" s="123">
        <f t="shared" si="49"/>
        <v>26390</v>
      </c>
      <c r="H199" s="123">
        <f t="shared" si="50"/>
        <v>395850</v>
      </c>
      <c r="I199" s="123">
        <f t="shared" si="51"/>
        <v>422240</v>
      </c>
      <c r="J199" s="187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70"/>
      <c r="V199" s="23">
        <f t="shared" si="47"/>
        <v>0</v>
      </c>
      <c r="W199" s="23"/>
      <c r="X199" s="23"/>
      <c r="Y199" s="23"/>
      <c r="Z199" s="23"/>
      <c r="AA199" s="69"/>
      <c r="AB199" s="23"/>
      <c r="AC199" s="23"/>
      <c r="AD199" s="70"/>
      <c r="AE199" s="23"/>
      <c r="AF199" s="23"/>
      <c r="AG199" s="69"/>
      <c r="AH199" s="69"/>
      <c r="AI199" s="23"/>
      <c r="AJ199" s="23"/>
      <c r="AK199" s="23"/>
      <c r="AL199" s="23"/>
      <c r="AM199" s="69"/>
      <c r="AN199" s="69"/>
      <c r="AO199" s="23"/>
      <c r="AP199" s="23"/>
      <c r="AQ199" s="69"/>
      <c r="AR199" s="69"/>
      <c r="AS199" s="23"/>
      <c r="AT199" s="23"/>
      <c r="AU199" s="69"/>
      <c r="AV199" s="69"/>
      <c r="AW199" s="23"/>
      <c r="AX199" s="23"/>
      <c r="AY199" s="69"/>
      <c r="AZ199" s="69"/>
      <c r="BA199" s="23"/>
      <c r="BB199" s="23"/>
      <c r="BC199" s="69"/>
      <c r="BD199" s="69"/>
      <c r="BE199" s="23"/>
      <c r="BF199" s="23"/>
      <c r="BG199" s="69"/>
      <c r="BH199" s="69"/>
      <c r="BI199" s="23"/>
      <c r="BJ199" s="23"/>
      <c r="BK199" s="69"/>
      <c r="BL199" s="69"/>
      <c r="BM199" s="23"/>
      <c r="BN199" s="23"/>
      <c r="BO199" s="69"/>
      <c r="BP199" s="69"/>
      <c r="BQ199" s="23"/>
      <c r="BR199" s="23"/>
      <c r="BS199" s="69"/>
      <c r="BT199" s="69"/>
      <c r="BU199" s="23"/>
      <c r="BV199" s="23"/>
      <c r="BW199" s="23"/>
      <c r="BX199" s="23"/>
      <c r="BY199" s="21"/>
      <c r="BZ199" s="22"/>
      <c r="CA199" s="23"/>
      <c r="CB199" s="23"/>
      <c r="CC199" s="21"/>
      <c r="CD199" s="22"/>
      <c r="CE199" s="23"/>
      <c r="CF199" s="23"/>
    </row>
    <row r="200" spans="1:84" s="4" customFormat="1" ht="98.3" customHeight="1" x14ac:dyDescent="0.3">
      <c r="A200" s="54" t="s">
        <v>285</v>
      </c>
      <c r="B200" s="41" t="s">
        <v>214</v>
      </c>
      <c r="C200" s="42" t="s">
        <v>6</v>
      </c>
      <c r="D200" s="169">
        <f>66.84+5.5</f>
        <v>72.34</v>
      </c>
      <c r="E200" s="125">
        <v>700</v>
      </c>
      <c r="F200" s="125">
        <v>2500</v>
      </c>
      <c r="G200" s="123">
        <f t="shared" si="49"/>
        <v>50638</v>
      </c>
      <c r="H200" s="123">
        <f t="shared" si="50"/>
        <v>180850</v>
      </c>
      <c r="I200" s="123">
        <f t="shared" si="51"/>
        <v>231488</v>
      </c>
      <c r="J200" s="187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70"/>
      <c r="V200" s="23">
        <f t="shared" si="47"/>
        <v>0</v>
      </c>
      <c r="W200" s="23"/>
      <c r="X200" s="23"/>
      <c r="Y200" s="23"/>
      <c r="Z200" s="23"/>
      <c r="AA200" s="69"/>
      <c r="AB200" s="23"/>
      <c r="AC200" s="23"/>
      <c r="AD200" s="70"/>
      <c r="AE200" s="23"/>
      <c r="AF200" s="23"/>
      <c r="AG200" s="69"/>
      <c r="AH200" s="69"/>
      <c r="AI200" s="23"/>
      <c r="AJ200" s="23"/>
      <c r="AK200" s="23"/>
      <c r="AL200" s="23"/>
      <c r="AM200" s="69"/>
      <c r="AN200" s="69"/>
      <c r="AO200" s="23"/>
      <c r="AP200" s="23"/>
      <c r="AQ200" s="69"/>
      <c r="AR200" s="69"/>
      <c r="AS200" s="23"/>
      <c r="AT200" s="23"/>
      <c r="AU200" s="69"/>
      <c r="AV200" s="69"/>
      <c r="AW200" s="23"/>
      <c r="AX200" s="23"/>
      <c r="AY200" s="69"/>
      <c r="AZ200" s="69"/>
      <c r="BA200" s="23"/>
      <c r="BB200" s="23"/>
      <c r="BC200" s="69"/>
      <c r="BD200" s="69"/>
      <c r="BE200" s="23"/>
      <c r="BF200" s="23"/>
      <c r="BG200" s="69"/>
      <c r="BH200" s="69"/>
      <c r="BI200" s="23"/>
      <c r="BJ200" s="23"/>
      <c r="BK200" s="69"/>
      <c r="BL200" s="69"/>
      <c r="BM200" s="23"/>
      <c r="BN200" s="23"/>
      <c r="BO200" s="69"/>
      <c r="BP200" s="69"/>
      <c r="BQ200" s="23"/>
      <c r="BR200" s="23"/>
      <c r="BS200" s="69"/>
      <c r="BT200" s="69"/>
      <c r="BU200" s="23"/>
      <c r="BV200" s="23"/>
      <c r="BW200" s="23"/>
      <c r="BX200" s="23"/>
      <c r="BY200" s="21"/>
      <c r="BZ200" s="22"/>
      <c r="CA200" s="23"/>
      <c r="CB200" s="23"/>
      <c r="CC200" s="21"/>
      <c r="CD200" s="22"/>
      <c r="CE200" s="23"/>
      <c r="CF200" s="23"/>
    </row>
    <row r="201" spans="1:84" s="232" customFormat="1" ht="51.85" customHeight="1" x14ac:dyDescent="0.3">
      <c r="A201" s="54" t="s">
        <v>285</v>
      </c>
      <c r="B201" s="41" t="s">
        <v>362</v>
      </c>
      <c r="C201" s="42" t="s">
        <v>6</v>
      </c>
      <c r="D201" s="169">
        <v>110.67</v>
      </c>
      <c r="E201" s="125">
        <v>1500</v>
      </c>
      <c r="F201" s="125">
        <v>3500</v>
      </c>
      <c r="G201" s="123">
        <f t="shared" si="49"/>
        <v>166005</v>
      </c>
      <c r="H201" s="123">
        <f t="shared" si="50"/>
        <v>387345</v>
      </c>
      <c r="I201" s="123">
        <f t="shared" si="51"/>
        <v>553350</v>
      </c>
      <c r="J201" s="242"/>
      <c r="K201" s="243"/>
      <c r="L201" s="243"/>
      <c r="M201" s="243"/>
      <c r="N201" s="243"/>
      <c r="O201" s="243"/>
      <c r="P201" s="243"/>
      <c r="Q201" s="243"/>
      <c r="R201" s="244"/>
      <c r="S201" s="243">
        <f>R201*E201</f>
        <v>0</v>
      </c>
      <c r="T201" s="243"/>
      <c r="U201" s="243"/>
      <c r="V201" s="243"/>
      <c r="W201" s="243"/>
      <c r="X201" s="245"/>
      <c r="Y201" s="243"/>
      <c r="Z201" s="243"/>
      <c r="AA201" s="244"/>
      <c r="AB201" s="243"/>
      <c r="AC201" s="243"/>
      <c r="AD201" s="245"/>
      <c r="AE201" s="245"/>
      <c r="AF201" s="243"/>
      <c r="AG201" s="243"/>
      <c r="AH201" s="243"/>
      <c r="AI201" s="243"/>
      <c r="AJ201" s="245"/>
      <c r="AK201" s="245"/>
      <c r="AL201" s="243"/>
      <c r="AM201" s="243"/>
      <c r="AN201" s="245"/>
      <c r="AO201" s="245"/>
      <c r="AP201" s="243"/>
      <c r="AQ201" s="243"/>
      <c r="AR201" s="245"/>
      <c r="AS201" s="245"/>
      <c r="AT201" s="243"/>
      <c r="AU201" s="243"/>
      <c r="AV201" s="245"/>
      <c r="AW201" s="245"/>
      <c r="AX201" s="243"/>
      <c r="AY201" s="243"/>
      <c r="AZ201" s="245"/>
      <c r="BA201" s="245"/>
      <c r="BB201" s="243"/>
      <c r="BC201" s="243"/>
      <c r="BD201" s="245"/>
      <c r="BE201" s="245"/>
      <c r="BF201" s="243"/>
      <c r="BG201" s="243"/>
      <c r="BH201" s="245"/>
      <c r="BI201" s="245"/>
      <c r="BJ201" s="243"/>
      <c r="BK201" s="243"/>
      <c r="BL201" s="245"/>
      <c r="BM201" s="245"/>
      <c r="BN201" s="243"/>
      <c r="BO201" s="243"/>
      <c r="BP201" s="245"/>
      <c r="BQ201" s="245"/>
      <c r="BR201" s="243"/>
      <c r="BS201" s="243"/>
      <c r="BT201" s="243"/>
      <c r="BU201" s="243"/>
      <c r="BV201" s="246"/>
      <c r="BW201" s="247"/>
      <c r="BX201" s="243"/>
      <c r="BY201" s="243"/>
      <c r="BZ201" s="246"/>
      <c r="CA201" s="247"/>
      <c r="CB201" s="243"/>
      <c r="CC201" s="243"/>
    </row>
    <row r="202" spans="1:84" s="154" customFormat="1" ht="30.05" customHeight="1" x14ac:dyDescent="0.3">
      <c r="A202" s="54" t="s">
        <v>330</v>
      </c>
      <c r="B202" s="248" t="s">
        <v>363</v>
      </c>
      <c r="C202" s="54" t="s">
        <v>6</v>
      </c>
      <c r="D202" s="228">
        <v>5.65</v>
      </c>
      <c r="E202" s="125">
        <v>650</v>
      </c>
      <c r="F202" s="125">
        <v>1200</v>
      </c>
      <c r="G202" s="123">
        <f t="shared" si="49"/>
        <v>3673</v>
      </c>
      <c r="H202" s="123">
        <f>ROUND(F202*D202,0)</f>
        <v>6780</v>
      </c>
      <c r="I202" s="123">
        <f>G202+H202</f>
        <v>10453</v>
      </c>
    </row>
    <row r="203" spans="1:84" s="154" customFormat="1" ht="30.05" customHeight="1" x14ac:dyDescent="0.25">
      <c r="A203" s="54" t="s">
        <v>366</v>
      </c>
      <c r="B203" s="41" t="s">
        <v>329</v>
      </c>
      <c r="C203" s="42" t="s">
        <v>8</v>
      </c>
      <c r="D203" s="169">
        <v>1.4630000000000001</v>
      </c>
      <c r="E203" s="163">
        <v>25000</v>
      </c>
      <c r="F203" s="125">
        <v>45000</v>
      </c>
      <c r="G203" s="125">
        <f t="shared" si="49"/>
        <v>36575</v>
      </c>
      <c r="H203" s="125">
        <f t="shared" si="50"/>
        <v>65835</v>
      </c>
      <c r="I203" s="125">
        <f t="shared" si="51"/>
        <v>102410</v>
      </c>
      <c r="J203" s="209"/>
    </row>
    <row r="204" spans="1:84" s="2" customFormat="1" ht="30.05" customHeight="1" x14ac:dyDescent="0.3">
      <c r="A204" s="1"/>
      <c r="B204" s="31" t="s">
        <v>10</v>
      </c>
      <c r="C204" s="5"/>
      <c r="D204" s="169"/>
      <c r="E204" s="268"/>
      <c r="F204" s="268"/>
      <c r="G204" s="254">
        <f>SUM(G196:G203)</f>
        <v>822281</v>
      </c>
      <c r="H204" s="254">
        <f>SUM(H196:H203)</f>
        <v>2401660</v>
      </c>
      <c r="I204" s="254">
        <f>SUM(G204:H204)</f>
        <v>3223941</v>
      </c>
      <c r="J204" s="20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6"/>
      <c r="V204" s="7">
        <f>U204*E204</f>
        <v>0</v>
      </c>
      <c r="W204" s="7">
        <f>U204*F204</f>
        <v>0</v>
      </c>
      <c r="X204" s="7">
        <f>V204+W204</f>
        <v>0</v>
      </c>
      <c r="Y204" s="18"/>
      <c r="Z204" s="18"/>
      <c r="AA204" s="26"/>
      <c r="AB204" s="24"/>
      <c r="AC204" s="7"/>
      <c r="AD204" s="26"/>
      <c r="AE204" s="18"/>
      <c r="AF204" s="18"/>
      <c r="AG204" s="26"/>
      <c r="AH204" s="26"/>
      <c r="AI204" s="24"/>
      <c r="AJ204" s="7"/>
      <c r="AK204" s="18"/>
      <c r="AL204" s="18"/>
      <c r="AM204" s="26"/>
      <c r="AN204" s="26"/>
      <c r="AO204" s="24"/>
      <c r="AP204" s="7"/>
      <c r="AQ204" s="26"/>
      <c r="AR204" s="26"/>
      <c r="AS204" s="24"/>
      <c r="AT204" s="7"/>
      <c r="AU204" s="26"/>
      <c r="AV204" s="26"/>
      <c r="AW204" s="24"/>
      <c r="AX204" s="7"/>
      <c r="AY204" s="26"/>
      <c r="AZ204" s="26"/>
      <c r="BA204" s="24"/>
      <c r="BB204" s="7"/>
      <c r="BC204" s="26"/>
      <c r="BD204" s="26"/>
      <c r="BE204" s="24"/>
      <c r="BF204" s="7"/>
      <c r="BG204" s="26"/>
      <c r="BH204" s="26"/>
      <c r="BI204" s="24"/>
      <c r="BJ204" s="7"/>
      <c r="BK204" s="26"/>
      <c r="BL204" s="26"/>
      <c r="BM204" s="24"/>
      <c r="BN204" s="7"/>
      <c r="BO204" s="26"/>
      <c r="BP204" s="26"/>
      <c r="BQ204" s="24"/>
      <c r="BR204" s="7"/>
      <c r="BS204" s="26"/>
      <c r="BT204" s="26"/>
      <c r="BU204" s="24"/>
      <c r="BV204" s="7"/>
      <c r="BW204" s="18"/>
      <c r="BX204" s="18"/>
      <c r="BY204" s="19" t="e">
        <f>#REF!-Y204-AE204-AK204-BW204</f>
        <v>#REF!</v>
      </c>
      <c r="BZ204" s="20">
        <f>G204-V204-AB204-AH204-AN204-AR204-AV204-AZ204-BD204-BH204-BL204-BP204-BT204</f>
        <v>822281</v>
      </c>
      <c r="CA204" s="18">
        <f>H204-W204-AC204-AI204-AO204-AS204-AW204-BA204-BE204-BI204-BM204-BQ204-BU204</f>
        <v>2401660</v>
      </c>
      <c r="CB204" s="18">
        <f>I204-Z204-AF204-AL204-BX204</f>
        <v>3223941</v>
      </c>
      <c r="CC204" s="21"/>
      <c r="CD204" s="22"/>
      <c r="CE204" s="23"/>
      <c r="CF204" s="23"/>
    </row>
    <row r="205" spans="1:84" s="175" customFormat="1" ht="30.05" customHeight="1" x14ac:dyDescent="0.25">
      <c r="A205" s="54"/>
      <c r="B205" s="41" t="s">
        <v>249</v>
      </c>
      <c r="C205" s="42"/>
      <c r="D205" s="169"/>
      <c r="E205" s="123"/>
      <c r="F205" s="123"/>
      <c r="G205" s="125">
        <f>ROUND(G204*0.11,0)</f>
        <v>90451</v>
      </c>
      <c r="H205" s="123"/>
      <c r="I205" s="123">
        <f>G205</f>
        <v>90451</v>
      </c>
      <c r="J205" s="197"/>
    </row>
    <row r="206" spans="1:84" s="175" customFormat="1" ht="30.05" customHeight="1" x14ac:dyDescent="0.25">
      <c r="A206" s="54"/>
      <c r="B206" s="41" t="s">
        <v>223</v>
      </c>
      <c r="C206" s="42"/>
      <c r="D206" s="169"/>
      <c r="E206" s="123"/>
      <c r="F206" s="123"/>
      <c r="G206" s="125">
        <f>ROUND(G204*0.05,0)</f>
        <v>41114</v>
      </c>
      <c r="H206" s="123"/>
      <c r="I206" s="123">
        <f>G206</f>
        <v>41114</v>
      </c>
      <c r="J206" s="197"/>
    </row>
    <row r="207" spans="1:84" s="3" customFormat="1" ht="30.05" customHeight="1" x14ac:dyDescent="0.3">
      <c r="A207" s="43"/>
      <c r="B207" s="36" t="s">
        <v>286</v>
      </c>
      <c r="C207" s="43"/>
      <c r="D207" s="259"/>
      <c r="E207" s="260"/>
      <c r="F207" s="260"/>
      <c r="G207" s="260">
        <f>SUM(G204:G206)</f>
        <v>953846</v>
      </c>
      <c r="H207" s="260">
        <f>SUM(H204:H206)</f>
        <v>2401660</v>
      </c>
      <c r="I207" s="261">
        <f>SUM(I204:I206)</f>
        <v>3355506</v>
      </c>
      <c r="J207" s="205">
        <f>I207</f>
        <v>3355506</v>
      </c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64"/>
      <c r="V207" s="18">
        <f t="shared" ref="V207:V214" si="52">U207*E207</f>
        <v>0</v>
      </c>
      <c r="W207" s="18">
        <f t="shared" ref="W207:W214" si="53">U207*F207</f>
        <v>0</v>
      </c>
      <c r="X207" s="18">
        <f t="shared" ref="X207:X221" si="54">V207+W207</f>
        <v>0</v>
      </c>
      <c r="Y207" s="18"/>
      <c r="Z207" s="18"/>
      <c r="AA207" s="64"/>
      <c r="AB207" s="64"/>
      <c r="AC207" s="64"/>
      <c r="AD207" s="64"/>
      <c r="AE207" s="18"/>
      <c r="AF207" s="18"/>
      <c r="AG207" s="64"/>
      <c r="AH207" s="64"/>
      <c r="AI207" s="64"/>
      <c r="AJ207" s="64"/>
      <c r="AK207" s="18"/>
      <c r="AL207" s="18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18"/>
      <c r="BX207" s="18"/>
      <c r="BY207" s="19" t="e">
        <f>#REF!-Y207-AE207-AK207-BW207</f>
        <v>#REF!</v>
      </c>
      <c r="BZ207" s="20">
        <f t="shared" ref="BZ207:CA211" si="55">G207-V207-AB207-AH207-AN207-AR207-AV207-AZ207-BD207-BH207-BL207-BP207-BT207</f>
        <v>953846</v>
      </c>
      <c r="CA207" s="18">
        <f t="shared" si="55"/>
        <v>2401660</v>
      </c>
      <c r="CB207" s="18">
        <f t="shared" ref="CB207:CB214" si="56">I207-Z207-AF207-AL207-BX207</f>
        <v>3355506</v>
      </c>
      <c r="CC207" s="19"/>
      <c r="CD207" s="20"/>
      <c r="CE207" s="18"/>
      <c r="CF207" s="18"/>
    </row>
    <row r="208" spans="1:84" s="4" customFormat="1" ht="30.05" customHeight="1" x14ac:dyDescent="0.3">
      <c r="A208" s="52" t="s">
        <v>57</v>
      </c>
      <c r="B208" s="37" t="s">
        <v>49</v>
      </c>
      <c r="C208" s="166"/>
      <c r="D208" s="256"/>
      <c r="E208" s="257"/>
      <c r="F208" s="257"/>
      <c r="G208" s="257"/>
      <c r="H208" s="257"/>
      <c r="I208" s="257"/>
      <c r="J208" s="208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23">
        <f t="shared" si="52"/>
        <v>0</v>
      </c>
      <c r="W208" s="23">
        <f t="shared" si="53"/>
        <v>0</v>
      </c>
      <c r="X208" s="23">
        <f t="shared" si="54"/>
        <v>0</v>
      </c>
      <c r="Y208" s="23"/>
      <c r="Z208" s="23"/>
      <c r="AA208" s="79"/>
      <c r="AB208" s="79"/>
      <c r="AC208" s="79"/>
      <c r="AD208" s="79"/>
      <c r="AE208" s="23"/>
      <c r="AF208" s="23"/>
      <c r="AG208" s="79"/>
      <c r="AH208" s="79"/>
      <c r="AI208" s="79"/>
      <c r="AJ208" s="79"/>
      <c r="AK208" s="23"/>
      <c r="AL208" s="23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23"/>
      <c r="BX208" s="23"/>
      <c r="BY208" s="21" t="e">
        <f>#REF!-Y208-AE208-AK208-BW208</f>
        <v>#REF!</v>
      </c>
      <c r="BZ208" s="22">
        <f t="shared" si="55"/>
        <v>0</v>
      </c>
      <c r="CA208" s="23">
        <f t="shared" si="55"/>
        <v>0</v>
      </c>
      <c r="CB208" s="23">
        <f t="shared" si="56"/>
        <v>0</v>
      </c>
      <c r="CC208" s="21"/>
      <c r="CD208" s="22"/>
      <c r="CE208" s="23"/>
      <c r="CF208" s="23"/>
    </row>
    <row r="209" spans="1:84" s="4" customFormat="1" ht="36" customHeight="1" x14ac:dyDescent="0.3">
      <c r="A209" s="54" t="s">
        <v>59</v>
      </c>
      <c r="B209" s="41" t="s">
        <v>51</v>
      </c>
      <c r="C209" s="42" t="s">
        <v>6</v>
      </c>
      <c r="D209" s="169">
        <v>35</v>
      </c>
      <c r="E209" s="125">
        <v>450</v>
      </c>
      <c r="F209" s="125">
        <v>500</v>
      </c>
      <c r="G209" s="123">
        <f>ROUND(D209*E209,0)</f>
        <v>15750</v>
      </c>
      <c r="H209" s="123">
        <f>ROUND(D209*F209,0)</f>
        <v>17500</v>
      </c>
      <c r="I209" s="123">
        <f>SUM(G209:H209)</f>
        <v>33250</v>
      </c>
      <c r="J209" s="187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70"/>
      <c r="V209" s="23">
        <f t="shared" si="52"/>
        <v>0</v>
      </c>
      <c r="W209" s="23">
        <f t="shared" si="53"/>
        <v>0</v>
      </c>
      <c r="X209" s="23">
        <f t="shared" si="54"/>
        <v>0</v>
      </c>
      <c r="Y209" s="23"/>
      <c r="Z209" s="23"/>
      <c r="AA209" s="69"/>
      <c r="AB209" s="23"/>
      <c r="AC209" s="23"/>
      <c r="AD209" s="70"/>
      <c r="AE209" s="23"/>
      <c r="AF209" s="23"/>
      <c r="AG209" s="69"/>
      <c r="AH209" s="69"/>
      <c r="AI209" s="23"/>
      <c r="AJ209" s="23"/>
      <c r="AK209" s="23"/>
      <c r="AL209" s="23"/>
      <c r="AM209" s="69"/>
      <c r="AN209" s="69"/>
      <c r="AO209" s="23"/>
      <c r="AP209" s="23"/>
      <c r="AQ209" s="69"/>
      <c r="AR209" s="69"/>
      <c r="AS209" s="23"/>
      <c r="AT209" s="23"/>
      <c r="AU209" s="69"/>
      <c r="AV209" s="69"/>
      <c r="AW209" s="23"/>
      <c r="AX209" s="23"/>
      <c r="AY209" s="69"/>
      <c r="AZ209" s="69"/>
      <c r="BA209" s="23"/>
      <c r="BB209" s="23"/>
      <c r="BC209" s="69"/>
      <c r="BD209" s="69"/>
      <c r="BE209" s="23"/>
      <c r="BF209" s="23"/>
      <c r="BG209" s="69"/>
      <c r="BH209" s="69"/>
      <c r="BI209" s="23"/>
      <c r="BJ209" s="23"/>
      <c r="BK209" s="69"/>
      <c r="BL209" s="69"/>
      <c r="BM209" s="23"/>
      <c r="BN209" s="23"/>
      <c r="BO209" s="69"/>
      <c r="BP209" s="69"/>
      <c r="BQ209" s="23"/>
      <c r="BR209" s="23"/>
      <c r="BS209" s="69"/>
      <c r="BT209" s="69"/>
      <c r="BU209" s="23"/>
      <c r="BV209" s="23"/>
      <c r="BW209" s="23"/>
      <c r="BX209" s="23"/>
      <c r="BY209" s="21" t="e">
        <f>#REF!-Y209-AE209-AK209-BW209</f>
        <v>#REF!</v>
      </c>
      <c r="BZ209" s="22">
        <f t="shared" si="55"/>
        <v>15750</v>
      </c>
      <c r="CA209" s="23">
        <f t="shared" si="55"/>
        <v>17500</v>
      </c>
      <c r="CB209" s="23">
        <f t="shared" si="56"/>
        <v>33250</v>
      </c>
      <c r="CC209" s="21"/>
      <c r="CD209" s="22"/>
      <c r="CE209" s="23"/>
      <c r="CF209" s="23"/>
    </row>
    <row r="210" spans="1:84" s="4" customFormat="1" ht="30.05" customHeight="1" x14ac:dyDescent="0.3">
      <c r="A210" s="54" t="s">
        <v>241</v>
      </c>
      <c r="B210" s="41" t="s">
        <v>53</v>
      </c>
      <c r="C210" s="42" t="s">
        <v>8</v>
      </c>
      <c r="D210" s="169">
        <v>0.2</v>
      </c>
      <c r="E210" s="125">
        <v>25000</v>
      </c>
      <c r="F210" s="125">
        <v>42000</v>
      </c>
      <c r="G210" s="123">
        <f>ROUND(D210*E210,0)</f>
        <v>5000</v>
      </c>
      <c r="H210" s="123">
        <f>ROUND(D210*F210,0)</f>
        <v>8400</v>
      </c>
      <c r="I210" s="123">
        <f>SUM(G210:H210)</f>
        <v>13400</v>
      </c>
      <c r="J210" s="187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70"/>
      <c r="V210" s="23">
        <f t="shared" si="52"/>
        <v>0</v>
      </c>
      <c r="W210" s="23">
        <f t="shared" si="53"/>
        <v>0</v>
      </c>
      <c r="X210" s="23">
        <f t="shared" si="54"/>
        <v>0</v>
      </c>
      <c r="Y210" s="23"/>
      <c r="Z210" s="23"/>
      <c r="AA210" s="69"/>
      <c r="AB210" s="23"/>
      <c r="AC210" s="23"/>
      <c r="AD210" s="70"/>
      <c r="AE210" s="23"/>
      <c r="AF210" s="23"/>
      <c r="AG210" s="69"/>
      <c r="AH210" s="69"/>
      <c r="AI210" s="23"/>
      <c r="AJ210" s="23"/>
      <c r="AK210" s="23"/>
      <c r="AL210" s="23"/>
      <c r="AM210" s="69"/>
      <c r="AN210" s="69"/>
      <c r="AO210" s="23"/>
      <c r="AP210" s="23"/>
      <c r="AQ210" s="69"/>
      <c r="AR210" s="69"/>
      <c r="AS210" s="23"/>
      <c r="AT210" s="23"/>
      <c r="AU210" s="69"/>
      <c r="AV210" s="69"/>
      <c r="AW210" s="23"/>
      <c r="AX210" s="23"/>
      <c r="AY210" s="69"/>
      <c r="AZ210" s="69"/>
      <c r="BA210" s="23"/>
      <c r="BB210" s="23"/>
      <c r="BC210" s="69"/>
      <c r="BD210" s="69"/>
      <c r="BE210" s="23"/>
      <c r="BF210" s="23"/>
      <c r="BG210" s="69"/>
      <c r="BH210" s="69"/>
      <c r="BI210" s="23"/>
      <c r="BJ210" s="23"/>
      <c r="BK210" s="69"/>
      <c r="BL210" s="69"/>
      <c r="BM210" s="23"/>
      <c r="BN210" s="23"/>
      <c r="BO210" s="69"/>
      <c r="BP210" s="69"/>
      <c r="BQ210" s="23"/>
      <c r="BR210" s="23"/>
      <c r="BS210" s="69"/>
      <c r="BT210" s="69"/>
      <c r="BU210" s="23"/>
      <c r="BV210" s="23"/>
      <c r="BW210" s="23"/>
      <c r="BX210" s="23"/>
      <c r="BY210" s="21" t="e">
        <f>#REF!-Y210-AE210-AK210-BW210</f>
        <v>#REF!</v>
      </c>
      <c r="BZ210" s="22">
        <f t="shared" si="55"/>
        <v>5000</v>
      </c>
      <c r="CA210" s="23">
        <f t="shared" si="55"/>
        <v>8400</v>
      </c>
      <c r="CB210" s="23">
        <f t="shared" si="56"/>
        <v>13400</v>
      </c>
      <c r="CC210" s="21"/>
      <c r="CD210" s="22"/>
      <c r="CE210" s="23"/>
      <c r="CF210" s="23"/>
    </row>
    <row r="211" spans="1:84" s="4" customFormat="1" ht="30.05" customHeight="1" x14ac:dyDescent="0.3">
      <c r="A211" s="54"/>
      <c r="B211" s="46" t="s">
        <v>92</v>
      </c>
      <c r="C211" s="42"/>
      <c r="D211" s="169"/>
      <c r="E211" s="123"/>
      <c r="F211" s="123"/>
      <c r="G211" s="258">
        <f>SUM(G209:G210)</f>
        <v>20750</v>
      </c>
      <c r="H211" s="258">
        <f>SUM(H209:H210)</f>
        <v>25900</v>
      </c>
      <c r="I211" s="258">
        <f>SUM(G211:H211)</f>
        <v>46650</v>
      </c>
      <c r="J211" s="187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78"/>
      <c r="V211" s="23">
        <f t="shared" si="52"/>
        <v>0</v>
      </c>
      <c r="W211" s="23">
        <f t="shared" si="53"/>
        <v>0</v>
      </c>
      <c r="X211" s="23">
        <f t="shared" si="54"/>
        <v>0</v>
      </c>
      <c r="Y211" s="23"/>
      <c r="Z211" s="23"/>
      <c r="AA211" s="78"/>
      <c r="AB211" s="63"/>
      <c r="AC211" s="23"/>
      <c r="AD211" s="78"/>
      <c r="AE211" s="23"/>
      <c r="AF211" s="23"/>
      <c r="AG211" s="78"/>
      <c r="AH211" s="78"/>
      <c r="AI211" s="63"/>
      <c r="AJ211" s="23"/>
      <c r="AK211" s="23"/>
      <c r="AL211" s="23"/>
      <c r="AM211" s="78"/>
      <c r="AN211" s="78"/>
      <c r="AO211" s="63"/>
      <c r="AP211" s="23"/>
      <c r="AQ211" s="78"/>
      <c r="AR211" s="78"/>
      <c r="AS211" s="63"/>
      <c r="AT211" s="23"/>
      <c r="AU211" s="78"/>
      <c r="AV211" s="78"/>
      <c r="AW211" s="63"/>
      <c r="AX211" s="23"/>
      <c r="AY211" s="78"/>
      <c r="AZ211" s="78"/>
      <c r="BA211" s="63"/>
      <c r="BB211" s="23"/>
      <c r="BC211" s="78"/>
      <c r="BD211" s="78"/>
      <c r="BE211" s="63"/>
      <c r="BF211" s="23"/>
      <c r="BG211" s="78"/>
      <c r="BH211" s="78"/>
      <c r="BI211" s="63"/>
      <c r="BJ211" s="23"/>
      <c r="BK211" s="78"/>
      <c r="BL211" s="78"/>
      <c r="BM211" s="63"/>
      <c r="BN211" s="23"/>
      <c r="BO211" s="78"/>
      <c r="BP211" s="78"/>
      <c r="BQ211" s="63"/>
      <c r="BR211" s="23"/>
      <c r="BS211" s="78"/>
      <c r="BT211" s="78"/>
      <c r="BU211" s="63"/>
      <c r="BV211" s="23"/>
      <c r="BW211" s="23"/>
      <c r="BX211" s="23"/>
      <c r="BY211" s="21" t="e">
        <f>#REF!-Y211-AE211-AK211-BW211</f>
        <v>#REF!</v>
      </c>
      <c r="BZ211" s="22">
        <f t="shared" si="55"/>
        <v>20750</v>
      </c>
      <c r="CA211" s="23">
        <f t="shared" si="55"/>
        <v>25900</v>
      </c>
      <c r="CB211" s="23">
        <f t="shared" si="56"/>
        <v>46650</v>
      </c>
      <c r="CC211" s="21"/>
      <c r="CD211" s="22"/>
      <c r="CE211" s="23"/>
      <c r="CF211" s="23"/>
    </row>
    <row r="212" spans="1:84" s="3" customFormat="1" ht="30.05" customHeight="1" x14ac:dyDescent="0.3">
      <c r="A212" s="43"/>
      <c r="B212" s="36" t="s">
        <v>287</v>
      </c>
      <c r="C212" s="43"/>
      <c r="D212" s="259"/>
      <c r="E212" s="260"/>
      <c r="F212" s="260"/>
      <c r="G212" s="260">
        <f>SUM(G211:G211)</f>
        <v>20750</v>
      </c>
      <c r="H212" s="260">
        <f>SUM(H211:H211)</f>
        <v>25900</v>
      </c>
      <c r="I212" s="261">
        <f>SUM(I211:I211)</f>
        <v>46650</v>
      </c>
      <c r="J212" s="205">
        <f>I212</f>
        <v>46650</v>
      </c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64"/>
      <c r="V212" s="18">
        <f t="shared" si="52"/>
        <v>0</v>
      </c>
      <c r="W212" s="18">
        <f t="shared" si="53"/>
        <v>0</v>
      </c>
      <c r="X212" s="18">
        <f t="shared" si="54"/>
        <v>0</v>
      </c>
      <c r="Y212" s="18"/>
      <c r="Z212" s="18"/>
      <c r="AA212" s="64"/>
      <c r="AB212" s="64"/>
      <c r="AC212" s="64"/>
      <c r="AD212" s="64"/>
      <c r="AE212" s="18"/>
      <c r="AF212" s="18"/>
      <c r="AG212" s="64"/>
      <c r="AH212" s="64"/>
      <c r="AI212" s="64"/>
      <c r="AJ212" s="64"/>
      <c r="AK212" s="18"/>
      <c r="AL212" s="18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18"/>
      <c r="BX212" s="18"/>
      <c r="BY212" s="19" t="e">
        <f>#REF!-Y212-AE212-AK212-BW212</f>
        <v>#REF!</v>
      </c>
      <c r="BZ212" s="20">
        <f t="shared" ref="BZ212:CA219" si="57">G212-V212-AB212-AH212-AN212-AR212-AV212-AZ212-BD212-BH212-BL212-BP212-BT212</f>
        <v>20750</v>
      </c>
      <c r="CA212" s="18">
        <f t="shared" si="57"/>
        <v>25900</v>
      </c>
      <c r="CB212" s="18">
        <f t="shared" si="56"/>
        <v>46650</v>
      </c>
      <c r="CC212" s="19"/>
      <c r="CD212" s="20"/>
      <c r="CE212" s="18"/>
      <c r="CF212" s="18"/>
    </row>
    <row r="213" spans="1:84" s="4" customFormat="1" ht="30.05" customHeight="1" x14ac:dyDescent="0.3">
      <c r="A213" s="52" t="s">
        <v>61</v>
      </c>
      <c r="B213" s="37" t="s">
        <v>364</v>
      </c>
      <c r="C213" s="166"/>
      <c r="D213" s="256"/>
      <c r="E213" s="257"/>
      <c r="F213" s="257"/>
      <c r="G213" s="257"/>
      <c r="H213" s="257"/>
      <c r="I213" s="257"/>
      <c r="J213" s="208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23">
        <f t="shared" si="52"/>
        <v>0</v>
      </c>
      <c r="W213" s="23">
        <f t="shared" si="53"/>
        <v>0</v>
      </c>
      <c r="X213" s="23">
        <f t="shared" si="54"/>
        <v>0</v>
      </c>
      <c r="Y213" s="23"/>
      <c r="Z213" s="23"/>
      <c r="AA213" s="79"/>
      <c r="AB213" s="79"/>
      <c r="AC213" s="79"/>
      <c r="AD213" s="79"/>
      <c r="AE213" s="23"/>
      <c r="AF213" s="23"/>
      <c r="AG213" s="79"/>
      <c r="AH213" s="79"/>
      <c r="AI213" s="79"/>
      <c r="AJ213" s="79"/>
      <c r="AK213" s="23"/>
      <c r="AL213" s="23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23"/>
      <c r="BX213" s="23"/>
      <c r="BY213" s="21" t="e">
        <f>#REF!-Y213-AE213-AK213-BW213</f>
        <v>#REF!</v>
      </c>
      <c r="BZ213" s="22">
        <f t="shared" si="57"/>
        <v>0</v>
      </c>
      <c r="CA213" s="23">
        <f t="shared" si="57"/>
        <v>0</v>
      </c>
      <c r="CB213" s="23">
        <f t="shared" si="56"/>
        <v>0</v>
      </c>
      <c r="CC213" s="21"/>
      <c r="CD213" s="22"/>
      <c r="CE213" s="23"/>
      <c r="CF213" s="23"/>
    </row>
    <row r="214" spans="1:84" s="4" customFormat="1" ht="30.05" customHeight="1" x14ac:dyDescent="0.3">
      <c r="A214" s="54" t="s">
        <v>63</v>
      </c>
      <c r="B214" s="41" t="s">
        <v>365</v>
      </c>
      <c r="C214" s="42" t="s">
        <v>8</v>
      </c>
      <c r="D214" s="169">
        <v>1.17</v>
      </c>
      <c r="E214" s="125">
        <v>25000</v>
      </c>
      <c r="F214" s="125">
        <v>46000</v>
      </c>
      <c r="G214" s="123">
        <f>ROUND(D214*E214,0)</f>
        <v>29250</v>
      </c>
      <c r="H214" s="123">
        <f>ROUND(D214*F214,0)</f>
        <v>53820</v>
      </c>
      <c r="I214" s="123">
        <f t="shared" ref="I214:I219" si="58">SUM(G214:H214)</f>
        <v>83070</v>
      </c>
      <c r="J214" s="187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70"/>
      <c r="V214" s="23">
        <f t="shared" si="52"/>
        <v>0</v>
      </c>
      <c r="W214" s="23">
        <f t="shared" si="53"/>
        <v>0</v>
      </c>
      <c r="X214" s="23">
        <f t="shared" si="54"/>
        <v>0</v>
      </c>
      <c r="Y214" s="23"/>
      <c r="Z214" s="23"/>
      <c r="AA214" s="69"/>
      <c r="AB214" s="23"/>
      <c r="AC214" s="23"/>
      <c r="AD214" s="70"/>
      <c r="AE214" s="23"/>
      <c r="AF214" s="23"/>
      <c r="AG214" s="69"/>
      <c r="AH214" s="69"/>
      <c r="AI214" s="23"/>
      <c r="AJ214" s="23"/>
      <c r="AK214" s="23"/>
      <c r="AL214" s="23"/>
      <c r="AM214" s="69"/>
      <c r="AN214" s="69"/>
      <c r="AO214" s="23"/>
      <c r="AP214" s="23"/>
      <c r="AQ214" s="69"/>
      <c r="AR214" s="69"/>
      <c r="AS214" s="23"/>
      <c r="AT214" s="23"/>
      <c r="AU214" s="69"/>
      <c r="AV214" s="69"/>
      <c r="AW214" s="23"/>
      <c r="AX214" s="23"/>
      <c r="AY214" s="69"/>
      <c r="AZ214" s="69"/>
      <c r="BA214" s="23"/>
      <c r="BB214" s="23"/>
      <c r="BC214" s="69"/>
      <c r="BD214" s="69"/>
      <c r="BE214" s="23"/>
      <c r="BF214" s="23"/>
      <c r="BG214" s="69"/>
      <c r="BH214" s="69"/>
      <c r="BI214" s="23"/>
      <c r="BJ214" s="23"/>
      <c r="BK214" s="69"/>
      <c r="BL214" s="69"/>
      <c r="BM214" s="23"/>
      <c r="BN214" s="23"/>
      <c r="BO214" s="69"/>
      <c r="BP214" s="69"/>
      <c r="BQ214" s="23"/>
      <c r="BR214" s="23"/>
      <c r="BS214" s="69"/>
      <c r="BT214" s="69"/>
      <c r="BU214" s="23"/>
      <c r="BV214" s="23"/>
      <c r="BW214" s="23"/>
      <c r="BX214" s="23"/>
      <c r="BY214" s="21" t="e">
        <f>#REF!-Y214-AE214-AK214-BW214</f>
        <v>#REF!</v>
      </c>
      <c r="BZ214" s="22">
        <f t="shared" si="57"/>
        <v>29250</v>
      </c>
      <c r="CA214" s="23">
        <f t="shared" si="57"/>
        <v>53820</v>
      </c>
      <c r="CB214" s="23">
        <f t="shared" si="56"/>
        <v>83070</v>
      </c>
      <c r="CC214" s="21"/>
      <c r="CD214" s="22"/>
      <c r="CE214" s="23"/>
      <c r="CF214" s="23"/>
    </row>
    <row r="215" spans="1:84" s="232" customFormat="1" ht="30.05" customHeight="1" x14ac:dyDescent="0.3">
      <c r="A215" s="54" t="s">
        <v>65</v>
      </c>
      <c r="B215" s="41" t="s">
        <v>358</v>
      </c>
      <c r="C215" s="42" t="s">
        <v>103</v>
      </c>
      <c r="D215" s="169">
        <f>13+13</f>
        <v>26</v>
      </c>
      <c r="E215" s="125">
        <v>350</v>
      </c>
      <c r="F215" s="125">
        <v>525</v>
      </c>
      <c r="G215" s="123">
        <f>ROUND(D215*E215,0)</f>
        <v>9100</v>
      </c>
      <c r="H215" s="123">
        <f>ROUND(D215*F215,0)</f>
        <v>13650</v>
      </c>
      <c r="I215" s="123">
        <f t="shared" si="58"/>
        <v>22750</v>
      </c>
      <c r="J215" s="242"/>
      <c r="K215" s="243"/>
      <c r="L215" s="243"/>
      <c r="M215" s="243"/>
      <c r="N215" s="243"/>
      <c r="O215" s="243"/>
      <c r="P215" s="243"/>
      <c r="Q215" s="243"/>
      <c r="R215" s="244"/>
      <c r="S215" s="243">
        <f>R215*E215</f>
        <v>0</v>
      </c>
      <c r="T215" s="243">
        <f>R215*F215</f>
        <v>0</v>
      </c>
      <c r="U215" s="243">
        <f>S215+T215</f>
        <v>0</v>
      </c>
      <c r="V215" s="243"/>
      <c r="W215" s="243"/>
      <c r="X215" s="245"/>
      <c r="Y215" s="243"/>
      <c r="Z215" s="243"/>
      <c r="AA215" s="244"/>
      <c r="AB215" s="243"/>
      <c r="AC215" s="243"/>
      <c r="AD215" s="245"/>
      <c r="AE215" s="245"/>
      <c r="AF215" s="243"/>
      <c r="AG215" s="243"/>
      <c r="AH215" s="243"/>
      <c r="AI215" s="243"/>
      <c r="AJ215" s="245"/>
      <c r="AK215" s="245"/>
      <c r="AL215" s="243"/>
      <c r="AM215" s="243"/>
      <c r="AN215" s="245"/>
      <c r="AO215" s="245"/>
      <c r="AP215" s="243"/>
      <c r="AQ215" s="243"/>
      <c r="AR215" s="245"/>
      <c r="AS215" s="245"/>
      <c r="AT215" s="243"/>
      <c r="AU215" s="243"/>
      <c r="AV215" s="245"/>
      <c r="AW215" s="245"/>
      <c r="AX215" s="243"/>
      <c r="AY215" s="243"/>
      <c r="AZ215" s="245"/>
      <c r="BA215" s="245"/>
      <c r="BB215" s="243"/>
      <c r="BC215" s="243"/>
      <c r="BD215" s="245"/>
      <c r="BE215" s="245"/>
      <c r="BF215" s="243"/>
      <c r="BG215" s="243"/>
      <c r="BH215" s="245"/>
      <c r="BI215" s="245"/>
      <c r="BJ215" s="243"/>
      <c r="BK215" s="243"/>
      <c r="BL215" s="245"/>
      <c r="BM215" s="245"/>
      <c r="BN215" s="243"/>
      <c r="BO215" s="243"/>
      <c r="BP215" s="245"/>
      <c r="BQ215" s="245"/>
      <c r="BR215" s="243"/>
      <c r="BS215" s="243"/>
      <c r="BT215" s="243"/>
      <c r="BU215" s="243"/>
      <c r="BV215" s="246" t="e">
        <f>#REF!-V215-AB215-AH215-BT215</f>
        <v>#REF!</v>
      </c>
      <c r="BW215" s="247">
        <f t="shared" ref="BW215:BX218" si="59">G215-S215-Y215-AE215-AK215-AO215-AS215-AW215-BA215-BE215-BI215-BM215-BQ215</f>
        <v>9100</v>
      </c>
      <c r="BX215" s="243">
        <f t="shared" si="59"/>
        <v>13650</v>
      </c>
      <c r="BY215" s="243">
        <f>I215-W215-AC215-AI215-BU215</f>
        <v>22750</v>
      </c>
      <c r="BZ215" s="246"/>
      <c r="CA215" s="247"/>
      <c r="CB215" s="243"/>
      <c r="CC215" s="243"/>
    </row>
    <row r="216" spans="1:84" s="232" customFormat="1" ht="30.05" customHeight="1" x14ac:dyDescent="0.3">
      <c r="A216" s="54" t="s">
        <v>65</v>
      </c>
      <c r="B216" s="41" t="s">
        <v>359</v>
      </c>
      <c r="C216" s="42" t="s">
        <v>103</v>
      </c>
      <c r="D216" s="169">
        <f>6+2*2.8</f>
        <v>11.6</v>
      </c>
      <c r="E216" s="125">
        <v>350</v>
      </c>
      <c r="F216" s="125">
        <v>240</v>
      </c>
      <c r="G216" s="123">
        <f>ROUND(D216*E216,0)</f>
        <v>4060</v>
      </c>
      <c r="H216" s="123">
        <f>ROUND(D216*F216,0)</f>
        <v>2784</v>
      </c>
      <c r="I216" s="123">
        <f t="shared" si="58"/>
        <v>6844</v>
      </c>
      <c r="J216" s="242"/>
      <c r="K216" s="243"/>
      <c r="L216" s="243"/>
      <c r="M216" s="243"/>
      <c r="N216" s="243"/>
      <c r="O216" s="243"/>
      <c r="P216" s="243"/>
      <c r="Q216" s="243"/>
      <c r="R216" s="244"/>
      <c r="S216" s="243">
        <f>R216*E216</f>
        <v>0</v>
      </c>
      <c r="T216" s="243">
        <f>R216*F216</f>
        <v>0</v>
      </c>
      <c r="U216" s="243">
        <f>S216+T216</f>
        <v>0</v>
      </c>
      <c r="V216" s="243"/>
      <c r="W216" s="243"/>
      <c r="X216" s="245"/>
      <c r="Y216" s="243"/>
      <c r="Z216" s="243"/>
      <c r="AA216" s="244"/>
      <c r="AB216" s="243"/>
      <c r="AC216" s="243"/>
      <c r="AD216" s="245"/>
      <c r="AE216" s="245"/>
      <c r="AF216" s="243"/>
      <c r="AG216" s="243"/>
      <c r="AH216" s="243"/>
      <c r="AI216" s="243"/>
      <c r="AJ216" s="245"/>
      <c r="AK216" s="245"/>
      <c r="AL216" s="243"/>
      <c r="AM216" s="243"/>
      <c r="AN216" s="245"/>
      <c r="AO216" s="245"/>
      <c r="AP216" s="243"/>
      <c r="AQ216" s="243"/>
      <c r="AR216" s="245"/>
      <c r="AS216" s="245"/>
      <c r="AT216" s="243"/>
      <c r="AU216" s="243"/>
      <c r="AV216" s="245"/>
      <c r="AW216" s="245"/>
      <c r="AX216" s="243"/>
      <c r="AY216" s="243"/>
      <c r="AZ216" s="245"/>
      <c r="BA216" s="245"/>
      <c r="BB216" s="243"/>
      <c r="BC216" s="243"/>
      <c r="BD216" s="245"/>
      <c r="BE216" s="245"/>
      <c r="BF216" s="243"/>
      <c r="BG216" s="243"/>
      <c r="BH216" s="245"/>
      <c r="BI216" s="245"/>
      <c r="BJ216" s="243"/>
      <c r="BK216" s="243"/>
      <c r="BL216" s="245"/>
      <c r="BM216" s="245"/>
      <c r="BN216" s="243"/>
      <c r="BO216" s="243"/>
      <c r="BP216" s="245"/>
      <c r="BQ216" s="245"/>
      <c r="BR216" s="243"/>
      <c r="BS216" s="243"/>
      <c r="BT216" s="243"/>
      <c r="BU216" s="243"/>
      <c r="BV216" s="246" t="e">
        <f>#REF!-V216-AB216-AH216-BT216</f>
        <v>#REF!</v>
      </c>
      <c r="BW216" s="247">
        <f t="shared" si="59"/>
        <v>4060</v>
      </c>
      <c r="BX216" s="243">
        <f t="shared" si="59"/>
        <v>2784</v>
      </c>
      <c r="BY216" s="243">
        <f>I216-W216-AC216-AI216-BU216</f>
        <v>6844</v>
      </c>
      <c r="BZ216" s="246"/>
      <c r="CA216" s="247"/>
      <c r="CB216" s="243"/>
      <c r="CC216" s="243"/>
    </row>
    <row r="217" spans="1:84" s="232" customFormat="1" ht="30.05" customHeight="1" x14ac:dyDescent="0.3">
      <c r="A217" s="54" t="s">
        <v>65</v>
      </c>
      <c r="B217" s="41" t="s">
        <v>360</v>
      </c>
      <c r="C217" s="42" t="s">
        <v>9</v>
      </c>
      <c r="D217" s="169">
        <v>2</v>
      </c>
      <c r="E217" s="125">
        <v>350</v>
      </c>
      <c r="F217" s="125">
        <v>1730</v>
      </c>
      <c r="G217" s="123">
        <f>ROUND(D217*E217,0)</f>
        <v>700</v>
      </c>
      <c r="H217" s="123">
        <f>ROUND(D217*F217,0)</f>
        <v>3460</v>
      </c>
      <c r="I217" s="123">
        <f t="shared" si="58"/>
        <v>4160</v>
      </c>
      <c r="J217" s="242"/>
      <c r="K217" s="243"/>
      <c r="L217" s="243"/>
      <c r="M217" s="243"/>
      <c r="N217" s="243"/>
      <c r="O217" s="243"/>
      <c r="P217" s="243"/>
      <c r="Q217" s="243"/>
      <c r="R217" s="244"/>
      <c r="S217" s="243">
        <f>R217*E217</f>
        <v>0</v>
      </c>
      <c r="T217" s="243">
        <f>R217*F217</f>
        <v>0</v>
      </c>
      <c r="U217" s="243">
        <f>S217+T217</f>
        <v>0</v>
      </c>
      <c r="V217" s="243"/>
      <c r="W217" s="243"/>
      <c r="X217" s="245"/>
      <c r="Y217" s="243"/>
      <c r="Z217" s="243"/>
      <c r="AA217" s="244"/>
      <c r="AB217" s="243"/>
      <c r="AC217" s="243"/>
      <c r="AD217" s="245"/>
      <c r="AE217" s="245"/>
      <c r="AF217" s="243"/>
      <c r="AG217" s="243"/>
      <c r="AH217" s="243"/>
      <c r="AI217" s="243"/>
      <c r="AJ217" s="245"/>
      <c r="AK217" s="245"/>
      <c r="AL217" s="243"/>
      <c r="AM217" s="243"/>
      <c r="AN217" s="245"/>
      <c r="AO217" s="245"/>
      <c r="AP217" s="243"/>
      <c r="AQ217" s="243"/>
      <c r="AR217" s="245"/>
      <c r="AS217" s="245"/>
      <c r="AT217" s="243"/>
      <c r="AU217" s="243"/>
      <c r="AV217" s="245"/>
      <c r="AW217" s="245"/>
      <c r="AX217" s="243"/>
      <c r="AY217" s="243"/>
      <c r="AZ217" s="245"/>
      <c r="BA217" s="245"/>
      <c r="BB217" s="243"/>
      <c r="BC217" s="243"/>
      <c r="BD217" s="245"/>
      <c r="BE217" s="245"/>
      <c r="BF217" s="243"/>
      <c r="BG217" s="243"/>
      <c r="BH217" s="245"/>
      <c r="BI217" s="245"/>
      <c r="BJ217" s="243"/>
      <c r="BK217" s="243"/>
      <c r="BL217" s="245"/>
      <c r="BM217" s="245"/>
      <c r="BN217" s="243"/>
      <c r="BO217" s="243"/>
      <c r="BP217" s="245"/>
      <c r="BQ217" s="245"/>
      <c r="BR217" s="243"/>
      <c r="BS217" s="243"/>
      <c r="BT217" s="243"/>
      <c r="BU217" s="243"/>
      <c r="BV217" s="246" t="e">
        <f>#REF!-V217-AB217-AH217-BT217</f>
        <v>#REF!</v>
      </c>
      <c r="BW217" s="247">
        <f t="shared" si="59"/>
        <v>700</v>
      </c>
      <c r="BX217" s="243">
        <f t="shared" si="59"/>
        <v>3460</v>
      </c>
      <c r="BY217" s="243">
        <f>I217-W217-AC217-AI217-BU217</f>
        <v>4160</v>
      </c>
      <c r="BZ217" s="246"/>
      <c r="CA217" s="247"/>
      <c r="CB217" s="243"/>
      <c r="CC217" s="243"/>
    </row>
    <row r="218" spans="1:84" s="232" customFormat="1" ht="30.05" customHeight="1" x14ac:dyDescent="0.3">
      <c r="A218" s="54" t="s">
        <v>65</v>
      </c>
      <c r="B218" s="41" t="s">
        <v>361</v>
      </c>
      <c r="C218" s="42" t="s">
        <v>6</v>
      </c>
      <c r="D218" s="169">
        <v>25.02</v>
      </c>
      <c r="E218" s="125">
        <v>700</v>
      </c>
      <c r="F218" s="125">
        <v>450</v>
      </c>
      <c r="G218" s="123">
        <f>ROUND(D218*E218,0)</f>
        <v>17514</v>
      </c>
      <c r="H218" s="123">
        <f>ROUND(D218*F218,0)</f>
        <v>11259</v>
      </c>
      <c r="I218" s="123">
        <f t="shared" si="58"/>
        <v>28773</v>
      </c>
      <c r="J218" s="242"/>
      <c r="K218" s="243"/>
      <c r="L218" s="243"/>
      <c r="M218" s="243"/>
      <c r="N218" s="243"/>
      <c r="O218" s="243"/>
      <c r="P218" s="243"/>
      <c r="Q218" s="243"/>
      <c r="R218" s="244"/>
      <c r="S218" s="243">
        <f>R218*E218</f>
        <v>0</v>
      </c>
      <c r="T218" s="243">
        <f>R218*F218</f>
        <v>0</v>
      </c>
      <c r="U218" s="243">
        <f>S218+T218</f>
        <v>0</v>
      </c>
      <c r="V218" s="243"/>
      <c r="W218" s="243"/>
      <c r="X218" s="245"/>
      <c r="Y218" s="243"/>
      <c r="Z218" s="243"/>
      <c r="AA218" s="244"/>
      <c r="AB218" s="243"/>
      <c r="AC218" s="243"/>
      <c r="AD218" s="245"/>
      <c r="AE218" s="245"/>
      <c r="AF218" s="243"/>
      <c r="AG218" s="243"/>
      <c r="AH218" s="243"/>
      <c r="AI218" s="243"/>
      <c r="AJ218" s="245"/>
      <c r="AK218" s="245"/>
      <c r="AL218" s="243"/>
      <c r="AM218" s="243"/>
      <c r="AN218" s="245"/>
      <c r="AO218" s="245"/>
      <c r="AP218" s="243"/>
      <c r="AQ218" s="243"/>
      <c r="AR218" s="245"/>
      <c r="AS218" s="245"/>
      <c r="AT218" s="243"/>
      <c r="AU218" s="243"/>
      <c r="AV218" s="245"/>
      <c r="AW218" s="245"/>
      <c r="AX218" s="243"/>
      <c r="AY218" s="243"/>
      <c r="AZ218" s="245"/>
      <c r="BA218" s="245"/>
      <c r="BB218" s="243"/>
      <c r="BC218" s="243"/>
      <c r="BD218" s="245"/>
      <c r="BE218" s="245"/>
      <c r="BF218" s="243"/>
      <c r="BG218" s="243"/>
      <c r="BH218" s="245"/>
      <c r="BI218" s="245"/>
      <c r="BJ218" s="243"/>
      <c r="BK218" s="243"/>
      <c r="BL218" s="245"/>
      <c r="BM218" s="245"/>
      <c r="BN218" s="243"/>
      <c r="BO218" s="243"/>
      <c r="BP218" s="245"/>
      <c r="BQ218" s="245"/>
      <c r="BR218" s="243"/>
      <c r="BS218" s="243"/>
      <c r="BT218" s="243"/>
      <c r="BU218" s="243"/>
      <c r="BV218" s="246" t="e">
        <f>#REF!-V218-AB218-AH218-BT218</f>
        <v>#REF!</v>
      </c>
      <c r="BW218" s="247">
        <f t="shared" si="59"/>
        <v>17514</v>
      </c>
      <c r="BX218" s="243">
        <f t="shared" si="59"/>
        <v>11259</v>
      </c>
      <c r="BY218" s="243">
        <f>I218-W218-AC218-AI218-BU218</f>
        <v>28773</v>
      </c>
      <c r="BZ218" s="246"/>
      <c r="CA218" s="247"/>
      <c r="CB218" s="243"/>
      <c r="CC218" s="243"/>
    </row>
    <row r="219" spans="1:84" s="4" customFormat="1" ht="30.05" customHeight="1" x14ac:dyDescent="0.3">
      <c r="A219" s="54"/>
      <c r="B219" s="46" t="s">
        <v>170</v>
      </c>
      <c r="C219" s="42"/>
      <c r="D219" s="169"/>
      <c r="E219" s="123"/>
      <c r="F219" s="123"/>
      <c r="G219" s="258">
        <f>SUM(G214:G218)</f>
        <v>60624</v>
      </c>
      <c r="H219" s="258">
        <f>SUM(H214:H218)</f>
        <v>84973</v>
      </c>
      <c r="I219" s="258">
        <f t="shared" si="58"/>
        <v>145597</v>
      </c>
      <c r="J219" s="187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78"/>
      <c r="V219" s="23">
        <f>U219*E219</f>
        <v>0</v>
      </c>
      <c r="W219" s="23">
        <f>U219*F219</f>
        <v>0</v>
      </c>
      <c r="X219" s="23">
        <f t="shared" si="54"/>
        <v>0</v>
      </c>
      <c r="Y219" s="23"/>
      <c r="Z219" s="23"/>
      <c r="AA219" s="78"/>
      <c r="AB219" s="63"/>
      <c r="AC219" s="23"/>
      <c r="AD219" s="78"/>
      <c r="AE219" s="23"/>
      <c r="AF219" s="23"/>
      <c r="AG219" s="78"/>
      <c r="AH219" s="78"/>
      <c r="AI219" s="63"/>
      <c r="AJ219" s="23"/>
      <c r="AK219" s="23"/>
      <c r="AL219" s="23"/>
      <c r="AM219" s="78"/>
      <c r="AN219" s="78"/>
      <c r="AO219" s="63"/>
      <c r="AP219" s="23"/>
      <c r="AQ219" s="78"/>
      <c r="AR219" s="78"/>
      <c r="AS219" s="63"/>
      <c r="AT219" s="23"/>
      <c r="AU219" s="78"/>
      <c r="AV219" s="78"/>
      <c r="AW219" s="63"/>
      <c r="AX219" s="23"/>
      <c r="AY219" s="78"/>
      <c r="AZ219" s="78"/>
      <c r="BA219" s="63"/>
      <c r="BB219" s="23"/>
      <c r="BC219" s="78"/>
      <c r="BD219" s="78"/>
      <c r="BE219" s="63"/>
      <c r="BF219" s="23"/>
      <c r="BG219" s="78"/>
      <c r="BH219" s="78"/>
      <c r="BI219" s="63"/>
      <c r="BJ219" s="23"/>
      <c r="BK219" s="78"/>
      <c r="BL219" s="78"/>
      <c r="BM219" s="63"/>
      <c r="BN219" s="23"/>
      <c r="BO219" s="78"/>
      <c r="BP219" s="78"/>
      <c r="BQ219" s="63"/>
      <c r="BR219" s="23"/>
      <c r="BS219" s="78"/>
      <c r="BT219" s="78"/>
      <c r="BU219" s="63"/>
      <c r="BV219" s="23"/>
      <c r="BW219" s="23"/>
      <c r="BX219" s="23"/>
      <c r="BY219" s="21" t="e">
        <f>#REF!-Y219-AE219-AK219-BW219</f>
        <v>#REF!</v>
      </c>
      <c r="BZ219" s="22">
        <f t="shared" si="57"/>
        <v>60624</v>
      </c>
      <c r="CA219" s="23">
        <f t="shared" si="57"/>
        <v>84973</v>
      </c>
      <c r="CB219" s="23">
        <f>I219-Z219-AF219-AL219-BX219</f>
        <v>145597</v>
      </c>
      <c r="CC219" s="21"/>
      <c r="CD219" s="22"/>
      <c r="CE219" s="23"/>
      <c r="CF219" s="23"/>
    </row>
    <row r="220" spans="1:84" s="3" customFormat="1" ht="30.05" customHeight="1" x14ac:dyDescent="0.3">
      <c r="A220" s="43"/>
      <c r="B220" s="36" t="s">
        <v>288</v>
      </c>
      <c r="C220" s="43"/>
      <c r="D220" s="259"/>
      <c r="E220" s="260"/>
      <c r="F220" s="260"/>
      <c r="G220" s="260">
        <f>SUM(G219:G219)</f>
        <v>60624</v>
      </c>
      <c r="H220" s="260">
        <f>SUM(H219:H219)</f>
        <v>84973</v>
      </c>
      <c r="I220" s="261">
        <f>SUM(I219:I219)</f>
        <v>145597</v>
      </c>
      <c r="J220" s="205">
        <f>I220</f>
        <v>145597</v>
      </c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64"/>
      <c r="V220" s="18">
        <f>U220*E220</f>
        <v>0</v>
      </c>
      <c r="W220" s="18">
        <f>U220*F220</f>
        <v>0</v>
      </c>
      <c r="X220" s="18">
        <f t="shared" si="54"/>
        <v>0</v>
      </c>
      <c r="Y220" s="18"/>
      <c r="Z220" s="18"/>
      <c r="AA220" s="64"/>
      <c r="AB220" s="64"/>
      <c r="AC220" s="64"/>
      <c r="AD220" s="64"/>
      <c r="AE220" s="18"/>
      <c r="AF220" s="18"/>
      <c r="AG220" s="64"/>
      <c r="AH220" s="64"/>
      <c r="AI220" s="64"/>
      <c r="AJ220" s="64"/>
      <c r="AK220" s="18"/>
      <c r="AL220" s="18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18"/>
      <c r="BX220" s="18"/>
      <c r="BY220" s="19" t="e">
        <f>#REF!-Y220-AE220-AK220-BW220</f>
        <v>#REF!</v>
      </c>
      <c r="BZ220" s="20">
        <f>G220-V220-AB220-AH220-AN220-AR220-AV220-AZ220-BD220-BH220-BL220-BP220-BT220</f>
        <v>60624</v>
      </c>
      <c r="CA220" s="18">
        <f>H220-W220-AC220-AI220-AO220-AS220-AW220-BA220-BE220-BI220-BM220-BQ220-BU220</f>
        <v>84973</v>
      </c>
      <c r="CB220" s="18">
        <f>I220-Z220-AF220-AL220-BX220</f>
        <v>145597</v>
      </c>
      <c r="CC220" s="19"/>
      <c r="CD220" s="20"/>
      <c r="CE220" s="18"/>
      <c r="CF220" s="18"/>
    </row>
    <row r="221" spans="1:84" s="4" customFormat="1" ht="30.05" customHeight="1" x14ac:dyDescent="0.3">
      <c r="A221" s="52" t="s">
        <v>67</v>
      </c>
      <c r="B221" s="37" t="s">
        <v>68</v>
      </c>
      <c r="C221" s="166"/>
      <c r="D221" s="256"/>
      <c r="E221" s="257"/>
      <c r="F221" s="257"/>
      <c r="G221" s="257"/>
      <c r="H221" s="257"/>
      <c r="I221" s="257"/>
      <c r="J221" s="208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23">
        <f>U221*E221</f>
        <v>0</v>
      </c>
      <c r="W221" s="23">
        <f>U221*F221</f>
        <v>0</v>
      </c>
      <c r="X221" s="23">
        <f t="shared" si="54"/>
        <v>0</v>
      </c>
      <c r="Y221" s="23"/>
      <c r="Z221" s="23"/>
      <c r="AA221" s="79"/>
      <c r="AB221" s="79"/>
      <c r="AC221" s="79"/>
      <c r="AD221" s="79"/>
      <c r="AE221" s="23"/>
      <c r="AF221" s="23"/>
      <c r="AG221" s="79"/>
      <c r="AH221" s="79"/>
      <c r="AI221" s="79"/>
      <c r="AJ221" s="79"/>
      <c r="AK221" s="23"/>
      <c r="AL221" s="23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23"/>
      <c r="BX221" s="23"/>
      <c r="BY221" s="21" t="e">
        <f>#REF!-Y221-AE221-AK221-BW221</f>
        <v>#REF!</v>
      </c>
      <c r="BZ221" s="22">
        <f>G221-V221-AB221-AH221-AN221-AR221-AV221-AZ221-BD221-BH221-BL221-BP221-BT221</f>
        <v>0</v>
      </c>
      <c r="CA221" s="23">
        <f>H221-W221-AC221-AI221-AO221-AS221-AW221-BA221-BE221-BI221-BM221-BQ221-BU221</f>
        <v>0</v>
      </c>
      <c r="CB221" s="23">
        <f>I221-Z221-AF221-AL221-BX221</f>
        <v>0</v>
      </c>
      <c r="CC221" s="21"/>
      <c r="CD221" s="22"/>
      <c r="CE221" s="23"/>
      <c r="CF221" s="23"/>
    </row>
    <row r="222" spans="1:84" s="4" customFormat="1" ht="30.05" customHeight="1" x14ac:dyDescent="0.3">
      <c r="A222" s="52"/>
      <c r="B222" s="272" t="s">
        <v>200</v>
      </c>
      <c r="C222" s="166"/>
      <c r="D222" s="256"/>
      <c r="E222" s="257"/>
      <c r="F222" s="257"/>
      <c r="G222" s="257"/>
      <c r="H222" s="257"/>
      <c r="I222" s="257"/>
      <c r="J222" s="208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23"/>
      <c r="W222" s="23"/>
      <c r="X222" s="23"/>
      <c r="Y222" s="23"/>
      <c r="Z222" s="23"/>
      <c r="AA222" s="79"/>
      <c r="AB222" s="79"/>
      <c r="AC222" s="79"/>
      <c r="AD222" s="79"/>
      <c r="AE222" s="23"/>
      <c r="AF222" s="23"/>
      <c r="AG222" s="79"/>
      <c r="AH222" s="79"/>
      <c r="AI222" s="79"/>
      <c r="AJ222" s="79"/>
      <c r="AK222" s="23"/>
      <c r="AL222" s="23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23"/>
      <c r="BX222" s="23"/>
      <c r="BY222" s="21"/>
      <c r="BZ222" s="22"/>
      <c r="CA222" s="23"/>
      <c r="CB222" s="23"/>
      <c r="CC222" s="21"/>
      <c r="CD222" s="22"/>
      <c r="CE222" s="23"/>
      <c r="CF222" s="23"/>
    </row>
    <row r="223" spans="1:84" s="4" customFormat="1" ht="44.3" customHeight="1" x14ac:dyDescent="0.3">
      <c r="A223" s="54" t="s">
        <v>243</v>
      </c>
      <c r="B223" s="57" t="s">
        <v>201</v>
      </c>
      <c r="C223" s="42" t="s">
        <v>6</v>
      </c>
      <c r="D223" s="169">
        <v>274.27</v>
      </c>
      <c r="E223" s="123">
        <v>200</v>
      </c>
      <c r="F223" s="123"/>
      <c r="G223" s="123">
        <f>ROUND(D223*E223,0)</f>
        <v>54854</v>
      </c>
      <c r="H223" s="123"/>
      <c r="I223" s="123">
        <f>SUM(G223:H223)</f>
        <v>54854</v>
      </c>
      <c r="J223" s="208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23"/>
      <c r="W223" s="23"/>
      <c r="X223" s="23"/>
      <c r="Y223" s="23"/>
      <c r="Z223" s="23"/>
      <c r="AA223" s="80"/>
      <c r="AB223" s="80"/>
      <c r="AC223" s="80"/>
      <c r="AD223" s="80"/>
      <c r="AE223" s="23"/>
      <c r="AF223" s="23"/>
      <c r="AG223" s="80"/>
      <c r="AH223" s="80"/>
      <c r="AI223" s="80"/>
      <c r="AJ223" s="80"/>
      <c r="AK223" s="23"/>
      <c r="AL223" s="23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23"/>
      <c r="BX223" s="23"/>
      <c r="BY223" s="21"/>
      <c r="BZ223" s="22"/>
      <c r="CA223" s="23"/>
      <c r="CB223" s="23"/>
      <c r="CC223" s="21"/>
      <c r="CD223" s="22"/>
      <c r="CE223" s="23"/>
      <c r="CF223" s="23"/>
    </row>
    <row r="224" spans="1:84" s="96" customFormat="1" ht="30.05" customHeight="1" x14ac:dyDescent="0.3">
      <c r="A224" s="53"/>
      <c r="B224" s="48" t="s">
        <v>202</v>
      </c>
      <c r="C224" s="49" t="s">
        <v>7</v>
      </c>
      <c r="D224" s="170">
        <f>D223*0.1*1.05</f>
        <v>28.798349999999999</v>
      </c>
      <c r="E224" s="124"/>
      <c r="F224" s="124">
        <v>4300</v>
      </c>
      <c r="G224" s="124"/>
      <c r="H224" s="124">
        <f t="shared" ref="H224:H255" si="60">ROUND(D224*F224,0)</f>
        <v>123833</v>
      </c>
      <c r="I224" s="124">
        <f t="shared" ref="I224:I255" si="61">SUM(G224:H224)</f>
        <v>123833</v>
      </c>
      <c r="J224" s="273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  <c r="U224" s="274"/>
      <c r="V224" s="100"/>
      <c r="W224" s="100"/>
      <c r="X224" s="100"/>
      <c r="Y224" s="100"/>
      <c r="Z224" s="100"/>
      <c r="AA224" s="274"/>
      <c r="AB224" s="274"/>
      <c r="AC224" s="274"/>
      <c r="AD224" s="274"/>
      <c r="AE224" s="100"/>
      <c r="AF224" s="100"/>
      <c r="AG224" s="274"/>
      <c r="AH224" s="274"/>
      <c r="AI224" s="274"/>
      <c r="AJ224" s="274"/>
      <c r="AK224" s="100"/>
      <c r="AL224" s="100"/>
      <c r="AM224" s="274"/>
      <c r="AN224" s="274"/>
      <c r="AO224" s="274"/>
      <c r="AP224" s="274"/>
      <c r="AQ224" s="274"/>
      <c r="AR224" s="274"/>
      <c r="AS224" s="274"/>
      <c r="AT224" s="274"/>
      <c r="AU224" s="274"/>
      <c r="AV224" s="274"/>
      <c r="AW224" s="274"/>
      <c r="AX224" s="274"/>
      <c r="AY224" s="274"/>
      <c r="AZ224" s="274"/>
      <c r="BA224" s="274"/>
      <c r="BB224" s="274"/>
      <c r="BC224" s="274"/>
      <c r="BD224" s="274"/>
      <c r="BE224" s="274"/>
      <c r="BF224" s="274"/>
      <c r="BG224" s="274"/>
      <c r="BH224" s="274"/>
      <c r="BI224" s="274"/>
      <c r="BJ224" s="274"/>
      <c r="BK224" s="274"/>
      <c r="BL224" s="274"/>
      <c r="BM224" s="274"/>
      <c r="BN224" s="274"/>
      <c r="BO224" s="274"/>
      <c r="BP224" s="274"/>
      <c r="BQ224" s="274"/>
      <c r="BR224" s="274"/>
      <c r="BS224" s="274"/>
      <c r="BT224" s="274"/>
      <c r="BU224" s="274"/>
      <c r="BV224" s="274"/>
      <c r="BW224" s="100"/>
      <c r="BX224" s="100"/>
      <c r="BY224" s="102"/>
      <c r="BZ224" s="103"/>
      <c r="CA224" s="100"/>
      <c r="CB224" s="100"/>
      <c r="CC224" s="102"/>
      <c r="CD224" s="103"/>
      <c r="CE224" s="100"/>
      <c r="CF224" s="100"/>
    </row>
    <row r="225" spans="1:84" s="96" customFormat="1" ht="30.05" customHeight="1" x14ac:dyDescent="0.3">
      <c r="A225" s="53"/>
      <c r="B225" s="48" t="s">
        <v>203</v>
      </c>
      <c r="C225" s="49" t="s">
        <v>26</v>
      </c>
      <c r="D225" s="170">
        <f>D223*0.06*1.05</f>
        <v>17.27901</v>
      </c>
      <c r="E225" s="124"/>
      <c r="F225" s="124">
        <v>305</v>
      </c>
      <c r="G225" s="124"/>
      <c r="H225" s="124">
        <f t="shared" si="60"/>
        <v>5270</v>
      </c>
      <c r="I225" s="124">
        <f t="shared" si="61"/>
        <v>5270</v>
      </c>
      <c r="J225" s="273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100"/>
      <c r="W225" s="100"/>
      <c r="X225" s="100"/>
      <c r="Y225" s="100"/>
      <c r="Z225" s="100"/>
      <c r="AA225" s="274"/>
      <c r="AB225" s="274"/>
      <c r="AC225" s="274"/>
      <c r="AD225" s="274"/>
      <c r="AE225" s="100"/>
      <c r="AF225" s="100"/>
      <c r="AG225" s="274"/>
      <c r="AH225" s="274"/>
      <c r="AI225" s="274"/>
      <c r="AJ225" s="274"/>
      <c r="AK225" s="100"/>
      <c r="AL225" s="100"/>
      <c r="AM225" s="274"/>
      <c r="AN225" s="274"/>
      <c r="AO225" s="274"/>
      <c r="AP225" s="274"/>
      <c r="AQ225" s="274"/>
      <c r="AR225" s="274"/>
      <c r="AS225" s="274"/>
      <c r="AT225" s="274"/>
      <c r="AU225" s="274"/>
      <c r="AV225" s="274"/>
      <c r="AW225" s="274"/>
      <c r="AX225" s="274"/>
      <c r="AY225" s="274"/>
      <c r="AZ225" s="274"/>
      <c r="BA225" s="274"/>
      <c r="BB225" s="274"/>
      <c r="BC225" s="274"/>
      <c r="BD225" s="274"/>
      <c r="BE225" s="274"/>
      <c r="BF225" s="274"/>
      <c r="BG225" s="274"/>
      <c r="BH225" s="274"/>
      <c r="BI225" s="274"/>
      <c r="BJ225" s="274"/>
      <c r="BK225" s="274"/>
      <c r="BL225" s="274"/>
      <c r="BM225" s="274"/>
      <c r="BN225" s="274"/>
      <c r="BO225" s="274"/>
      <c r="BP225" s="274"/>
      <c r="BQ225" s="274"/>
      <c r="BR225" s="274"/>
      <c r="BS225" s="274"/>
      <c r="BT225" s="274"/>
      <c r="BU225" s="274"/>
      <c r="BV225" s="274"/>
      <c r="BW225" s="100"/>
      <c r="BX225" s="100"/>
      <c r="BY225" s="102"/>
      <c r="BZ225" s="103"/>
      <c r="CA225" s="100"/>
      <c r="CB225" s="100"/>
      <c r="CC225" s="102"/>
      <c r="CD225" s="103"/>
      <c r="CE225" s="100"/>
      <c r="CF225" s="100"/>
    </row>
    <row r="226" spans="1:84" s="73" customFormat="1" ht="52.45" customHeight="1" x14ac:dyDescent="0.3">
      <c r="A226" s="54" t="s">
        <v>244</v>
      </c>
      <c r="B226" s="41" t="s">
        <v>351</v>
      </c>
      <c r="C226" s="275" t="s">
        <v>6</v>
      </c>
      <c r="D226" s="276">
        <v>1688.96</v>
      </c>
      <c r="E226" s="277">
        <v>200</v>
      </c>
      <c r="F226" s="277"/>
      <c r="G226" s="277">
        <f>ROUND(D226*E226,0)</f>
        <v>337792</v>
      </c>
      <c r="H226" s="277"/>
      <c r="I226" s="277">
        <f>SUM(G226:H226)</f>
        <v>337792</v>
      </c>
      <c r="J226" s="20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60"/>
      <c r="W226" s="60"/>
      <c r="X226" s="60"/>
      <c r="Y226" s="60"/>
      <c r="Z226" s="60"/>
      <c r="AA226" s="278"/>
      <c r="AB226" s="278"/>
      <c r="AC226" s="278"/>
      <c r="AD226" s="278"/>
      <c r="AE226" s="60"/>
      <c r="AF226" s="60"/>
      <c r="AG226" s="278"/>
      <c r="AH226" s="278"/>
      <c r="AI226" s="278"/>
      <c r="AJ226" s="278"/>
      <c r="AK226" s="60"/>
      <c r="AL226" s="60"/>
      <c r="AM226" s="278"/>
      <c r="AN226" s="278"/>
      <c r="AO226" s="278"/>
      <c r="AP226" s="278"/>
      <c r="AQ226" s="278"/>
      <c r="AR226" s="278"/>
      <c r="AS226" s="278"/>
      <c r="AT226" s="278"/>
      <c r="AU226" s="278"/>
      <c r="AV226" s="278"/>
      <c r="AW226" s="278"/>
      <c r="AX226" s="278"/>
      <c r="AY226" s="278"/>
      <c r="AZ226" s="278"/>
      <c r="BA226" s="278"/>
      <c r="BB226" s="278"/>
      <c r="BC226" s="278"/>
      <c r="BD226" s="278"/>
      <c r="BE226" s="278"/>
      <c r="BF226" s="278"/>
      <c r="BG226" s="278"/>
      <c r="BH226" s="278"/>
      <c r="BI226" s="278"/>
      <c r="BJ226" s="278"/>
      <c r="BK226" s="278"/>
      <c r="BL226" s="278"/>
      <c r="BM226" s="278"/>
      <c r="BN226" s="278"/>
      <c r="BO226" s="278"/>
      <c r="BP226" s="278"/>
      <c r="BQ226" s="278"/>
      <c r="BR226" s="278"/>
      <c r="BS226" s="278"/>
      <c r="BT226" s="278"/>
      <c r="BU226" s="278"/>
      <c r="BV226" s="278"/>
      <c r="BW226" s="60"/>
      <c r="BX226" s="60"/>
      <c r="BY226" s="58"/>
      <c r="BZ226" s="59"/>
      <c r="CA226" s="60"/>
      <c r="CB226" s="60"/>
      <c r="CC226" s="58"/>
      <c r="CD226" s="59"/>
      <c r="CE226" s="60"/>
      <c r="CF226" s="60"/>
    </row>
    <row r="227" spans="1:84" s="96" customFormat="1" ht="45.1" customHeight="1" x14ac:dyDescent="0.3">
      <c r="A227" s="279"/>
      <c r="B227" s="48" t="s">
        <v>204</v>
      </c>
      <c r="C227" s="49" t="s">
        <v>7</v>
      </c>
      <c r="D227" s="170">
        <v>84.45</v>
      </c>
      <c r="E227" s="124"/>
      <c r="F227" s="124">
        <v>4300</v>
      </c>
      <c r="G227" s="124"/>
      <c r="H227" s="124">
        <f>ROUND(D227*F227,0)</f>
        <v>363135</v>
      </c>
      <c r="I227" s="124">
        <f>SUM(G227:H227)</f>
        <v>363135</v>
      </c>
      <c r="J227" s="273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100"/>
      <c r="W227" s="100"/>
      <c r="X227" s="100"/>
      <c r="Y227" s="100"/>
      <c r="Z227" s="100"/>
      <c r="AA227" s="280"/>
      <c r="AB227" s="280"/>
      <c r="AC227" s="280"/>
      <c r="AD227" s="280"/>
      <c r="AE227" s="100"/>
      <c r="AF227" s="100"/>
      <c r="AG227" s="280"/>
      <c r="AH227" s="280"/>
      <c r="AI227" s="280"/>
      <c r="AJ227" s="280"/>
      <c r="AK227" s="100"/>
      <c r="AL227" s="10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280"/>
      <c r="BL227" s="280"/>
      <c r="BM227" s="280"/>
      <c r="BN227" s="280"/>
      <c r="BO227" s="280"/>
      <c r="BP227" s="280"/>
      <c r="BQ227" s="280"/>
      <c r="BR227" s="280"/>
      <c r="BS227" s="280"/>
      <c r="BT227" s="280"/>
      <c r="BU227" s="280"/>
      <c r="BV227" s="280"/>
      <c r="BW227" s="100"/>
      <c r="BX227" s="100"/>
      <c r="BY227" s="102"/>
      <c r="BZ227" s="103"/>
      <c r="CA227" s="100"/>
      <c r="CB227" s="100"/>
      <c r="CC227" s="102"/>
      <c r="CD227" s="103"/>
      <c r="CE227" s="100"/>
      <c r="CF227" s="100"/>
    </row>
    <row r="228" spans="1:84" s="96" customFormat="1" ht="30.05" customHeight="1" x14ac:dyDescent="0.3">
      <c r="A228" s="279"/>
      <c r="B228" s="48" t="s">
        <v>203</v>
      </c>
      <c r="C228" s="49" t="s">
        <v>26</v>
      </c>
      <c r="D228" s="170">
        <f>D226*0.06*1.05</f>
        <v>106.40447999999999</v>
      </c>
      <c r="E228" s="124"/>
      <c r="F228" s="124">
        <v>305</v>
      </c>
      <c r="G228" s="124"/>
      <c r="H228" s="124">
        <f>ROUND(D228*F228,0)</f>
        <v>32453</v>
      </c>
      <c r="I228" s="124">
        <f>SUM(G228:H228)</f>
        <v>32453</v>
      </c>
      <c r="J228" s="273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100"/>
      <c r="W228" s="100"/>
      <c r="X228" s="100"/>
      <c r="Y228" s="100"/>
      <c r="Z228" s="100"/>
      <c r="AA228" s="280"/>
      <c r="AB228" s="280"/>
      <c r="AC228" s="280"/>
      <c r="AD228" s="280"/>
      <c r="AE228" s="100"/>
      <c r="AF228" s="100"/>
      <c r="AG228" s="280"/>
      <c r="AH228" s="280"/>
      <c r="AI228" s="280"/>
      <c r="AJ228" s="280"/>
      <c r="AK228" s="100"/>
      <c r="AL228" s="10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280"/>
      <c r="BL228" s="280"/>
      <c r="BM228" s="280"/>
      <c r="BN228" s="280"/>
      <c r="BO228" s="280"/>
      <c r="BP228" s="280"/>
      <c r="BQ228" s="280"/>
      <c r="BR228" s="280"/>
      <c r="BS228" s="280"/>
      <c r="BT228" s="280"/>
      <c r="BU228" s="280"/>
      <c r="BV228" s="280"/>
      <c r="BW228" s="100"/>
      <c r="BX228" s="100"/>
      <c r="BY228" s="102"/>
      <c r="BZ228" s="103"/>
      <c r="CA228" s="100"/>
      <c r="CB228" s="100"/>
      <c r="CC228" s="102"/>
      <c r="CD228" s="103"/>
      <c r="CE228" s="100"/>
      <c r="CF228" s="100"/>
    </row>
    <row r="229" spans="1:84" s="4" customFormat="1" ht="30.05" customHeight="1" x14ac:dyDescent="0.3">
      <c r="A229" s="54" t="s">
        <v>289</v>
      </c>
      <c r="B229" s="281" t="s">
        <v>352</v>
      </c>
      <c r="C229" s="129" t="s">
        <v>6</v>
      </c>
      <c r="D229" s="169">
        <v>4662.95</v>
      </c>
      <c r="E229" s="125">
        <v>200</v>
      </c>
      <c r="F229" s="125">
        <v>202</v>
      </c>
      <c r="G229" s="123">
        <f t="shared" ref="G229:G251" si="62">ROUND(D229*E229,0)</f>
        <v>932590</v>
      </c>
      <c r="H229" s="123">
        <f t="shared" si="60"/>
        <v>941916</v>
      </c>
      <c r="I229" s="123">
        <f t="shared" si="61"/>
        <v>1874506</v>
      </c>
      <c r="J229" s="187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69"/>
      <c r="V229" s="23">
        <f>U229*E229</f>
        <v>0</v>
      </c>
      <c r="W229" s="23">
        <f>U229*F229</f>
        <v>0</v>
      </c>
      <c r="X229" s="23">
        <f>V229+W229</f>
        <v>0</v>
      </c>
      <c r="Y229" s="23"/>
      <c r="Z229" s="23"/>
      <c r="AA229" s="69"/>
      <c r="AB229" s="23"/>
      <c r="AC229" s="23"/>
      <c r="AD229" s="69"/>
      <c r="AE229" s="23"/>
      <c r="AF229" s="23"/>
      <c r="AG229" s="69">
        <v>100</v>
      </c>
      <c r="AH229" s="4">
        <f>ROUND(AG229*E229,0)</f>
        <v>20000</v>
      </c>
      <c r="AI229" s="23">
        <f>ROUND(AG229*F229,0)</f>
        <v>20200</v>
      </c>
      <c r="AJ229" s="23">
        <f>AH229+AI229</f>
        <v>40200</v>
      </c>
      <c r="AK229" s="23"/>
      <c r="AL229" s="23"/>
      <c r="AM229" s="69"/>
      <c r="AN229" s="69"/>
      <c r="AO229" s="23"/>
      <c r="AP229" s="23"/>
      <c r="AQ229" s="69"/>
      <c r="AR229" s="69"/>
      <c r="AS229" s="23"/>
      <c r="AT229" s="23"/>
      <c r="AU229" s="69"/>
      <c r="AV229" s="69"/>
      <c r="AW229" s="23"/>
      <c r="AX229" s="23"/>
      <c r="AY229" s="69"/>
      <c r="AZ229" s="69"/>
      <c r="BA229" s="23"/>
      <c r="BB229" s="23"/>
      <c r="BC229" s="69"/>
      <c r="BD229" s="69"/>
      <c r="BE229" s="23"/>
      <c r="BF229" s="23"/>
      <c r="BG229" s="69"/>
      <c r="BH229" s="69"/>
      <c r="BI229" s="23"/>
      <c r="BJ229" s="23"/>
      <c r="BK229" s="69"/>
      <c r="BL229" s="69"/>
      <c r="BM229" s="23"/>
      <c r="BN229" s="23"/>
      <c r="BO229" s="69"/>
      <c r="BP229" s="69"/>
      <c r="BQ229" s="23"/>
      <c r="BR229" s="23"/>
      <c r="BS229" s="69"/>
      <c r="BT229" s="69"/>
      <c r="BU229" s="23"/>
      <c r="BV229" s="23"/>
      <c r="BW229" s="23"/>
      <c r="BX229" s="23"/>
      <c r="BY229" s="21" t="e">
        <f>#REF!-Y229-AE229-AK229-BW229</f>
        <v>#REF!</v>
      </c>
      <c r="BZ229" s="22">
        <f t="shared" ref="BZ229:CA231" si="63">G229-V229-AB229-AH229-AN229-AR229-AV229-AZ229-BD229-BH229-BL229-BP229-BT229</f>
        <v>912590</v>
      </c>
      <c r="CA229" s="23">
        <f t="shared" si="63"/>
        <v>921716</v>
      </c>
      <c r="CB229" s="23">
        <f>I229-Z229-AF229-AL229-BX229</f>
        <v>1874506</v>
      </c>
      <c r="CC229" s="21"/>
      <c r="CD229" s="22"/>
      <c r="CE229" s="23"/>
      <c r="CF229" s="23"/>
    </row>
    <row r="230" spans="1:84" s="4" customFormat="1" ht="30.05" customHeight="1" x14ac:dyDescent="0.3">
      <c r="A230" s="54" t="s">
        <v>290</v>
      </c>
      <c r="B230" s="281" t="s">
        <v>354</v>
      </c>
      <c r="C230" s="129" t="s">
        <v>6</v>
      </c>
      <c r="D230" s="169">
        <v>1583.63</v>
      </c>
      <c r="E230" s="125">
        <v>180</v>
      </c>
      <c r="F230" s="125">
        <v>150</v>
      </c>
      <c r="G230" s="123">
        <f>ROUND(D230*E230,0)</f>
        <v>285053</v>
      </c>
      <c r="H230" s="123">
        <f>ROUND(D230*F230,0)</f>
        <v>237545</v>
      </c>
      <c r="I230" s="123">
        <f>SUM(G230:H230)</f>
        <v>522598</v>
      </c>
      <c r="J230" s="187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69"/>
      <c r="V230" s="23">
        <f>U230*E230</f>
        <v>0</v>
      </c>
      <c r="W230" s="23">
        <f>U230*F230</f>
        <v>0</v>
      </c>
      <c r="X230" s="23">
        <f>V230+W230</f>
        <v>0</v>
      </c>
      <c r="Y230" s="23"/>
      <c r="Z230" s="23"/>
      <c r="AA230" s="69"/>
      <c r="AB230" s="23"/>
      <c r="AC230" s="23"/>
      <c r="AD230" s="69"/>
      <c r="AE230" s="23"/>
      <c r="AF230" s="23"/>
      <c r="AG230" s="69">
        <v>100</v>
      </c>
      <c r="AH230" s="4">
        <f>ROUND(AG230*E230,0)</f>
        <v>18000</v>
      </c>
      <c r="AI230" s="23">
        <f>ROUND(AG230*F230,0)</f>
        <v>15000</v>
      </c>
      <c r="AJ230" s="23">
        <f>AH230+AI230</f>
        <v>33000</v>
      </c>
      <c r="AK230" s="23"/>
      <c r="AL230" s="23"/>
      <c r="AM230" s="69"/>
      <c r="AN230" s="69"/>
      <c r="AO230" s="23"/>
      <c r="AP230" s="23"/>
      <c r="AQ230" s="69"/>
      <c r="AR230" s="69"/>
      <c r="AS230" s="23"/>
      <c r="AT230" s="23"/>
      <c r="AU230" s="69"/>
      <c r="AV230" s="69"/>
      <c r="AW230" s="23"/>
      <c r="AX230" s="23"/>
      <c r="AY230" s="69"/>
      <c r="AZ230" s="69"/>
      <c r="BA230" s="23"/>
      <c r="BB230" s="23"/>
      <c r="BC230" s="69"/>
      <c r="BD230" s="69"/>
      <c r="BE230" s="23"/>
      <c r="BF230" s="23"/>
      <c r="BG230" s="69"/>
      <c r="BH230" s="69"/>
      <c r="BI230" s="23"/>
      <c r="BJ230" s="23"/>
      <c r="BK230" s="69"/>
      <c r="BL230" s="69"/>
      <c r="BM230" s="23"/>
      <c r="BN230" s="23"/>
      <c r="BO230" s="69"/>
      <c r="BP230" s="69"/>
      <c r="BQ230" s="23"/>
      <c r="BR230" s="23"/>
      <c r="BS230" s="69"/>
      <c r="BT230" s="69"/>
      <c r="BU230" s="23"/>
      <c r="BV230" s="23"/>
      <c r="BW230" s="23"/>
      <c r="BX230" s="23"/>
      <c r="BY230" s="21" t="e">
        <f>#REF!-Y230-AE230-AK230-BW230</f>
        <v>#REF!</v>
      </c>
      <c r="BZ230" s="22">
        <f t="shared" si="63"/>
        <v>267053</v>
      </c>
      <c r="CA230" s="23">
        <f t="shared" si="63"/>
        <v>222545</v>
      </c>
      <c r="CB230" s="23">
        <f>I230-Z230-AF230-AL230-BX230</f>
        <v>522598</v>
      </c>
      <c r="CC230" s="21"/>
      <c r="CD230" s="22"/>
      <c r="CE230" s="23"/>
      <c r="CF230" s="23"/>
    </row>
    <row r="231" spans="1:84" s="4" customFormat="1" ht="30.05" customHeight="1" x14ac:dyDescent="0.3">
      <c r="A231" s="54" t="s">
        <v>291</v>
      </c>
      <c r="B231" s="281" t="s">
        <v>353</v>
      </c>
      <c r="C231" s="129" t="s">
        <v>6</v>
      </c>
      <c r="D231" s="169">
        <v>3857.37</v>
      </c>
      <c r="E231" s="125">
        <v>150</v>
      </c>
      <c r="F231" s="125">
        <v>150</v>
      </c>
      <c r="G231" s="123">
        <f t="shared" si="62"/>
        <v>578606</v>
      </c>
      <c r="H231" s="123">
        <f t="shared" si="60"/>
        <v>578606</v>
      </c>
      <c r="I231" s="123">
        <f t="shared" si="61"/>
        <v>1157212</v>
      </c>
      <c r="J231" s="187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69"/>
      <c r="V231" s="23">
        <f>U231*E231</f>
        <v>0</v>
      </c>
      <c r="W231" s="23">
        <f>U231*F231</f>
        <v>0</v>
      </c>
      <c r="X231" s="23">
        <f>V231+W231</f>
        <v>0</v>
      </c>
      <c r="Y231" s="23"/>
      <c r="Z231" s="23"/>
      <c r="AA231" s="69"/>
      <c r="AB231" s="23"/>
      <c r="AC231" s="23"/>
      <c r="AD231" s="69"/>
      <c r="AE231" s="23"/>
      <c r="AF231" s="23"/>
      <c r="AG231" s="69"/>
      <c r="AH231" s="4">
        <f>ROUND(AG231*E231,0)</f>
        <v>0</v>
      </c>
      <c r="AI231" s="23">
        <f>ROUND(AG231*F231,0)</f>
        <v>0</v>
      </c>
      <c r="AJ231" s="23">
        <f>AH231+AI231</f>
        <v>0</v>
      </c>
      <c r="AK231" s="23"/>
      <c r="AL231" s="23"/>
      <c r="AM231" s="69"/>
      <c r="AN231" s="69"/>
      <c r="AO231" s="23"/>
      <c r="AP231" s="23"/>
      <c r="AQ231" s="69"/>
      <c r="AR231" s="69"/>
      <c r="AS231" s="23"/>
      <c r="AT231" s="23"/>
      <c r="AU231" s="69"/>
      <c r="AV231" s="69"/>
      <c r="AW231" s="23"/>
      <c r="AX231" s="23"/>
      <c r="AY231" s="69"/>
      <c r="AZ231" s="69"/>
      <c r="BA231" s="23"/>
      <c r="BB231" s="23"/>
      <c r="BC231" s="69"/>
      <c r="BD231" s="69"/>
      <c r="BE231" s="23"/>
      <c r="BF231" s="23"/>
      <c r="BG231" s="69"/>
      <c r="BH231" s="69"/>
      <c r="BI231" s="23"/>
      <c r="BJ231" s="23"/>
      <c r="BK231" s="69"/>
      <c r="BL231" s="69"/>
      <c r="BM231" s="23"/>
      <c r="BN231" s="23"/>
      <c r="BO231" s="69"/>
      <c r="BP231" s="69"/>
      <c r="BQ231" s="23"/>
      <c r="BR231" s="23"/>
      <c r="BS231" s="69"/>
      <c r="BT231" s="69"/>
      <c r="BU231" s="23"/>
      <c r="BV231" s="23"/>
      <c r="BW231" s="23"/>
      <c r="BX231" s="23"/>
      <c r="BY231" s="21" t="e">
        <f>#REF!-Y231-AE231-AK231-BW231</f>
        <v>#REF!</v>
      </c>
      <c r="BZ231" s="22">
        <f t="shared" si="63"/>
        <v>578606</v>
      </c>
      <c r="CA231" s="23">
        <f t="shared" si="63"/>
        <v>578606</v>
      </c>
      <c r="CB231" s="23">
        <f>I231-Z231-AF231-AL231-BX231</f>
        <v>1157212</v>
      </c>
      <c r="CC231" s="21"/>
      <c r="CD231" s="22"/>
      <c r="CE231" s="23"/>
      <c r="CF231" s="23"/>
    </row>
    <row r="232" spans="1:84" s="4" customFormat="1" ht="30.05" customHeight="1" x14ac:dyDescent="0.3">
      <c r="A232" s="54" t="s">
        <v>292</v>
      </c>
      <c r="B232" s="281" t="s">
        <v>111</v>
      </c>
      <c r="C232" s="129" t="s">
        <v>6</v>
      </c>
      <c r="D232" s="169">
        <v>44.4</v>
      </c>
      <c r="E232" s="125">
        <v>300</v>
      </c>
      <c r="F232" s="125">
        <v>600</v>
      </c>
      <c r="G232" s="123">
        <f t="shared" si="62"/>
        <v>13320</v>
      </c>
      <c r="H232" s="123">
        <f t="shared" si="60"/>
        <v>26640</v>
      </c>
      <c r="I232" s="123">
        <f t="shared" si="61"/>
        <v>39960</v>
      </c>
      <c r="J232" s="187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69"/>
      <c r="V232" s="23">
        <f>U232*E232</f>
        <v>0</v>
      </c>
      <c r="W232" s="23">
        <f>U232*F232</f>
        <v>0</v>
      </c>
      <c r="X232" s="23">
        <f>V232+W232</f>
        <v>0</v>
      </c>
      <c r="Y232" s="23"/>
      <c r="Z232" s="23"/>
      <c r="AA232" s="69"/>
      <c r="AB232" s="23"/>
      <c r="AC232" s="23"/>
      <c r="AD232" s="69"/>
      <c r="AE232" s="23"/>
      <c r="AF232" s="23"/>
      <c r="AG232" s="69"/>
      <c r="AH232" s="4">
        <f>ROUND(AG232*E232,0)</f>
        <v>0</v>
      </c>
      <c r="AI232" s="23">
        <f>ROUND(AG232*F232,0)</f>
        <v>0</v>
      </c>
      <c r="AJ232" s="23">
        <f>AH232+AI232</f>
        <v>0</v>
      </c>
      <c r="AK232" s="23"/>
      <c r="AL232" s="23"/>
      <c r="AM232" s="69"/>
      <c r="AN232" s="69"/>
      <c r="AO232" s="23"/>
      <c r="AP232" s="23"/>
      <c r="AQ232" s="69"/>
      <c r="AR232" s="69"/>
      <c r="AS232" s="23"/>
      <c r="AT232" s="23"/>
      <c r="AU232" s="69"/>
      <c r="AV232" s="69"/>
      <c r="AW232" s="23"/>
      <c r="AX232" s="23"/>
      <c r="AY232" s="69"/>
      <c r="AZ232" s="69"/>
      <c r="BA232" s="23"/>
      <c r="BB232" s="23"/>
      <c r="BC232" s="69"/>
      <c r="BD232" s="69"/>
      <c r="BE232" s="23"/>
      <c r="BF232" s="23"/>
      <c r="BG232" s="69"/>
      <c r="BH232" s="69"/>
      <c r="BI232" s="23"/>
      <c r="BJ232" s="23"/>
      <c r="BK232" s="69"/>
      <c r="BL232" s="69"/>
      <c r="BM232" s="23"/>
      <c r="BN232" s="23"/>
      <c r="BO232" s="69"/>
      <c r="BP232" s="69"/>
      <c r="BQ232" s="23"/>
      <c r="BR232" s="23"/>
      <c r="BS232" s="69"/>
      <c r="BT232" s="69"/>
      <c r="BU232" s="23"/>
      <c r="BV232" s="23"/>
      <c r="BW232" s="23"/>
      <c r="BX232" s="23"/>
      <c r="BY232" s="21"/>
      <c r="BZ232" s="22"/>
      <c r="CA232" s="23"/>
      <c r="CB232" s="23"/>
      <c r="CC232" s="21"/>
      <c r="CD232" s="22"/>
      <c r="CE232" s="23"/>
      <c r="CF232" s="23"/>
    </row>
    <row r="233" spans="1:84" s="115" customFormat="1" ht="30.05" customHeight="1" x14ac:dyDescent="0.3">
      <c r="A233" s="52"/>
      <c r="B233" s="282" t="s">
        <v>206</v>
      </c>
      <c r="C233" s="283"/>
      <c r="D233" s="256"/>
      <c r="E233" s="258"/>
      <c r="F233" s="258"/>
      <c r="G233" s="123"/>
      <c r="H233" s="123"/>
      <c r="I233" s="123"/>
      <c r="J233" s="187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77"/>
      <c r="V233" s="63"/>
      <c r="W233" s="63"/>
      <c r="X233" s="63"/>
      <c r="Y233" s="63"/>
      <c r="Z233" s="63"/>
      <c r="AA233" s="77"/>
      <c r="AB233" s="63"/>
      <c r="AC233" s="63"/>
      <c r="AD233" s="77"/>
      <c r="AE233" s="63"/>
      <c r="AF233" s="63"/>
      <c r="AG233" s="77"/>
      <c r="AI233" s="63"/>
      <c r="AJ233" s="63"/>
      <c r="AK233" s="63"/>
      <c r="AL233" s="63"/>
      <c r="AM233" s="77"/>
      <c r="AN233" s="77"/>
      <c r="AO233" s="63"/>
      <c r="AP233" s="63"/>
      <c r="AQ233" s="77"/>
      <c r="AR233" s="77"/>
      <c r="AS233" s="63"/>
      <c r="AT233" s="63"/>
      <c r="AU233" s="77"/>
      <c r="AV233" s="77"/>
      <c r="AW233" s="63"/>
      <c r="AX233" s="63"/>
      <c r="AY233" s="77"/>
      <c r="AZ233" s="77"/>
      <c r="BA233" s="63"/>
      <c r="BB233" s="63"/>
      <c r="BC233" s="77"/>
      <c r="BD233" s="77"/>
      <c r="BE233" s="63"/>
      <c r="BF233" s="63"/>
      <c r="BG233" s="77"/>
      <c r="BH233" s="77"/>
      <c r="BI233" s="63"/>
      <c r="BJ233" s="63"/>
      <c r="BK233" s="77"/>
      <c r="BL233" s="77"/>
      <c r="BM233" s="63"/>
      <c r="BN233" s="63"/>
      <c r="BO233" s="77"/>
      <c r="BP233" s="77"/>
      <c r="BQ233" s="63"/>
      <c r="BR233" s="63"/>
      <c r="BS233" s="77"/>
      <c r="BT233" s="77"/>
      <c r="BU233" s="63"/>
      <c r="BV233" s="63"/>
      <c r="BW233" s="63"/>
      <c r="BX233" s="63"/>
      <c r="BY233" s="116"/>
      <c r="BZ233" s="117"/>
      <c r="CA233" s="63"/>
      <c r="CB233" s="63"/>
      <c r="CC233" s="116"/>
      <c r="CD233" s="117"/>
      <c r="CE233" s="63"/>
      <c r="CF233" s="63"/>
    </row>
    <row r="234" spans="1:84" s="4" customFormat="1" ht="30.05" customHeight="1" x14ac:dyDescent="0.3">
      <c r="A234" s="54" t="s">
        <v>293</v>
      </c>
      <c r="B234" s="281" t="s">
        <v>69</v>
      </c>
      <c r="C234" s="129" t="s">
        <v>6</v>
      </c>
      <c r="D234" s="169">
        <v>2411.17</v>
      </c>
      <c r="E234" s="125">
        <v>400</v>
      </c>
      <c r="F234" s="125">
        <v>800</v>
      </c>
      <c r="G234" s="123">
        <f t="shared" si="62"/>
        <v>964468</v>
      </c>
      <c r="H234" s="123">
        <f t="shared" si="60"/>
        <v>1928936</v>
      </c>
      <c r="I234" s="123">
        <f t="shared" si="61"/>
        <v>2893404</v>
      </c>
      <c r="J234" s="187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69"/>
      <c r="V234" s="23">
        <f>U234*E234</f>
        <v>0</v>
      </c>
      <c r="W234" s="23">
        <f>U234*F234</f>
        <v>0</v>
      </c>
      <c r="X234" s="23">
        <f>V234+W234</f>
        <v>0</v>
      </c>
      <c r="Y234" s="23"/>
      <c r="Z234" s="23"/>
      <c r="AA234" s="69"/>
      <c r="AB234" s="23"/>
      <c r="AC234" s="23"/>
      <c r="AD234" s="69"/>
      <c r="AE234" s="23"/>
      <c r="AF234" s="23"/>
      <c r="AG234" s="69"/>
      <c r="AH234" s="4">
        <f>ROUND(AG234*E234,0)</f>
        <v>0</v>
      </c>
      <c r="AI234" s="23">
        <f>ROUND(AG234*F234,0)</f>
        <v>0</v>
      </c>
      <c r="AJ234" s="23">
        <f>AH234+AI234</f>
        <v>0</v>
      </c>
      <c r="AK234" s="23"/>
      <c r="AL234" s="23"/>
      <c r="AM234" s="69"/>
      <c r="AN234" s="69"/>
      <c r="AO234" s="23"/>
      <c r="AP234" s="23"/>
      <c r="AQ234" s="69"/>
      <c r="AR234" s="69"/>
      <c r="AS234" s="23"/>
      <c r="AT234" s="23"/>
      <c r="AU234" s="69"/>
      <c r="AV234" s="69"/>
      <c r="AW234" s="23"/>
      <c r="AX234" s="23"/>
      <c r="AY234" s="69"/>
      <c r="AZ234" s="69"/>
      <c r="BA234" s="23"/>
      <c r="BB234" s="23"/>
      <c r="BC234" s="69"/>
      <c r="BD234" s="69"/>
      <c r="BE234" s="23"/>
      <c r="BF234" s="23"/>
      <c r="BG234" s="69"/>
      <c r="BH234" s="69"/>
      <c r="BI234" s="23"/>
      <c r="BJ234" s="23"/>
      <c r="BK234" s="69"/>
      <c r="BL234" s="69"/>
      <c r="BM234" s="23"/>
      <c r="BN234" s="23"/>
      <c r="BO234" s="69"/>
      <c r="BP234" s="69"/>
      <c r="BQ234" s="23"/>
      <c r="BR234" s="23"/>
      <c r="BS234" s="69"/>
      <c r="BT234" s="69"/>
      <c r="BU234" s="23"/>
      <c r="BV234" s="23"/>
      <c r="BW234" s="23"/>
      <c r="BX234" s="23"/>
      <c r="BY234" s="21" t="e">
        <f>#REF!-Y234-AE234-AK234-BW234</f>
        <v>#REF!</v>
      </c>
      <c r="BZ234" s="22">
        <f>G234-V234-AB234-AH234-AN234-AR234-AV234-AZ234-BD234-BH234-BL234-BP234-BT234</f>
        <v>964468</v>
      </c>
      <c r="CA234" s="23">
        <f>H234-W234-AC234-AI234-AO234-AS234-AW234-BA234-BE234-BI234-BM234-BQ234-BU234</f>
        <v>1928936</v>
      </c>
      <c r="CB234" s="23">
        <f>I234-Z234-AF234-AL234-BX234</f>
        <v>2893404</v>
      </c>
      <c r="CC234" s="21"/>
      <c r="CD234" s="22"/>
      <c r="CE234" s="23"/>
      <c r="CF234" s="23"/>
    </row>
    <row r="235" spans="1:84" s="4" customFormat="1" ht="30.05" customHeight="1" x14ac:dyDescent="0.3">
      <c r="A235" s="54" t="s">
        <v>294</v>
      </c>
      <c r="B235" s="281" t="s">
        <v>110</v>
      </c>
      <c r="C235" s="129" t="s">
        <v>6</v>
      </c>
      <c r="D235" s="169">
        <v>11.47</v>
      </c>
      <c r="E235" s="125">
        <v>400</v>
      </c>
      <c r="F235" s="125">
        <v>800</v>
      </c>
      <c r="G235" s="123">
        <f t="shared" si="62"/>
        <v>4588</v>
      </c>
      <c r="H235" s="123">
        <f t="shared" si="60"/>
        <v>9176</v>
      </c>
      <c r="I235" s="123">
        <f t="shared" si="61"/>
        <v>13764</v>
      </c>
      <c r="J235" s="187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69"/>
      <c r="V235" s="23"/>
      <c r="W235" s="23"/>
      <c r="X235" s="23"/>
      <c r="Y235" s="23"/>
      <c r="Z235" s="23"/>
      <c r="AA235" s="69"/>
      <c r="AB235" s="23"/>
      <c r="AC235" s="23"/>
      <c r="AD235" s="69"/>
      <c r="AE235" s="23"/>
      <c r="AF235" s="23"/>
      <c r="AG235" s="69"/>
      <c r="AI235" s="23"/>
      <c r="AJ235" s="23"/>
      <c r="AK235" s="23"/>
      <c r="AL235" s="23"/>
      <c r="AM235" s="69"/>
      <c r="AN235" s="69"/>
      <c r="AO235" s="23"/>
      <c r="AP235" s="23"/>
      <c r="AQ235" s="69"/>
      <c r="AR235" s="69"/>
      <c r="AS235" s="23"/>
      <c r="AT235" s="23"/>
      <c r="AU235" s="69"/>
      <c r="AV235" s="69"/>
      <c r="AW235" s="23"/>
      <c r="AX235" s="23"/>
      <c r="AY235" s="69"/>
      <c r="AZ235" s="69"/>
      <c r="BA235" s="23"/>
      <c r="BB235" s="23"/>
      <c r="BC235" s="69"/>
      <c r="BD235" s="69"/>
      <c r="BE235" s="23"/>
      <c r="BF235" s="23"/>
      <c r="BG235" s="69"/>
      <c r="BH235" s="69"/>
      <c r="BI235" s="23"/>
      <c r="BJ235" s="23"/>
      <c r="BK235" s="69"/>
      <c r="BL235" s="69"/>
      <c r="BM235" s="23"/>
      <c r="BN235" s="23"/>
      <c r="BO235" s="69"/>
      <c r="BP235" s="69"/>
      <c r="BQ235" s="23"/>
      <c r="BR235" s="23"/>
      <c r="BS235" s="69"/>
      <c r="BT235" s="69"/>
      <c r="BU235" s="23"/>
      <c r="BV235" s="23"/>
      <c r="BW235" s="23"/>
      <c r="BX235" s="23"/>
      <c r="BY235" s="21"/>
      <c r="BZ235" s="22"/>
      <c r="CA235" s="23"/>
      <c r="CB235" s="23"/>
      <c r="CC235" s="21"/>
      <c r="CD235" s="22"/>
      <c r="CE235" s="23"/>
      <c r="CF235" s="23"/>
    </row>
    <row r="236" spans="1:84" s="4" customFormat="1" ht="30.05" customHeight="1" x14ac:dyDescent="0.3">
      <c r="A236" s="54" t="s">
        <v>295</v>
      </c>
      <c r="B236" s="281" t="s">
        <v>355</v>
      </c>
      <c r="C236" s="129" t="s">
        <v>6</v>
      </c>
      <c r="D236" s="169">
        <v>1009.1</v>
      </c>
      <c r="E236" s="125">
        <v>150</v>
      </c>
      <c r="F236" s="125">
        <v>150</v>
      </c>
      <c r="G236" s="123">
        <f t="shared" si="62"/>
        <v>151365</v>
      </c>
      <c r="H236" s="123">
        <f t="shared" si="60"/>
        <v>151365</v>
      </c>
      <c r="I236" s="123">
        <f t="shared" si="61"/>
        <v>302730</v>
      </c>
      <c r="J236" s="187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69"/>
      <c r="V236" s="23">
        <f>U236*E236</f>
        <v>0</v>
      </c>
      <c r="W236" s="23">
        <f>U236*F236</f>
        <v>0</v>
      </c>
      <c r="X236" s="23">
        <f>V236+W236</f>
        <v>0</v>
      </c>
      <c r="Y236" s="23"/>
      <c r="Z236" s="23"/>
      <c r="AA236" s="69"/>
      <c r="AB236" s="23"/>
      <c r="AC236" s="23"/>
      <c r="AD236" s="69"/>
      <c r="AE236" s="23"/>
      <c r="AF236" s="23"/>
      <c r="AG236" s="69"/>
      <c r="AH236" s="4">
        <f>ROUND(AG236*E236,0)</f>
        <v>0</v>
      </c>
      <c r="AI236" s="23">
        <f>ROUND(AG236*F236,0)</f>
        <v>0</v>
      </c>
      <c r="AJ236" s="23">
        <f>AH236+AI236</f>
        <v>0</v>
      </c>
      <c r="AK236" s="23"/>
      <c r="AL236" s="23"/>
      <c r="AM236" s="69"/>
      <c r="AN236" s="69"/>
      <c r="AO236" s="23"/>
      <c r="AP236" s="23"/>
      <c r="AQ236" s="69"/>
      <c r="AR236" s="69"/>
      <c r="AS236" s="23"/>
      <c r="AT236" s="23"/>
      <c r="AU236" s="69"/>
      <c r="AV236" s="69"/>
      <c r="AW236" s="23"/>
      <c r="AX236" s="23"/>
      <c r="AY236" s="69"/>
      <c r="AZ236" s="69"/>
      <c r="BA236" s="23"/>
      <c r="BB236" s="23"/>
      <c r="BC236" s="69"/>
      <c r="BD236" s="69"/>
      <c r="BE236" s="23"/>
      <c r="BF236" s="23"/>
      <c r="BG236" s="69"/>
      <c r="BH236" s="69"/>
      <c r="BI236" s="23"/>
      <c r="BJ236" s="23"/>
      <c r="BK236" s="69"/>
      <c r="BL236" s="69"/>
      <c r="BM236" s="23"/>
      <c r="BN236" s="23"/>
      <c r="BO236" s="69"/>
      <c r="BP236" s="69"/>
      <c r="BQ236" s="23"/>
      <c r="BR236" s="23"/>
      <c r="BS236" s="69"/>
      <c r="BT236" s="69"/>
      <c r="BU236" s="23"/>
      <c r="BV236" s="23"/>
      <c r="BW236" s="23"/>
      <c r="BX236" s="23"/>
      <c r="BY236" s="21" t="e">
        <f>#REF!-Y236-AE236-AK236-BW236</f>
        <v>#REF!</v>
      </c>
      <c r="BZ236" s="22">
        <f>G236-V236-AB236-AH236-AN236-AR236-AV236-AZ236-BD236-BH236-BL236-BP236-BT236</f>
        <v>151365</v>
      </c>
      <c r="CA236" s="23">
        <f>H236-W236-AC236-AI236-AO236-AS236-AW236-BA236-BE236-BI236-BM236-BQ236-BU236</f>
        <v>151365</v>
      </c>
      <c r="CB236" s="23">
        <f>I236-Z236-AF236-AL236-BX236</f>
        <v>302730</v>
      </c>
      <c r="CC236" s="21"/>
      <c r="CD236" s="22"/>
      <c r="CE236" s="23"/>
      <c r="CF236" s="23"/>
    </row>
    <row r="237" spans="1:84" s="115" customFormat="1" ht="30.05" customHeight="1" x14ac:dyDescent="0.3">
      <c r="A237" s="52"/>
      <c r="B237" s="282" t="s">
        <v>207</v>
      </c>
      <c r="C237" s="283"/>
      <c r="D237" s="256"/>
      <c r="E237" s="258"/>
      <c r="F237" s="258"/>
      <c r="G237" s="123"/>
      <c r="H237" s="123"/>
      <c r="I237" s="123"/>
      <c r="J237" s="187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77"/>
      <c r="V237" s="63"/>
      <c r="W237" s="63"/>
      <c r="X237" s="63"/>
      <c r="Y237" s="63"/>
      <c r="Z237" s="63"/>
      <c r="AA237" s="77"/>
      <c r="AB237" s="63"/>
      <c r="AC237" s="63"/>
      <c r="AD237" s="77"/>
      <c r="AE237" s="63"/>
      <c r="AF237" s="63"/>
      <c r="AG237" s="77"/>
      <c r="AI237" s="63"/>
      <c r="AJ237" s="63"/>
      <c r="AK237" s="63"/>
      <c r="AL237" s="63"/>
      <c r="AM237" s="77"/>
      <c r="AN237" s="77"/>
      <c r="AO237" s="63"/>
      <c r="AP237" s="63"/>
      <c r="AQ237" s="77"/>
      <c r="AR237" s="77"/>
      <c r="AS237" s="63"/>
      <c r="AT237" s="63"/>
      <c r="AU237" s="77"/>
      <c r="AV237" s="77"/>
      <c r="AW237" s="63"/>
      <c r="AX237" s="63"/>
      <c r="AY237" s="77"/>
      <c r="AZ237" s="77"/>
      <c r="BA237" s="63"/>
      <c r="BB237" s="63"/>
      <c r="BC237" s="77"/>
      <c r="BD237" s="77"/>
      <c r="BE237" s="63"/>
      <c r="BF237" s="63"/>
      <c r="BG237" s="77"/>
      <c r="BH237" s="77"/>
      <c r="BI237" s="63"/>
      <c r="BJ237" s="63"/>
      <c r="BK237" s="77"/>
      <c r="BL237" s="77"/>
      <c r="BM237" s="63"/>
      <c r="BN237" s="63"/>
      <c r="BO237" s="77"/>
      <c r="BP237" s="77"/>
      <c r="BQ237" s="63"/>
      <c r="BR237" s="63"/>
      <c r="BS237" s="77"/>
      <c r="BT237" s="77"/>
      <c r="BU237" s="63"/>
      <c r="BV237" s="63"/>
      <c r="BW237" s="63"/>
      <c r="BX237" s="63"/>
      <c r="BY237" s="116"/>
      <c r="BZ237" s="117"/>
      <c r="CA237" s="63"/>
      <c r="CB237" s="63"/>
      <c r="CC237" s="116"/>
      <c r="CD237" s="117"/>
      <c r="CE237" s="63"/>
      <c r="CF237" s="63"/>
    </row>
    <row r="238" spans="1:84" s="4" customFormat="1" ht="30.05" customHeight="1" x14ac:dyDescent="0.3">
      <c r="A238" s="54" t="s">
        <v>296</v>
      </c>
      <c r="B238" s="114" t="s">
        <v>242</v>
      </c>
      <c r="C238" s="129" t="s">
        <v>6</v>
      </c>
      <c r="D238" s="169">
        <f>702.4+25.42+608.86+6+2851.3+11148</f>
        <v>15341.98</v>
      </c>
      <c r="E238" s="125">
        <v>150</v>
      </c>
      <c r="F238" s="125">
        <v>320</v>
      </c>
      <c r="G238" s="123">
        <f t="shared" si="62"/>
        <v>2301297</v>
      </c>
      <c r="H238" s="123">
        <f t="shared" si="60"/>
        <v>4909434</v>
      </c>
      <c r="I238" s="123">
        <f t="shared" si="61"/>
        <v>7210731</v>
      </c>
      <c r="J238" s="187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69"/>
      <c r="V238" s="23">
        <f t="shared" ref="V238:V246" si="64">U238*E238</f>
        <v>0</v>
      </c>
      <c r="W238" s="23">
        <f t="shared" ref="W238:W246" si="65">U238*F238</f>
        <v>0</v>
      </c>
      <c r="X238" s="23">
        <f>V238+W238</f>
        <v>0</v>
      </c>
      <c r="Y238" s="23"/>
      <c r="Z238" s="23"/>
      <c r="AA238" s="69"/>
      <c r="AB238" s="23"/>
      <c r="AC238" s="23"/>
      <c r="AD238" s="69"/>
      <c r="AE238" s="23"/>
      <c r="AF238" s="23"/>
      <c r="AG238" s="69"/>
      <c r="AH238" s="4">
        <f t="shared" ref="AH238:AH244" si="66">ROUND(AG238*E238,0)</f>
        <v>0</v>
      </c>
      <c r="AI238" s="23">
        <f>ROUND(AG238*F238,0)</f>
        <v>0</v>
      </c>
      <c r="AJ238" s="23">
        <f>AH238+AI238</f>
        <v>0</v>
      </c>
      <c r="AK238" s="23"/>
      <c r="AL238" s="23"/>
      <c r="AM238" s="69"/>
      <c r="AN238" s="69"/>
      <c r="AO238" s="23"/>
      <c r="AP238" s="23"/>
      <c r="AQ238" s="69"/>
      <c r="AR238" s="69"/>
      <c r="AS238" s="23"/>
      <c r="AT238" s="23"/>
      <c r="AU238" s="69"/>
      <c r="AV238" s="69"/>
      <c r="AW238" s="23"/>
      <c r="AX238" s="23"/>
      <c r="AY238" s="69"/>
      <c r="AZ238" s="69"/>
      <c r="BA238" s="23"/>
      <c r="BB238" s="23"/>
      <c r="BC238" s="69"/>
      <c r="BD238" s="69"/>
      <c r="BE238" s="23"/>
      <c r="BF238" s="23"/>
      <c r="BG238" s="69"/>
      <c r="BH238" s="69"/>
      <c r="BI238" s="23"/>
      <c r="BJ238" s="23"/>
      <c r="BK238" s="69"/>
      <c r="BL238" s="69"/>
      <c r="BM238" s="23"/>
      <c r="BN238" s="23"/>
      <c r="BO238" s="69"/>
      <c r="BP238" s="69"/>
      <c r="BQ238" s="23"/>
      <c r="BR238" s="23"/>
      <c r="BS238" s="69"/>
      <c r="BT238" s="69"/>
      <c r="BU238" s="23"/>
      <c r="BV238" s="23"/>
      <c r="BW238" s="23"/>
      <c r="BX238" s="23"/>
      <c r="BY238" s="21" t="e">
        <f>#REF!-Y238-AE238-AK238-BW238</f>
        <v>#REF!</v>
      </c>
      <c r="BZ238" s="22">
        <f t="shared" ref="BZ238:CA246" si="67">G238-V238-AB238-AH238-AN238-AR238-AV238-AZ238-BD238-BH238-BL238-BP238-BT238</f>
        <v>2301297</v>
      </c>
      <c r="CA238" s="23">
        <f t="shared" si="67"/>
        <v>4909434</v>
      </c>
      <c r="CB238" s="23">
        <f t="shared" ref="CB238:CB246" si="68">I238-Z238-AF238-AL238-BX238</f>
        <v>7210731</v>
      </c>
      <c r="CC238" s="21"/>
      <c r="CD238" s="22"/>
      <c r="CE238" s="23"/>
      <c r="CF238" s="23"/>
    </row>
    <row r="239" spans="1:84" s="96" customFormat="1" ht="30.05" customHeight="1" x14ac:dyDescent="0.3">
      <c r="A239" s="53"/>
      <c r="B239" s="284" t="s">
        <v>72</v>
      </c>
      <c r="C239" s="285" t="s">
        <v>6</v>
      </c>
      <c r="D239" s="170">
        <v>1230.8399999999999</v>
      </c>
      <c r="E239" s="126"/>
      <c r="F239" s="126">
        <v>19.100000000000001</v>
      </c>
      <c r="G239" s="124"/>
      <c r="H239" s="124">
        <f t="shared" si="60"/>
        <v>23509</v>
      </c>
      <c r="I239" s="124">
        <f t="shared" si="61"/>
        <v>23509</v>
      </c>
      <c r="J239" s="207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1"/>
      <c r="V239" s="100">
        <f t="shared" si="64"/>
        <v>0</v>
      </c>
      <c r="W239" s="100">
        <f t="shared" si="65"/>
        <v>0</v>
      </c>
      <c r="X239" s="100">
        <f t="shared" ref="X239:X246" si="69">V239+W239</f>
        <v>0</v>
      </c>
      <c r="Y239" s="100"/>
      <c r="Z239" s="100"/>
      <c r="AA239" s="101"/>
      <c r="AB239" s="100"/>
      <c r="AC239" s="100"/>
      <c r="AD239" s="101"/>
      <c r="AE239" s="100"/>
      <c r="AF239" s="100"/>
      <c r="AG239" s="101"/>
      <c r="AH239" s="96">
        <f t="shared" si="66"/>
        <v>0</v>
      </c>
      <c r="AI239" s="100">
        <f>ROUND(AG239*F239,0)</f>
        <v>0</v>
      </c>
      <c r="AJ239" s="100">
        <f>AH239+AI239</f>
        <v>0</v>
      </c>
      <c r="AK239" s="100"/>
      <c r="AL239" s="100"/>
      <c r="AM239" s="101"/>
      <c r="AN239" s="101"/>
      <c r="AO239" s="100"/>
      <c r="AP239" s="100"/>
      <c r="AQ239" s="101"/>
      <c r="AR239" s="101"/>
      <c r="AS239" s="100"/>
      <c r="AT239" s="100"/>
      <c r="AU239" s="101"/>
      <c r="AV239" s="101"/>
      <c r="AW239" s="100"/>
      <c r="AX239" s="100"/>
      <c r="AY239" s="101"/>
      <c r="AZ239" s="101"/>
      <c r="BA239" s="100"/>
      <c r="BB239" s="100"/>
      <c r="BC239" s="101"/>
      <c r="BD239" s="101"/>
      <c r="BE239" s="100"/>
      <c r="BF239" s="100"/>
      <c r="BG239" s="101"/>
      <c r="BH239" s="101"/>
      <c r="BI239" s="100"/>
      <c r="BJ239" s="100"/>
      <c r="BK239" s="101"/>
      <c r="BL239" s="101"/>
      <c r="BM239" s="100"/>
      <c r="BN239" s="100"/>
      <c r="BO239" s="101"/>
      <c r="BP239" s="101"/>
      <c r="BQ239" s="100"/>
      <c r="BR239" s="100"/>
      <c r="BS239" s="101"/>
      <c r="BT239" s="101"/>
      <c r="BU239" s="100"/>
      <c r="BV239" s="100"/>
      <c r="BW239" s="100"/>
      <c r="BX239" s="100"/>
      <c r="BY239" s="102" t="e">
        <f>#REF!-Y239-AE239-AK239-BW239</f>
        <v>#REF!</v>
      </c>
      <c r="BZ239" s="103">
        <f t="shared" si="67"/>
        <v>0</v>
      </c>
      <c r="CA239" s="100">
        <f t="shared" si="67"/>
        <v>23509</v>
      </c>
      <c r="CB239" s="100">
        <f t="shared" si="68"/>
        <v>23509</v>
      </c>
      <c r="CC239" s="102"/>
      <c r="CD239" s="103"/>
      <c r="CE239" s="100"/>
      <c r="CF239" s="100"/>
    </row>
    <row r="240" spans="1:84" s="4" customFormat="1" ht="30.05" customHeight="1" x14ac:dyDescent="0.3">
      <c r="A240" s="54" t="s">
        <v>297</v>
      </c>
      <c r="B240" s="114" t="s">
        <v>70</v>
      </c>
      <c r="C240" s="129" t="s">
        <v>6</v>
      </c>
      <c r="D240" s="169">
        <v>1490.49</v>
      </c>
      <c r="E240" s="125">
        <v>100</v>
      </c>
      <c r="F240" s="125">
        <v>150</v>
      </c>
      <c r="G240" s="123">
        <f t="shared" si="62"/>
        <v>149049</v>
      </c>
      <c r="H240" s="123">
        <f t="shared" si="60"/>
        <v>223574</v>
      </c>
      <c r="I240" s="123">
        <f t="shared" si="61"/>
        <v>372623</v>
      </c>
      <c r="J240" s="187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69"/>
      <c r="V240" s="23">
        <f t="shared" si="64"/>
        <v>0</v>
      </c>
      <c r="W240" s="23">
        <f t="shared" si="65"/>
        <v>0</v>
      </c>
      <c r="X240" s="23">
        <f t="shared" si="69"/>
        <v>0</v>
      </c>
      <c r="Y240" s="23"/>
      <c r="Z240" s="23"/>
      <c r="AA240" s="69"/>
      <c r="AB240" s="23"/>
      <c r="AC240" s="23"/>
      <c r="AD240" s="69"/>
      <c r="AE240" s="23"/>
      <c r="AF240" s="23"/>
      <c r="AG240" s="69"/>
      <c r="AH240" s="4">
        <f t="shared" si="66"/>
        <v>0</v>
      </c>
      <c r="AI240" s="23">
        <f>ROUND(AG240*F240,0)</f>
        <v>0</v>
      </c>
      <c r="AJ240" s="23">
        <f>AH240+AI240</f>
        <v>0</v>
      </c>
      <c r="AK240" s="23"/>
      <c r="AL240" s="23"/>
      <c r="AM240" s="69"/>
      <c r="AN240" s="69"/>
      <c r="AO240" s="23"/>
      <c r="AP240" s="23"/>
      <c r="AQ240" s="69"/>
      <c r="AR240" s="69"/>
      <c r="AS240" s="23"/>
      <c r="AT240" s="23"/>
      <c r="AU240" s="69"/>
      <c r="AV240" s="69"/>
      <c r="AW240" s="23"/>
      <c r="AX240" s="23"/>
      <c r="AY240" s="69"/>
      <c r="AZ240" s="69"/>
      <c r="BA240" s="23"/>
      <c r="BB240" s="23"/>
      <c r="BC240" s="69"/>
      <c r="BD240" s="69"/>
      <c r="BE240" s="23"/>
      <c r="BF240" s="23"/>
      <c r="BG240" s="69"/>
      <c r="BH240" s="69"/>
      <c r="BI240" s="23"/>
      <c r="BJ240" s="23"/>
      <c r="BK240" s="69"/>
      <c r="BL240" s="69"/>
      <c r="BM240" s="23"/>
      <c r="BN240" s="23"/>
      <c r="BO240" s="69"/>
      <c r="BP240" s="69"/>
      <c r="BQ240" s="23"/>
      <c r="BR240" s="23"/>
      <c r="BS240" s="69"/>
      <c r="BT240" s="69"/>
      <c r="BU240" s="23"/>
      <c r="BV240" s="23"/>
      <c r="BW240" s="23"/>
      <c r="BX240" s="23"/>
      <c r="BY240" s="21" t="e">
        <f>#REF!-Y240-AE240-AK240-BW240</f>
        <v>#REF!</v>
      </c>
      <c r="BZ240" s="22">
        <f t="shared" si="67"/>
        <v>149049</v>
      </c>
      <c r="CA240" s="23">
        <f t="shared" si="67"/>
        <v>223574</v>
      </c>
      <c r="CB240" s="23">
        <f t="shared" si="68"/>
        <v>372623</v>
      </c>
      <c r="CC240" s="21"/>
      <c r="CD240" s="22"/>
      <c r="CE240" s="23"/>
      <c r="CF240" s="23"/>
    </row>
    <row r="241" spans="1:84" s="73" customFormat="1" ht="30.05" customHeight="1" x14ac:dyDescent="0.3">
      <c r="A241" s="54" t="s">
        <v>298</v>
      </c>
      <c r="B241" s="41" t="s">
        <v>73</v>
      </c>
      <c r="C241" s="129" t="s">
        <v>6</v>
      </c>
      <c r="D241" s="169">
        <v>608.88</v>
      </c>
      <c r="E241" s="125">
        <v>50</v>
      </c>
      <c r="F241" s="125">
        <v>250</v>
      </c>
      <c r="G241" s="123">
        <f t="shared" si="62"/>
        <v>30444</v>
      </c>
      <c r="H241" s="123">
        <f t="shared" si="60"/>
        <v>152220</v>
      </c>
      <c r="I241" s="123">
        <f t="shared" si="61"/>
        <v>182664</v>
      </c>
      <c r="J241" s="187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72"/>
      <c r="V241" s="60">
        <f t="shared" si="64"/>
        <v>0</v>
      </c>
      <c r="W241" s="60">
        <f t="shared" si="65"/>
        <v>0</v>
      </c>
      <c r="X241" s="60">
        <f t="shared" si="69"/>
        <v>0</v>
      </c>
      <c r="Y241" s="60"/>
      <c r="Z241" s="60"/>
      <c r="AA241" s="72"/>
      <c r="AB241" s="60"/>
      <c r="AC241" s="60"/>
      <c r="AD241" s="72"/>
      <c r="AE241" s="60"/>
      <c r="AF241" s="60"/>
      <c r="AG241" s="72"/>
      <c r="AH241" s="72">
        <f t="shared" si="66"/>
        <v>0</v>
      </c>
      <c r="AI241" s="60">
        <f>ROUND(AG241*F241,0)</f>
        <v>0</v>
      </c>
      <c r="AJ241" s="60">
        <f>AH241+AI241</f>
        <v>0</v>
      </c>
      <c r="AK241" s="60"/>
      <c r="AL241" s="60"/>
      <c r="AM241" s="72"/>
      <c r="AN241" s="72"/>
      <c r="AO241" s="60"/>
      <c r="AP241" s="60"/>
      <c r="AQ241" s="72"/>
      <c r="AR241" s="72"/>
      <c r="AS241" s="60"/>
      <c r="AT241" s="60"/>
      <c r="AU241" s="72"/>
      <c r="AV241" s="72"/>
      <c r="AW241" s="60"/>
      <c r="AX241" s="60"/>
      <c r="AY241" s="72"/>
      <c r="AZ241" s="72"/>
      <c r="BA241" s="60"/>
      <c r="BB241" s="60"/>
      <c r="BC241" s="72"/>
      <c r="BD241" s="72"/>
      <c r="BE241" s="60"/>
      <c r="BF241" s="60"/>
      <c r="BG241" s="72"/>
      <c r="BH241" s="72"/>
      <c r="BI241" s="60"/>
      <c r="BJ241" s="60"/>
      <c r="BK241" s="72"/>
      <c r="BL241" s="72"/>
      <c r="BM241" s="60"/>
      <c r="BN241" s="60"/>
      <c r="BO241" s="72"/>
      <c r="BP241" s="72"/>
      <c r="BQ241" s="60"/>
      <c r="BR241" s="60"/>
      <c r="BS241" s="72"/>
      <c r="BT241" s="72"/>
      <c r="BU241" s="60"/>
      <c r="BV241" s="60"/>
      <c r="BW241" s="60"/>
      <c r="BX241" s="60"/>
      <c r="BY241" s="58" t="e">
        <f>#REF!-Y241-AE241-AK241-BW241</f>
        <v>#REF!</v>
      </c>
      <c r="BZ241" s="59">
        <f t="shared" si="67"/>
        <v>30444</v>
      </c>
      <c r="CA241" s="60">
        <f t="shared" si="67"/>
        <v>152220</v>
      </c>
      <c r="CB241" s="60">
        <f t="shared" si="68"/>
        <v>182664</v>
      </c>
      <c r="CC241" s="58"/>
      <c r="CD241" s="59"/>
      <c r="CE241" s="60"/>
      <c r="CF241" s="60"/>
    </row>
    <row r="242" spans="1:84" s="73" customFormat="1" ht="30.05" customHeight="1" x14ac:dyDescent="0.3">
      <c r="A242" s="54" t="s">
        <v>299</v>
      </c>
      <c r="B242" s="41" t="s">
        <v>216</v>
      </c>
      <c r="C242" s="129" t="s">
        <v>6</v>
      </c>
      <c r="D242" s="169">
        <v>17.34</v>
      </c>
      <c r="E242" s="125">
        <v>50</v>
      </c>
      <c r="F242" s="125">
        <v>250</v>
      </c>
      <c r="G242" s="123">
        <f t="shared" si="62"/>
        <v>867</v>
      </c>
      <c r="H242" s="123">
        <f t="shared" si="60"/>
        <v>4335</v>
      </c>
      <c r="I242" s="123">
        <f t="shared" si="61"/>
        <v>5202</v>
      </c>
      <c r="J242" s="187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72"/>
      <c r="V242" s="60">
        <f t="shared" si="64"/>
        <v>0</v>
      </c>
      <c r="W242" s="60">
        <f t="shared" si="65"/>
        <v>0</v>
      </c>
      <c r="X242" s="60">
        <f t="shared" si="69"/>
        <v>0</v>
      </c>
      <c r="Y242" s="60"/>
      <c r="Z242" s="60"/>
      <c r="AA242" s="72"/>
      <c r="AB242" s="60"/>
      <c r="AC242" s="60"/>
      <c r="AD242" s="72"/>
      <c r="AE242" s="60"/>
      <c r="AF242" s="60"/>
      <c r="AG242" s="72"/>
      <c r="AH242" s="72">
        <f t="shared" si="66"/>
        <v>0</v>
      </c>
      <c r="AI242" s="60"/>
      <c r="AJ242" s="60"/>
      <c r="AK242" s="60"/>
      <c r="AL242" s="60"/>
      <c r="AM242" s="72"/>
      <c r="AN242" s="72"/>
      <c r="AO242" s="60"/>
      <c r="AP242" s="60"/>
      <c r="AQ242" s="72"/>
      <c r="AR242" s="72"/>
      <c r="AS242" s="60"/>
      <c r="AT242" s="60"/>
      <c r="AU242" s="72"/>
      <c r="AV242" s="72"/>
      <c r="AW242" s="60"/>
      <c r="AX242" s="60"/>
      <c r="AY242" s="72"/>
      <c r="AZ242" s="72"/>
      <c r="BA242" s="60"/>
      <c r="BB242" s="60"/>
      <c r="BC242" s="72"/>
      <c r="BD242" s="72"/>
      <c r="BE242" s="60"/>
      <c r="BF242" s="60"/>
      <c r="BG242" s="72"/>
      <c r="BH242" s="72"/>
      <c r="BI242" s="60"/>
      <c r="BJ242" s="60"/>
      <c r="BK242" s="72"/>
      <c r="BL242" s="72"/>
      <c r="BM242" s="60"/>
      <c r="BN242" s="60"/>
      <c r="BO242" s="72"/>
      <c r="BP242" s="72"/>
      <c r="BQ242" s="60"/>
      <c r="BR242" s="60"/>
      <c r="BS242" s="72"/>
      <c r="BT242" s="72"/>
      <c r="BU242" s="60"/>
      <c r="BV242" s="60"/>
      <c r="BW242" s="60"/>
      <c r="BX242" s="60"/>
      <c r="BY242" s="58" t="e">
        <f>#REF!-Y242-AE242-AK242-BW242</f>
        <v>#REF!</v>
      </c>
      <c r="BZ242" s="59">
        <f t="shared" si="67"/>
        <v>867</v>
      </c>
      <c r="CA242" s="60">
        <f t="shared" si="67"/>
        <v>4335</v>
      </c>
      <c r="CB242" s="60">
        <f t="shared" si="68"/>
        <v>5202</v>
      </c>
      <c r="CC242" s="58"/>
      <c r="CD242" s="59"/>
      <c r="CE242" s="60"/>
      <c r="CF242" s="60"/>
    </row>
    <row r="243" spans="1:84" s="4" customFormat="1" ht="42.75" customHeight="1" x14ac:dyDescent="0.3">
      <c r="A243" s="54" t="s">
        <v>300</v>
      </c>
      <c r="B243" s="41" t="s">
        <v>217</v>
      </c>
      <c r="C243" s="129" t="s">
        <v>6</v>
      </c>
      <c r="D243" s="169">
        <f>609+622</f>
        <v>1231</v>
      </c>
      <c r="E243" s="125">
        <v>100</v>
      </c>
      <c r="F243" s="125"/>
      <c r="G243" s="123">
        <f t="shared" si="62"/>
        <v>123100</v>
      </c>
      <c r="H243" s="123"/>
      <c r="I243" s="123">
        <f t="shared" si="61"/>
        <v>123100</v>
      </c>
      <c r="J243" s="187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69"/>
      <c r="V243" s="23">
        <f t="shared" si="64"/>
        <v>0</v>
      </c>
      <c r="W243" s="23">
        <f t="shared" si="65"/>
        <v>0</v>
      </c>
      <c r="X243" s="23">
        <f t="shared" si="69"/>
        <v>0</v>
      </c>
      <c r="Y243" s="23"/>
      <c r="Z243" s="23"/>
      <c r="AA243" s="69"/>
      <c r="AB243" s="23"/>
      <c r="AC243" s="23"/>
      <c r="AD243" s="69"/>
      <c r="AE243" s="23"/>
      <c r="AF243" s="23"/>
      <c r="AG243" s="69">
        <v>21.89</v>
      </c>
      <c r="AH243" s="4">
        <f t="shared" si="66"/>
        <v>2189</v>
      </c>
      <c r="AI243" s="23">
        <f>ROUND(AG243*F243,0)</f>
        <v>0</v>
      </c>
      <c r="AJ243" s="23">
        <f>AH243+AI243</f>
        <v>2189</v>
      </c>
      <c r="AK243" s="23"/>
      <c r="AL243" s="23"/>
      <c r="AM243" s="69"/>
      <c r="AN243" s="69"/>
      <c r="AO243" s="23"/>
      <c r="AP243" s="23"/>
      <c r="AQ243" s="69"/>
      <c r="AR243" s="69"/>
      <c r="AS243" s="23"/>
      <c r="AT243" s="23"/>
      <c r="AU243" s="69"/>
      <c r="AV243" s="69"/>
      <c r="AW243" s="23"/>
      <c r="AX243" s="23"/>
      <c r="AY243" s="69"/>
      <c r="AZ243" s="69"/>
      <c r="BA243" s="23"/>
      <c r="BB243" s="23"/>
      <c r="BC243" s="69"/>
      <c r="BD243" s="69"/>
      <c r="BE243" s="23"/>
      <c r="BF243" s="23"/>
      <c r="BG243" s="69"/>
      <c r="BH243" s="69"/>
      <c r="BI243" s="23"/>
      <c r="BJ243" s="23"/>
      <c r="BK243" s="69"/>
      <c r="BL243" s="69"/>
      <c r="BM243" s="23"/>
      <c r="BN243" s="23"/>
      <c r="BO243" s="69"/>
      <c r="BP243" s="69"/>
      <c r="BQ243" s="23"/>
      <c r="BR243" s="23"/>
      <c r="BS243" s="69"/>
      <c r="BT243" s="69"/>
      <c r="BU243" s="23"/>
      <c r="BV243" s="23"/>
      <c r="BW243" s="23"/>
      <c r="BX243" s="23"/>
      <c r="BY243" s="21" t="e">
        <f>#REF!-Y243-AE243-AK243-BW243</f>
        <v>#REF!</v>
      </c>
      <c r="BZ243" s="22">
        <f t="shared" si="67"/>
        <v>120911</v>
      </c>
      <c r="CA243" s="23">
        <f t="shared" si="67"/>
        <v>0</v>
      </c>
      <c r="CB243" s="23">
        <f t="shared" si="68"/>
        <v>123100</v>
      </c>
      <c r="CC243" s="21"/>
      <c r="CD243" s="22"/>
      <c r="CE243" s="23"/>
      <c r="CF243" s="23"/>
    </row>
    <row r="244" spans="1:84" s="96" customFormat="1" ht="30.05" customHeight="1" x14ac:dyDescent="0.3">
      <c r="A244" s="53"/>
      <c r="B244" s="48" t="s">
        <v>218</v>
      </c>
      <c r="C244" s="285" t="s">
        <v>7</v>
      </c>
      <c r="D244" s="170">
        <f>2.18+31.1</f>
        <v>33.28</v>
      </c>
      <c r="E244" s="126"/>
      <c r="F244" s="126">
        <v>4300</v>
      </c>
      <c r="G244" s="124"/>
      <c r="H244" s="124">
        <f t="shared" si="60"/>
        <v>143104</v>
      </c>
      <c r="I244" s="124">
        <f t="shared" si="61"/>
        <v>143104</v>
      </c>
      <c r="J244" s="207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1"/>
      <c r="V244" s="100">
        <f t="shared" si="64"/>
        <v>0</v>
      </c>
      <c r="W244" s="100">
        <f t="shared" si="65"/>
        <v>0</v>
      </c>
      <c r="X244" s="100">
        <f t="shared" si="69"/>
        <v>0</v>
      </c>
      <c r="Y244" s="100"/>
      <c r="Z244" s="100"/>
      <c r="AA244" s="101"/>
      <c r="AB244" s="100"/>
      <c r="AC244" s="100"/>
      <c r="AD244" s="101"/>
      <c r="AE244" s="100"/>
      <c r="AF244" s="100"/>
      <c r="AG244" s="101">
        <v>0.43790697674418605</v>
      </c>
      <c r="AH244" s="96">
        <f t="shared" si="66"/>
        <v>0</v>
      </c>
      <c r="AI244" s="100">
        <f>ROUND(AG244*F244,0)</f>
        <v>1883</v>
      </c>
      <c r="AJ244" s="100">
        <f>AH244+AI244</f>
        <v>1883</v>
      </c>
      <c r="AK244" s="100"/>
      <c r="AL244" s="100"/>
      <c r="AM244" s="101"/>
      <c r="AN244" s="101"/>
      <c r="AO244" s="100"/>
      <c r="AP244" s="100"/>
      <c r="AQ244" s="101"/>
      <c r="AR244" s="101"/>
      <c r="AS244" s="100"/>
      <c r="AT244" s="100"/>
      <c r="AU244" s="101"/>
      <c r="AV244" s="101"/>
      <c r="AW244" s="100"/>
      <c r="AX244" s="100"/>
      <c r="AY244" s="101"/>
      <c r="AZ244" s="101"/>
      <c r="BA244" s="100"/>
      <c r="BB244" s="100"/>
      <c r="BC244" s="101"/>
      <c r="BD244" s="101"/>
      <c r="BE244" s="100"/>
      <c r="BF244" s="100"/>
      <c r="BG244" s="101"/>
      <c r="BH244" s="101"/>
      <c r="BI244" s="100"/>
      <c r="BJ244" s="100"/>
      <c r="BK244" s="101"/>
      <c r="BL244" s="101"/>
      <c r="BM244" s="100"/>
      <c r="BN244" s="100"/>
      <c r="BO244" s="101"/>
      <c r="BP244" s="101"/>
      <c r="BQ244" s="100"/>
      <c r="BR244" s="100"/>
      <c r="BS244" s="101"/>
      <c r="BT244" s="101"/>
      <c r="BU244" s="100"/>
      <c r="BV244" s="100"/>
      <c r="BW244" s="100"/>
      <c r="BX244" s="100"/>
      <c r="BY244" s="102" t="e">
        <f>#REF!-Y244-AE244-AK244-BW244</f>
        <v>#REF!</v>
      </c>
      <c r="BZ244" s="103">
        <f t="shared" si="67"/>
        <v>0</v>
      </c>
      <c r="CA244" s="100">
        <f t="shared" si="67"/>
        <v>141221</v>
      </c>
      <c r="CB244" s="100">
        <f t="shared" si="68"/>
        <v>143104</v>
      </c>
      <c r="CC244" s="102"/>
      <c r="CD244" s="103"/>
      <c r="CE244" s="100"/>
      <c r="CF244" s="100"/>
    </row>
    <row r="245" spans="1:84" s="96" customFormat="1" ht="30.05" customHeight="1" x14ac:dyDescent="0.3">
      <c r="A245" s="53"/>
      <c r="B245" s="48" t="s">
        <v>208</v>
      </c>
      <c r="C245" s="168" t="s">
        <v>7</v>
      </c>
      <c r="D245" s="170">
        <v>12.54</v>
      </c>
      <c r="E245" s="126"/>
      <c r="F245" s="126">
        <v>4300</v>
      </c>
      <c r="G245" s="124"/>
      <c r="H245" s="124">
        <f t="shared" si="60"/>
        <v>53922</v>
      </c>
      <c r="I245" s="124">
        <f t="shared" si="61"/>
        <v>53922</v>
      </c>
      <c r="J245" s="207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1"/>
      <c r="V245" s="100">
        <f t="shared" si="64"/>
        <v>0</v>
      </c>
      <c r="W245" s="100">
        <f t="shared" si="65"/>
        <v>0</v>
      </c>
      <c r="X245" s="100">
        <f t="shared" si="69"/>
        <v>0</v>
      </c>
      <c r="Y245" s="100"/>
      <c r="Z245" s="100"/>
      <c r="AA245" s="101"/>
      <c r="AB245" s="100"/>
      <c r="AC245" s="100"/>
      <c r="AD245" s="101"/>
      <c r="AE245" s="100"/>
      <c r="AF245" s="100"/>
      <c r="AG245" s="101"/>
      <c r="AH245" s="101"/>
      <c r="AI245" s="100"/>
      <c r="AJ245" s="100"/>
      <c r="AK245" s="100"/>
      <c r="AL245" s="100"/>
      <c r="AM245" s="101"/>
      <c r="AN245" s="101"/>
      <c r="AO245" s="100"/>
      <c r="AP245" s="100"/>
      <c r="AQ245" s="101"/>
      <c r="AR245" s="101"/>
      <c r="AS245" s="100"/>
      <c r="AT245" s="100"/>
      <c r="AU245" s="101"/>
      <c r="AV245" s="101"/>
      <c r="AW245" s="100"/>
      <c r="AX245" s="100"/>
      <c r="AY245" s="101"/>
      <c r="AZ245" s="101"/>
      <c r="BA245" s="100"/>
      <c r="BB245" s="100"/>
      <c r="BC245" s="101"/>
      <c r="BD245" s="101"/>
      <c r="BE245" s="100"/>
      <c r="BF245" s="100"/>
      <c r="BG245" s="101"/>
      <c r="BH245" s="101"/>
      <c r="BI245" s="100"/>
      <c r="BJ245" s="100"/>
      <c r="BK245" s="101"/>
      <c r="BL245" s="101"/>
      <c r="BM245" s="100"/>
      <c r="BN245" s="100"/>
      <c r="BO245" s="101"/>
      <c r="BP245" s="101"/>
      <c r="BQ245" s="100"/>
      <c r="BR245" s="100"/>
      <c r="BS245" s="101"/>
      <c r="BT245" s="101"/>
      <c r="BU245" s="100"/>
      <c r="BV245" s="100"/>
      <c r="BW245" s="100"/>
      <c r="BX245" s="100"/>
      <c r="BY245" s="102" t="e">
        <f>#REF!-Y245-AE245-AK245-BW245</f>
        <v>#REF!</v>
      </c>
      <c r="BZ245" s="103">
        <f t="shared" si="67"/>
        <v>0</v>
      </c>
      <c r="CA245" s="100">
        <f t="shared" si="67"/>
        <v>53922</v>
      </c>
      <c r="CB245" s="100">
        <f t="shared" si="68"/>
        <v>53922</v>
      </c>
      <c r="CC245" s="102"/>
      <c r="CD245" s="103"/>
      <c r="CE245" s="100"/>
      <c r="CF245" s="100"/>
    </row>
    <row r="246" spans="1:84" s="4" customFormat="1" ht="45.7" customHeight="1" x14ac:dyDescent="0.3">
      <c r="A246" s="54" t="s">
        <v>301</v>
      </c>
      <c r="B246" s="41" t="s">
        <v>71</v>
      </c>
      <c r="C246" s="129" t="s">
        <v>6</v>
      </c>
      <c r="D246" s="169">
        <v>3551.61</v>
      </c>
      <c r="E246" s="125">
        <v>450</v>
      </c>
      <c r="F246" s="125"/>
      <c r="G246" s="123">
        <f t="shared" si="62"/>
        <v>1598225</v>
      </c>
      <c r="H246" s="123"/>
      <c r="I246" s="123">
        <f t="shared" si="61"/>
        <v>1598225</v>
      </c>
      <c r="J246" s="187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69"/>
      <c r="V246" s="23">
        <f t="shared" si="64"/>
        <v>0</v>
      </c>
      <c r="W246" s="23">
        <f t="shared" si="65"/>
        <v>0</v>
      </c>
      <c r="X246" s="23">
        <f t="shared" si="69"/>
        <v>0</v>
      </c>
      <c r="Y246" s="23"/>
      <c r="Z246" s="23"/>
      <c r="AA246" s="69"/>
      <c r="AB246" s="23"/>
      <c r="AC246" s="23"/>
      <c r="AD246" s="69"/>
      <c r="AE246" s="23"/>
      <c r="AF246" s="23"/>
      <c r="AG246" s="69">
        <v>21.891111111111112</v>
      </c>
      <c r="AH246" s="4">
        <f>ROUND(AG246*E246,0)</f>
        <v>9851</v>
      </c>
      <c r="AI246" s="23">
        <f>ROUND(AG246*F246,0)</f>
        <v>0</v>
      </c>
      <c r="AJ246" s="23">
        <f>AH246+AI246</f>
        <v>9851</v>
      </c>
      <c r="AK246" s="23"/>
      <c r="AL246" s="23"/>
      <c r="AM246" s="69"/>
      <c r="AN246" s="69"/>
      <c r="AO246" s="23"/>
      <c r="AP246" s="23"/>
      <c r="AQ246" s="69"/>
      <c r="AR246" s="69"/>
      <c r="AS246" s="23"/>
      <c r="AT246" s="23"/>
      <c r="AU246" s="69"/>
      <c r="AV246" s="69"/>
      <c r="AW246" s="23"/>
      <c r="AX246" s="23"/>
      <c r="AY246" s="69"/>
      <c r="AZ246" s="69"/>
      <c r="BA246" s="23"/>
      <c r="BB246" s="23"/>
      <c r="BC246" s="69"/>
      <c r="BD246" s="69"/>
      <c r="BE246" s="23"/>
      <c r="BF246" s="23"/>
      <c r="BG246" s="69"/>
      <c r="BH246" s="69"/>
      <c r="BI246" s="23"/>
      <c r="BJ246" s="23"/>
      <c r="BK246" s="69"/>
      <c r="BL246" s="69"/>
      <c r="BM246" s="23"/>
      <c r="BN246" s="23"/>
      <c r="BO246" s="69"/>
      <c r="BP246" s="69"/>
      <c r="BQ246" s="23"/>
      <c r="BR246" s="23"/>
      <c r="BS246" s="69"/>
      <c r="BT246" s="69"/>
      <c r="BU246" s="23"/>
      <c r="BV246" s="23"/>
      <c r="BW246" s="23"/>
      <c r="BX246" s="23"/>
      <c r="BY246" s="21" t="e">
        <f>#REF!-Y246-AE246-AK246-BW246</f>
        <v>#REF!</v>
      </c>
      <c r="BZ246" s="22">
        <f t="shared" si="67"/>
        <v>1588374</v>
      </c>
      <c r="CA246" s="23">
        <f t="shared" si="67"/>
        <v>0</v>
      </c>
      <c r="CB246" s="23">
        <f t="shared" si="68"/>
        <v>1598225</v>
      </c>
      <c r="CC246" s="21"/>
      <c r="CD246" s="22"/>
      <c r="CE246" s="23"/>
      <c r="CF246" s="23"/>
    </row>
    <row r="247" spans="1:84" s="234" customFormat="1" ht="35.1" customHeight="1" x14ac:dyDescent="0.3">
      <c r="A247" s="53"/>
      <c r="B247" s="48" t="s">
        <v>356</v>
      </c>
      <c r="C247" s="168" t="s">
        <v>6</v>
      </c>
      <c r="D247" s="170">
        <f>31.93*1.1</f>
        <v>35.123000000000005</v>
      </c>
      <c r="E247" s="126"/>
      <c r="F247" s="126">
        <v>560</v>
      </c>
      <c r="G247" s="124"/>
      <c r="H247" s="124">
        <f>ROUND(D247*F247,0)</f>
        <v>19669</v>
      </c>
      <c r="I247" s="124">
        <f>SUM(G247:H247)</f>
        <v>19669</v>
      </c>
      <c r="J247" s="233"/>
    </row>
    <row r="248" spans="1:84" s="232" customFormat="1" ht="35.1" customHeight="1" x14ac:dyDescent="0.3">
      <c r="A248" s="53"/>
      <c r="B248" s="48" t="s">
        <v>219</v>
      </c>
      <c r="C248" s="168" t="s">
        <v>6</v>
      </c>
      <c r="D248" s="170">
        <f>3519.07*1.1</f>
        <v>3870.9770000000003</v>
      </c>
      <c r="E248" s="126"/>
      <c r="F248" s="126">
        <v>490</v>
      </c>
      <c r="G248" s="124"/>
      <c r="H248" s="124">
        <f>ROUND(D248*F248,0)</f>
        <v>1896779</v>
      </c>
      <c r="I248" s="124">
        <f>SUM(G248:H248)</f>
        <v>1896779</v>
      </c>
      <c r="J248" s="231"/>
    </row>
    <row r="249" spans="1:84" s="237" customFormat="1" ht="35.1" customHeight="1" x14ac:dyDescent="0.3">
      <c r="A249" s="235"/>
      <c r="B249" s="48" t="s">
        <v>209</v>
      </c>
      <c r="C249" s="168" t="s">
        <v>26</v>
      </c>
      <c r="D249" s="49">
        <f>ROUND(D246*14.3,2)</f>
        <v>50788.02</v>
      </c>
      <c r="E249" s="126"/>
      <c r="F249" s="126">
        <v>26</v>
      </c>
      <c r="G249" s="123"/>
      <c r="H249" s="123">
        <f>ROUND(F249*D249,0)</f>
        <v>1320489</v>
      </c>
      <c r="I249" s="123">
        <f>G249+H249</f>
        <v>1320489</v>
      </c>
      <c r="J249" s="236"/>
    </row>
    <row r="250" spans="1:84" s="232" customFormat="1" ht="35.1" customHeight="1" x14ac:dyDescent="0.3">
      <c r="A250" s="235"/>
      <c r="B250" s="48" t="s">
        <v>205</v>
      </c>
      <c r="C250" s="168" t="s">
        <v>26</v>
      </c>
      <c r="D250" s="49">
        <f>ROUND(D246*0.194,0)</f>
        <v>689</v>
      </c>
      <c r="E250" s="126"/>
      <c r="F250" s="126">
        <v>85</v>
      </c>
      <c r="G250" s="123"/>
      <c r="H250" s="123">
        <f>ROUND(F250*D250,0)</f>
        <v>58565</v>
      </c>
      <c r="I250" s="123">
        <f>G250+H250</f>
        <v>58565</v>
      </c>
      <c r="J250" s="231"/>
    </row>
    <row r="251" spans="1:84" s="4" customFormat="1" ht="30.05" customHeight="1" x14ac:dyDescent="0.3">
      <c r="A251" s="54" t="s">
        <v>302</v>
      </c>
      <c r="B251" s="41" t="s">
        <v>74</v>
      </c>
      <c r="C251" s="129" t="s">
        <v>75</v>
      </c>
      <c r="D251" s="169">
        <v>2080.15</v>
      </c>
      <c r="E251" s="125">
        <v>150</v>
      </c>
      <c r="F251" s="125"/>
      <c r="G251" s="123">
        <f t="shared" si="62"/>
        <v>312023</v>
      </c>
      <c r="H251" s="123"/>
      <c r="I251" s="123">
        <f t="shared" si="61"/>
        <v>312023</v>
      </c>
      <c r="J251" s="187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69"/>
      <c r="V251" s="23">
        <f>U251*E251</f>
        <v>0</v>
      </c>
      <c r="W251" s="23">
        <f>U251*F251</f>
        <v>0</v>
      </c>
      <c r="X251" s="23">
        <f>V251+W251</f>
        <v>0</v>
      </c>
      <c r="Y251" s="23"/>
      <c r="Z251" s="23"/>
      <c r="AA251" s="69"/>
      <c r="AB251" s="23"/>
      <c r="AC251" s="23"/>
      <c r="AD251" s="69"/>
      <c r="AE251" s="23"/>
      <c r="AF251" s="23"/>
      <c r="AG251" s="69"/>
      <c r="AH251" s="69"/>
      <c r="AI251" s="23"/>
      <c r="AJ251" s="23"/>
      <c r="AK251" s="23"/>
      <c r="AL251" s="23"/>
      <c r="AM251" s="69"/>
      <c r="AN251" s="69"/>
      <c r="AO251" s="23"/>
      <c r="AP251" s="23"/>
      <c r="AQ251" s="69"/>
      <c r="AR251" s="69"/>
      <c r="AS251" s="23"/>
      <c r="AT251" s="23"/>
      <c r="AU251" s="69"/>
      <c r="AV251" s="69"/>
      <c r="AW251" s="23"/>
      <c r="AX251" s="23"/>
      <c r="AY251" s="69"/>
      <c r="AZ251" s="69"/>
      <c r="BA251" s="23"/>
      <c r="BB251" s="23"/>
      <c r="BC251" s="69"/>
      <c r="BD251" s="69"/>
      <c r="BE251" s="23"/>
      <c r="BF251" s="23"/>
      <c r="BG251" s="69"/>
      <c r="BH251" s="69"/>
      <c r="BI251" s="23"/>
      <c r="BJ251" s="23"/>
      <c r="BK251" s="69"/>
      <c r="BL251" s="69"/>
      <c r="BM251" s="23"/>
      <c r="BN251" s="23"/>
      <c r="BO251" s="69"/>
      <c r="BP251" s="69"/>
      <c r="BQ251" s="23"/>
      <c r="BR251" s="23"/>
      <c r="BS251" s="69"/>
      <c r="BT251" s="69"/>
      <c r="BU251" s="23"/>
      <c r="BV251" s="23"/>
      <c r="BW251" s="23"/>
      <c r="BX251" s="23"/>
      <c r="BY251" s="21" t="e">
        <f>#REF!-Y251-AE251-AK251-BW251</f>
        <v>#REF!</v>
      </c>
      <c r="BZ251" s="22">
        <f t="shared" ref="BZ251:CA253" si="70">G251-V251-AB251-AH251-AN251-AR251-AV251-AZ251-BD251-BH251-BL251-BP251-BT251</f>
        <v>312023</v>
      </c>
      <c r="CA251" s="23">
        <f t="shared" si="70"/>
        <v>0</v>
      </c>
      <c r="CB251" s="23">
        <f>I251-Z251-AF251-AL251-BX251</f>
        <v>312023</v>
      </c>
      <c r="CC251" s="21"/>
      <c r="CD251" s="22"/>
      <c r="CE251" s="23"/>
      <c r="CF251" s="23"/>
    </row>
    <row r="252" spans="1:84" s="96" customFormat="1" ht="30.05" customHeight="1" x14ac:dyDescent="0.3">
      <c r="A252" s="53"/>
      <c r="B252" s="48" t="s">
        <v>219</v>
      </c>
      <c r="C252" s="168" t="s">
        <v>6</v>
      </c>
      <c r="D252" s="170">
        <f>D251*1.1*0.1</f>
        <v>228.81650000000005</v>
      </c>
      <c r="E252" s="126"/>
      <c r="F252" s="126">
        <v>490</v>
      </c>
      <c r="G252" s="124"/>
      <c r="H252" s="124">
        <f t="shared" si="60"/>
        <v>112120</v>
      </c>
      <c r="I252" s="124">
        <f t="shared" si="61"/>
        <v>112120</v>
      </c>
      <c r="J252" s="207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1"/>
      <c r="V252" s="100">
        <f>U252*E252</f>
        <v>0</v>
      </c>
      <c r="W252" s="100">
        <f>U252*F252</f>
        <v>0</v>
      </c>
      <c r="X252" s="100">
        <f>V252+W252</f>
        <v>0</v>
      </c>
      <c r="Y252" s="100"/>
      <c r="Z252" s="100"/>
      <c r="AA252" s="101"/>
      <c r="AB252" s="100"/>
      <c r="AC252" s="100"/>
      <c r="AD252" s="101"/>
      <c r="AE252" s="100"/>
      <c r="AF252" s="100"/>
      <c r="AG252" s="101">
        <v>21.89</v>
      </c>
      <c r="AH252" s="96">
        <f>ROUND(AG252*E252,0)</f>
        <v>0</v>
      </c>
      <c r="AI252" s="100">
        <f>ROUND(AG252*F252,0)</f>
        <v>10726</v>
      </c>
      <c r="AJ252" s="100">
        <f>AH252+AI252</f>
        <v>10726</v>
      </c>
      <c r="AK252" s="100"/>
      <c r="AL252" s="100"/>
      <c r="AM252" s="101"/>
      <c r="AN252" s="101"/>
      <c r="AO252" s="100"/>
      <c r="AP252" s="100"/>
      <c r="AQ252" s="101"/>
      <c r="AR252" s="101"/>
      <c r="AS252" s="100"/>
      <c r="AT252" s="100"/>
      <c r="AU252" s="101"/>
      <c r="AV252" s="101"/>
      <c r="AW252" s="100"/>
      <c r="AX252" s="100"/>
      <c r="AY252" s="101"/>
      <c r="AZ252" s="101"/>
      <c r="BA252" s="100"/>
      <c r="BB252" s="100"/>
      <c r="BC252" s="101"/>
      <c r="BD252" s="101"/>
      <c r="BE252" s="100"/>
      <c r="BF252" s="100"/>
      <c r="BG252" s="101"/>
      <c r="BH252" s="101"/>
      <c r="BI252" s="100"/>
      <c r="BJ252" s="100"/>
      <c r="BK252" s="101"/>
      <c r="BL252" s="101"/>
      <c r="BM252" s="100"/>
      <c r="BN252" s="100"/>
      <c r="BO252" s="101"/>
      <c r="BP252" s="101"/>
      <c r="BQ252" s="100"/>
      <c r="BR252" s="100"/>
      <c r="BS252" s="101"/>
      <c r="BT252" s="101"/>
      <c r="BU252" s="100"/>
      <c r="BV252" s="100"/>
      <c r="BW252" s="100"/>
      <c r="BX252" s="100"/>
      <c r="BY252" s="102" t="e">
        <f>#REF!-Y252-AE252-AK252-BW252</f>
        <v>#REF!</v>
      </c>
      <c r="BZ252" s="103">
        <f t="shared" si="70"/>
        <v>0</v>
      </c>
      <c r="CA252" s="100">
        <f t="shared" si="70"/>
        <v>101394</v>
      </c>
      <c r="CB252" s="100">
        <f>I252-Z252-AF252-AL252-BX252</f>
        <v>112120</v>
      </c>
      <c r="CC252" s="102"/>
      <c r="CD252" s="103"/>
      <c r="CE252" s="100"/>
      <c r="CF252" s="100"/>
    </row>
    <row r="253" spans="1:84" s="96" customFormat="1" ht="30.05" customHeight="1" x14ac:dyDescent="0.3">
      <c r="A253" s="286"/>
      <c r="B253" s="48" t="s">
        <v>209</v>
      </c>
      <c r="C253" s="168" t="s">
        <v>26</v>
      </c>
      <c r="D253" s="170">
        <f>ROUND(D252*14.3,2)</f>
        <v>3272.08</v>
      </c>
      <c r="E253" s="126"/>
      <c r="F253" s="126">
        <v>26</v>
      </c>
      <c r="G253" s="124"/>
      <c r="H253" s="124">
        <f t="shared" si="60"/>
        <v>85074</v>
      </c>
      <c r="I253" s="124">
        <f t="shared" si="61"/>
        <v>85074</v>
      </c>
      <c r="J253" s="207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1"/>
      <c r="V253" s="100">
        <f>U253*E253</f>
        <v>0</v>
      </c>
      <c r="W253" s="100">
        <f>U253*F253</f>
        <v>0</v>
      </c>
      <c r="X253" s="100">
        <f>V253+W253</f>
        <v>0</v>
      </c>
      <c r="Y253" s="100"/>
      <c r="Z253" s="100"/>
      <c r="AA253" s="101"/>
      <c r="AB253" s="100"/>
      <c r="AC253" s="100"/>
      <c r="AD253" s="101"/>
      <c r="AE253" s="100"/>
      <c r="AF253" s="100"/>
      <c r="AG253" s="101"/>
      <c r="AH253" s="96">
        <f>ROUND(AG253*E253,0)</f>
        <v>0</v>
      </c>
      <c r="AI253" s="100">
        <f>ROUND(AG253*F253,0)</f>
        <v>0</v>
      </c>
      <c r="AJ253" s="100">
        <f>AH253+AI253</f>
        <v>0</v>
      </c>
      <c r="AK253" s="100"/>
      <c r="AL253" s="100"/>
      <c r="AM253" s="101"/>
      <c r="AN253" s="101"/>
      <c r="AO253" s="100"/>
      <c r="AP253" s="100"/>
      <c r="AQ253" s="101"/>
      <c r="AR253" s="101"/>
      <c r="AS253" s="100"/>
      <c r="AT253" s="100"/>
      <c r="AU253" s="101"/>
      <c r="AV253" s="101"/>
      <c r="AW253" s="100"/>
      <c r="AX253" s="100"/>
      <c r="AY253" s="101"/>
      <c r="AZ253" s="101"/>
      <c r="BA253" s="100"/>
      <c r="BB253" s="100"/>
      <c r="BC253" s="101"/>
      <c r="BD253" s="101"/>
      <c r="BE253" s="100"/>
      <c r="BF253" s="100"/>
      <c r="BG253" s="101"/>
      <c r="BH253" s="101"/>
      <c r="BI253" s="100"/>
      <c r="BJ253" s="100"/>
      <c r="BK253" s="101"/>
      <c r="BL253" s="101"/>
      <c r="BM253" s="100"/>
      <c r="BN253" s="100"/>
      <c r="BO253" s="101"/>
      <c r="BP253" s="101"/>
      <c r="BQ253" s="100"/>
      <c r="BR253" s="100"/>
      <c r="BS253" s="101"/>
      <c r="BT253" s="101"/>
      <c r="BU253" s="100"/>
      <c r="BV253" s="100"/>
      <c r="BW253" s="100"/>
      <c r="BX253" s="100"/>
      <c r="BY253" s="102" t="e">
        <f>#REF!-Y253-AE253-AK253-BW253</f>
        <v>#REF!</v>
      </c>
      <c r="BZ253" s="103">
        <f t="shared" si="70"/>
        <v>0</v>
      </c>
      <c r="CA253" s="100">
        <f t="shared" si="70"/>
        <v>85074</v>
      </c>
      <c r="CB253" s="100">
        <f>I253-Z253-AF253-AL253-BX253</f>
        <v>85074</v>
      </c>
      <c r="CC253" s="102"/>
      <c r="CD253" s="103"/>
      <c r="CE253" s="100"/>
      <c r="CF253" s="100"/>
    </row>
    <row r="254" spans="1:84" s="96" customFormat="1" ht="30.05" customHeight="1" x14ac:dyDescent="0.3">
      <c r="A254" s="286"/>
      <c r="B254" s="48" t="s">
        <v>205</v>
      </c>
      <c r="C254" s="168" t="s">
        <v>26</v>
      </c>
      <c r="D254" s="170">
        <f>ROUND(D252*0.194,0)</f>
        <v>44</v>
      </c>
      <c r="E254" s="126"/>
      <c r="F254" s="126">
        <v>83.54</v>
      </c>
      <c r="G254" s="124"/>
      <c r="H254" s="124">
        <f t="shared" si="60"/>
        <v>3676</v>
      </c>
      <c r="I254" s="124">
        <f t="shared" si="61"/>
        <v>3676</v>
      </c>
      <c r="J254" s="207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1"/>
      <c r="V254" s="100"/>
      <c r="W254" s="100"/>
      <c r="X254" s="100"/>
      <c r="Y254" s="100"/>
      <c r="Z254" s="100"/>
      <c r="AA254" s="101"/>
      <c r="AB254" s="100"/>
      <c r="AC254" s="100"/>
      <c r="AD254" s="101"/>
      <c r="AE254" s="100"/>
      <c r="AF254" s="100"/>
      <c r="AG254" s="101"/>
      <c r="AI254" s="100"/>
      <c r="AJ254" s="100"/>
      <c r="AK254" s="100"/>
      <c r="AL254" s="100"/>
      <c r="AM254" s="101"/>
      <c r="AN254" s="101"/>
      <c r="AO254" s="100"/>
      <c r="AP254" s="100"/>
      <c r="AQ254" s="101"/>
      <c r="AR254" s="101"/>
      <c r="AS254" s="100"/>
      <c r="AT254" s="100"/>
      <c r="AU254" s="101"/>
      <c r="AV254" s="101"/>
      <c r="AW254" s="100"/>
      <c r="AX254" s="100"/>
      <c r="AY254" s="101"/>
      <c r="AZ254" s="101"/>
      <c r="BA254" s="100"/>
      <c r="BB254" s="100"/>
      <c r="BC254" s="101"/>
      <c r="BD254" s="101"/>
      <c r="BE254" s="100"/>
      <c r="BF254" s="100"/>
      <c r="BG254" s="101"/>
      <c r="BH254" s="101"/>
      <c r="BI254" s="100"/>
      <c r="BJ254" s="100"/>
      <c r="BK254" s="101"/>
      <c r="BL254" s="101"/>
      <c r="BM254" s="100"/>
      <c r="BN254" s="100"/>
      <c r="BO254" s="101"/>
      <c r="BP254" s="101"/>
      <c r="BQ254" s="100"/>
      <c r="BR254" s="100"/>
      <c r="BS254" s="101"/>
      <c r="BT254" s="101"/>
      <c r="BU254" s="100"/>
      <c r="BV254" s="100"/>
      <c r="BW254" s="100"/>
      <c r="BX254" s="100"/>
      <c r="BY254" s="102"/>
      <c r="BZ254" s="103"/>
      <c r="CA254" s="100"/>
      <c r="CB254" s="100"/>
      <c r="CC254" s="102"/>
      <c r="CD254" s="103"/>
      <c r="CE254" s="100"/>
      <c r="CF254" s="100"/>
    </row>
    <row r="255" spans="1:84" s="237" customFormat="1" ht="30.05" customHeight="1" x14ac:dyDescent="0.3">
      <c r="A255" s="54" t="s">
        <v>303</v>
      </c>
      <c r="B255" s="41" t="s">
        <v>357</v>
      </c>
      <c r="C255" s="32" t="s">
        <v>6</v>
      </c>
      <c r="D255" s="169">
        <v>25.77</v>
      </c>
      <c r="E255" s="125">
        <v>650</v>
      </c>
      <c r="F255" s="125">
        <v>3500</v>
      </c>
      <c r="G255" s="123">
        <f>ROUND(D255*E255,0)</f>
        <v>16751</v>
      </c>
      <c r="H255" s="123">
        <f t="shared" si="60"/>
        <v>90195</v>
      </c>
      <c r="I255" s="123">
        <f t="shared" si="61"/>
        <v>106946</v>
      </c>
      <c r="J255" s="238"/>
      <c r="K255" s="239">
        <f>J280</f>
        <v>0</v>
      </c>
      <c r="L255" s="239"/>
      <c r="M255" s="239"/>
      <c r="N255" s="239"/>
      <c r="O255" s="239"/>
      <c r="P255" s="239"/>
      <c r="Q255" s="239"/>
      <c r="R255" s="240"/>
      <c r="S255" s="239">
        <f>R255*E255</f>
        <v>0</v>
      </c>
      <c r="T255" s="239">
        <f>R255*F255</f>
        <v>0</v>
      </c>
      <c r="U255" s="239">
        <f>S255+T255</f>
        <v>0</v>
      </c>
      <c r="V255" s="239"/>
      <c r="W255" s="239"/>
      <c r="X255" s="240"/>
      <c r="Y255" s="239"/>
      <c r="Z255" s="239"/>
      <c r="AA255" s="240"/>
      <c r="AB255" s="239"/>
      <c r="AC255" s="239"/>
      <c r="AD255" s="240"/>
      <c r="AE255" s="240"/>
      <c r="AF255" s="239"/>
      <c r="AG255" s="239"/>
      <c r="AH255" s="239"/>
      <c r="AI255" s="239"/>
      <c r="AJ255" s="240"/>
      <c r="AK255" s="240"/>
      <c r="AL255" s="239"/>
      <c r="AM255" s="239"/>
      <c r="AN255" s="240"/>
      <c r="AO255" s="240"/>
      <c r="AP255" s="239"/>
      <c r="AQ255" s="239"/>
      <c r="AR255" s="240"/>
      <c r="AS255" s="240"/>
      <c r="AT255" s="239"/>
      <c r="AU255" s="239"/>
      <c r="AV255" s="240"/>
      <c r="AW255" s="240"/>
      <c r="AX255" s="239"/>
      <c r="AY255" s="239"/>
      <c r="AZ255" s="240"/>
      <c r="BA255" s="240"/>
      <c r="BB255" s="239"/>
      <c r="BC255" s="239"/>
      <c r="BD255" s="240"/>
      <c r="BE255" s="240"/>
      <c r="BF255" s="239"/>
      <c r="BG255" s="239"/>
      <c r="BH255" s="240"/>
      <c r="BI255" s="240"/>
      <c r="BJ255" s="239"/>
      <c r="BK255" s="239"/>
      <c r="BL255" s="240"/>
      <c r="BM255" s="240"/>
      <c r="BN255" s="239"/>
      <c r="BO255" s="239"/>
      <c r="BP255" s="240"/>
      <c r="BQ255" s="240"/>
      <c r="BR255" s="239"/>
      <c r="BS255" s="239"/>
      <c r="BT255" s="239"/>
      <c r="BU255" s="239"/>
      <c r="BV255" s="241" t="e">
        <f>#REF!-V255-AB255-AH255-BT255</f>
        <v>#REF!</v>
      </c>
      <c r="BW255" s="239">
        <f>G255-S255-Y255-AE255-AK255-AO255-AS255-AW255-BA255-BE255-BI255-BM255-BQ255</f>
        <v>16751</v>
      </c>
      <c r="BX255" s="239">
        <f>H255-T255-Z255-AF255-AL255-AP255-AT255-AX255-BB255-BF255-BJ255-BN255-BR255</f>
        <v>90195</v>
      </c>
      <c r="BY255" s="239">
        <f>I255-W255-AC255-AI255-BU255</f>
        <v>106946</v>
      </c>
      <c r="BZ255" s="241"/>
      <c r="CA255" s="239"/>
      <c r="CB255" s="239"/>
      <c r="CC255" s="239"/>
    </row>
    <row r="256" spans="1:84" s="4" customFormat="1" ht="30.05" customHeight="1" x14ac:dyDescent="0.3">
      <c r="A256" s="54"/>
      <c r="B256" s="46" t="s">
        <v>92</v>
      </c>
      <c r="C256" s="42"/>
      <c r="D256" s="169"/>
      <c r="E256" s="123"/>
      <c r="F256" s="123"/>
      <c r="G256" s="258">
        <f>SUM(G223:G255)</f>
        <v>7854392</v>
      </c>
      <c r="H256" s="125">
        <f>SUM(H223:H255)</f>
        <v>13495540</v>
      </c>
      <c r="I256" s="258">
        <f>SUM(G256:H256)</f>
        <v>21349932</v>
      </c>
      <c r="J256" s="187"/>
      <c r="K256" s="63">
        <f>K255/D254</f>
        <v>0</v>
      </c>
      <c r="L256" s="63"/>
      <c r="M256" s="63"/>
      <c r="N256" s="63"/>
      <c r="O256" s="63"/>
      <c r="P256" s="63"/>
      <c r="Q256" s="63"/>
      <c r="R256" s="63"/>
      <c r="S256" s="63"/>
      <c r="T256" s="63"/>
      <c r="U256" s="78"/>
      <c r="V256" s="23">
        <f>U256*E256</f>
        <v>0</v>
      </c>
      <c r="W256" s="23">
        <f>U256*F256</f>
        <v>0</v>
      </c>
      <c r="X256" s="23">
        <f>V256+W256</f>
        <v>0</v>
      </c>
      <c r="Y256" s="23"/>
      <c r="Z256" s="23"/>
      <c r="AA256" s="78"/>
      <c r="AB256" s="63"/>
      <c r="AC256" s="23"/>
      <c r="AD256" s="78"/>
      <c r="AE256" s="23"/>
      <c r="AF256" s="23"/>
      <c r="AG256" s="78"/>
      <c r="AH256" s="63">
        <f>SUM(AH229:AH255)</f>
        <v>50040</v>
      </c>
      <c r="AI256" s="23"/>
      <c r="AJ256" s="63">
        <f>AH256</f>
        <v>50040</v>
      </c>
      <c r="AK256" s="23"/>
      <c r="AL256" s="23"/>
      <c r="AM256" s="78"/>
      <c r="AN256" s="78"/>
      <c r="AO256" s="63"/>
      <c r="AP256" s="23"/>
      <c r="AQ256" s="78"/>
      <c r="AR256" s="78"/>
      <c r="AS256" s="63"/>
      <c r="AT256" s="23"/>
      <c r="AU256" s="78"/>
      <c r="AV256" s="78"/>
      <c r="AW256" s="63"/>
      <c r="AX256" s="23"/>
      <c r="AY256" s="78"/>
      <c r="AZ256" s="78"/>
      <c r="BA256" s="63"/>
      <c r="BB256" s="23"/>
      <c r="BC256" s="78"/>
      <c r="BD256" s="78"/>
      <c r="BE256" s="63"/>
      <c r="BF256" s="23"/>
      <c r="BG256" s="78"/>
      <c r="BH256" s="78"/>
      <c r="BI256" s="63"/>
      <c r="BJ256" s="23"/>
      <c r="BK256" s="78"/>
      <c r="BL256" s="78"/>
      <c r="BM256" s="63"/>
      <c r="BN256" s="23"/>
      <c r="BO256" s="78"/>
      <c r="BP256" s="78"/>
      <c r="BQ256" s="63"/>
      <c r="BR256" s="23"/>
      <c r="BS256" s="78"/>
      <c r="BT256" s="78"/>
      <c r="BU256" s="63"/>
      <c r="BV256" s="23"/>
      <c r="BW256" s="23"/>
      <c r="BX256" s="23"/>
      <c r="BY256" s="21" t="e">
        <f>#REF!-Y256-AE256-AK256-BW256</f>
        <v>#REF!</v>
      </c>
      <c r="BZ256" s="22">
        <f>G256-V256-AB256-AH256-AN256-AR256-AV256-AZ256-BD256-BH256-BL256-BP256-BT256</f>
        <v>7804352</v>
      </c>
      <c r="CA256" s="23">
        <f>H256-W256-AC256-AI256-AO256-AS256-AW256-BA256-BE256-BI256-BM256-BQ256-BU256</f>
        <v>13495540</v>
      </c>
      <c r="CB256" s="23">
        <f>I256-Z256-AF256-AL256-BX256</f>
        <v>21349932</v>
      </c>
      <c r="CC256" s="21"/>
      <c r="CD256" s="63">
        <f>SUM(CD229:CD255)</f>
        <v>0</v>
      </c>
      <c r="CE256" s="23"/>
      <c r="CF256" s="63">
        <f>CD256</f>
        <v>0</v>
      </c>
    </row>
    <row r="257" spans="1:84" s="175" customFormat="1" ht="30.05" customHeight="1" x14ac:dyDescent="0.25">
      <c r="A257" s="54"/>
      <c r="B257" s="41" t="s">
        <v>249</v>
      </c>
      <c r="C257" s="42"/>
      <c r="D257" s="169"/>
      <c r="E257" s="123"/>
      <c r="F257" s="123"/>
      <c r="G257" s="125">
        <f>ROUND(G256*0.11,0)</f>
        <v>863983</v>
      </c>
      <c r="H257" s="123"/>
      <c r="I257" s="123">
        <f>G257</f>
        <v>863983</v>
      </c>
      <c r="J257" s="197"/>
    </row>
    <row r="258" spans="1:84" s="175" customFormat="1" ht="30.05" customHeight="1" x14ac:dyDescent="0.25">
      <c r="A258" s="54"/>
      <c r="B258" s="41" t="s">
        <v>223</v>
      </c>
      <c r="C258" s="42"/>
      <c r="D258" s="169"/>
      <c r="E258" s="123"/>
      <c r="F258" s="123"/>
      <c r="G258" s="125">
        <f>ROUND(G256*0.05,0)</f>
        <v>392720</v>
      </c>
      <c r="H258" s="123"/>
      <c r="I258" s="123">
        <f>G258</f>
        <v>392720</v>
      </c>
      <c r="J258" s="197"/>
    </row>
    <row r="259" spans="1:84" s="3" customFormat="1" ht="30.05" customHeight="1" x14ac:dyDescent="0.3">
      <c r="A259" s="43"/>
      <c r="B259" s="36" t="s">
        <v>304</v>
      </c>
      <c r="C259" s="43"/>
      <c r="D259" s="259"/>
      <c r="E259" s="260"/>
      <c r="F259" s="260"/>
      <c r="G259" s="260">
        <f>SUM(G256:G258)</f>
        <v>9111095</v>
      </c>
      <c r="H259" s="260">
        <f>SUM(H256:H258)</f>
        <v>13495540</v>
      </c>
      <c r="I259" s="261">
        <f>SUM(I256:I258)</f>
        <v>22606635</v>
      </c>
      <c r="J259" s="205">
        <f>I259</f>
        <v>22606635</v>
      </c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64"/>
      <c r="V259" s="18">
        <f>U259*E259</f>
        <v>0</v>
      </c>
      <c r="W259" s="18">
        <f>U259*F259</f>
        <v>0</v>
      </c>
      <c r="X259" s="18">
        <f>V259+W259</f>
        <v>0</v>
      </c>
      <c r="Y259" s="18"/>
      <c r="Z259" s="18"/>
      <c r="AA259" s="64"/>
      <c r="AB259" s="65"/>
      <c r="AC259" s="65"/>
      <c r="AD259" s="64"/>
      <c r="AE259" s="18"/>
      <c r="AF259" s="18"/>
      <c r="AG259" s="64"/>
      <c r="AH259" s="65"/>
      <c r="AI259" s="65"/>
      <c r="AJ259" s="25" t="e">
        <f>AJ256+#REF!+AJ257+AJ258</f>
        <v>#REF!</v>
      </c>
      <c r="AK259" s="18"/>
      <c r="AL259" s="18"/>
      <c r="AM259" s="64"/>
      <c r="AN259" s="64"/>
      <c r="AO259" s="65"/>
      <c r="AP259" s="65"/>
      <c r="AQ259" s="64"/>
      <c r="AR259" s="64"/>
      <c r="AS259" s="65"/>
      <c r="AT259" s="65"/>
      <c r="AU259" s="64"/>
      <c r="AV259" s="64"/>
      <c r="AW259" s="65"/>
      <c r="AX259" s="65"/>
      <c r="AY259" s="64"/>
      <c r="AZ259" s="64"/>
      <c r="BA259" s="65"/>
      <c r="BB259" s="65"/>
      <c r="BC259" s="64"/>
      <c r="BD259" s="64"/>
      <c r="BE259" s="65"/>
      <c r="BF259" s="65"/>
      <c r="BG259" s="64"/>
      <c r="BH259" s="64"/>
      <c r="BI259" s="65"/>
      <c r="BJ259" s="65"/>
      <c r="BK259" s="64"/>
      <c r="BL259" s="64"/>
      <c r="BM259" s="65"/>
      <c r="BN259" s="65"/>
      <c r="BO259" s="64"/>
      <c r="BP259" s="64"/>
      <c r="BQ259" s="65"/>
      <c r="BR259" s="65"/>
      <c r="BS259" s="64"/>
      <c r="BT259" s="64"/>
      <c r="BU259" s="65"/>
      <c r="BV259" s="65"/>
      <c r="BW259" s="18"/>
      <c r="BX259" s="18"/>
      <c r="BY259" s="19" t="e">
        <f>#REF!-Y259-AE259-AK259-BW259</f>
        <v>#REF!</v>
      </c>
      <c r="BZ259" s="20">
        <f t="shared" ref="BZ259:CA261" si="71">G259-V259-AB259-AH259-AN259-AR259-AV259-AZ259-BD259-BH259-BL259-BP259-BT259</f>
        <v>9111095</v>
      </c>
      <c r="CA259" s="18">
        <f t="shared" si="71"/>
        <v>13495540</v>
      </c>
      <c r="CB259" s="18">
        <f>I259-Z259-AF259-AL259-BX259</f>
        <v>22606635</v>
      </c>
      <c r="CC259" s="19"/>
      <c r="CD259" s="65"/>
      <c r="CE259" s="65"/>
      <c r="CF259" s="25" t="e">
        <f>CF256+#REF!+CF257+CF258</f>
        <v>#REF!</v>
      </c>
    </row>
    <row r="260" spans="1:84" s="4" customFormat="1" ht="30.05" customHeight="1" x14ac:dyDescent="0.3">
      <c r="A260" s="52" t="s">
        <v>76</v>
      </c>
      <c r="B260" s="37" t="s">
        <v>58</v>
      </c>
      <c r="C260" s="166"/>
      <c r="D260" s="256"/>
      <c r="E260" s="257"/>
      <c r="F260" s="257"/>
      <c r="G260" s="257"/>
      <c r="H260" s="257"/>
      <c r="I260" s="257"/>
      <c r="J260" s="208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23">
        <f>U260*E260</f>
        <v>0</v>
      </c>
      <c r="W260" s="23">
        <f>U260*F260</f>
        <v>0</v>
      </c>
      <c r="X260" s="23">
        <f>V260+W260</f>
        <v>0</v>
      </c>
      <c r="Y260" s="23"/>
      <c r="Z260" s="23"/>
      <c r="AA260" s="79"/>
      <c r="AB260" s="79"/>
      <c r="AC260" s="79"/>
      <c r="AD260" s="79"/>
      <c r="AE260" s="23"/>
      <c r="AF260" s="23"/>
      <c r="AG260" s="79"/>
      <c r="AH260" s="79"/>
      <c r="AI260" s="79"/>
      <c r="AJ260" s="79"/>
      <c r="AK260" s="23"/>
      <c r="AL260" s="23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23"/>
      <c r="BX260" s="23"/>
      <c r="BY260" s="21" t="e">
        <f>#REF!-Y260-AE260-AK260-BW260</f>
        <v>#REF!</v>
      </c>
      <c r="BZ260" s="22">
        <f t="shared" si="71"/>
        <v>0</v>
      </c>
      <c r="CA260" s="23">
        <f t="shared" si="71"/>
        <v>0</v>
      </c>
      <c r="CB260" s="23">
        <f>I260-Z260-AF260-AL260-BX260</f>
        <v>0</v>
      </c>
      <c r="CC260" s="21"/>
      <c r="CD260" s="22"/>
      <c r="CE260" s="23"/>
      <c r="CF260" s="23"/>
    </row>
    <row r="261" spans="1:84" s="4" customFormat="1" ht="30.05" customHeight="1" x14ac:dyDescent="0.3">
      <c r="A261" s="54" t="s">
        <v>78</v>
      </c>
      <c r="B261" s="41" t="s">
        <v>60</v>
      </c>
      <c r="C261" s="42" t="s">
        <v>9</v>
      </c>
      <c r="D261" s="169">
        <v>285</v>
      </c>
      <c r="E261" s="125">
        <v>50</v>
      </c>
      <c r="F261" s="125">
        <v>550</v>
      </c>
      <c r="G261" s="123">
        <f>ROUND(D261*E261,0)</f>
        <v>14250</v>
      </c>
      <c r="H261" s="123">
        <f>ROUND(D261*F261,0)</f>
        <v>156750</v>
      </c>
      <c r="I261" s="123">
        <f>SUM(G261:H261)</f>
        <v>171000</v>
      </c>
      <c r="J261" s="187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70"/>
      <c r="V261" s="23">
        <f>U261*E261</f>
        <v>0</v>
      </c>
      <c r="W261" s="23">
        <f>U261*F261</f>
        <v>0</v>
      </c>
      <c r="X261" s="23">
        <f>V261+W261</f>
        <v>0</v>
      </c>
      <c r="Y261" s="23"/>
      <c r="Z261" s="23"/>
      <c r="AA261" s="69"/>
      <c r="AB261" s="23"/>
      <c r="AC261" s="23"/>
      <c r="AD261" s="70"/>
      <c r="AE261" s="23"/>
      <c r="AF261" s="23"/>
      <c r="AG261" s="69"/>
      <c r="AH261" s="69"/>
      <c r="AI261" s="23"/>
      <c r="AJ261" s="23"/>
      <c r="AK261" s="23"/>
      <c r="AL261" s="23"/>
      <c r="AM261" s="69"/>
      <c r="AN261" s="69"/>
      <c r="AO261" s="23"/>
      <c r="AP261" s="23"/>
      <c r="AQ261" s="69"/>
      <c r="AR261" s="69"/>
      <c r="AS261" s="23"/>
      <c r="AT261" s="23"/>
      <c r="AU261" s="69"/>
      <c r="AV261" s="69"/>
      <c r="AW261" s="23"/>
      <c r="AX261" s="23"/>
      <c r="AY261" s="69"/>
      <c r="AZ261" s="69"/>
      <c r="BA261" s="23"/>
      <c r="BB261" s="23"/>
      <c r="BC261" s="69"/>
      <c r="BD261" s="69"/>
      <c r="BE261" s="23"/>
      <c r="BF261" s="23"/>
      <c r="BG261" s="69"/>
      <c r="BH261" s="69"/>
      <c r="BI261" s="23"/>
      <c r="BJ261" s="23"/>
      <c r="BK261" s="69"/>
      <c r="BL261" s="69"/>
      <c r="BM261" s="23"/>
      <c r="BN261" s="23"/>
      <c r="BO261" s="69"/>
      <c r="BP261" s="69"/>
      <c r="BQ261" s="23"/>
      <c r="BR261" s="23"/>
      <c r="BS261" s="69"/>
      <c r="BT261" s="69"/>
      <c r="BU261" s="23"/>
      <c r="BV261" s="23"/>
      <c r="BW261" s="23"/>
      <c r="BX261" s="23"/>
      <c r="BY261" s="21" t="e">
        <f>#REF!-Y261-AE261-AK261-BW261</f>
        <v>#REF!</v>
      </c>
      <c r="BZ261" s="22">
        <f t="shared" si="71"/>
        <v>14250</v>
      </c>
      <c r="CA261" s="23">
        <f t="shared" si="71"/>
        <v>156750</v>
      </c>
      <c r="CB261" s="23">
        <f>I261-Z261-AF261-AL261-BX261</f>
        <v>171000</v>
      </c>
      <c r="CC261" s="21"/>
      <c r="CD261" s="22"/>
      <c r="CE261" s="23"/>
      <c r="CF261" s="23"/>
    </row>
    <row r="262" spans="1:84" s="4" customFormat="1" ht="30.05" customHeight="1" x14ac:dyDescent="0.3">
      <c r="A262" s="54" t="s">
        <v>81</v>
      </c>
      <c r="B262" s="57" t="s">
        <v>210</v>
      </c>
      <c r="C262" s="42" t="s">
        <v>105</v>
      </c>
      <c r="D262" s="169">
        <v>1</v>
      </c>
      <c r="E262" s="123">
        <v>200000</v>
      </c>
      <c r="F262" s="123">
        <v>400000</v>
      </c>
      <c r="G262" s="123">
        <f>ROUND(D262*E262,0)</f>
        <v>200000</v>
      </c>
      <c r="H262" s="123">
        <f>ROUND(D262*F262,0)</f>
        <v>400000</v>
      </c>
      <c r="I262" s="123">
        <f>SUM(G262:H262)</f>
        <v>600000</v>
      </c>
      <c r="J262" s="208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23"/>
      <c r="W262" s="23"/>
      <c r="X262" s="23"/>
      <c r="Y262" s="23"/>
      <c r="Z262" s="23"/>
      <c r="AA262" s="80"/>
      <c r="AB262" s="80"/>
      <c r="AC262" s="80"/>
      <c r="AD262" s="80"/>
      <c r="AE262" s="23"/>
      <c r="AF262" s="23"/>
      <c r="AG262" s="80"/>
      <c r="AH262" s="80"/>
      <c r="AI262" s="80"/>
      <c r="AJ262" s="80"/>
      <c r="AK262" s="23"/>
      <c r="AL262" s="23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23"/>
      <c r="BX262" s="23"/>
      <c r="BY262" s="21"/>
      <c r="BZ262" s="22"/>
      <c r="CA262" s="23"/>
      <c r="CB262" s="23"/>
      <c r="CC262" s="21"/>
      <c r="CD262" s="22"/>
      <c r="CE262" s="23"/>
      <c r="CF262" s="23"/>
    </row>
    <row r="263" spans="1:84" s="3" customFormat="1" ht="30.05" customHeight="1" x14ac:dyDescent="0.3">
      <c r="A263" s="43"/>
      <c r="B263" s="36" t="s">
        <v>305</v>
      </c>
      <c r="C263" s="43"/>
      <c r="D263" s="259"/>
      <c r="E263" s="260"/>
      <c r="F263" s="260"/>
      <c r="G263" s="260">
        <f>SUM(G261:G262)</f>
        <v>214250</v>
      </c>
      <c r="H263" s="260">
        <f>SUM(H261:H262)</f>
        <v>556750</v>
      </c>
      <c r="I263" s="261">
        <f>SUM(G263:H263)</f>
        <v>771000</v>
      </c>
      <c r="J263" s="205">
        <f>I263</f>
        <v>771000</v>
      </c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64"/>
      <c r="V263" s="18">
        <f t="shared" ref="V263:V268" si="72">U263*E263</f>
        <v>0</v>
      </c>
      <c r="W263" s="18">
        <f t="shared" ref="W263:W268" si="73">U263*F263</f>
        <v>0</v>
      </c>
      <c r="X263" s="18">
        <f t="shared" ref="X263:X268" si="74">V263+W263</f>
        <v>0</v>
      </c>
      <c r="Y263" s="18"/>
      <c r="Z263" s="18"/>
      <c r="AA263" s="64"/>
      <c r="AB263" s="64"/>
      <c r="AC263" s="64"/>
      <c r="AD263" s="64"/>
      <c r="AE263" s="18"/>
      <c r="AF263" s="18"/>
      <c r="AG263" s="64"/>
      <c r="AH263" s="64"/>
      <c r="AI263" s="64"/>
      <c r="AJ263" s="64"/>
      <c r="AK263" s="18"/>
      <c r="AL263" s="18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18"/>
      <c r="BX263" s="18"/>
      <c r="BY263" s="19" t="e">
        <f>#REF!-Y263-AE263-AK263-BW263</f>
        <v>#REF!</v>
      </c>
      <c r="BZ263" s="20">
        <f t="shared" ref="BZ263:CA274" si="75">G263-V263-AB263-AH263-AN263-AR263-AV263-AZ263-BD263-BH263-BL263-BP263-BT263</f>
        <v>214250</v>
      </c>
      <c r="CA263" s="18">
        <f t="shared" si="75"/>
        <v>556750</v>
      </c>
      <c r="CB263" s="18">
        <f t="shared" ref="CB263:CB274" si="76">I263-Z263-AF263-AL263-BX263</f>
        <v>771000</v>
      </c>
      <c r="CC263" s="19"/>
      <c r="CD263" s="20"/>
      <c r="CE263" s="18"/>
      <c r="CF263" s="18"/>
    </row>
    <row r="264" spans="1:84" s="4" customFormat="1" ht="30.05" customHeight="1" x14ac:dyDescent="0.3">
      <c r="A264" s="52" t="s">
        <v>245</v>
      </c>
      <c r="B264" s="37" t="s">
        <v>62</v>
      </c>
      <c r="C264" s="166"/>
      <c r="D264" s="256"/>
      <c r="E264" s="257"/>
      <c r="F264" s="257"/>
      <c r="G264" s="257"/>
      <c r="H264" s="257"/>
      <c r="I264" s="257"/>
      <c r="J264" s="208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23">
        <f t="shared" si="72"/>
        <v>0</v>
      </c>
      <c r="W264" s="23">
        <f t="shared" si="73"/>
        <v>0</v>
      </c>
      <c r="X264" s="23">
        <f t="shared" si="74"/>
        <v>0</v>
      </c>
      <c r="Y264" s="23"/>
      <c r="Z264" s="23"/>
      <c r="AA264" s="79"/>
      <c r="AB264" s="79"/>
      <c r="AC264" s="79"/>
      <c r="AD264" s="79"/>
      <c r="AE264" s="23"/>
      <c r="AF264" s="23"/>
      <c r="AG264" s="79"/>
      <c r="AH264" s="79"/>
      <c r="AI264" s="79"/>
      <c r="AJ264" s="79"/>
      <c r="AK264" s="23"/>
      <c r="AL264" s="23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23"/>
      <c r="BX264" s="23"/>
      <c r="BY264" s="21" t="e">
        <f>#REF!-Y264-AE264-AK264-BW264</f>
        <v>#REF!</v>
      </c>
      <c r="BZ264" s="22">
        <f t="shared" si="75"/>
        <v>0</v>
      </c>
      <c r="CA264" s="23">
        <f t="shared" si="75"/>
        <v>0</v>
      </c>
      <c r="CB264" s="23">
        <f t="shared" si="76"/>
        <v>0</v>
      </c>
      <c r="CC264" s="21"/>
      <c r="CD264" s="22"/>
      <c r="CE264" s="23"/>
      <c r="CF264" s="23"/>
    </row>
    <row r="265" spans="1:84" s="4" customFormat="1" ht="39.799999999999997" customHeight="1" x14ac:dyDescent="0.3">
      <c r="A265" s="54" t="s">
        <v>246</v>
      </c>
      <c r="B265" s="41" t="s">
        <v>64</v>
      </c>
      <c r="C265" s="42" t="s">
        <v>9</v>
      </c>
      <c r="D265" s="169">
        <v>2</v>
      </c>
      <c r="E265" s="125"/>
      <c r="F265" s="125">
        <v>3623000</v>
      </c>
      <c r="G265" s="125"/>
      <c r="H265" s="125">
        <f>D265*F265</f>
        <v>7246000</v>
      </c>
      <c r="I265" s="125">
        <f>H265</f>
        <v>7246000</v>
      </c>
      <c r="J265" s="187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70"/>
      <c r="V265" s="23">
        <f t="shared" si="72"/>
        <v>0</v>
      </c>
      <c r="W265" s="23">
        <f t="shared" si="73"/>
        <v>0</v>
      </c>
      <c r="X265" s="23">
        <f t="shared" si="74"/>
        <v>0</v>
      </c>
      <c r="Y265" s="23"/>
      <c r="Z265" s="23"/>
      <c r="AA265" s="69"/>
      <c r="AB265" s="23"/>
      <c r="AC265" s="23"/>
      <c r="AD265" s="70"/>
      <c r="AE265" s="23"/>
      <c r="AF265" s="23"/>
      <c r="AG265" s="69"/>
      <c r="AH265" s="69"/>
      <c r="AI265" s="23"/>
      <c r="AJ265" s="23"/>
      <c r="AK265" s="23"/>
      <c r="AL265" s="23"/>
      <c r="AM265" s="69"/>
      <c r="AN265" s="69"/>
      <c r="AO265" s="23"/>
      <c r="AP265" s="23"/>
      <c r="AQ265" s="69"/>
      <c r="AR265" s="69"/>
      <c r="AS265" s="23"/>
      <c r="AT265" s="23"/>
      <c r="AU265" s="69"/>
      <c r="AV265" s="69"/>
      <c r="AW265" s="23"/>
      <c r="AX265" s="23"/>
      <c r="AY265" s="69"/>
      <c r="AZ265" s="69"/>
      <c r="BA265" s="23"/>
      <c r="BB265" s="23"/>
      <c r="BC265" s="69"/>
      <c r="BD265" s="69"/>
      <c r="BE265" s="23"/>
      <c r="BF265" s="23"/>
      <c r="BG265" s="69"/>
      <c r="BH265" s="69"/>
      <c r="BI265" s="23"/>
      <c r="BJ265" s="23"/>
      <c r="BK265" s="69"/>
      <c r="BL265" s="69"/>
      <c r="BM265" s="23"/>
      <c r="BN265" s="23"/>
      <c r="BO265" s="69"/>
      <c r="BP265" s="69"/>
      <c r="BQ265" s="23"/>
      <c r="BR265" s="23"/>
      <c r="BS265" s="69"/>
      <c r="BT265" s="69"/>
      <c r="BU265" s="23"/>
      <c r="BV265" s="23"/>
      <c r="BW265" s="23"/>
      <c r="BX265" s="23"/>
      <c r="BY265" s="21" t="e">
        <f>#REF!-Y265-AE265-AK265-BW265</f>
        <v>#REF!</v>
      </c>
      <c r="BZ265" s="22">
        <f t="shared" si="75"/>
        <v>0</v>
      </c>
      <c r="CA265" s="23">
        <f t="shared" si="75"/>
        <v>7246000</v>
      </c>
      <c r="CB265" s="23">
        <f t="shared" si="76"/>
        <v>7246000</v>
      </c>
      <c r="CC265" s="21"/>
      <c r="CD265" s="22"/>
      <c r="CE265" s="23"/>
      <c r="CF265" s="23"/>
    </row>
    <row r="266" spans="1:84" s="4" customFormat="1" ht="39.799999999999997" customHeight="1" x14ac:dyDescent="0.3">
      <c r="A266" s="54" t="s">
        <v>247</v>
      </c>
      <c r="B266" s="41" t="s">
        <v>66</v>
      </c>
      <c r="C266" s="42" t="s">
        <v>9</v>
      </c>
      <c r="D266" s="169">
        <v>1</v>
      </c>
      <c r="E266" s="125"/>
      <c r="F266" s="125">
        <v>3592000</v>
      </c>
      <c r="G266" s="125"/>
      <c r="H266" s="125">
        <f>D266*F266</f>
        <v>3592000</v>
      </c>
      <c r="I266" s="125">
        <f>F266</f>
        <v>3592000</v>
      </c>
      <c r="J266" s="187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70"/>
      <c r="V266" s="23">
        <f t="shared" si="72"/>
        <v>0</v>
      </c>
      <c r="W266" s="23">
        <f t="shared" si="73"/>
        <v>0</v>
      </c>
      <c r="X266" s="23">
        <f t="shared" si="74"/>
        <v>0</v>
      </c>
      <c r="Y266" s="23"/>
      <c r="Z266" s="23"/>
      <c r="AA266" s="69"/>
      <c r="AB266" s="23"/>
      <c r="AC266" s="23"/>
      <c r="AD266" s="70"/>
      <c r="AE266" s="23"/>
      <c r="AF266" s="23"/>
      <c r="AG266" s="69"/>
      <c r="AH266" s="69"/>
      <c r="AI266" s="23"/>
      <c r="AJ266" s="23"/>
      <c r="AK266" s="23"/>
      <c r="AL266" s="23"/>
      <c r="AM266" s="69"/>
      <c r="AN266" s="69"/>
      <c r="AO266" s="23"/>
      <c r="AP266" s="23"/>
      <c r="AQ266" s="69"/>
      <c r="AR266" s="69"/>
      <c r="AS266" s="23"/>
      <c r="AT266" s="23"/>
      <c r="AU266" s="69"/>
      <c r="AV266" s="69"/>
      <c r="AW266" s="23"/>
      <c r="AX266" s="23"/>
      <c r="AY266" s="69"/>
      <c r="AZ266" s="69"/>
      <c r="BA266" s="23"/>
      <c r="BB266" s="23"/>
      <c r="BC266" s="69"/>
      <c r="BD266" s="69"/>
      <c r="BE266" s="23"/>
      <c r="BF266" s="23"/>
      <c r="BG266" s="69"/>
      <c r="BH266" s="69"/>
      <c r="BI266" s="23"/>
      <c r="BJ266" s="23"/>
      <c r="BK266" s="69"/>
      <c r="BL266" s="69"/>
      <c r="BM266" s="23"/>
      <c r="BN266" s="23"/>
      <c r="BO266" s="69"/>
      <c r="BP266" s="69"/>
      <c r="BQ266" s="23"/>
      <c r="BR266" s="23"/>
      <c r="BS266" s="69"/>
      <c r="BT266" s="69"/>
      <c r="BU266" s="23"/>
      <c r="BV266" s="23"/>
      <c r="BW266" s="23"/>
      <c r="BX266" s="23"/>
      <c r="BY266" s="21" t="e">
        <f>#REF!-Y266-AE266-AK266-BW266</f>
        <v>#REF!</v>
      </c>
      <c r="BZ266" s="22">
        <f t="shared" si="75"/>
        <v>0</v>
      </c>
      <c r="CA266" s="23">
        <f t="shared" si="75"/>
        <v>3592000</v>
      </c>
      <c r="CB266" s="23">
        <f t="shared" si="76"/>
        <v>3592000</v>
      </c>
      <c r="CC266" s="21"/>
      <c r="CD266" s="22"/>
      <c r="CE266" s="23"/>
      <c r="CF266" s="23"/>
    </row>
    <row r="267" spans="1:84" s="3" customFormat="1" ht="30.05" customHeight="1" x14ac:dyDescent="0.3">
      <c r="A267" s="43"/>
      <c r="B267" s="36" t="s">
        <v>306</v>
      </c>
      <c r="C267" s="43"/>
      <c r="D267" s="259"/>
      <c r="E267" s="260"/>
      <c r="F267" s="260"/>
      <c r="G267" s="260"/>
      <c r="H267" s="260">
        <f>SUM(H265:H266)</f>
        <v>10838000</v>
      </c>
      <c r="I267" s="261">
        <f>I265+I266</f>
        <v>10838000</v>
      </c>
      <c r="J267" s="205">
        <f>I267</f>
        <v>10838000</v>
      </c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64"/>
      <c r="V267" s="18">
        <f t="shared" si="72"/>
        <v>0</v>
      </c>
      <c r="W267" s="18">
        <f t="shared" si="73"/>
        <v>0</v>
      </c>
      <c r="X267" s="18">
        <f t="shared" si="74"/>
        <v>0</v>
      </c>
      <c r="Y267" s="18"/>
      <c r="Z267" s="18"/>
      <c r="AA267" s="64"/>
      <c r="AB267" s="64"/>
      <c r="AC267" s="64"/>
      <c r="AD267" s="64"/>
      <c r="AE267" s="18"/>
      <c r="AF267" s="18"/>
      <c r="AG267" s="64"/>
      <c r="AH267" s="64"/>
      <c r="AI267" s="64"/>
      <c r="AJ267" s="64"/>
      <c r="AK267" s="18"/>
      <c r="AL267" s="18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18"/>
      <c r="BX267" s="18"/>
      <c r="BY267" s="19" t="e">
        <f>#REF!-Y267-AE267-AK267-BW267</f>
        <v>#REF!</v>
      </c>
      <c r="BZ267" s="20">
        <f t="shared" si="75"/>
        <v>0</v>
      </c>
      <c r="CA267" s="18">
        <f t="shared" si="75"/>
        <v>10838000</v>
      </c>
      <c r="CB267" s="18">
        <f t="shared" si="76"/>
        <v>10838000</v>
      </c>
      <c r="CC267" s="19"/>
      <c r="CD267" s="20"/>
      <c r="CE267" s="18"/>
      <c r="CF267" s="18"/>
    </row>
    <row r="268" spans="1:84" s="81" customFormat="1" ht="30.05" customHeight="1" x14ac:dyDescent="0.3">
      <c r="A268" s="52" t="s">
        <v>307</v>
      </c>
      <c r="B268" s="37" t="s">
        <v>77</v>
      </c>
      <c r="C268" s="166"/>
      <c r="D268" s="256"/>
      <c r="E268" s="257"/>
      <c r="F268" s="257"/>
      <c r="G268" s="257"/>
      <c r="H268" s="257"/>
      <c r="I268" s="257"/>
      <c r="J268" s="210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23">
        <f t="shared" si="72"/>
        <v>0</v>
      </c>
      <c r="W268" s="23">
        <f t="shared" si="73"/>
        <v>0</v>
      </c>
      <c r="X268" s="23">
        <f t="shared" si="74"/>
        <v>0</v>
      </c>
      <c r="Y268" s="23"/>
      <c r="Z268" s="23"/>
      <c r="AA268" s="82"/>
      <c r="AB268" s="82"/>
      <c r="AC268" s="82"/>
      <c r="AD268" s="82"/>
      <c r="AE268" s="23"/>
      <c r="AF268" s="23"/>
      <c r="AG268" s="82"/>
      <c r="AH268" s="82"/>
      <c r="AI268" s="82"/>
      <c r="AJ268" s="82"/>
      <c r="AK268" s="23"/>
      <c r="AL268" s="23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23"/>
      <c r="BX268" s="23"/>
      <c r="BY268" s="21" t="e">
        <f>#REF!-Y268-AE268-AK268-BW268</f>
        <v>#REF!</v>
      </c>
      <c r="BZ268" s="22">
        <f t="shared" si="75"/>
        <v>0</v>
      </c>
      <c r="CA268" s="23">
        <f t="shared" si="75"/>
        <v>0</v>
      </c>
      <c r="CB268" s="23">
        <f t="shared" si="76"/>
        <v>0</v>
      </c>
      <c r="CC268" s="21"/>
      <c r="CD268" s="22"/>
      <c r="CE268" s="23"/>
      <c r="CF268" s="23"/>
    </row>
    <row r="269" spans="1:84" s="81" customFormat="1" ht="30.05" customHeight="1" x14ac:dyDescent="0.3">
      <c r="A269" s="54" t="s">
        <v>308</v>
      </c>
      <c r="B269" s="41" t="s">
        <v>79</v>
      </c>
      <c r="C269" s="42" t="s">
        <v>80</v>
      </c>
      <c r="D269" s="169">
        <v>1</v>
      </c>
      <c r="E269" s="163"/>
      <c r="F269" s="125">
        <f>12000000+1100000</f>
        <v>13100000</v>
      </c>
      <c r="G269" s="125"/>
      <c r="H269" s="125">
        <f>D269*F269</f>
        <v>13100000</v>
      </c>
      <c r="I269" s="125">
        <f>SUM(H269)</f>
        <v>13100000</v>
      </c>
      <c r="J269" s="211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5">
        <v>0.1</v>
      </c>
      <c r="V269" s="23">
        <f>U269*F269</f>
        <v>1310000</v>
      </c>
      <c r="W269" s="23" t="e">
        <f>U269*#REF!</f>
        <v>#REF!</v>
      </c>
      <c r="X269" s="23">
        <f>U269*I269</f>
        <v>1310000</v>
      </c>
      <c r="Y269" s="23"/>
      <c r="Z269" s="23"/>
      <c r="AA269" s="86">
        <v>3.7499999999999999E-2</v>
      </c>
      <c r="AB269" s="84"/>
      <c r="AC269" s="84"/>
      <c r="AD269" s="85">
        <v>457500</v>
      </c>
      <c r="AE269" s="23"/>
      <c r="AF269" s="23"/>
      <c r="AG269" s="83"/>
      <c r="AH269" s="83"/>
      <c r="AI269" s="84"/>
      <c r="AJ269" s="84"/>
      <c r="AK269" s="23"/>
      <c r="AL269" s="23"/>
      <c r="AM269" s="83"/>
      <c r="AN269" s="83"/>
      <c r="AO269" s="84"/>
      <c r="AP269" s="84"/>
      <c r="AQ269" s="83"/>
      <c r="AR269" s="83"/>
      <c r="AS269" s="84"/>
      <c r="AT269" s="84"/>
      <c r="AU269" s="83"/>
      <c r="AV269" s="83"/>
      <c r="AW269" s="84"/>
      <c r="AX269" s="84"/>
      <c r="AY269" s="83"/>
      <c r="AZ269" s="83"/>
      <c r="BA269" s="84"/>
      <c r="BB269" s="84"/>
      <c r="BC269" s="83"/>
      <c r="BD269" s="83"/>
      <c r="BE269" s="84"/>
      <c r="BF269" s="84"/>
      <c r="BG269" s="83"/>
      <c r="BH269" s="83"/>
      <c r="BI269" s="84"/>
      <c r="BJ269" s="84"/>
      <c r="BK269" s="83"/>
      <c r="BL269" s="83"/>
      <c r="BM269" s="84"/>
      <c r="BN269" s="84"/>
      <c r="BO269" s="83"/>
      <c r="BP269" s="83"/>
      <c r="BQ269" s="84"/>
      <c r="BR269" s="84"/>
      <c r="BS269" s="83"/>
      <c r="BT269" s="83"/>
      <c r="BU269" s="84"/>
      <c r="BV269" s="84"/>
      <c r="BW269" s="23"/>
      <c r="BX269" s="23"/>
      <c r="BY269" s="21" t="e">
        <f>#REF!-Y269-AE269-AK269-BW269</f>
        <v>#REF!</v>
      </c>
      <c r="BZ269" s="22">
        <f t="shared" si="75"/>
        <v>-1310000</v>
      </c>
      <c r="CA269" s="23" t="e">
        <f t="shared" si="75"/>
        <v>#REF!</v>
      </c>
      <c r="CB269" s="23">
        <f t="shared" si="76"/>
        <v>13100000</v>
      </c>
      <c r="CC269" s="21"/>
      <c r="CD269" s="22"/>
      <c r="CE269" s="23"/>
      <c r="CF269" s="23"/>
    </row>
    <row r="270" spans="1:84" s="81" customFormat="1" ht="30.05" customHeight="1" x14ac:dyDescent="0.3">
      <c r="A270" s="54" t="s">
        <v>309</v>
      </c>
      <c r="B270" s="41" t="s">
        <v>82</v>
      </c>
      <c r="C270" s="42" t="s">
        <v>80</v>
      </c>
      <c r="D270" s="169">
        <v>1</v>
      </c>
      <c r="E270" s="163"/>
      <c r="F270" s="125">
        <v>18226000</v>
      </c>
      <c r="G270" s="125"/>
      <c r="H270" s="125">
        <f>D270*F270</f>
        <v>18226000</v>
      </c>
      <c r="I270" s="125">
        <f>SUM(H270)</f>
        <v>18226000</v>
      </c>
      <c r="J270" s="212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5"/>
      <c r="V270" s="23">
        <f>U270*F270</f>
        <v>0</v>
      </c>
      <c r="W270" s="23" t="e">
        <f>U270*#REF!</f>
        <v>#REF!</v>
      </c>
      <c r="X270" s="23">
        <f>U270*I270</f>
        <v>0</v>
      </c>
      <c r="Y270" s="23"/>
      <c r="Z270" s="23"/>
      <c r="AA270" s="86">
        <f>AD270/I270</f>
        <v>3.6004608800614506E-2</v>
      </c>
      <c r="AB270" s="84"/>
      <c r="AC270" s="84"/>
      <c r="AD270" s="85">
        <v>656220</v>
      </c>
      <c r="AE270" s="23"/>
      <c r="AF270" s="23"/>
      <c r="AG270" s="86"/>
      <c r="AH270" s="86"/>
      <c r="AI270" s="84"/>
      <c r="AJ270" s="84"/>
      <c r="AK270" s="23"/>
      <c r="AL270" s="23"/>
      <c r="AM270" s="86">
        <v>0.53400000000000003</v>
      </c>
      <c r="AN270" s="86"/>
      <c r="AO270" s="84" t="e">
        <f>AM270*#REF!</f>
        <v>#REF!</v>
      </c>
      <c r="AP270" s="84" t="e">
        <f>AN270+AO270</f>
        <v>#REF!</v>
      </c>
      <c r="AQ270" s="86"/>
      <c r="AR270" s="86"/>
      <c r="AS270" s="84"/>
      <c r="AT270" s="84"/>
      <c r="AU270" s="86"/>
      <c r="AV270" s="86"/>
      <c r="AW270" s="84"/>
      <c r="AX270" s="84"/>
      <c r="AY270" s="86"/>
      <c r="AZ270" s="86"/>
      <c r="BA270" s="84"/>
      <c r="BB270" s="84"/>
      <c r="BC270" s="86"/>
      <c r="BD270" s="86"/>
      <c r="BE270" s="84"/>
      <c r="BF270" s="84"/>
      <c r="BG270" s="86"/>
      <c r="BH270" s="86"/>
      <c r="BI270" s="84"/>
      <c r="BJ270" s="84"/>
      <c r="BK270" s="86"/>
      <c r="BL270" s="86"/>
      <c r="BM270" s="84"/>
      <c r="BN270" s="84"/>
      <c r="BO270" s="86"/>
      <c r="BP270" s="86"/>
      <c r="BQ270" s="84"/>
      <c r="BR270" s="84"/>
      <c r="BS270" s="86"/>
      <c r="BT270" s="86"/>
      <c r="BU270" s="84"/>
      <c r="BV270" s="84"/>
      <c r="BW270" s="23"/>
      <c r="BX270" s="23"/>
      <c r="BY270" s="21" t="e">
        <f>#REF!-Y270-AE270-AK270-BW270</f>
        <v>#REF!</v>
      </c>
      <c r="BZ270" s="22">
        <f t="shared" si="75"/>
        <v>0</v>
      </c>
      <c r="CA270" s="23" t="e">
        <f t="shared" si="75"/>
        <v>#REF!</v>
      </c>
      <c r="CB270" s="23">
        <f t="shared" si="76"/>
        <v>18226000</v>
      </c>
      <c r="CC270" s="21"/>
      <c r="CD270" s="22"/>
      <c r="CE270" s="23"/>
      <c r="CF270" s="23"/>
    </row>
    <row r="271" spans="1:84" s="81" customFormat="1" ht="30.05" customHeight="1" x14ac:dyDescent="0.3">
      <c r="A271" s="54" t="s">
        <v>310</v>
      </c>
      <c r="B271" s="41" t="s">
        <v>83</v>
      </c>
      <c r="C271" s="42" t="s">
        <v>80</v>
      </c>
      <c r="D271" s="169">
        <v>1</v>
      </c>
      <c r="E271" s="163"/>
      <c r="F271" s="125">
        <f>9300000+700000</f>
        <v>10000000</v>
      </c>
      <c r="G271" s="125"/>
      <c r="H271" s="125">
        <f>D271*F271</f>
        <v>10000000</v>
      </c>
      <c r="I271" s="125">
        <f>SUM(H271)</f>
        <v>10000000</v>
      </c>
      <c r="J271" s="211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5"/>
      <c r="V271" s="23">
        <f>U271*F271</f>
        <v>0</v>
      </c>
      <c r="W271" s="23" t="e">
        <f>U271*#REF!</f>
        <v>#REF!</v>
      </c>
      <c r="X271" s="23">
        <f>U271*I271</f>
        <v>0</v>
      </c>
      <c r="Y271" s="23"/>
      <c r="Z271" s="23"/>
      <c r="AA271" s="86"/>
      <c r="AB271" s="84"/>
      <c r="AC271" s="84"/>
      <c r="AD271" s="85"/>
      <c r="AE271" s="23"/>
      <c r="AF271" s="23"/>
      <c r="AG271" s="86"/>
      <c r="AH271" s="86"/>
      <c r="AI271" s="84"/>
      <c r="AJ271" s="84"/>
      <c r="AK271" s="23"/>
      <c r="AL271" s="23"/>
      <c r="AM271" s="86">
        <v>0.14549999999999999</v>
      </c>
      <c r="AN271" s="86"/>
      <c r="AO271" s="84" t="e">
        <f>AM271*#REF!</f>
        <v>#REF!</v>
      </c>
      <c r="AP271" s="84" t="e">
        <f>AN271+AO271</f>
        <v>#REF!</v>
      </c>
      <c r="AQ271" s="86"/>
      <c r="AR271" s="86"/>
      <c r="AS271" s="84"/>
      <c r="AT271" s="84"/>
      <c r="AU271" s="86"/>
      <c r="AV271" s="86"/>
      <c r="AW271" s="84"/>
      <c r="AX271" s="84"/>
      <c r="AY271" s="86"/>
      <c r="AZ271" s="86"/>
      <c r="BA271" s="84"/>
      <c r="BB271" s="84"/>
      <c r="BC271" s="86"/>
      <c r="BD271" s="86"/>
      <c r="BE271" s="84"/>
      <c r="BF271" s="84"/>
      <c r="BG271" s="86"/>
      <c r="BH271" s="86"/>
      <c r="BI271" s="84"/>
      <c r="BJ271" s="84"/>
      <c r="BK271" s="86"/>
      <c r="BL271" s="86"/>
      <c r="BM271" s="84"/>
      <c r="BN271" s="84"/>
      <c r="BO271" s="86"/>
      <c r="BP271" s="86"/>
      <c r="BQ271" s="84"/>
      <c r="BR271" s="84"/>
      <c r="BS271" s="86"/>
      <c r="BT271" s="86"/>
      <c r="BU271" s="84"/>
      <c r="BV271" s="84"/>
      <c r="BW271" s="23"/>
      <c r="BX271" s="23"/>
      <c r="BY271" s="21" t="e">
        <f>#REF!-Y271-AE271-AK271-BW271</f>
        <v>#REF!</v>
      </c>
      <c r="BZ271" s="22">
        <f t="shared" si="75"/>
        <v>0</v>
      </c>
      <c r="CA271" s="23" t="e">
        <f t="shared" si="75"/>
        <v>#REF!</v>
      </c>
      <c r="CB271" s="23">
        <f t="shared" si="76"/>
        <v>10000000</v>
      </c>
      <c r="CC271" s="21"/>
      <c r="CD271" s="22"/>
      <c r="CE271" s="23"/>
      <c r="CF271" s="23"/>
    </row>
    <row r="272" spans="1:84" s="81" customFormat="1" ht="30.05" customHeight="1" x14ac:dyDescent="0.3">
      <c r="A272" s="54" t="s">
        <v>311</v>
      </c>
      <c r="B272" s="41" t="s">
        <v>84</v>
      </c>
      <c r="C272" s="42" t="s">
        <v>80</v>
      </c>
      <c r="D272" s="169">
        <v>1</v>
      </c>
      <c r="E272" s="163"/>
      <c r="F272" s="125">
        <f>4341009+300000</f>
        <v>4641009</v>
      </c>
      <c r="G272" s="125"/>
      <c r="H272" s="125">
        <f>D272*F272</f>
        <v>4641009</v>
      </c>
      <c r="I272" s="125">
        <f>SUM(H272)</f>
        <v>4641009</v>
      </c>
      <c r="J272" s="211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5"/>
      <c r="V272" s="23">
        <f>U272*F272</f>
        <v>0</v>
      </c>
      <c r="W272" s="23" t="e">
        <f>U272*#REF!</f>
        <v>#REF!</v>
      </c>
      <c r="X272" s="23">
        <f>U272*I272</f>
        <v>0</v>
      </c>
      <c r="Y272" s="23"/>
      <c r="Z272" s="23"/>
      <c r="AA272" s="86"/>
      <c r="AB272" s="84"/>
      <c r="AC272" s="84"/>
      <c r="AD272" s="85"/>
      <c r="AE272" s="23"/>
      <c r="AF272" s="23"/>
      <c r="AG272" s="86"/>
      <c r="AH272" s="86"/>
      <c r="AI272" s="84"/>
      <c r="AJ272" s="84"/>
      <c r="AK272" s="23"/>
      <c r="AL272" s="23"/>
      <c r="AM272" s="86"/>
      <c r="AN272" s="86"/>
      <c r="AO272" s="84" t="e">
        <f>AM272*#REF!</f>
        <v>#REF!</v>
      </c>
      <c r="AP272" s="84" t="e">
        <f>AN272+AO272</f>
        <v>#REF!</v>
      </c>
      <c r="AQ272" s="86"/>
      <c r="AR272" s="86"/>
      <c r="AS272" s="84"/>
      <c r="AT272" s="84"/>
      <c r="AU272" s="86"/>
      <c r="AV272" s="86"/>
      <c r="AW272" s="84"/>
      <c r="AX272" s="84"/>
      <c r="AY272" s="86"/>
      <c r="AZ272" s="86"/>
      <c r="BA272" s="84"/>
      <c r="BB272" s="84"/>
      <c r="BC272" s="86"/>
      <c r="BD272" s="86"/>
      <c r="BE272" s="84"/>
      <c r="BF272" s="84"/>
      <c r="BG272" s="86"/>
      <c r="BH272" s="86"/>
      <c r="BI272" s="84"/>
      <c r="BJ272" s="84"/>
      <c r="BK272" s="86"/>
      <c r="BL272" s="86"/>
      <c r="BM272" s="84"/>
      <c r="BN272" s="84"/>
      <c r="BO272" s="86"/>
      <c r="BP272" s="86"/>
      <c r="BQ272" s="84"/>
      <c r="BR272" s="84"/>
      <c r="BS272" s="86"/>
      <c r="BT272" s="86"/>
      <c r="BU272" s="84"/>
      <c r="BV272" s="84"/>
      <c r="BW272" s="23"/>
      <c r="BX272" s="23"/>
      <c r="BY272" s="21" t="e">
        <f>#REF!-Y272-AE272-AK272-BW272</f>
        <v>#REF!</v>
      </c>
      <c r="BZ272" s="22">
        <f t="shared" si="75"/>
        <v>0</v>
      </c>
      <c r="CA272" s="23" t="e">
        <f t="shared" si="75"/>
        <v>#REF!</v>
      </c>
      <c r="CB272" s="23">
        <f t="shared" si="76"/>
        <v>4641009</v>
      </c>
      <c r="CC272" s="21"/>
      <c r="CD272" s="22"/>
      <c r="CE272" s="23"/>
      <c r="CF272" s="23"/>
    </row>
    <row r="273" spans="1:84" s="81" customFormat="1" ht="30.05" customHeight="1" x14ac:dyDescent="0.3">
      <c r="A273" s="54" t="s">
        <v>312</v>
      </c>
      <c r="B273" s="41" t="s">
        <v>85</v>
      </c>
      <c r="C273" s="42" t="s">
        <v>80</v>
      </c>
      <c r="D273" s="169">
        <v>1</v>
      </c>
      <c r="E273" s="163"/>
      <c r="F273" s="125">
        <f>11948991+2000000</f>
        <v>13948991</v>
      </c>
      <c r="G273" s="125"/>
      <c r="H273" s="125">
        <f>D273*F273</f>
        <v>13948991</v>
      </c>
      <c r="I273" s="125">
        <f>SUM(H273)</f>
        <v>13948991</v>
      </c>
      <c r="J273" s="211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7">
        <v>5.08643391521197E-2</v>
      </c>
      <c r="V273" s="23">
        <f>U273*F273</f>
        <v>709506.20905386528</v>
      </c>
      <c r="W273" s="23" t="e">
        <f>U273*#REF!</f>
        <v>#REF!</v>
      </c>
      <c r="X273" s="23">
        <v>815864</v>
      </c>
      <c r="Y273" s="23"/>
      <c r="Z273" s="23"/>
      <c r="AA273" s="86">
        <f>AD273/I273</f>
        <v>1.4948751490340771E-2</v>
      </c>
      <c r="AB273" s="84"/>
      <c r="AC273" s="84"/>
      <c r="AD273" s="85">
        <v>208520</v>
      </c>
      <c r="AE273" s="23"/>
      <c r="AF273" s="23"/>
      <c r="AG273" s="88">
        <f>AJ273/16040000</f>
        <v>9.2700000000000005E-2</v>
      </c>
      <c r="AH273" s="86"/>
      <c r="AI273" s="84"/>
      <c r="AJ273" s="84">
        <v>1486908</v>
      </c>
      <c r="AK273" s="23"/>
      <c r="AL273" s="23"/>
      <c r="AM273" s="86"/>
      <c r="AN273" s="86"/>
      <c r="AO273" s="84" t="e">
        <f>AM273*#REF!</f>
        <v>#REF!</v>
      </c>
      <c r="AP273" s="84" t="e">
        <f>AN273+AO273</f>
        <v>#REF!</v>
      </c>
      <c r="AQ273" s="86"/>
      <c r="AR273" s="86"/>
      <c r="AS273" s="84"/>
      <c r="AT273" s="84"/>
      <c r="AU273" s="86"/>
      <c r="AV273" s="86"/>
      <c r="AW273" s="84"/>
      <c r="AX273" s="84"/>
      <c r="AY273" s="86"/>
      <c r="AZ273" s="86"/>
      <c r="BA273" s="84"/>
      <c r="BB273" s="84"/>
      <c r="BC273" s="86"/>
      <c r="BD273" s="86"/>
      <c r="BE273" s="84"/>
      <c r="BF273" s="84"/>
      <c r="BG273" s="86"/>
      <c r="BH273" s="86"/>
      <c r="BI273" s="84"/>
      <c r="BJ273" s="84"/>
      <c r="BK273" s="86"/>
      <c r="BL273" s="86"/>
      <c r="BM273" s="84"/>
      <c r="BN273" s="84"/>
      <c r="BO273" s="86"/>
      <c r="BP273" s="86"/>
      <c r="BQ273" s="84"/>
      <c r="BR273" s="84"/>
      <c r="BS273" s="86"/>
      <c r="BT273" s="86"/>
      <c r="BU273" s="84"/>
      <c r="BV273" s="84"/>
      <c r="BW273" s="23"/>
      <c r="BX273" s="23"/>
      <c r="BY273" s="21" t="e">
        <f>#REF!-Y273-AE273-AK273-BW273</f>
        <v>#REF!</v>
      </c>
      <c r="BZ273" s="22">
        <f t="shared" si="75"/>
        <v>-709506.20905386528</v>
      </c>
      <c r="CA273" s="23" t="e">
        <f t="shared" si="75"/>
        <v>#REF!</v>
      </c>
      <c r="CB273" s="23">
        <f t="shared" si="76"/>
        <v>13948991</v>
      </c>
      <c r="CC273" s="21"/>
      <c r="CD273" s="22"/>
      <c r="CE273" s="23"/>
      <c r="CF273" s="23"/>
    </row>
    <row r="274" spans="1:84" s="68" customFormat="1" ht="30.05" customHeight="1" x14ac:dyDescent="0.3">
      <c r="A274" s="43"/>
      <c r="B274" s="47" t="s">
        <v>313</v>
      </c>
      <c r="C274" s="43"/>
      <c r="D274" s="259"/>
      <c r="E274" s="260"/>
      <c r="F274" s="260"/>
      <c r="G274" s="260"/>
      <c r="H274" s="260">
        <f>SUM(H269:H273)</f>
        <v>59916000</v>
      </c>
      <c r="I274" s="260">
        <f>SUM(I269:I273)</f>
        <v>59916000</v>
      </c>
      <c r="J274" s="213">
        <f>I274</f>
        <v>59916000</v>
      </c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23"/>
      <c r="V274" s="223"/>
      <c r="W274" s="223"/>
      <c r="X274" s="25">
        <f>V274+W274</f>
        <v>0</v>
      </c>
      <c r="Y274" s="25"/>
      <c r="Z274" s="25"/>
      <c r="AA274" s="223"/>
      <c r="AB274" s="223"/>
      <c r="AC274" s="223"/>
      <c r="AD274" s="223"/>
      <c r="AE274" s="25"/>
      <c r="AF274" s="25"/>
      <c r="AG274" s="223"/>
      <c r="AH274" s="223"/>
      <c r="AI274" s="223"/>
      <c r="AJ274" s="223"/>
      <c r="AK274" s="25"/>
      <c r="AL274" s="25"/>
      <c r="AM274" s="223"/>
      <c r="AN274" s="223"/>
      <c r="AO274" s="223"/>
      <c r="AP274" s="223"/>
      <c r="AQ274" s="223"/>
      <c r="AR274" s="223"/>
      <c r="AS274" s="223"/>
      <c r="AT274" s="223"/>
      <c r="AU274" s="223"/>
      <c r="AV274" s="223"/>
      <c r="AW274" s="223"/>
      <c r="AX274" s="223"/>
      <c r="AY274" s="223"/>
      <c r="AZ274" s="223"/>
      <c r="BA274" s="223"/>
      <c r="BB274" s="223"/>
      <c r="BC274" s="223"/>
      <c r="BD274" s="223"/>
      <c r="BE274" s="223"/>
      <c r="BF274" s="223"/>
      <c r="BG274" s="223"/>
      <c r="BH274" s="223"/>
      <c r="BI274" s="223"/>
      <c r="BJ274" s="223"/>
      <c r="BK274" s="223"/>
      <c r="BL274" s="223"/>
      <c r="BM274" s="223"/>
      <c r="BN274" s="223"/>
      <c r="BO274" s="223"/>
      <c r="BP274" s="223"/>
      <c r="BQ274" s="223"/>
      <c r="BR274" s="223"/>
      <c r="BS274" s="223"/>
      <c r="BT274" s="223"/>
      <c r="BU274" s="223"/>
      <c r="BV274" s="223"/>
      <c r="BW274" s="25"/>
      <c r="BX274" s="25"/>
      <c r="BY274" s="61" t="e">
        <f>#REF!-Y274-AE274-AK274-BW274</f>
        <v>#REF!</v>
      </c>
      <c r="BZ274" s="62">
        <f t="shared" si="75"/>
        <v>0</v>
      </c>
      <c r="CA274" s="25">
        <f t="shared" si="75"/>
        <v>59916000</v>
      </c>
      <c r="CB274" s="25">
        <f t="shared" si="76"/>
        <v>59916000</v>
      </c>
      <c r="CC274" s="61"/>
      <c r="CD274" s="62"/>
      <c r="CE274" s="25"/>
      <c r="CF274" s="25"/>
    </row>
    <row r="275" spans="1:84" s="118" customFormat="1" ht="30.05" customHeight="1" x14ac:dyDescent="0.3">
      <c r="A275" s="166">
        <v>18</v>
      </c>
      <c r="B275" s="46" t="s">
        <v>314</v>
      </c>
      <c r="C275" s="166"/>
      <c r="D275" s="256"/>
      <c r="E275" s="257"/>
      <c r="F275" s="257"/>
      <c r="G275" s="257"/>
      <c r="H275" s="257"/>
      <c r="I275" s="257"/>
      <c r="J275" s="214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8"/>
      <c r="V275" s="128"/>
      <c r="W275" s="128"/>
      <c r="X275" s="63"/>
      <c r="Y275" s="63"/>
      <c r="Z275" s="63"/>
      <c r="AA275" s="128"/>
      <c r="AB275" s="128"/>
      <c r="AC275" s="128"/>
      <c r="AD275" s="128"/>
      <c r="AE275" s="63"/>
      <c r="AF275" s="63"/>
      <c r="AG275" s="128"/>
      <c r="AH275" s="128"/>
      <c r="AI275" s="128"/>
      <c r="AJ275" s="128"/>
      <c r="AK275" s="63"/>
      <c r="AL275" s="63"/>
      <c r="AM275" s="128"/>
      <c r="AN275" s="128"/>
      <c r="AO275" s="128"/>
      <c r="AP275" s="128"/>
      <c r="AQ275" s="128"/>
      <c r="AR275" s="128"/>
      <c r="AS275" s="128"/>
      <c r="AT275" s="128"/>
      <c r="AU275" s="128"/>
      <c r="AV275" s="128"/>
      <c r="AW275" s="128"/>
      <c r="AX275" s="128"/>
      <c r="AY275" s="128"/>
      <c r="AZ275" s="128"/>
      <c r="BA275" s="128"/>
      <c r="BB275" s="128"/>
      <c r="BC275" s="128"/>
      <c r="BD275" s="128"/>
      <c r="BE275" s="128"/>
      <c r="BF275" s="128"/>
      <c r="BG275" s="128"/>
      <c r="BH275" s="128"/>
      <c r="BI275" s="128"/>
      <c r="BJ275" s="128"/>
      <c r="BK275" s="128"/>
      <c r="BL275" s="128"/>
      <c r="BM275" s="128"/>
      <c r="BN275" s="128"/>
      <c r="BO275" s="128"/>
      <c r="BP275" s="128"/>
      <c r="BQ275" s="128"/>
      <c r="BR275" s="128"/>
      <c r="BS275" s="128"/>
      <c r="BT275" s="128"/>
      <c r="BU275" s="128"/>
      <c r="BV275" s="128"/>
      <c r="BW275" s="63"/>
      <c r="BX275" s="63"/>
      <c r="BY275" s="116"/>
      <c r="BZ275" s="117"/>
      <c r="CA275" s="63"/>
      <c r="CB275" s="63"/>
      <c r="CC275" s="116"/>
      <c r="CD275" s="117"/>
      <c r="CE275" s="63"/>
      <c r="CF275" s="63"/>
    </row>
    <row r="276" spans="1:84" s="81" customFormat="1" ht="30.05" customHeight="1" x14ac:dyDescent="0.3">
      <c r="A276" s="54" t="s">
        <v>316</v>
      </c>
      <c r="B276" s="57" t="s">
        <v>315</v>
      </c>
      <c r="C276" s="32" t="s">
        <v>21</v>
      </c>
      <c r="D276" s="169">
        <v>5278</v>
      </c>
      <c r="E276" s="123">
        <v>1800</v>
      </c>
      <c r="F276" s="123"/>
      <c r="G276" s="123">
        <f>ROUND(D276*E276,0)</f>
        <v>9500400</v>
      </c>
      <c r="H276" s="123"/>
      <c r="I276" s="123">
        <f>SUM(G276:H276)</f>
        <v>9500400</v>
      </c>
      <c r="J276" s="215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80">
        <v>450</v>
      </c>
      <c r="V276" s="80"/>
      <c r="W276" s="80"/>
      <c r="X276" s="23">
        <f>U276*E276</f>
        <v>810000</v>
      </c>
      <c r="Y276" s="23">
        <v>958</v>
      </c>
      <c r="Z276" s="69">
        <f>Y276*(E276+F276)</f>
        <v>1724400</v>
      </c>
      <c r="AA276" s="80">
        <v>450</v>
      </c>
      <c r="AB276" s="80"/>
      <c r="AC276" s="80"/>
      <c r="AD276" s="80">
        <f>AA276*E276</f>
        <v>810000</v>
      </c>
      <c r="AE276" s="23">
        <v>835</v>
      </c>
      <c r="AF276" s="69">
        <f>AE276*(E276+F276)</f>
        <v>1503000</v>
      </c>
      <c r="AG276" s="80">
        <v>450</v>
      </c>
      <c r="AH276" s="4">
        <f>ROUND(AG276*E276,0)</f>
        <v>810000</v>
      </c>
      <c r="AI276" s="23">
        <f>ROUND(AG276*F276,0)</f>
        <v>0</v>
      </c>
      <c r="AJ276" s="23">
        <f>AH276+AI276</f>
        <v>810000</v>
      </c>
      <c r="AK276" s="23">
        <v>520</v>
      </c>
      <c r="AL276" s="111">
        <f>AK276*(E276+F276)</f>
        <v>936000</v>
      </c>
      <c r="AM276" s="80">
        <v>450</v>
      </c>
      <c r="AN276" s="80">
        <f>AM276*E276</f>
        <v>810000</v>
      </c>
      <c r="AO276" s="80"/>
      <c r="AP276" s="84">
        <f>AN276+AO276</f>
        <v>810000</v>
      </c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23">
        <v>461</v>
      </c>
      <c r="BX276" s="69">
        <f>BW276*(E276+F276)</f>
        <v>829800</v>
      </c>
      <c r="BY276" s="21" t="e">
        <f>#REF!-Y276-AE276-AK276-BW276</f>
        <v>#REF!</v>
      </c>
      <c r="BZ276" s="22">
        <f>G276-V276-AB276-AH276-AN276-AR276-AV276-AZ276-BD276-BH276-BL276-BP276-BT276</f>
        <v>7880400</v>
      </c>
      <c r="CA276" s="23">
        <f>H276-W276-AC276-AI276-AO276-AS276-AW276-BA276-BE276-BI276-BM276-BQ276-BU276</f>
        <v>0</v>
      </c>
      <c r="CB276" s="23">
        <f>I276-Z276-AF276-AL276-BX276</f>
        <v>4507200</v>
      </c>
      <c r="CC276" s="21">
        <v>450</v>
      </c>
      <c r="CD276" s="22">
        <f>CC276*E276</f>
        <v>810000</v>
      </c>
      <c r="CE276" s="23"/>
      <c r="CF276" s="23">
        <f>CD276+CE276</f>
        <v>810000</v>
      </c>
    </row>
    <row r="277" spans="1:84" s="68" customFormat="1" ht="30.05" customHeight="1" x14ac:dyDescent="0.3">
      <c r="A277" s="67"/>
      <c r="B277" s="36" t="s">
        <v>317</v>
      </c>
      <c r="C277" s="43"/>
      <c r="D277" s="259"/>
      <c r="E277" s="260"/>
      <c r="F277" s="260"/>
      <c r="G277" s="260">
        <f>SUM(G276)</f>
        <v>9500400</v>
      </c>
      <c r="H277" s="260"/>
      <c r="I277" s="261">
        <f>SUM(G277:H277)</f>
        <v>9500400</v>
      </c>
      <c r="J277" s="216">
        <f>I277</f>
        <v>9500400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64"/>
      <c r="V277" s="64"/>
      <c r="W277" s="64"/>
      <c r="X277" s="25"/>
      <c r="Y277" s="25"/>
      <c r="Z277" s="27"/>
      <c r="AA277" s="64"/>
      <c r="AB277" s="64"/>
      <c r="AC277" s="64"/>
      <c r="AD277" s="64"/>
      <c r="AE277" s="25"/>
      <c r="AF277" s="27"/>
      <c r="AG277" s="64"/>
      <c r="AH277" s="119"/>
      <c r="AI277" s="25"/>
      <c r="AJ277" s="25"/>
      <c r="AK277" s="25"/>
      <c r="AL277" s="120"/>
      <c r="AM277" s="64"/>
      <c r="AN277" s="64"/>
      <c r="AO277" s="64"/>
      <c r="AP277" s="121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25"/>
      <c r="BX277" s="27"/>
      <c r="BY277" s="61"/>
      <c r="BZ277" s="62"/>
      <c r="CA277" s="25"/>
      <c r="CB277" s="25"/>
      <c r="CC277" s="61"/>
      <c r="CD277" s="62"/>
      <c r="CE277" s="25"/>
      <c r="CF277" s="25"/>
    </row>
    <row r="278" spans="1:84" s="81" customFormat="1" ht="30.05" customHeight="1" x14ac:dyDescent="0.3">
      <c r="A278" s="52"/>
      <c r="B278" s="37" t="s">
        <v>248</v>
      </c>
      <c r="C278" s="166"/>
      <c r="D278" s="256"/>
      <c r="E278" s="257"/>
      <c r="F278" s="257"/>
      <c r="G278" s="257"/>
      <c r="H278" s="257"/>
      <c r="I278" s="258">
        <f>I25+I34+I58+I97+I114+I132+I148+I158+I168+I194+I207+I212+I220+I259+I263+I267+I274+I277</f>
        <v>335804796</v>
      </c>
      <c r="J278" s="217">
        <f>SUM(J17:J277)</f>
        <v>335804796</v>
      </c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2"/>
      <c r="V278" s="82"/>
      <c r="W278" s="82"/>
      <c r="X278" s="77" t="e">
        <f>ROUND(#REF!+X263+X267+#REF!+X276,0)</f>
        <v>#REF!</v>
      </c>
      <c r="Y278" s="77"/>
      <c r="Z278" s="89" t="e">
        <f>#REF!+Z263+Z267+#REF!+Z276</f>
        <v>#REF!</v>
      </c>
      <c r="AA278" s="79"/>
      <c r="AB278" s="79"/>
      <c r="AC278" s="79"/>
      <c r="AD278" s="77" t="e">
        <f>ROUND(#REF!+AD263+AD267+#REF!+AD276,0)-1</f>
        <v>#REF!</v>
      </c>
      <c r="AE278" s="77"/>
      <c r="AF278" s="77">
        <v>7653381</v>
      </c>
      <c r="AG278" s="79"/>
      <c r="AH278" s="79"/>
      <c r="AI278" s="79"/>
      <c r="AJ278" s="77" t="e">
        <f>ROUND(#REF!+AJ263+AJ267+#REF!+AJ276,0)</f>
        <v>#REF!</v>
      </c>
      <c r="AK278" s="77"/>
      <c r="AL278" s="77">
        <v>4978056</v>
      </c>
      <c r="AM278" s="82"/>
      <c r="AN278" s="82"/>
      <c r="AO278" s="82"/>
      <c r="AP278" s="77" t="e">
        <f>ROUND(#REF!+AP263+AP267+#REF!+AP276,0)</f>
        <v>#REF!</v>
      </c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77"/>
      <c r="BX278" s="89" t="e">
        <f>#REF!+BX263+BX267+#REF!+BX276</f>
        <v>#REF!</v>
      </c>
      <c r="BY278" s="21" t="e">
        <f>#REF!-Y278-AE278-AK278-BW278</f>
        <v>#REF!</v>
      </c>
      <c r="BZ278" s="22">
        <f>G278-V278-AB278-AH278-AN278-AR278-AV278-AZ278-BD278-BH278-BL278-BP278-BT278</f>
        <v>0</v>
      </c>
      <c r="CA278" s="23">
        <f>H278-W278-AC278-AI278-AO278-AS278-AW278-BA278-BE278-BI278-BM278-BQ278-BU278</f>
        <v>0</v>
      </c>
      <c r="CB278" s="23" t="e">
        <f>I278-Z278-AF278-AL278-BX278</f>
        <v>#REF!</v>
      </c>
      <c r="CC278" s="21"/>
      <c r="CD278" s="22"/>
      <c r="CE278" s="23"/>
      <c r="CF278" s="89" t="e">
        <f>ROUND(#REF!+CF263+CF267+#REF!+CF276,0)</f>
        <v>#REF!</v>
      </c>
    </row>
    <row r="279" spans="1:84" s="16" customFormat="1" ht="30.05" customHeight="1" x14ac:dyDescent="0.3">
      <c r="A279" s="54"/>
      <c r="B279" s="41" t="s">
        <v>253</v>
      </c>
      <c r="C279" s="32"/>
      <c r="D279" s="169"/>
      <c r="E279" s="287"/>
      <c r="F279" s="287"/>
      <c r="G279" s="287"/>
      <c r="H279" s="287"/>
      <c r="I279" s="123">
        <f>ROUND(I278/1.2*0.2,2)</f>
        <v>55967466</v>
      </c>
      <c r="J279" s="218">
        <v>335804796</v>
      </c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1"/>
      <c r="V279" s="91"/>
      <c r="W279" s="91"/>
      <c r="X279" s="69" t="e">
        <f>ROUND(X278/1.18*18/100,2)</f>
        <v>#REF!</v>
      </c>
      <c r="Y279" s="69"/>
      <c r="Z279" s="90" t="e">
        <f>ROUND(Z278/1.18*0.18,2)</f>
        <v>#REF!</v>
      </c>
      <c r="AA279" s="92"/>
      <c r="AB279" s="92"/>
      <c r="AC279" s="92"/>
      <c r="AD279" s="71" t="e">
        <f>ROUND(AD278/1.18*0.18,2)</f>
        <v>#REF!</v>
      </c>
      <c r="AE279" s="69"/>
      <c r="AF279" s="69"/>
      <c r="AG279" s="92"/>
      <c r="AH279" s="92"/>
      <c r="AI279" s="92"/>
      <c r="AJ279" s="71" t="e">
        <f>ROUND(AJ278/1.2*0.2,2)</f>
        <v>#REF!</v>
      </c>
      <c r="AK279" s="69"/>
      <c r="AL279" s="69"/>
      <c r="AM279" s="91"/>
      <c r="AN279" s="91"/>
      <c r="AO279" s="91"/>
      <c r="AP279" s="71" t="e">
        <f>ROUND(AP278/1.2*0.2,2)</f>
        <v>#REF!</v>
      </c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91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91"/>
      <c r="BT279" s="91"/>
      <c r="BU279" s="91"/>
      <c r="BV279" s="91"/>
      <c r="BW279" s="69"/>
      <c r="BX279" s="90" t="e">
        <f>ROUND(BX278/1.18*0.18,2)</f>
        <v>#REF!</v>
      </c>
      <c r="BY279" s="21" t="e">
        <f>#REF!-Y279-AE279-AK279-BW279</f>
        <v>#REF!</v>
      </c>
      <c r="BZ279" s="22">
        <f>G279-V279-AB279-AH279-AN279-AR279-AV279-AZ279-BD279-BH279-BL279-BP279-BT279</f>
        <v>0</v>
      </c>
      <c r="CA279" s="23">
        <f>H279-W279-AC279-AI279-AO279-AS279-AW279-BA279-BE279-BI279-BM279-BQ279-BU279</f>
        <v>0</v>
      </c>
      <c r="CB279" s="23" t="e">
        <f>I279-Z279-AF279-AL279-BX279</f>
        <v>#REF!</v>
      </c>
      <c r="CC279" s="21"/>
      <c r="CD279" s="22"/>
      <c r="CE279" s="23"/>
      <c r="CF279" s="90" t="e">
        <f>ROUND(CF278/1.2*0.2,2)</f>
        <v>#REF!</v>
      </c>
    </row>
    <row r="280" spans="1:84" x14ac:dyDescent="0.25">
      <c r="J280" s="249">
        <f>J279-J278</f>
        <v>0</v>
      </c>
    </row>
  </sheetData>
  <mergeCells count="36">
    <mergeCell ref="AV17:AW17"/>
    <mergeCell ref="AZ17:BA17"/>
    <mergeCell ref="BZ17:CA17"/>
    <mergeCell ref="CC17:CF17"/>
    <mergeCell ref="BD17:BE17"/>
    <mergeCell ref="BH17:BI17"/>
    <mergeCell ref="BL17:BM17"/>
    <mergeCell ref="BP17:BQ17"/>
    <mergeCell ref="BT17:BU17"/>
    <mergeCell ref="BW17:BX17"/>
    <mergeCell ref="CC16:CF16"/>
    <mergeCell ref="A17:A18"/>
    <mergeCell ref="B17:B18"/>
    <mergeCell ref="C17:C18"/>
    <mergeCell ref="D17:D18"/>
    <mergeCell ref="E17:F17"/>
    <mergeCell ref="G17:H17"/>
    <mergeCell ref="I17:I18"/>
    <mergeCell ref="V17:W17"/>
    <mergeCell ref="Y17:Z17"/>
    <mergeCell ref="AB17:AC17"/>
    <mergeCell ref="AE17:AF17"/>
    <mergeCell ref="AH17:AI17"/>
    <mergeCell ref="AK17:AL17"/>
    <mergeCell ref="AN17:AO17"/>
    <mergeCell ref="AR17:AS17"/>
    <mergeCell ref="U16:X16"/>
    <mergeCell ref="AA16:AD16"/>
    <mergeCell ref="AG16:AJ16"/>
    <mergeCell ref="AM16:AP16"/>
    <mergeCell ref="BY16:CB16"/>
    <mergeCell ref="F1:I1"/>
    <mergeCell ref="A11:I11"/>
    <mergeCell ref="A13:I13"/>
    <mergeCell ref="B14:I14"/>
    <mergeCell ref="E16:H16"/>
  </mergeCells>
  <pageMargins left="0.59055118110236227" right="0.19685039370078741" top="0.35433070866141736" bottom="0.39370078740157483" header="0" footer="0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Смета-329 846 796</vt:lpstr>
      <vt:lpstr>жд №6-Смета-335 804 796 упр</vt:lpstr>
      <vt:lpstr>'жд №6-Смета-335 804 796 упр'!Заголовки_для_печати</vt:lpstr>
      <vt:lpstr>'Смета-329 846 796'!Заголовки_для_печати</vt:lpstr>
      <vt:lpstr>'жд №6-Смета-335 804 796 упр'!Область_печати</vt:lpstr>
      <vt:lpstr>'Смета-329 846 796'!Область_печати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pi@mstagency.ru</cp:lastModifiedBy>
  <cp:lastPrinted>2019-12-26T06:47:10Z</cp:lastPrinted>
  <dcterms:created xsi:type="dcterms:W3CDTF">2018-09-11T02:08:55Z</dcterms:created>
  <dcterms:modified xsi:type="dcterms:W3CDTF">2020-06-11T11:25:37Z</dcterms:modified>
</cp:coreProperties>
</file>