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isnerosharvestinginc-my.sharepoint.com/personal/fcisneros_cisnerosharvesting_com/Documents/Documents/Fernando Cisneros/"/>
    </mc:Choice>
  </mc:AlternateContent>
  <xr:revisionPtr revIDLastSave="0" documentId="8_{3D795978-3B32-46F0-AA98-349E764B6743}" xr6:coauthVersionLast="47" xr6:coauthVersionMax="47" xr10:uidLastSave="{00000000-0000-0000-0000-000000000000}"/>
  <bookViews>
    <workbookView xWindow="57480" yWindow="7335" windowWidth="29040" windowHeight="15720" firstSheet="1" activeTab="1" xr2:uid="{9AAAEE63-B351-4911-AFE5-022A1314FF99}"/>
  </bookViews>
  <sheets>
    <sheet name="Sheet2" sheetId="2" state="hidden" r:id="rId1"/>
    <sheet name="Reconciliation Report" sheetId="5" r:id="rId2"/>
    <sheet name="Module_Inventory" sheetId="3" r:id="rId3"/>
    <sheet name="Module_G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4" l="1"/>
  <c r="M24" i="5"/>
  <c r="M25" i="5"/>
  <c r="M26" i="5"/>
  <c r="M27" i="5"/>
  <c r="M28" i="5"/>
  <c r="M29" i="5"/>
  <c r="M23" i="5"/>
  <c r="M31" i="5"/>
  <c r="I36" i="3"/>
  <c r="I38" i="3"/>
  <c r="J38" i="3" s="1"/>
  <c r="I39" i="3"/>
  <c r="I40" i="3"/>
  <c r="I35" i="3"/>
  <c r="I33" i="3"/>
  <c r="D36" i="4"/>
  <c r="D42" i="3"/>
  <c r="D14" i="5" a="1"/>
  <c r="D14" i="5" s="1"/>
  <c r="B14" i="5" a="1"/>
  <c r="B14" i="5" s="1"/>
  <c r="L26" i="4"/>
  <c r="L22" i="4"/>
  <c r="I37" i="4" s="1"/>
  <c r="J30" i="4"/>
  <c r="J31" i="4" s="1"/>
  <c r="J32" i="4" s="1"/>
  <c r="J33" i="4" s="1"/>
  <c r="J26" i="4"/>
  <c r="J12" i="4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I27" i="3"/>
  <c r="I28" i="3"/>
  <c r="I29" i="3"/>
  <c r="I30" i="3"/>
  <c r="I31" i="3"/>
  <c r="I3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12" i="3"/>
  <c r="J12" i="3" s="1"/>
  <c r="M3" i="2"/>
  <c r="M6" i="2" s="1"/>
  <c r="L27" i="4" l="1"/>
  <c r="L34" i="4"/>
  <c r="I38" i="4"/>
  <c r="I39" i="4"/>
  <c r="J39" i="3"/>
  <c r="J40" i="3" s="1"/>
  <c r="L40" i="3" s="1"/>
  <c r="F15" i="5" a="1"/>
  <c r="F15" i="5" s="1"/>
  <c r="F77" i="5" s="1"/>
  <c r="I42" i="3"/>
  <c r="B49" i="5"/>
  <c r="J13" i="3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L32" i="3" s="1"/>
  <c r="D49" i="5"/>
  <c r="L23" i="4"/>
  <c r="I41" i="4" l="1"/>
  <c r="H15" i="5" a="1"/>
  <c r="F81" i="5"/>
  <c r="B50" i="5"/>
  <c r="D50" i="5"/>
  <c r="F82" i="5"/>
  <c r="H15" i="5" l="1"/>
  <c r="J31" i="5"/>
  <c r="K27" i="5"/>
  <c r="J21" i="5"/>
  <c r="J20" i="5"/>
  <c r="J29" i="5"/>
  <c r="J18" i="5"/>
  <c r="J17" i="5"/>
  <c r="J22" i="5"/>
  <c r="K21" i="5"/>
  <c r="K25" i="5"/>
  <c r="K23" i="5"/>
  <c r="K16" i="5"/>
  <c r="K20" i="5"/>
  <c r="J23" i="5"/>
  <c r="J28" i="5"/>
  <c r="J19" i="5"/>
  <c r="J24" i="5"/>
  <c r="K29" i="5"/>
  <c r="J16" i="5"/>
  <c r="J27" i="5"/>
  <c r="J26" i="5"/>
  <c r="K17" i="5"/>
  <c r="K22" i="5"/>
  <c r="K26" i="5"/>
  <c r="K24" i="5"/>
  <c r="J25" i="5"/>
  <c r="K19" i="5"/>
  <c r="K18" i="5"/>
  <c r="K28" i="5"/>
  <c r="J35" i="3"/>
  <c r="F84" i="5"/>
  <c r="F85" i="5" s="1"/>
  <c r="K15" i="5" l="1"/>
  <c r="K34" i="5" s="1"/>
  <c r="J15" i="5"/>
  <c r="L18" i="5"/>
  <c r="M18" i="5" s="1"/>
  <c r="H32" i="5"/>
  <c r="L29" i="5"/>
  <c r="L17" i="5"/>
  <c r="M17" i="5" s="1"/>
  <c r="L26" i="5"/>
  <c r="L20" i="5"/>
  <c r="M20" i="5" s="1"/>
  <c r="L21" i="5"/>
  <c r="M21" i="5" s="1"/>
  <c r="L24" i="5"/>
  <c r="L22" i="5"/>
  <c r="M22" i="5" s="1"/>
  <c r="L27" i="5"/>
  <c r="L23" i="5"/>
  <c r="L16" i="5"/>
  <c r="M16" i="5" s="1"/>
  <c r="L25" i="5"/>
  <c r="L19" i="5"/>
  <c r="M19" i="5" s="1"/>
  <c r="L28" i="5"/>
  <c r="J44" i="3"/>
  <c r="J46" i="3" s="1"/>
  <c r="L35" i="3"/>
  <c r="L15" i="5" l="1"/>
  <c r="M15" i="5" s="1"/>
  <c r="M32" i="5" s="1"/>
  <c r="J34" i="5"/>
  <c r="L3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<sst xmlns="http://schemas.openxmlformats.org/spreadsheetml/2006/main" count="288" uniqueCount="166">
  <si>
    <t>Beginning Inventory</t>
  </si>
  <si>
    <t>Purchases</t>
  </si>
  <si>
    <t>Ending Inventory</t>
  </si>
  <si>
    <t>COGS</t>
  </si>
  <si>
    <t>Net Purchases</t>
  </si>
  <si>
    <t>Goods Available for Sale</t>
  </si>
  <si>
    <t xml:space="preserve"> Ending Inventory</t>
  </si>
  <si>
    <t>Returns</t>
  </si>
  <si>
    <t xml:space="preserve">    Beg. Inventory</t>
  </si>
  <si>
    <t xml:space="preserve">    Freight In</t>
  </si>
  <si>
    <t xml:space="preserve">    Purchases</t>
  </si>
  <si>
    <t xml:space="preserve">Accrued Purchases </t>
  </si>
  <si>
    <t>Cost fo purchase materials received</t>
  </si>
  <si>
    <t>Posting Type</t>
  </si>
  <si>
    <t>subledger</t>
  </si>
  <si>
    <t>Accrued Purchases Excluding Sales Tax</t>
  </si>
  <si>
    <t>* ties as a subledger</t>
  </si>
  <si>
    <t>Shipped not Invoiced</t>
  </si>
  <si>
    <t>Cost of units, delivered</t>
  </si>
  <si>
    <t>Materials in Process</t>
  </si>
  <si>
    <t>Estimated cost of materials consumed, WIP</t>
  </si>
  <si>
    <t>Raw Materials in Process</t>
  </si>
  <si>
    <t>Work in Process</t>
  </si>
  <si>
    <t>Estimated cost of manufacturing consumed, WIP</t>
  </si>
  <si>
    <t>Produciton Ordered not Ended</t>
  </si>
  <si>
    <t>Cost of manufacturing consumed, WIP</t>
  </si>
  <si>
    <t>Cost of Materials consumed, WIP</t>
  </si>
  <si>
    <t>Estimated cost of materials consumed</t>
  </si>
  <si>
    <t>Estimated manufactred cost</t>
  </si>
  <si>
    <t>Estimated manufactured cost, WIP</t>
  </si>
  <si>
    <t>Manufactured cost, WIP</t>
  </si>
  <si>
    <t>Production order not ended</t>
  </si>
  <si>
    <t>Ledger</t>
  </si>
  <si>
    <t>Direct ledger postings</t>
  </si>
  <si>
    <t>Inventory Movement Journal</t>
  </si>
  <si>
    <t>Inventory expenditure, loss</t>
  </si>
  <si>
    <t>Inventory expenditure, profit</t>
  </si>
  <si>
    <t>Document</t>
  </si>
  <si>
    <t>G/L Account</t>
  </si>
  <si>
    <t>System Date</t>
  </si>
  <si>
    <t>Posting Date</t>
  </si>
  <si>
    <t>Iten Description</t>
  </si>
  <si>
    <t>QTY</t>
  </si>
  <si>
    <t>Cost</t>
  </si>
  <si>
    <t>Transaction Value</t>
  </si>
  <si>
    <t>Cummulative Value</t>
  </si>
  <si>
    <t>Opening Balance</t>
  </si>
  <si>
    <t>PO1</t>
  </si>
  <si>
    <t>PO3</t>
  </si>
  <si>
    <t>PO4</t>
  </si>
  <si>
    <t>SO1</t>
  </si>
  <si>
    <t>SO2</t>
  </si>
  <si>
    <t>SO3</t>
  </si>
  <si>
    <t>Item ID</t>
  </si>
  <si>
    <t xml:space="preserve">Apple </t>
  </si>
  <si>
    <t>Soda</t>
  </si>
  <si>
    <t>Sugar Plumbs</t>
  </si>
  <si>
    <t>Vinager</t>
  </si>
  <si>
    <t>Tarter</t>
  </si>
  <si>
    <t>Lard</t>
  </si>
  <si>
    <t>Wheat</t>
  </si>
  <si>
    <t>Penuts</t>
  </si>
  <si>
    <t>Salts</t>
  </si>
  <si>
    <t>Honey</t>
  </si>
  <si>
    <t>Total</t>
  </si>
  <si>
    <t>Ending Cummulative Values</t>
  </si>
  <si>
    <t>Difference</t>
  </si>
  <si>
    <t>Due Date</t>
  </si>
  <si>
    <t>Series</t>
  </si>
  <si>
    <t>Doc No</t>
  </si>
  <si>
    <t>Trans No.</t>
  </si>
  <si>
    <t>Remarks</t>
  </si>
  <si>
    <t>Debit/Credit</t>
  </si>
  <si>
    <t>13100000-01-001-01</t>
  </si>
  <si>
    <t>Primary</t>
  </si>
  <si>
    <t>SI2</t>
  </si>
  <si>
    <t>IM1</t>
  </si>
  <si>
    <t>SO4</t>
  </si>
  <si>
    <t>Inventory-Raw Materials ( TPA, FL, 33604 )</t>
  </si>
  <si>
    <t>Seminole Heights</t>
  </si>
  <si>
    <t>234000001-01-001-01</t>
  </si>
  <si>
    <t>132000001-01-001-01</t>
  </si>
  <si>
    <t>523000000-01-001-01</t>
  </si>
  <si>
    <t>131000000-01-001-01</t>
  </si>
  <si>
    <t>132000000-01-001-01</t>
  </si>
  <si>
    <t>Assets</t>
  </si>
  <si>
    <t>133000000-01-001-01</t>
  </si>
  <si>
    <t>Offset  Account Name</t>
  </si>
  <si>
    <t>Offset GL No.</t>
  </si>
  <si>
    <t xml:space="preserve">Assets </t>
  </si>
  <si>
    <t>134000000-01-001-01</t>
  </si>
  <si>
    <t>SI3</t>
  </si>
  <si>
    <t>JE18</t>
  </si>
  <si>
    <t>SI5</t>
  </si>
  <si>
    <t>SI7</t>
  </si>
  <si>
    <t>Stock Transfer</t>
  </si>
  <si>
    <t>Inventory - Raw Materials</t>
  </si>
  <si>
    <t>Inventory - Work In Progress</t>
  </si>
  <si>
    <t>Gain/Loss - Inventory Variance</t>
  </si>
  <si>
    <t>Goods Received -  Not Invoiced</t>
  </si>
  <si>
    <t>Common Stock</t>
  </si>
  <si>
    <t>Goods Receipt</t>
  </si>
  <si>
    <t>311000000-01-001-01</t>
  </si>
  <si>
    <t>Total Inventory values at period end</t>
  </si>
  <si>
    <t>Total Inventory values at period end for GL#131000000-01-001-01</t>
  </si>
  <si>
    <t>Total Inventory values at period end for GL#133000000-01-001-01</t>
  </si>
  <si>
    <t>Total Inventory values at period end for GL#134000000-01-001-01</t>
  </si>
  <si>
    <t>Total Debits/Credits</t>
  </si>
  <si>
    <t xml:space="preserve"> +</t>
  </si>
  <si>
    <t xml:space="preserve"> - &gt;</t>
  </si>
  <si>
    <t>New Table</t>
  </si>
  <si>
    <t>CountA</t>
  </si>
  <si>
    <t>Count  Non Zero Cells</t>
  </si>
  <si>
    <t>Inventory Count</t>
  </si>
  <si>
    <t>GL Count</t>
  </si>
  <si>
    <t># To Check Process</t>
  </si>
  <si>
    <t>Unique Document ID</t>
  </si>
  <si>
    <t>Delta</t>
  </si>
  <si>
    <t>Vstack Count (Not Zero)</t>
  </si>
  <si>
    <t>13300000-01-001-01</t>
  </si>
  <si>
    <t>Inverted Sugar</t>
  </si>
  <si>
    <t>13400000-01-001-01</t>
  </si>
  <si>
    <t>Re Bucket Body</t>
  </si>
  <si>
    <t>Short Breed Cookie</t>
  </si>
  <si>
    <t>SI1</t>
  </si>
  <si>
    <t>Inventory - Semi Finished Goods (TPA, FL 33604 )</t>
  </si>
  <si>
    <t>Inventory - Finished Goods (TPA, FL 33604</t>
  </si>
  <si>
    <t>131000000-01-000-01</t>
  </si>
  <si>
    <t>Module_Inventory</t>
  </si>
  <si>
    <t>Unique Count</t>
  </si>
  <si>
    <t>Nando Co.</t>
  </si>
  <si>
    <t>Inventory Report by GL Number</t>
  </si>
  <si>
    <t>PD5</t>
  </si>
  <si>
    <t>Auto Note</t>
  </si>
  <si>
    <t>my Note</t>
  </si>
  <si>
    <t>Totals</t>
  </si>
  <si>
    <t>immaterial posting, no adjustments required</t>
  </si>
  <si>
    <t>=General_Ledger[[#All],[Doc No]]</t>
  </si>
  <si>
    <t>Test Corrections</t>
  </si>
  <si>
    <t>Module General Ledger</t>
  </si>
  <si>
    <t>Cumulative Balance</t>
  </si>
  <si>
    <t>Column1</t>
  </si>
  <si>
    <t>&lt; Completeness Check &gt;</t>
  </si>
  <si>
    <t>&lt; My Comment &gt;</t>
  </si>
  <si>
    <t># Total Inventory values at period end for GL#131000000-01-001-01</t>
  </si>
  <si>
    <t># Total Inventory values at period end for GL#133000000-01-001-01</t>
  </si>
  <si>
    <t># Total Inventory values at period end for GL#134000000-01-001-01</t>
  </si>
  <si>
    <t>&lt;EMS Module for Inventory  Report by GL Number &gt;</t>
  </si>
  <si>
    <t>&lt;EMS Module for The General Ledger &gt;</t>
  </si>
  <si>
    <t>&lt; My comments &gt;</t>
  </si>
  <si>
    <t>&lt; My Formula&gt;</t>
  </si>
  <si>
    <t>Produced by: Fernando Cisneros</t>
  </si>
  <si>
    <t>Last updated: 11/30/2020</t>
  </si>
  <si>
    <t># Module for Inventory</t>
  </si>
  <si>
    <t># Module for The General Ledger</t>
  </si>
  <si>
    <t># To stack both lists</t>
  </si>
  <si>
    <t>#To list only the unique values (i.g. remove duplicates).</t>
  </si>
  <si>
    <t>Module GL
(Debit/Credit)</t>
  </si>
  <si>
    <t>Module  Inventory
(Transaction Value)</t>
  </si>
  <si>
    <t>Inventory Reconciliaiton Report</t>
  </si>
  <si>
    <t>Last updated: 07/09/2020</t>
  </si>
  <si>
    <r>
      <t xml:space="preserve">Inventory_Module </t>
    </r>
    <r>
      <rPr>
        <b/>
        <sz val="12"/>
        <color theme="1"/>
        <rFont val="Aptos Narrow"/>
        <family val="2"/>
        <scheme val="minor"/>
      </rPr>
      <t xml:space="preserve">v. </t>
    </r>
    <r>
      <rPr>
        <sz val="12"/>
        <color theme="1"/>
        <rFont val="Aptos Narrow"/>
        <family val="2"/>
        <scheme val="minor"/>
      </rPr>
      <t>General Ledger_Module</t>
    </r>
  </si>
  <si>
    <r>
      <t>=</t>
    </r>
    <r>
      <rPr>
        <i/>
        <sz val="12"/>
        <color rgb="FF0070C0"/>
        <rFont val="Aptos Narrow"/>
        <family val="2"/>
        <scheme val="minor"/>
      </rPr>
      <t>CHOOSECOLS</t>
    </r>
    <r>
      <rPr>
        <i/>
        <sz val="12"/>
        <color theme="1"/>
        <rFont val="Aptos Narrow"/>
        <family val="2"/>
        <scheme val="minor"/>
      </rPr>
      <t>(Inventory[[#All],[Document]],1)</t>
    </r>
  </si>
  <si>
    <r>
      <t>=</t>
    </r>
    <r>
      <rPr>
        <i/>
        <sz val="12"/>
        <color rgb="FF0070C0"/>
        <rFont val="Aptos Narrow"/>
        <family val="2"/>
        <scheme val="minor"/>
      </rPr>
      <t>VSTACK</t>
    </r>
    <r>
      <rPr>
        <i/>
        <sz val="12"/>
        <color theme="1"/>
        <rFont val="Aptos Narrow"/>
        <family val="2"/>
        <scheme val="minor"/>
      </rPr>
      <t>(B5:B27,D5:D34)</t>
    </r>
  </si>
  <si>
    <r>
      <t>=</t>
    </r>
    <r>
      <rPr>
        <i/>
        <sz val="12"/>
        <color rgb="FF0070C0"/>
        <rFont val="Aptos Narrow"/>
        <family val="2"/>
        <scheme val="minor"/>
      </rPr>
      <t>UNIQUE</t>
    </r>
    <r>
      <rPr>
        <i/>
        <sz val="12"/>
        <color theme="1"/>
        <rFont val="Aptos Narrow"/>
        <family val="2"/>
        <scheme val="minor"/>
      </rPr>
      <t>(FILTER(F5#,F5#&lt;&gt;0))</t>
    </r>
  </si>
  <si>
    <r>
      <t xml:space="preserve"> </t>
    </r>
    <r>
      <rPr>
        <i/>
        <sz val="12"/>
        <color theme="1"/>
        <rFont val="Aptos Narrow"/>
        <family val="2"/>
        <scheme val="minor"/>
      </rPr>
      <t xml:space="preserve"> Pull_Data</t>
    </r>
    <r>
      <rPr>
        <i/>
        <sz val="12"/>
        <color rgb="FF0070C0"/>
        <rFont val="Aptos Narrow"/>
        <family val="2"/>
        <scheme val="minor"/>
      </rPr>
      <t xml:space="preserve"> = SUMIF(   </t>
    </r>
    <r>
      <rPr>
        <i/>
        <sz val="12"/>
        <color theme="9"/>
        <rFont val="Aptos Narrow"/>
        <family val="2"/>
        <scheme val="minor"/>
      </rPr>
      <t>Range</t>
    </r>
    <r>
      <rPr>
        <i/>
        <sz val="12"/>
        <color rgb="FF0070C0"/>
        <rFont val="Aptos Narrow"/>
        <family val="2"/>
        <scheme val="minor"/>
      </rPr>
      <t xml:space="preserve">  ,   Criteria_Range   ,   </t>
    </r>
    <r>
      <rPr>
        <i/>
        <sz val="12"/>
        <color rgb="FFC00000"/>
        <rFont val="Aptos Narrow"/>
        <family val="2"/>
        <scheme val="minor"/>
      </rPr>
      <t xml:space="preserve"> Sum_Range</t>
    </r>
    <r>
      <rPr>
        <i/>
        <sz val="12"/>
        <color rgb="FF0070C0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</si>
</sst>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70C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rgb="FF0070C0"/>
      <name val="Aptos Narrow"/>
      <family val="2"/>
      <scheme val="minor"/>
    </font>
    <font>
      <u/>
      <sz val="11"/>
      <color rgb="FF0070C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i/>
      <sz val="11"/>
      <color rgb="FF0070C0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u/>
      <sz val="12"/>
      <color rgb="FFC00000"/>
      <name val="Aptos Narrow"/>
      <family val="2"/>
      <scheme val="minor"/>
    </font>
    <font>
      <i/>
      <sz val="12"/>
      <color rgb="FF0070C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i/>
      <sz val="12"/>
      <color theme="9"/>
      <name val="Aptos Narrow"/>
      <family val="2"/>
      <scheme val="minor"/>
    </font>
    <font>
      <i/>
      <sz val="12"/>
      <color rgb="FFC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u/>
      <sz val="12"/>
      <color rgb="FF0070C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3" fontId="0" fillId="0" borderId="0" xfId="1" applyFont="1"/>
    <xf numFmtId="43" fontId="0" fillId="0" borderId="2" xfId="1" applyFont="1" applyBorder="1"/>
    <xf numFmtId="43" fontId="0" fillId="0" borderId="1" xfId="1" applyFont="1" applyBorder="1"/>
    <xf numFmtId="0" fontId="4" fillId="2" borderId="0" xfId="0" applyFont="1" applyFill="1"/>
    <xf numFmtId="0" fontId="0" fillId="2" borderId="0" xfId="0" applyFill="1"/>
    <xf numFmtId="43" fontId="0" fillId="2" borderId="0" xfId="1" applyFont="1" applyFill="1"/>
    <xf numFmtId="0" fontId="2" fillId="0" borderId="0" xfId="0" applyFont="1"/>
    <xf numFmtId="43" fontId="4" fillId="2" borderId="0" xfId="1" applyFont="1" applyFill="1"/>
    <xf numFmtId="14" fontId="0" fillId="0" borderId="0" xfId="0" applyNumberFormat="1"/>
    <xf numFmtId="43" fontId="0" fillId="0" borderId="0" xfId="1" applyFont="1" applyAlignment="1">
      <alignment horizontal="right"/>
    </xf>
    <xf numFmtId="40" fontId="0" fillId="0" borderId="0" xfId="1" applyNumberFormat="1" applyFont="1"/>
    <xf numFmtId="40" fontId="0" fillId="0" borderId="0" xfId="1" applyNumberFormat="1" applyFont="1" applyFill="1"/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0" fontId="0" fillId="0" borderId="0" xfId="1" applyNumberFormat="1" applyFont="1" applyAlignment="1">
      <alignment horizontal="center"/>
    </xf>
    <xf numFmtId="40" fontId="0" fillId="0" borderId="0" xfId="0" applyNumberFormat="1"/>
    <xf numFmtId="40" fontId="0" fillId="0" borderId="0" xfId="0" applyNumberForma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3" fontId="5" fillId="0" borderId="0" xfId="1" applyFont="1" applyAlignment="1">
      <alignment horizontal="center"/>
    </xf>
    <xf numFmtId="43" fontId="5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0" fontId="2" fillId="0" borderId="0" xfId="0" applyNumberFormat="1" applyFont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right"/>
    </xf>
    <xf numFmtId="43" fontId="2" fillId="0" borderId="0" xfId="1" applyFont="1" applyAlignment="1">
      <alignment horizontal="center"/>
    </xf>
    <xf numFmtId="43" fontId="2" fillId="0" borderId="0" xfId="1" applyFont="1"/>
    <xf numFmtId="14" fontId="2" fillId="0" borderId="0" xfId="0" applyNumberFormat="1" applyFont="1"/>
    <xf numFmtId="40" fontId="2" fillId="0" borderId="0" xfId="1" applyNumberFormat="1" applyFont="1" applyAlignment="1">
      <alignment horizontal="center"/>
    </xf>
    <xf numFmtId="40" fontId="2" fillId="0" borderId="0" xfId="1" applyNumberFormat="1" applyFont="1"/>
    <xf numFmtId="40" fontId="2" fillId="0" borderId="0" xfId="1" applyNumberFormat="1" applyFont="1" applyFill="1"/>
    <xf numFmtId="0" fontId="4" fillId="0" borderId="0" xfId="0" applyFont="1"/>
    <xf numFmtId="0" fontId="0" fillId="0" borderId="3" xfId="0" applyBorder="1"/>
    <xf numFmtId="14" fontId="0" fillId="0" borderId="3" xfId="0" applyNumberFormat="1" applyBorder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0" fontId="0" fillId="0" borderId="3" xfId="1" applyNumberFormat="1" applyFont="1" applyBorder="1" applyAlignment="1">
      <alignment horizontal="center"/>
    </xf>
    <xf numFmtId="40" fontId="0" fillId="0" borderId="3" xfId="1" applyNumberFormat="1" applyFont="1" applyBorder="1"/>
    <xf numFmtId="43" fontId="4" fillId="0" borderId="3" xfId="0" applyNumberFormat="1" applyFont="1" applyBorder="1"/>
    <xf numFmtId="0" fontId="4" fillId="0" borderId="0" xfId="0" applyFont="1" applyAlignment="1">
      <alignment horizontal="center"/>
    </xf>
    <xf numFmtId="40" fontId="4" fillId="0" borderId="0" xfId="1" applyNumberFormat="1" applyFont="1" applyFill="1" applyBorder="1" applyAlignment="1">
      <alignment horizontal="center"/>
    </xf>
    <xf numFmtId="40" fontId="8" fillId="0" borderId="1" xfId="0" applyNumberFormat="1" applyFont="1" applyBorder="1" applyAlignment="1">
      <alignment horizontal="center"/>
    </xf>
    <xf numFmtId="40" fontId="4" fillId="0" borderId="0" xfId="1" applyNumberFormat="1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43" fontId="8" fillId="0" borderId="1" xfId="1" applyFont="1" applyBorder="1"/>
    <xf numFmtId="40" fontId="9" fillId="0" borderId="1" xfId="0" applyNumberFormat="1" applyFont="1" applyBorder="1" applyAlignment="1">
      <alignment horizontal="center"/>
    </xf>
    <xf numFmtId="39" fontId="4" fillId="0" borderId="0" xfId="0" applyNumberFormat="1" applyFont="1" applyAlignment="1">
      <alignment horizontal="center"/>
    </xf>
    <xf numFmtId="40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3" fontId="6" fillId="0" borderId="0" xfId="1" applyFont="1" applyAlignment="1">
      <alignment horizontal="left"/>
    </xf>
    <xf numFmtId="43" fontId="0" fillId="0" borderId="0" xfId="1" applyFont="1" applyFill="1" applyBorder="1"/>
    <xf numFmtId="43" fontId="7" fillId="0" borderId="0" xfId="1" applyFont="1"/>
    <xf numFmtId="43" fontId="10" fillId="0" borderId="0" xfId="1" applyFont="1"/>
    <xf numFmtId="0" fontId="0" fillId="0" borderId="2" xfId="0" applyBorder="1"/>
    <xf numFmtId="0" fontId="0" fillId="0" borderId="2" xfId="0" applyBorder="1" applyAlignment="1">
      <alignment horizontal="center"/>
    </xf>
    <xf numFmtId="43" fontId="0" fillId="0" borderId="2" xfId="1" applyFont="1" applyBorder="1" applyAlignment="1">
      <alignment horizontal="center"/>
    </xf>
    <xf numFmtId="0" fontId="4" fillId="0" borderId="2" xfId="0" applyFont="1" applyBorder="1"/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40" fontId="0" fillId="0" borderId="3" xfId="0" applyNumberFormat="1" applyBorder="1" applyAlignment="1">
      <alignment horizontal="center"/>
    </xf>
    <xf numFmtId="40" fontId="0" fillId="0" borderId="3" xfId="0" applyNumberFormat="1" applyBorder="1"/>
    <xf numFmtId="43" fontId="4" fillId="0" borderId="1" xfId="1" applyFont="1" applyBorder="1"/>
    <xf numFmtId="43" fontId="4" fillId="0" borderId="0" xfId="1" applyFont="1"/>
    <xf numFmtId="43" fontId="4" fillId="0" borderId="0" xfId="1" applyFont="1" applyBorder="1"/>
    <xf numFmtId="14" fontId="2" fillId="0" borderId="0" xfId="0" applyNumberFormat="1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43" fontId="12" fillId="0" borderId="0" xfId="1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43" fontId="12" fillId="0" borderId="8" xfId="1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6" fillId="0" borderId="0" xfId="0" applyFont="1"/>
    <xf numFmtId="0" fontId="12" fillId="0" borderId="0" xfId="0" applyFont="1" applyAlignment="1">
      <alignment horizontal="left"/>
    </xf>
    <xf numFmtId="0" fontId="16" fillId="0" borderId="2" xfId="0" applyFont="1" applyBorder="1" applyAlignment="1">
      <alignment horizontal="left"/>
    </xf>
    <xf numFmtId="43" fontId="12" fillId="0" borderId="2" xfId="1" applyFont="1" applyBorder="1" applyAlignment="1">
      <alignment horizontal="center"/>
    </xf>
    <xf numFmtId="0" fontId="12" fillId="0" borderId="2" xfId="0" applyFont="1" applyBorder="1"/>
    <xf numFmtId="0" fontId="12" fillId="0" borderId="10" xfId="0" applyFont="1" applyBorder="1" applyAlignment="1">
      <alignment horizontal="center"/>
    </xf>
    <xf numFmtId="0" fontId="17" fillId="0" borderId="0" xfId="0" quotePrefix="1" applyFont="1" applyAlignment="1">
      <alignment horizontal="left"/>
    </xf>
    <xf numFmtId="0" fontId="17" fillId="0" borderId="0" xfId="0" applyFont="1" applyAlignment="1">
      <alignment horizontal="left"/>
    </xf>
    <xf numFmtId="0" fontId="16" fillId="0" borderId="0" xfId="0" quotePrefix="1" applyFont="1" applyAlignment="1">
      <alignment horizontal="left"/>
    </xf>
    <xf numFmtId="43" fontId="16" fillId="0" borderId="2" xfId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43" fontId="12" fillId="0" borderId="2" xfId="1" applyFont="1" applyBorder="1" applyAlignment="1">
      <alignment horizontal="center" wrapText="1"/>
    </xf>
    <xf numFmtId="0" fontId="12" fillId="3" borderId="0" xfId="0" applyFont="1" applyFill="1" applyAlignment="1">
      <alignment horizontal="center"/>
    </xf>
    <xf numFmtId="40" fontId="12" fillId="0" borderId="0" xfId="1" applyNumberFormat="1" applyFont="1" applyFill="1" applyAlignment="1">
      <alignment horizontal="center"/>
    </xf>
    <xf numFmtId="40" fontId="12" fillId="0" borderId="0" xfId="0" applyNumberFormat="1" applyFont="1"/>
    <xf numFmtId="43" fontId="20" fillId="0" borderId="0" xfId="1" applyFont="1" applyFill="1" applyAlignment="1">
      <alignment horizontal="center"/>
    </xf>
    <xf numFmtId="40" fontId="20" fillId="0" borderId="0" xfId="0" applyNumberFormat="1" applyFont="1"/>
    <xf numFmtId="0" fontId="11" fillId="0" borderId="0" xfId="0" quotePrefix="1" applyFont="1" applyAlignment="1">
      <alignment horizontal="center"/>
    </xf>
    <xf numFmtId="43" fontId="12" fillId="0" borderId="0" xfId="1" applyFont="1" applyFill="1" applyBorder="1" applyAlignment="1">
      <alignment horizontal="center"/>
    </xf>
    <xf numFmtId="43" fontId="12" fillId="0" borderId="0" xfId="0" applyNumberFormat="1" applyFont="1"/>
    <xf numFmtId="43" fontId="20" fillId="0" borderId="0" xfId="1" applyFont="1" applyFill="1" applyBorder="1" applyAlignment="1">
      <alignment horizontal="center"/>
    </xf>
    <xf numFmtId="0" fontId="12" fillId="0" borderId="1" xfId="0" applyFont="1" applyBorder="1"/>
    <xf numFmtId="0" fontId="12" fillId="0" borderId="0" xfId="0" applyFont="1" applyAlignment="1">
      <alignment horizontal="right"/>
    </xf>
    <xf numFmtId="43" fontId="12" fillId="0" borderId="1" xfId="0" applyNumberFormat="1" applyFont="1" applyBorder="1"/>
    <xf numFmtId="0" fontId="11" fillId="0" borderId="0" xfId="0" quotePrefix="1" applyFont="1"/>
    <xf numFmtId="43" fontId="12" fillId="0" borderId="0" xfId="1" quotePrefix="1" applyFont="1" applyAlignment="1">
      <alignment horizontal="center"/>
    </xf>
    <xf numFmtId="0" fontId="12" fillId="0" borderId="1" xfId="0" applyFont="1" applyBorder="1" applyAlignment="1">
      <alignment horizontal="center"/>
    </xf>
    <xf numFmtId="43" fontId="12" fillId="5" borderId="0" xfId="1" applyFont="1" applyFill="1" applyBorder="1" applyAlignment="1">
      <alignment horizontal="center"/>
    </xf>
    <xf numFmtId="43" fontId="12" fillId="5" borderId="0" xfId="1" applyFont="1" applyFill="1" applyBorder="1"/>
    <xf numFmtId="0" fontId="21" fillId="0" borderId="0" xfId="0" applyFont="1" applyAlignment="1">
      <alignment horizontal="centerContinuous"/>
    </xf>
    <xf numFmtId="0" fontId="13" fillId="0" borderId="0" xfId="0" applyFont="1" applyAlignment="1">
      <alignment horizontal="centerContinuous"/>
    </xf>
    <xf numFmtId="2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right"/>
    </xf>
    <xf numFmtId="2" fontId="12" fillId="0" borderId="1" xfId="0" applyNumberFormat="1" applyFont="1" applyBorder="1" applyAlignment="1">
      <alignment horizontal="center" vertical="center"/>
    </xf>
    <xf numFmtId="2" fontId="12" fillId="4" borderId="0" xfId="0" applyNumberFormat="1" applyFont="1" applyFill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8" formatCode="#,##0.00_);[Red]\(#,##0.00\)"/>
    </dxf>
    <dxf>
      <numFmt numFmtId="8" formatCode="#,##0.00_);[Red]\(#,##0.00\)"/>
    </dxf>
    <dxf>
      <numFmt numFmtId="8" formatCode="#,##0.00_);[Red]\(#,##0.0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8" formatCode="#,##0.00_);[Red]\(#,##0.0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E5E6A6F9-D0D8-4DF7-86C4-DCBA1250AB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113145</xdr:colOff>
      <xdr:row>30</xdr:row>
      <xdr:rowOff>122698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38920D-EC58-445A-AABB-0436A7B83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70945" cy="55729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220979</xdr:colOff>
      <xdr:row>39</xdr:row>
      <xdr:rowOff>93345</xdr:rowOff>
    </xdr:from>
    <xdr:to>
      <xdr:col>12</xdr:col>
      <xdr:colOff>645795</xdr:colOff>
      <xdr:row>44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8BDBC8-B261-6C26-0C2C-7E58235B60E0}"/>
            </a:ext>
          </a:extLst>
        </xdr:cNvPr>
        <xdr:cNvSpPr txBox="1"/>
      </xdr:nvSpPr>
      <xdr:spPr>
        <a:xfrm>
          <a:off x="9307829" y="6722745"/>
          <a:ext cx="4787266" cy="74485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50K JE </a:t>
          </a:r>
          <a:r>
            <a:rPr lang="en-US" sz="1100" u="sng"/>
            <a:t>skipped</a:t>
          </a:r>
          <a:r>
            <a:rPr lang="en-US" sz="1100"/>
            <a:t> the </a:t>
          </a:r>
          <a:r>
            <a:rPr lang="en-US" sz="1100">
              <a:solidFill>
                <a:sysClr val="windowText" lastClr="000000"/>
              </a:solidFill>
            </a:rPr>
            <a:t>Inventory Module. </a:t>
          </a:r>
        </a:p>
        <a:p>
          <a:endParaRPr lang="en-US" sz="1100"/>
        </a:p>
        <a:p>
          <a:r>
            <a:rPr lang="en-US" sz="1100"/>
            <a:t>The Inventory Module</a:t>
          </a:r>
          <a:r>
            <a:rPr lang="en-US" sz="1100" baseline="0"/>
            <a:t> </a:t>
          </a:r>
          <a:r>
            <a:rPr lang="en-US" sz="1100" u="sng" baseline="0"/>
            <a:t>did not recognize owner's contribution </a:t>
          </a:r>
          <a:r>
            <a:rPr lang="en-US" sz="1100" baseline="0"/>
            <a:t>to Inventory.</a:t>
          </a:r>
          <a:endParaRPr lang="en-US" sz="1100"/>
        </a:p>
      </xdr:txBody>
    </xdr:sp>
    <xdr:clientData/>
  </xdr:twoCellAnchor>
  <xdr:twoCellAnchor>
    <xdr:from>
      <xdr:col>5</xdr:col>
      <xdr:colOff>560070</xdr:colOff>
      <xdr:row>7</xdr:row>
      <xdr:rowOff>95250</xdr:rowOff>
    </xdr:from>
    <xdr:to>
      <xdr:col>5</xdr:col>
      <xdr:colOff>581025</xdr:colOff>
      <xdr:row>9</xdr:row>
      <xdr:rowOff>131445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751B8F7-EBAD-A78A-9590-DCAADDC8745A}"/>
            </a:ext>
          </a:extLst>
        </xdr:cNvPr>
        <xdr:cNvCxnSpPr/>
      </xdr:nvCxnSpPr>
      <xdr:spPr>
        <a:xfrm flipH="1">
          <a:off x="5989320" y="1162050"/>
          <a:ext cx="20955" cy="360045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7</xdr:row>
      <xdr:rowOff>85725</xdr:rowOff>
    </xdr:from>
    <xdr:to>
      <xdr:col>5</xdr:col>
      <xdr:colOff>561975</xdr:colOff>
      <xdr:row>7</xdr:row>
      <xdr:rowOff>95250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070247D-50DB-50AB-F42B-3A992A043FE8}"/>
            </a:ext>
          </a:extLst>
        </xdr:cNvPr>
        <xdr:cNvCxnSpPr/>
      </xdr:nvCxnSpPr>
      <xdr:spPr>
        <a:xfrm>
          <a:off x="1304925" y="1152525"/>
          <a:ext cx="4686300" cy="9525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7</xdr:row>
      <xdr:rowOff>95250</xdr:rowOff>
    </xdr:from>
    <xdr:to>
      <xdr:col>1</xdr:col>
      <xdr:colOff>914400</xdr:colOff>
      <xdr:row>9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2333215-E227-A0E2-19C1-956A27A0D33B}"/>
            </a:ext>
          </a:extLst>
        </xdr:cNvPr>
        <xdr:cNvCxnSpPr/>
      </xdr:nvCxnSpPr>
      <xdr:spPr>
        <a:xfrm flipV="1">
          <a:off x="1304925" y="11620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7</xdr:row>
      <xdr:rowOff>152400</xdr:rowOff>
    </xdr:from>
    <xdr:to>
      <xdr:col>3</xdr:col>
      <xdr:colOff>685800</xdr:colOff>
      <xdr:row>10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D6422A0-8814-411E-9C52-905865C13660}"/>
            </a:ext>
          </a:extLst>
        </xdr:cNvPr>
        <xdr:cNvCxnSpPr/>
      </xdr:nvCxnSpPr>
      <xdr:spPr>
        <a:xfrm flipV="1">
          <a:off x="3819525" y="121920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960120</xdr:colOff>
      <xdr:row>7</xdr:row>
      <xdr:rowOff>83820</xdr:rowOff>
    </xdr:from>
    <xdr:to>
      <xdr:col>5</xdr:col>
      <xdr:colOff>960120</xdr:colOff>
      <xdr:row>9</xdr:row>
      <xdr:rowOff>93345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0E0A6EB-C5BB-403D-9307-22BD758C9D36}"/>
            </a:ext>
          </a:extLst>
        </xdr:cNvPr>
        <xdr:cNvCxnSpPr/>
      </xdr:nvCxnSpPr>
      <xdr:spPr>
        <a:xfrm flipV="1">
          <a:off x="6389370" y="115062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981075</xdr:colOff>
      <xdr:row>7</xdr:row>
      <xdr:rowOff>104775</xdr:rowOff>
    </xdr:from>
    <xdr:to>
      <xdr:col>7</xdr:col>
      <xdr:colOff>455295</xdr:colOff>
      <xdr:row>7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C90C6C2-3C71-4E53-897B-B4F1A812882B}"/>
            </a:ext>
          </a:extLst>
        </xdr:cNvPr>
        <xdr:cNvCxnSpPr/>
      </xdr:nvCxnSpPr>
      <xdr:spPr>
        <a:xfrm>
          <a:off x="6410325" y="1171575"/>
          <a:ext cx="1560195" cy="9525"/>
        </a:xfrm>
        <a:prstGeom prst="straightConnector1">
          <a:avLst/>
        </a:prstGeom>
        <a:ln>
          <a:solidFill>
            <a:schemeClr val="accent3">
              <a:lumMod val="60000"/>
              <a:lumOff val="40000"/>
            </a:schemeClr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960120</xdr:colOff>
      <xdr:row>7</xdr:row>
      <xdr:rowOff>83820</xdr:rowOff>
    </xdr:from>
    <xdr:to>
      <xdr:col>5</xdr:col>
      <xdr:colOff>960120</xdr:colOff>
      <xdr:row>9</xdr:row>
      <xdr:rowOff>91440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7EEABBD-92F0-4D80-B776-5E1F24AE3DC7}"/>
            </a:ext>
          </a:extLst>
        </xdr:cNvPr>
        <xdr:cNvCxnSpPr/>
      </xdr:nvCxnSpPr>
      <xdr:spPr>
        <a:xfrm flipV="1">
          <a:off x="6389370" y="1150620"/>
          <a:ext cx="0" cy="331470"/>
        </a:xfrm>
        <a:prstGeom prst="straightConnector1">
          <a:avLst/>
        </a:prstGeom>
        <a:ln>
          <a:solidFill>
            <a:schemeClr val="accent3">
              <a:lumMod val="60000"/>
              <a:lumOff val="4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7</xdr:row>
      <xdr:rowOff>140970</xdr:rowOff>
    </xdr:from>
    <xdr:to>
      <xdr:col>7</xdr:col>
      <xdr:colOff>495300</xdr:colOff>
      <xdr:row>9</xdr:row>
      <xdr:rowOff>152400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A52B818-9F78-479F-B50B-75C3B7A70B24}"/>
            </a:ext>
          </a:extLst>
        </xdr:cNvPr>
        <xdr:cNvCxnSpPr/>
      </xdr:nvCxnSpPr>
      <xdr:spPr>
        <a:xfrm>
          <a:off x="8001000" y="1207770"/>
          <a:ext cx="9525" cy="335280"/>
        </a:xfrm>
        <a:prstGeom prst="straightConnector1">
          <a:avLst/>
        </a:prstGeom>
        <a:ln>
          <a:solidFill>
            <a:schemeClr val="accent3">
              <a:lumMod val="60000"/>
              <a:lumOff val="40000"/>
            </a:schemeClr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</xdr:colOff>
      <xdr:row>4</xdr:row>
      <xdr:rowOff>38101</xdr:rowOff>
    </xdr:from>
    <xdr:to>
      <xdr:col>10</xdr:col>
      <xdr:colOff>1255395</xdr:colOff>
      <xdr:row>7</xdr:row>
      <xdr:rowOff>9525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AB05DE7-3EA2-8E7A-8621-613E1EF4534E}"/>
            </a:ext>
          </a:extLst>
        </xdr:cNvPr>
        <xdr:cNvSpPr txBox="1"/>
      </xdr:nvSpPr>
      <xdr:spPr>
        <a:xfrm>
          <a:off x="11151870" y="581026"/>
          <a:ext cx="1190625" cy="495299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Tab: Module_Inventory</a:t>
          </a:r>
        </a:p>
      </xdr:txBody>
    </xdr:sp>
    <xdr:clientData/>
  </xdr:twoCellAnchor>
  <xdr:twoCellAnchor>
    <xdr:from>
      <xdr:col>9</xdr:col>
      <xdr:colOff>93345</xdr:colOff>
      <xdr:row>4</xdr:row>
      <xdr:rowOff>9526</xdr:rowOff>
    </xdr:from>
    <xdr:to>
      <xdr:col>9</xdr:col>
      <xdr:colOff>1179196</xdr:colOff>
      <xdr:row>6</xdr:row>
      <xdr:rowOff>140970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B3B8825-6732-46BF-A6A0-2CF53052A9F2}"/>
            </a:ext>
          </a:extLst>
        </xdr:cNvPr>
        <xdr:cNvSpPr txBox="1"/>
      </xdr:nvSpPr>
      <xdr:spPr>
        <a:xfrm>
          <a:off x="9751695" y="552451"/>
          <a:ext cx="1085851" cy="493394"/>
        </a:xfrm>
        <a:prstGeom prst="rect">
          <a:avLst/>
        </a:prstGeom>
        <a:solidFill>
          <a:schemeClr val="lt1"/>
        </a:solidFill>
        <a:ln w="9525" cmpd="sng">
          <a:solidFill>
            <a:schemeClr val="accent4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Tab: </a:t>
          </a:r>
          <a:r>
            <a:rPr lang="en-US" sz="1100" baseline="0"/>
            <a:t> </a:t>
          </a:r>
          <a:r>
            <a:rPr lang="en-US" sz="1100"/>
            <a:t>Module_GL </a:t>
          </a:r>
        </a:p>
      </xdr:txBody>
    </xdr:sp>
    <xdr:clientData/>
  </xdr:twoCellAnchor>
  <xdr:twoCellAnchor>
    <xdr:from>
      <xdr:col>9</xdr:col>
      <xdr:colOff>560070</xdr:colOff>
      <xdr:row>7</xdr:row>
      <xdr:rowOff>83820</xdr:rowOff>
    </xdr:from>
    <xdr:to>
      <xdr:col>9</xdr:col>
      <xdr:colOff>571500</xdr:colOff>
      <xdr:row>9</xdr:row>
      <xdr:rowOff>93345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0347723-E332-4289-B5D6-7C26FEF27581}"/>
            </a:ext>
          </a:extLst>
        </xdr:cNvPr>
        <xdr:cNvCxnSpPr/>
      </xdr:nvCxnSpPr>
      <xdr:spPr>
        <a:xfrm>
          <a:off x="9742170" y="1150620"/>
          <a:ext cx="11430" cy="333375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7</xdr:row>
      <xdr:rowOff>85725</xdr:rowOff>
    </xdr:from>
    <xdr:to>
      <xdr:col>10</xdr:col>
      <xdr:colOff>561975</xdr:colOff>
      <xdr:row>9</xdr:row>
      <xdr:rowOff>93345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398F0E1-2AF0-42F3-96B1-E5196B002C96}"/>
            </a:ext>
          </a:extLst>
        </xdr:cNvPr>
        <xdr:cNvCxnSpPr/>
      </xdr:nvCxnSpPr>
      <xdr:spPr>
        <a:xfrm>
          <a:off x="11163300" y="1152525"/>
          <a:ext cx="9525" cy="331470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1D5FAA-CF9F-44C2-8E9B-AB858A2B5DA6}" name="Module_Inventory" displayName="Module_Inventory" ref="A9:L40" totalsRowShown="0" headerRowDxfId="26" headerRowCellStyle="Comma">
  <autoFilter ref="A9:L40" xr:uid="{111D5FAA-CF9F-44C2-8E9B-AB858A2B5D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9A4B474-5188-41A9-8530-D142F2C03C70}" name="G/L Account"/>
    <tableColumn id="3" xr3:uid="{C1A07778-E25F-4A7C-AE3B-AB9952F54CC4}" name="System Date" dataDxfId="25"/>
    <tableColumn id="4" xr3:uid="{A8C9FD23-AF5B-4F2D-8AB5-83D2572BDCCD}" name="Posting Date" dataDxfId="24"/>
    <tableColumn id="5" xr3:uid="{11F6175C-D144-4228-956F-61F42371FD30}" name="Document" dataDxfId="23"/>
    <tableColumn id="6" xr3:uid="{1CBE5180-9F56-430C-8BEE-2ABA39F69540}" name="Item ID" dataDxfId="22"/>
    <tableColumn id="7" xr3:uid="{C9228417-8538-48BB-BBA8-E0A1AEFEDB20}" name="Iten Description" dataDxfId="21"/>
    <tableColumn id="8" xr3:uid="{D0F1640F-53F1-4EF5-87CE-12C75DE085B2}" name="QTY" dataDxfId="20" dataCellStyle="Comma"/>
    <tableColumn id="9" xr3:uid="{16A35F40-05CC-4DCE-B3F0-CF645A129189}" name="Cost" dataDxfId="19" dataCellStyle="Comma"/>
    <tableColumn id="10" xr3:uid="{CF4DAB2D-C44C-4C8D-A5CF-6DFEAEB1EF17}" name="Transaction Value" dataDxfId="18" dataCellStyle="Comma">
      <calculatedColumnFormula>G10*H10</calculatedColumnFormula>
    </tableColumn>
    <tableColumn id="11" xr3:uid="{0EF300AC-5A0C-4837-8EB5-758CA5630226}" name="Cummulative Value" dataDxfId="17" dataCellStyle="Comma">
      <calculatedColumnFormula>J9+I10</calculatedColumnFormula>
    </tableColumn>
    <tableColumn id="2" xr3:uid="{969A4D55-18CD-4C9A-A310-FF097D11BD1E}" name="Column1" dataDxfId="16" dataCellStyle="Comma"/>
    <tableColumn id="12" xr3:uid="{831DDA8A-1535-4392-9CB9-3206725BCB14}" name="&lt; Completeness Check &gt;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F32F1A-907D-4CE6-A9D8-B1A8729A682E}" name="General_Ledger" displayName="General_Ledger" ref="A10:M34" totalsRowShown="0" headerRowDxfId="14" dataDxfId="13">
  <autoFilter ref="A10:M34" xr:uid="{28F32F1A-907D-4CE6-A9D8-B1A8729A68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20AD9A1-61EA-4D75-9401-087BA965FFF8}" name="Posting Date" dataDxfId="12"/>
    <tableColumn id="2" xr3:uid="{9535C2E4-C7AB-4DDA-B5CE-E60D1CA1EA07}" name="Due Date" dataDxfId="11"/>
    <tableColumn id="3" xr3:uid="{F57039C1-4AEA-4F0B-A016-A10F58FC7740}" name="Series" dataDxfId="10"/>
    <tableColumn id="4" xr3:uid="{1E0C6870-021E-4E8D-B3A7-1B8810E449D9}" name="Doc No" dataDxfId="9"/>
    <tableColumn id="5" xr3:uid="{9DFD4940-9785-40FD-8492-7487DCD99A73}" name="Trans No." dataDxfId="8"/>
    <tableColumn id="6" xr3:uid="{FB813B26-FB3D-48B1-8F26-7E6BAABBC610}" name="Remarks" dataDxfId="7"/>
    <tableColumn id="7" xr3:uid="{4F2A58B3-06CA-4799-B28B-B75E7B28DAAF}" name="Offset GL No." dataDxfId="6"/>
    <tableColumn id="8" xr3:uid="{BC561190-4004-498F-BFEE-D68A91409C39}" name="Offset  Account Name" dataDxfId="5"/>
    <tableColumn id="9" xr3:uid="{053042C6-AADC-47DF-BA8B-DF6767D4EDB8}" name="Debit/Credit" dataDxfId="4"/>
    <tableColumn id="10" xr3:uid="{AA35375B-2F04-43CC-9E5A-4CE0C0487B77}" name="Cumulative Balance" dataDxfId="3"/>
    <tableColumn id="13" xr3:uid="{9D5AF4D1-C9D6-42D2-87CA-DB1E6065FD33}" name="Column1" dataDxfId="2"/>
    <tableColumn id="11" xr3:uid="{3010552D-9287-488C-BE57-6B92602BB08D}" name="&lt; Completeness Check &gt;" dataDxfId="1"/>
    <tableColumn id="12" xr3:uid="{F9E8F3C2-6A8C-4F3F-8754-3E67FD8151D1}" name="&lt; My Comment &gt;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BAB6-EC40-4DA4-BE7E-814F51F9840B}">
  <sheetPr codeName="Sheet1"/>
  <dimension ref="A1:N66"/>
  <sheetViews>
    <sheetView workbookViewId="0"/>
  </sheetViews>
  <sheetFormatPr defaultRowHeight="14.4" x14ac:dyDescent="0.55000000000000004"/>
  <cols>
    <col min="1" max="1" width="5.578125" customWidth="1"/>
    <col min="2" max="2" width="14.15625" customWidth="1"/>
    <col min="12" max="12" width="14.68359375" bestFit="1" customWidth="1"/>
    <col min="13" max="13" width="8.83984375" style="3"/>
  </cols>
  <sheetData>
    <row r="1" spans="12:14" x14ac:dyDescent="0.55000000000000004">
      <c r="L1" s="2" t="s">
        <v>0</v>
      </c>
      <c r="M1" s="3">
        <v>2000</v>
      </c>
    </row>
    <row r="2" spans="12:14" x14ac:dyDescent="0.55000000000000004">
      <c r="L2" s="2" t="s">
        <v>4</v>
      </c>
      <c r="M2" s="4">
        <v>830</v>
      </c>
    </row>
    <row r="3" spans="12:14" x14ac:dyDescent="0.55000000000000004">
      <c r="L3" s="2" t="s">
        <v>5</v>
      </c>
      <c r="M3" s="3">
        <f>M1+M2</f>
        <v>2830</v>
      </c>
    </row>
    <row r="4" spans="12:14" x14ac:dyDescent="0.55000000000000004">
      <c r="L4" s="2" t="s">
        <v>2</v>
      </c>
      <c r="M4" s="3">
        <v>1900</v>
      </c>
    </row>
    <row r="6" spans="12:14" ht="14.7" thickBot="1" x14ac:dyDescent="0.6">
      <c r="L6" s="2" t="s">
        <v>3</v>
      </c>
      <c r="M6" s="5">
        <f>M3-M4</f>
        <v>930</v>
      </c>
    </row>
    <row r="7" spans="12:14" ht="14.7" thickTop="1" x14ac:dyDescent="0.55000000000000004"/>
    <row r="13" spans="12:14" x14ac:dyDescent="0.55000000000000004">
      <c r="N13" s="3"/>
    </row>
    <row r="14" spans="12:14" x14ac:dyDescent="0.55000000000000004">
      <c r="L14" t="s">
        <v>6</v>
      </c>
      <c r="M14" s="3">
        <v>1900</v>
      </c>
      <c r="N14" s="3"/>
    </row>
    <row r="15" spans="12:14" x14ac:dyDescent="0.55000000000000004">
      <c r="L15" t="s">
        <v>1</v>
      </c>
      <c r="M15" s="3">
        <v>1000</v>
      </c>
      <c r="N15" s="3"/>
    </row>
    <row r="16" spans="12:14" x14ac:dyDescent="0.55000000000000004">
      <c r="L16" t="s">
        <v>7</v>
      </c>
      <c r="M16" s="3">
        <v>200</v>
      </c>
      <c r="N16" s="3"/>
    </row>
    <row r="17" spans="12:14" x14ac:dyDescent="0.55000000000000004">
      <c r="L17" t="s">
        <v>3</v>
      </c>
      <c r="M17" s="3">
        <v>930</v>
      </c>
      <c r="N17" s="3"/>
    </row>
    <row r="18" spans="12:14" x14ac:dyDescent="0.55000000000000004">
      <c r="L18" t="s">
        <v>8</v>
      </c>
      <c r="N18" s="3">
        <v>2000</v>
      </c>
    </row>
    <row r="19" spans="12:14" x14ac:dyDescent="0.55000000000000004">
      <c r="L19" t="s">
        <v>9</v>
      </c>
      <c r="N19" s="3">
        <v>50</v>
      </c>
    </row>
    <row r="20" spans="12:14" x14ac:dyDescent="0.55000000000000004">
      <c r="L20" t="s">
        <v>10</v>
      </c>
      <c r="N20" s="3">
        <v>1000</v>
      </c>
    </row>
    <row r="21" spans="12:14" x14ac:dyDescent="0.55000000000000004">
      <c r="N21" s="3"/>
    </row>
    <row r="22" spans="12:14" x14ac:dyDescent="0.55000000000000004">
      <c r="N22" s="3"/>
    </row>
    <row r="34" spans="1:13" x14ac:dyDescent="0.55000000000000004">
      <c r="A34" t="s">
        <v>16</v>
      </c>
    </row>
    <row r="35" spans="1:13" s="7" customFormat="1" x14ac:dyDescent="0.55000000000000004">
      <c r="A35" s="6" t="s">
        <v>11</v>
      </c>
      <c r="M35" s="8"/>
    </row>
    <row r="36" spans="1:13" x14ac:dyDescent="0.55000000000000004">
      <c r="B36" t="s">
        <v>13</v>
      </c>
      <c r="C36" t="s">
        <v>12</v>
      </c>
    </row>
    <row r="37" spans="1:13" x14ac:dyDescent="0.55000000000000004">
      <c r="B37" t="s">
        <v>14</v>
      </c>
      <c r="C37" t="s">
        <v>15</v>
      </c>
    </row>
    <row r="39" spans="1:13" s="7" customFormat="1" x14ac:dyDescent="0.55000000000000004">
      <c r="A39" s="6" t="s">
        <v>17</v>
      </c>
      <c r="M39" s="8"/>
    </row>
    <row r="40" spans="1:13" x14ac:dyDescent="0.55000000000000004">
      <c r="B40" t="s">
        <v>13</v>
      </c>
      <c r="C40" t="s">
        <v>18</v>
      </c>
    </row>
    <row r="41" spans="1:13" x14ac:dyDescent="0.55000000000000004">
      <c r="B41" t="s">
        <v>14</v>
      </c>
      <c r="C41" t="s">
        <v>17</v>
      </c>
    </row>
    <row r="43" spans="1:13" s="7" customFormat="1" x14ac:dyDescent="0.55000000000000004">
      <c r="A43" s="6" t="s">
        <v>19</v>
      </c>
      <c r="M43" s="8"/>
    </row>
    <row r="44" spans="1:13" x14ac:dyDescent="0.55000000000000004">
      <c r="B44" t="s">
        <v>13</v>
      </c>
      <c r="C44" t="s">
        <v>20</v>
      </c>
    </row>
    <row r="45" spans="1:13" x14ac:dyDescent="0.55000000000000004">
      <c r="B45" t="s">
        <v>14</v>
      </c>
      <c r="C45" t="s">
        <v>21</v>
      </c>
    </row>
    <row r="47" spans="1:13" s="7" customFormat="1" x14ac:dyDescent="0.55000000000000004">
      <c r="A47" s="6" t="s">
        <v>22</v>
      </c>
      <c r="M47" s="8"/>
    </row>
    <row r="48" spans="1:13" x14ac:dyDescent="0.55000000000000004">
      <c r="B48" t="s">
        <v>13</v>
      </c>
      <c r="C48" t="s">
        <v>23</v>
      </c>
    </row>
    <row r="49" spans="1:13" x14ac:dyDescent="0.55000000000000004">
      <c r="B49" t="s">
        <v>14</v>
      </c>
      <c r="C49" t="s">
        <v>22</v>
      </c>
    </row>
    <row r="51" spans="1:13" s="7" customFormat="1" x14ac:dyDescent="0.55000000000000004">
      <c r="A51" s="6" t="s">
        <v>24</v>
      </c>
      <c r="M51" s="8"/>
    </row>
    <row r="52" spans="1:13" x14ac:dyDescent="0.55000000000000004">
      <c r="B52" s="9" t="s">
        <v>13</v>
      </c>
      <c r="F52" s="9" t="s">
        <v>14</v>
      </c>
    </row>
    <row r="53" spans="1:13" x14ac:dyDescent="0.55000000000000004">
      <c r="B53" t="s">
        <v>25</v>
      </c>
      <c r="F53" t="s">
        <v>31</v>
      </c>
    </row>
    <row r="54" spans="1:13" x14ac:dyDescent="0.55000000000000004">
      <c r="B54" t="s">
        <v>26</v>
      </c>
      <c r="F54" t="s">
        <v>31</v>
      </c>
    </row>
    <row r="55" spans="1:13" x14ac:dyDescent="0.55000000000000004">
      <c r="B55" t="s">
        <v>27</v>
      </c>
      <c r="F55" t="s">
        <v>31</v>
      </c>
    </row>
    <row r="56" spans="1:13" x14ac:dyDescent="0.55000000000000004">
      <c r="B56" t="s">
        <v>28</v>
      </c>
      <c r="F56" t="s">
        <v>31</v>
      </c>
    </row>
    <row r="57" spans="1:13" x14ac:dyDescent="0.55000000000000004">
      <c r="B57" t="s">
        <v>29</v>
      </c>
      <c r="F57" t="s">
        <v>31</v>
      </c>
    </row>
    <row r="58" spans="1:13" x14ac:dyDescent="0.55000000000000004">
      <c r="B58" t="s">
        <v>30</v>
      </c>
      <c r="F58" t="s">
        <v>31</v>
      </c>
    </row>
    <row r="60" spans="1:13" s="7" customFormat="1" x14ac:dyDescent="0.55000000000000004">
      <c r="A60" s="6" t="s">
        <v>32</v>
      </c>
      <c r="M60" s="8"/>
    </row>
    <row r="61" spans="1:13" x14ac:dyDescent="0.55000000000000004">
      <c r="B61" t="s">
        <v>33</v>
      </c>
    </row>
    <row r="63" spans="1:13" s="6" customFormat="1" x14ac:dyDescent="0.55000000000000004">
      <c r="A63" s="6" t="s">
        <v>34</v>
      </c>
      <c r="M63" s="10"/>
    </row>
    <row r="64" spans="1:13" x14ac:dyDescent="0.55000000000000004">
      <c r="B64" s="9" t="s">
        <v>13</v>
      </c>
      <c r="E64" s="9" t="s">
        <v>14</v>
      </c>
    </row>
    <row r="65" spans="2:5" x14ac:dyDescent="0.55000000000000004">
      <c r="B65" t="s">
        <v>35</v>
      </c>
      <c r="E65" t="s">
        <v>34</v>
      </c>
    </row>
    <row r="66" spans="2:5" x14ac:dyDescent="0.55000000000000004">
      <c r="B66" t="s">
        <v>36</v>
      </c>
      <c r="E66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0265-E0E8-4A30-90A1-C2A11218E003}">
  <sheetPr codeName="Sheet4">
    <tabColor theme="0"/>
  </sheetPr>
  <dimension ref="A1:O85"/>
  <sheetViews>
    <sheetView showGridLines="0" tabSelected="1" workbookViewId="0">
      <selection activeCell="C21" sqref="C21"/>
    </sheetView>
  </sheetViews>
  <sheetFormatPr defaultRowHeight="15.6" x14ac:dyDescent="0.6"/>
  <cols>
    <col min="1" max="1" width="5.41796875" style="72" customWidth="1"/>
    <col min="2" max="2" width="24.3671875" style="71" customWidth="1"/>
    <col min="3" max="3" width="13.578125" style="72" customWidth="1"/>
    <col min="4" max="4" width="22.83984375" style="72" customWidth="1"/>
    <col min="5" max="5" width="8.83984375" style="72"/>
    <col min="6" max="6" width="18.1015625" style="72" customWidth="1"/>
    <col min="7" max="7" width="10.68359375" style="72" customWidth="1"/>
    <col min="8" max="8" width="21.734375" style="72" customWidth="1"/>
    <col min="9" max="9" width="7.89453125" style="72" customWidth="1"/>
    <col min="10" max="10" width="19.734375" style="71" customWidth="1"/>
    <col min="11" max="11" width="22.15625" style="73" customWidth="1"/>
    <col min="12" max="12" width="12.5234375" style="72" customWidth="1"/>
    <col min="13" max="13" width="11.05078125" style="71" customWidth="1"/>
    <col min="14" max="16384" width="8.83984375" style="72"/>
  </cols>
  <sheetData>
    <row r="1" spans="1:15" x14ac:dyDescent="0.6">
      <c r="A1" s="70" t="s">
        <v>130</v>
      </c>
    </row>
    <row r="2" spans="1:15" x14ac:dyDescent="0.6">
      <c r="A2" s="74" t="s">
        <v>159</v>
      </c>
    </row>
    <row r="3" spans="1:15" x14ac:dyDescent="0.6">
      <c r="A3" s="72" t="s">
        <v>161</v>
      </c>
    </row>
    <row r="5" spans="1:15" x14ac:dyDescent="0.6">
      <c r="A5" s="72" t="s">
        <v>151</v>
      </c>
    </row>
    <row r="6" spans="1:15" x14ac:dyDescent="0.6">
      <c r="A6" s="72" t="s">
        <v>160</v>
      </c>
    </row>
    <row r="11" spans="1:15" s="75" customFormat="1" x14ac:dyDescent="0.55000000000000004">
      <c r="B11" s="76" t="s">
        <v>153</v>
      </c>
      <c r="C11" s="77"/>
      <c r="D11" s="76" t="s">
        <v>154</v>
      </c>
      <c r="E11" s="78"/>
      <c r="F11" s="76" t="s">
        <v>155</v>
      </c>
      <c r="G11" s="79"/>
      <c r="H11" s="122" t="s">
        <v>156</v>
      </c>
      <c r="I11" s="78"/>
      <c r="J11" s="80"/>
      <c r="K11" s="81"/>
      <c r="L11" s="82"/>
      <c r="M11" s="83"/>
    </row>
    <row r="12" spans="1:15" s="84" customFormat="1" x14ac:dyDescent="0.6">
      <c r="B12" s="85"/>
      <c r="C12" s="85"/>
      <c r="D12" s="85"/>
      <c r="E12" s="85"/>
      <c r="F12" s="85"/>
      <c r="G12" s="85"/>
      <c r="H12" s="123"/>
      <c r="I12" s="85"/>
      <c r="J12" s="86"/>
      <c r="K12" s="87"/>
      <c r="L12" s="88"/>
      <c r="M12" s="89"/>
      <c r="N12" s="72"/>
      <c r="O12" s="72"/>
    </row>
    <row r="13" spans="1:15" x14ac:dyDescent="0.6">
      <c r="B13" s="90" t="s">
        <v>162</v>
      </c>
      <c r="C13" s="91"/>
      <c r="D13" s="90" t="s">
        <v>137</v>
      </c>
      <c r="E13" s="91"/>
      <c r="F13" s="90" t="s">
        <v>163</v>
      </c>
      <c r="G13" s="91"/>
      <c r="H13" s="90" t="s">
        <v>164</v>
      </c>
      <c r="I13" s="92"/>
      <c r="J13" s="86" t="s">
        <v>165</v>
      </c>
      <c r="K13" s="93"/>
      <c r="L13" s="84"/>
      <c r="M13" s="94"/>
      <c r="N13" s="84"/>
      <c r="O13" s="84"/>
    </row>
    <row r="14" spans="1:15" ht="31.2" x14ac:dyDescent="0.6">
      <c r="B14" s="95" t="str" cm="1">
        <f t="array" ref="B14:B45">_xlfn.CHOOSECOLS(Module_Inventory[[#All],[Document]],1)</f>
        <v>Document</v>
      </c>
      <c r="C14" s="71"/>
      <c r="D14" s="95" t="str" cm="1">
        <f t="array" ref="D14:D38">General_Ledger[[#All],[Doc No]]</f>
        <v>Doc No</v>
      </c>
      <c r="F14" s="95" t="s">
        <v>110</v>
      </c>
      <c r="H14" s="96" t="s">
        <v>116</v>
      </c>
      <c r="I14" s="71"/>
      <c r="J14" s="97" t="s">
        <v>157</v>
      </c>
      <c r="K14" s="98" t="s">
        <v>158</v>
      </c>
      <c r="L14" s="96" t="s">
        <v>117</v>
      </c>
      <c r="M14" s="97" t="s">
        <v>133</v>
      </c>
      <c r="N14" s="72" t="s">
        <v>134</v>
      </c>
    </row>
    <row r="15" spans="1:15" x14ac:dyDescent="0.6">
      <c r="B15" s="99">
        <v>0</v>
      </c>
      <c r="C15" s="71"/>
      <c r="D15" s="99">
        <v>0</v>
      </c>
      <c r="F15" s="99" cm="1">
        <f t="array" ref="F15:F75">_xlfn.VSTACK(B15:B45,D15:D44)</f>
        <v>0</v>
      </c>
      <c r="H15" s="99" t="str" cm="1">
        <f t="array" ref="H15:H29">_xlfn.UNIQUE(_xlfn._xlws.FILTER(_xlfn.ANCHORARRAY(F15),_xlfn.ANCHORARRAY(F15)&lt;&gt;0))</f>
        <v>PO1</v>
      </c>
      <c r="I15" s="71"/>
      <c r="J15" s="100">
        <f>SUMIF(General_Ledger[[#All],[Doc No]],'Reconciliation Report'!H15,General_Ledger[[#All],[Debit/Credit]])</f>
        <v>200</v>
      </c>
      <c r="K15" s="100">
        <f>SUMIF(Module_Inventory[[#All],[Document]],'Reconciliation Report'!H15,Module_Inventory[[#All],[Transaction Value]])</f>
        <v>200</v>
      </c>
      <c r="L15" s="101">
        <f>J15-K15</f>
        <v>0</v>
      </c>
      <c r="M15" s="102">
        <f t="shared" ref="M15:M31" si="0">IF(L15=0,0,IF(J15=K15,0,"Error"))</f>
        <v>0</v>
      </c>
    </row>
    <row r="16" spans="1:15" x14ac:dyDescent="0.6">
      <c r="B16" s="99">
        <v>0</v>
      </c>
      <c r="C16" s="71"/>
      <c r="D16" s="99" t="str">
        <v>PO1</v>
      </c>
      <c r="F16" s="99">
        <v>0</v>
      </c>
      <c r="H16" s="99" t="str">
        <v>PO3</v>
      </c>
      <c r="I16" s="71"/>
      <c r="J16" s="100">
        <f>SUMIF(General_Ledger[[#All],[Doc No]],'Reconciliation Report'!H16,General_Ledger[[#All],[Debit/Credit]])</f>
        <v>5</v>
      </c>
      <c r="K16" s="100">
        <f>SUMIF(Module_Inventory[[#All],[Document]],'Reconciliation Report'!H16,Module_Inventory[[#All],[Transaction Value]])</f>
        <v>5</v>
      </c>
      <c r="L16" s="101">
        <f t="shared" ref="L16:L29" si="1">J16-K16</f>
        <v>0</v>
      </c>
      <c r="M16" s="102">
        <f t="shared" si="0"/>
        <v>0</v>
      </c>
    </row>
    <row r="17" spans="2:14" x14ac:dyDescent="0.6">
      <c r="B17" s="99" t="str">
        <v>PO1</v>
      </c>
      <c r="C17" s="71"/>
      <c r="D17" s="99" t="str">
        <v>PO3</v>
      </c>
      <c r="F17" s="99" t="str">
        <v>PO1</v>
      </c>
      <c r="H17" s="99" t="str">
        <v>PO4</v>
      </c>
      <c r="I17" s="71"/>
      <c r="J17" s="100">
        <f>SUMIF(General_Ledger[[#All],[Doc No]],'Reconciliation Report'!H17,General_Ledger[[#All],[Debit/Credit]])</f>
        <v>305</v>
      </c>
      <c r="K17" s="100">
        <f>SUMIF(Module_Inventory[[#All],[Document]],'Reconciliation Report'!H17,Module_Inventory[[#All],[Transaction Value]])</f>
        <v>305</v>
      </c>
      <c r="L17" s="101">
        <f t="shared" si="1"/>
        <v>0</v>
      </c>
      <c r="M17" s="102">
        <f t="shared" si="0"/>
        <v>0</v>
      </c>
    </row>
    <row r="18" spans="2:14" x14ac:dyDescent="0.6">
      <c r="B18" s="99" t="str">
        <v>PO3</v>
      </c>
      <c r="C18" s="71"/>
      <c r="D18" s="99" t="str">
        <v>PO4</v>
      </c>
      <c r="F18" s="99" t="str">
        <v>PO3</v>
      </c>
      <c r="H18" s="99" t="str">
        <v>SO1</v>
      </c>
      <c r="I18" s="71"/>
      <c r="J18" s="100">
        <f>SUMIF(General_Ledger[[#All],[Doc No]],'Reconciliation Report'!H18,General_Ledger[[#All],[Debit/Credit]])</f>
        <v>-7</v>
      </c>
      <c r="K18" s="100">
        <f>SUMIF(Module_Inventory[[#All],[Document]],'Reconciliation Report'!H18,Module_Inventory[[#All],[Transaction Value]])</f>
        <v>-7</v>
      </c>
      <c r="L18" s="101">
        <f t="shared" si="1"/>
        <v>0</v>
      </c>
      <c r="M18" s="102">
        <f t="shared" si="0"/>
        <v>0</v>
      </c>
    </row>
    <row r="19" spans="2:14" x14ac:dyDescent="0.6">
      <c r="B19" s="99" t="str">
        <v>PO4</v>
      </c>
      <c r="C19" s="71"/>
      <c r="D19" s="99" t="str">
        <v>SO1</v>
      </c>
      <c r="F19" s="99" t="str">
        <v>PO4</v>
      </c>
      <c r="H19" s="99" t="str">
        <v>SO2</v>
      </c>
      <c r="I19" s="71"/>
      <c r="J19" s="100">
        <f>SUMIF(General_Ledger[[#All],[Doc No]],'Reconciliation Report'!H19,General_Ledger[[#All],[Debit/Credit]])</f>
        <v>-7</v>
      </c>
      <c r="K19" s="100">
        <f>SUMIF(Module_Inventory[[#All],[Document]],'Reconciliation Report'!H19,Module_Inventory[[#All],[Transaction Value]])</f>
        <v>-7</v>
      </c>
      <c r="L19" s="101">
        <f t="shared" si="1"/>
        <v>0</v>
      </c>
      <c r="M19" s="102">
        <f t="shared" si="0"/>
        <v>0</v>
      </c>
    </row>
    <row r="20" spans="2:14" x14ac:dyDescent="0.6">
      <c r="B20" s="99" t="str">
        <v>PO4</v>
      </c>
      <c r="C20" s="71"/>
      <c r="D20" s="99" t="str">
        <v>SO2</v>
      </c>
      <c r="F20" s="99" t="str">
        <v>PO4</v>
      </c>
      <c r="H20" s="99" t="str">
        <v>SI2</v>
      </c>
      <c r="I20" s="71"/>
      <c r="J20" s="100">
        <f>SUMIF(General_Ledger[[#All],[Doc No]],'Reconciliation Report'!H20,General_Ledger[[#All],[Debit/Credit]])</f>
        <v>23.64</v>
      </c>
      <c r="K20" s="100">
        <f>SUMIF(Module_Inventory[[#All],[Document]],'Reconciliation Report'!H20,Module_Inventory[[#All],[Transaction Value]])</f>
        <v>23.64</v>
      </c>
      <c r="L20" s="101">
        <f t="shared" si="1"/>
        <v>0</v>
      </c>
      <c r="M20" s="102">
        <f t="shared" si="0"/>
        <v>0</v>
      </c>
    </row>
    <row r="21" spans="2:14" x14ac:dyDescent="0.6">
      <c r="B21" s="99" t="str">
        <v>PO4</v>
      </c>
      <c r="C21" s="71"/>
      <c r="D21" s="99" t="str">
        <v>SI2</v>
      </c>
      <c r="F21" s="99" t="str">
        <v>PO4</v>
      </c>
      <c r="H21" s="99" t="str">
        <v>PD5</v>
      </c>
      <c r="I21" s="71"/>
      <c r="J21" s="100">
        <f>SUMIF(General_Ledger[[#All],[Doc No]],'Reconciliation Report'!H21,General_Ledger[[#All],[Debit/Credit]])</f>
        <v>10</v>
      </c>
      <c r="K21" s="100">
        <f>SUMIF(Module_Inventory[[#All],[Document]],'Reconciliation Report'!H21,Module_Inventory[[#All],[Transaction Value]])</f>
        <v>10</v>
      </c>
      <c r="L21" s="101">
        <f t="shared" si="1"/>
        <v>0</v>
      </c>
      <c r="M21" s="102">
        <f t="shared" si="0"/>
        <v>0</v>
      </c>
    </row>
    <row r="22" spans="2:14" x14ac:dyDescent="0.6">
      <c r="B22" s="99" t="str">
        <v>PO4</v>
      </c>
      <c r="C22" s="71"/>
      <c r="D22" s="99" t="str">
        <v>PD5</v>
      </c>
      <c r="F22" s="99" t="str">
        <v>PO4</v>
      </c>
      <c r="H22" s="99" t="str">
        <v>IM1</v>
      </c>
      <c r="I22" s="71"/>
      <c r="J22" s="100">
        <f>SUMIF(General_Ledger[[#All],[Doc No]],'Reconciliation Report'!H22,General_Ledger[[#All],[Debit/Credit]])</f>
        <v>0</v>
      </c>
      <c r="K22" s="100">
        <f>SUMIF(Module_Inventory[[#All],[Document]],'Reconciliation Report'!H22,Module_Inventory[[#All],[Transaction Value]])</f>
        <v>0</v>
      </c>
      <c r="L22" s="101">
        <f t="shared" si="1"/>
        <v>0</v>
      </c>
      <c r="M22" s="102">
        <f t="shared" si="0"/>
        <v>0</v>
      </c>
    </row>
    <row r="23" spans="2:14" x14ac:dyDescent="0.6">
      <c r="B23" s="99" t="str">
        <v>PO4</v>
      </c>
      <c r="C23" s="71"/>
      <c r="D23" s="99" t="str">
        <v>IM1</v>
      </c>
      <c r="F23" s="99" t="str">
        <v>PO4</v>
      </c>
      <c r="H23" s="99" t="str">
        <v>SO3</v>
      </c>
      <c r="I23" s="71"/>
      <c r="J23" s="100">
        <f>SUMIF(General_Ledger[[#All],[Doc No]],'Reconciliation Report'!H23,General_Ledger[[#All],[Debit/Credit]])</f>
        <v>-48.95</v>
      </c>
      <c r="K23" s="100">
        <f>SUMIF(Module_Inventory[[#All],[Document]],'Reconciliation Report'!H23,Module_Inventory[[#All],[Transaction Value]])</f>
        <v>-48.96</v>
      </c>
      <c r="L23" s="103">
        <f t="shared" si="1"/>
        <v>9.9999999999980105E-3</v>
      </c>
      <c r="M23" s="102" t="str">
        <f>IF(L23=0,0,IF(J23=K23,0,"# Error"))</f>
        <v># Error</v>
      </c>
      <c r="N23" s="72" t="s">
        <v>136</v>
      </c>
    </row>
    <row r="24" spans="2:14" x14ac:dyDescent="0.6">
      <c r="B24" s="99" t="str">
        <v>PO4</v>
      </c>
      <c r="C24" s="104" t="s">
        <v>108</v>
      </c>
      <c r="D24" s="99" t="str">
        <v>IM1</v>
      </c>
      <c r="E24" s="104" t="s">
        <v>109</v>
      </c>
      <c r="F24" s="99" t="str">
        <v>PO4</v>
      </c>
      <c r="G24" s="104" t="s">
        <v>109</v>
      </c>
      <c r="H24" s="99" t="str">
        <v>SO4</v>
      </c>
      <c r="I24" s="71"/>
      <c r="J24" s="100">
        <f>SUMIF(General_Ledger[[#All],[Doc No]],'Reconciliation Report'!H24,General_Ledger[[#All],[Debit/Credit]])</f>
        <v>-0.31</v>
      </c>
      <c r="K24" s="100">
        <f>SUMIF(Module_Inventory[[#All],[Document]],'Reconciliation Report'!H24,Module_Inventory[[#All],[Transaction Value]])</f>
        <v>-0.31000000000000005</v>
      </c>
      <c r="L24" s="101">
        <f t="shared" si="1"/>
        <v>0</v>
      </c>
      <c r="M24" s="102">
        <f t="shared" ref="M24:M29" si="2">IF(L24=0,0,IF(J24=K24,0,"# Error"))</f>
        <v>0</v>
      </c>
    </row>
    <row r="25" spans="2:14" x14ac:dyDescent="0.6">
      <c r="B25" s="99" t="str">
        <v>PO4</v>
      </c>
      <c r="C25" s="71"/>
      <c r="D25" s="99" t="str">
        <v>SO3</v>
      </c>
      <c r="F25" s="99" t="str">
        <v>PO4</v>
      </c>
      <c r="H25" s="99" t="str">
        <v>SI1</v>
      </c>
      <c r="I25" s="71"/>
      <c r="J25" s="100">
        <f>SUMIF(General_Ledger[[#All],[Doc No]],'Reconciliation Report'!H25,General_Ledger[[#All],[Debit/Credit]])</f>
        <v>48.5</v>
      </c>
      <c r="K25" s="100">
        <f>SUMIF(Module_Inventory[[#All],[Document]],'Reconciliation Report'!H25,Module_Inventory[[#All],[Transaction Value]])</f>
        <v>48.5</v>
      </c>
      <c r="L25" s="101">
        <f t="shared" si="1"/>
        <v>0</v>
      </c>
      <c r="M25" s="102">
        <f t="shared" si="2"/>
        <v>0</v>
      </c>
    </row>
    <row r="26" spans="2:14" x14ac:dyDescent="0.6">
      <c r="B26" s="99" t="str">
        <v>PO4</v>
      </c>
      <c r="C26" s="71"/>
      <c r="D26" s="99" t="str">
        <v>SO4</v>
      </c>
      <c r="F26" s="99" t="str">
        <v>PO4</v>
      </c>
      <c r="H26" s="99" t="str">
        <v>SI3</v>
      </c>
      <c r="I26" s="71"/>
      <c r="J26" s="100">
        <f>SUMIF(General_Ledger[[#All],[Doc No]],'Reconciliation Report'!H26,General_Ledger[[#All],[Debit/Credit]])</f>
        <v>375</v>
      </c>
      <c r="K26" s="100">
        <f>SUMIF(Module_Inventory[[#All],[Document]],'Reconciliation Report'!H26,Module_Inventory[[#All],[Transaction Value]])</f>
        <v>375</v>
      </c>
      <c r="L26" s="101">
        <f t="shared" si="1"/>
        <v>0</v>
      </c>
      <c r="M26" s="102">
        <f t="shared" si="2"/>
        <v>0</v>
      </c>
    </row>
    <row r="27" spans="2:14" x14ac:dyDescent="0.6">
      <c r="B27" s="99" t="str">
        <v>PO4</v>
      </c>
      <c r="C27" s="71"/>
      <c r="D27" s="99">
        <v>0</v>
      </c>
      <c r="F27" s="99" t="str">
        <v>PO4</v>
      </c>
      <c r="H27" s="99" t="str">
        <v>SI5</v>
      </c>
      <c r="I27" s="71"/>
      <c r="J27" s="100">
        <f>SUMIF(General_Ledger[[#All],[Doc No]],'Reconciliation Report'!H27,General_Ledger[[#All],[Debit/Credit]])</f>
        <v>0.3</v>
      </c>
      <c r="K27" s="100">
        <f>SUMIF(Module_Inventory[[#All],[Document]],'Reconciliation Report'!H27,Module_Inventory[[#All],[Transaction Value]])</f>
        <v>0.3</v>
      </c>
      <c r="L27" s="101">
        <f t="shared" si="1"/>
        <v>0</v>
      </c>
      <c r="M27" s="102">
        <f t="shared" si="2"/>
        <v>0</v>
      </c>
    </row>
    <row r="28" spans="2:14" x14ac:dyDescent="0.6">
      <c r="B28" s="99" t="str">
        <v>SO1</v>
      </c>
      <c r="C28" s="71"/>
      <c r="D28" s="99">
        <v>0</v>
      </c>
      <c r="F28" s="99" t="str">
        <v>SO1</v>
      </c>
      <c r="H28" s="99" t="str">
        <v>SI7</v>
      </c>
      <c r="I28" s="71"/>
      <c r="J28" s="100">
        <f>SUMIF(General_Ledger[[#All],[Doc No]],'Reconciliation Report'!H28,General_Ledger[[#All],[Debit/Credit]])</f>
        <v>1.5</v>
      </c>
      <c r="K28" s="100">
        <f>SUMIF(Module_Inventory[[#All],[Document]],'Reconciliation Report'!H28,Module_Inventory[[#All],[Transaction Value]])</f>
        <v>1.5</v>
      </c>
      <c r="L28" s="101">
        <f t="shared" si="1"/>
        <v>0</v>
      </c>
      <c r="M28" s="102">
        <f t="shared" si="2"/>
        <v>0</v>
      </c>
    </row>
    <row r="29" spans="2:14" x14ac:dyDescent="0.6">
      <c r="B29" s="99" t="str">
        <v>SO1</v>
      </c>
      <c r="C29" s="71"/>
      <c r="D29" s="99">
        <v>0</v>
      </c>
      <c r="F29" s="99" t="str">
        <v>SO1</v>
      </c>
      <c r="H29" s="99" t="str">
        <v>JE18</v>
      </c>
      <c r="I29" s="71"/>
      <c r="J29" s="100">
        <f>SUMIF(General_Ledger[[#All],[Doc No]],'Reconciliation Report'!H29,General_Ledger[[#All],[Debit/Credit]])</f>
        <v>-50000</v>
      </c>
      <c r="K29" s="100">
        <f>SUMIF(Module_Inventory[[#All],[Document]],'Reconciliation Report'!H29,Module_Inventory[[#All],[Transaction Value]])</f>
        <v>0</v>
      </c>
      <c r="L29" s="101">
        <f t="shared" si="1"/>
        <v>-50000</v>
      </c>
      <c r="M29" s="102" t="str">
        <f t="shared" si="2"/>
        <v># Error</v>
      </c>
    </row>
    <row r="30" spans="2:14" x14ac:dyDescent="0.6">
      <c r="B30" s="99" t="str">
        <v>SO2</v>
      </c>
      <c r="C30" s="71"/>
      <c r="D30" s="99" t="str">
        <v>SI1</v>
      </c>
      <c r="F30" s="99" t="str">
        <v>SO2</v>
      </c>
      <c r="H30" s="71"/>
      <c r="I30" s="71"/>
      <c r="J30" s="105"/>
      <c r="K30" s="105"/>
      <c r="L30" s="106"/>
      <c r="M30" s="107"/>
    </row>
    <row r="31" spans="2:14" x14ac:dyDescent="0.6">
      <c r="B31" s="99" t="str">
        <v>SO2</v>
      </c>
      <c r="C31" s="71"/>
      <c r="D31" s="99">
        <v>0</v>
      </c>
      <c r="F31" s="99" t="str">
        <v>SO2</v>
      </c>
      <c r="H31" s="72" t="s">
        <v>129</v>
      </c>
      <c r="J31" s="73">
        <f>SUMIF(General_Ledger[[#All],[Doc No]],'Reconciliation Report'!#REF!,General_Ledger[[#All],[Debit/Credit]])</f>
        <v>0</v>
      </c>
      <c r="M31" s="73">
        <f t="shared" si="0"/>
        <v>0</v>
      </c>
    </row>
    <row r="32" spans="2:14" ht="15.9" thickBot="1" x14ac:dyDescent="0.65">
      <c r="B32" s="99" t="str">
        <v>SI2</v>
      </c>
      <c r="C32" s="71"/>
      <c r="D32" s="99">
        <v>0</v>
      </c>
      <c r="F32" s="99" t="str">
        <v>SI2</v>
      </c>
      <c r="H32" s="108">
        <f>COUNTA(_xlfn.ANCHORARRAY(H15))</f>
        <v>15</v>
      </c>
      <c r="M32" s="108">
        <f>COUNTA(M15:M29)</f>
        <v>15</v>
      </c>
    </row>
    <row r="33" spans="1:12" ht="15.9" thickTop="1" x14ac:dyDescent="0.6">
      <c r="B33" s="99" t="str">
        <v>PD5</v>
      </c>
      <c r="C33" s="71"/>
      <c r="D33" s="99">
        <v>0</v>
      </c>
      <c r="F33" s="99" t="str">
        <v>PD5</v>
      </c>
    </row>
    <row r="34" spans="1:12" ht="15.9" thickBot="1" x14ac:dyDescent="0.65">
      <c r="B34" s="99" t="str">
        <v>IM1</v>
      </c>
      <c r="C34" s="71"/>
      <c r="D34" s="99" t="str">
        <v>SI3</v>
      </c>
      <c r="F34" s="99" t="str">
        <v>IM1</v>
      </c>
      <c r="I34" s="109" t="s">
        <v>135</v>
      </c>
      <c r="J34" s="110">
        <f>SUM(J15:J31)</f>
        <v>-49094.32</v>
      </c>
      <c r="K34" s="110">
        <f>SUM(K15:K31)</f>
        <v>905.67</v>
      </c>
      <c r="L34" s="110">
        <f>SUM(L15:L31)</f>
        <v>-49999.99</v>
      </c>
    </row>
    <row r="35" spans="1:12" ht="15.9" thickTop="1" x14ac:dyDescent="0.6">
      <c r="B35" s="99" t="str">
        <v>IM1</v>
      </c>
      <c r="C35" s="71"/>
      <c r="D35" s="99" t="str">
        <v>JE18</v>
      </c>
      <c r="F35" s="99" t="str">
        <v>IM1</v>
      </c>
      <c r="H35" s="70"/>
      <c r="I35" s="70"/>
    </row>
    <row r="36" spans="1:12" x14ac:dyDescent="0.6">
      <c r="B36" s="99" t="str">
        <v>SO3</v>
      </c>
      <c r="C36" s="71"/>
      <c r="D36" s="99" t="str">
        <v>SI5</v>
      </c>
      <c r="F36" s="99" t="str">
        <v>SO3</v>
      </c>
      <c r="H36" s="111"/>
      <c r="I36" s="111"/>
      <c r="J36" s="104"/>
    </row>
    <row r="37" spans="1:12" x14ac:dyDescent="0.6">
      <c r="B37" s="99" t="str">
        <v>SO4</v>
      </c>
      <c r="D37" s="99" t="str">
        <v>SI7</v>
      </c>
      <c r="F37" s="99" t="str">
        <v>SO4</v>
      </c>
      <c r="H37" s="70"/>
      <c r="I37" s="70"/>
    </row>
    <row r="38" spans="1:12" x14ac:dyDescent="0.6">
      <c r="A38" s="109"/>
      <c r="B38" s="99">
        <v>0</v>
      </c>
      <c r="D38" s="99">
        <v>0</v>
      </c>
      <c r="F38" s="99">
        <v>0</v>
      </c>
      <c r="H38" s="70"/>
      <c r="I38" s="70"/>
      <c r="K38" s="112"/>
    </row>
    <row r="39" spans="1:12" x14ac:dyDescent="0.6">
      <c r="B39" s="99">
        <v>0</v>
      </c>
      <c r="D39" s="99"/>
      <c r="F39" s="99">
        <v>0</v>
      </c>
      <c r="H39" s="111"/>
      <c r="I39" s="111"/>
    </row>
    <row r="40" spans="1:12" x14ac:dyDescent="0.6">
      <c r="B40" s="99" t="str">
        <v>SI1</v>
      </c>
      <c r="D40" s="99"/>
      <c r="F40" s="99" t="str">
        <v>SI1</v>
      </c>
      <c r="H40" s="70"/>
      <c r="I40" s="70"/>
    </row>
    <row r="41" spans="1:12" x14ac:dyDescent="0.6">
      <c r="B41" s="99">
        <v>0</v>
      </c>
      <c r="D41" s="99"/>
      <c r="F41" s="99">
        <v>0</v>
      </c>
    </row>
    <row r="42" spans="1:12" x14ac:dyDescent="0.6">
      <c r="B42" s="99">
        <v>0</v>
      </c>
      <c r="D42" s="99"/>
      <c r="F42" s="99">
        <v>0</v>
      </c>
    </row>
    <row r="43" spans="1:12" x14ac:dyDescent="0.6">
      <c r="B43" s="99" t="str">
        <v>SI3</v>
      </c>
      <c r="D43" s="99"/>
      <c r="F43" s="99" t="str">
        <v>SI3</v>
      </c>
    </row>
    <row r="44" spans="1:12" x14ac:dyDescent="0.6">
      <c r="B44" s="99" t="str">
        <v>SI5</v>
      </c>
      <c r="D44" s="99"/>
      <c r="F44" s="99" t="str">
        <v>SI5</v>
      </c>
    </row>
    <row r="45" spans="1:12" x14ac:dyDescent="0.6">
      <c r="B45" s="99" t="str">
        <v>SI7</v>
      </c>
      <c r="F45" s="99" t="str">
        <v>SI7</v>
      </c>
    </row>
    <row r="46" spans="1:12" x14ac:dyDescent="0.6">
      <c r="C46" s="109"/>
      <c r="F46" s="99">
        <v>0</v>
      </c>
    </row>
    <row r="47" spans="1:12" x14ac:dyDescent="0.6">
      <c r="F47" s="99" t="str">
        <v>PO1</v>
      </c>
    </row>
    <row r="48" spans="1:12" x14ac:dyDescent="0.6">
      <c r="B48" s="71" t="s">
        <v>113</v>
      </c>
      <c r="D48" s="71" t="s">
        <v>114</v>
      </c>
      <c r="F48" s="99" t="str">
        <v>PO3</v>
      </c>
    </row>
    <row r="49" spans="2:6" ht="15.9" thickBot="1" x14ac:dyDescent="0.65">
      <c r="B49" s="113">
        <f>COUNTA(B15:B45)-COUNTIF(B15:B45,0)</f>
        <v>25</v>
      </c>
      <c r="D49" s="113">
        <f>COUNTA(D15:D44)-COUNTIF(D15:D44,0)</f>
        <v>16</v>
      </c>
      <c r="F49" s="99" t="str">
        <v>PO4</v>
      </c>
    </row>
    <row r="50" spans="2:6" ht="15.9" thickTop="1" x14ac:dyDescent="0.6">
      <c r="B50" s="114">
        <f>Module_Inventory!D42-'Reconciliation Report'!B49</f>
        <v>0</v>
      </c>
      <c r="D50" s="115">
        <f>D49-Module_GL!D36</f>
        <v>0</v>
      </c>
      <c r="F50" s="99" t="str">
        <v>SO1</v>
      </c>
    </row>
    <row r="51" spans="2:6" x14ac:dyDescent="0.6">
      <c r="F51" s="99" t="str">
        <v>SO2</v>
      </c>
    </row>
    <row r="52" spans="2:6" x14ac:dyDescent="0.6">
      <c r="F52" s="99" t="str">
        <v>SI2</v>
      </c>
    </row>
    <row r="53" spans="2:6" x14ac:dyDescent="0.6">
      <c r="F53" s="99" t="str">
        <v>PD5</v>
      </c>
    </row>
    <row r="54" spans="2:6" x14ac:dyDescent="0.6">
      <c r="F54" s="99" t="str">
        <v>IM1</v>
      </c>
    </row>
    <row r="55" spans="2:6" x14ac:dyDescent="0.6">
      <c r="F55" s="99" t="str">
        <v>IM1</v>
      </c>
    </row>
    <row r="56" spans="2:6" x14ac:dyDescent="0.6">
      <c r="F56" s="99" t="str">
        <v>SO3</v>
      </c>
    </row>
    <row r="57" spans="2:6" x14ac:dyDescent="0.6">
      <c r="F57" s="99" t="str">
        <v>SO4</v>
      </c>
    </row>
    <row r="58" spans="2:6" x14ac:dyDescent="0.6">
      <c r="F58" s="99">
        <v>0</v>
      </c>
    </row>
    <row r="59" spans="2:6" x14ac:dyDescent="0.6">
      <c r="F59" s="99">
        <v>0</v>
      </c>
    </row>
    <row r="60" spans="2:6" x14ac:dyDescent="0.6">
      <c r="F60" s="99">
        <v>0</v>
      </c>
    </row>
    <row r="61" spans="2:6" x14ac:dyDescent="0.6">
      <c r="F61" s="99" t="str">
        <v>SI1</v>
      </c>
    </row>
    <row r="62" spans="2:6" x14ac:dyDescent="0.6">
      <c r="F62" s="99">
        <v>0</v>
      </c>
    </row>
    <row r="63" spans="2:6" x14ac:dyDescent="0.6">
      <c r="F63" s="99">
        <v>0</v>
      </c>
    </row>
    <row r="64" spans="2:6" x14ac:dyDescent="0.6">
      <c r="F64" s="99">
        <v>0</v>
      </c>
    </row>
    <row r="65" spans="4:6" x14ac:dyDescent="0.6">
      <c r="F65" s="99" t="str">
        <v>SI3</v>
      </c>
    </row>
    <row r="66" spans="4:6" x14ac:dyDescent="0.6">
      <c r="F66" s="99" t="str">
        <v>JE18</v>
      </c>
    </row>
    <row r="67" spans="4:6" x14ac:dyDescent="0.6">
      <c r="F67" s="99" t="str">
        <v>SI5</v>
      </c>
    </row>
    <row r="68" spans="4:6" x14ac:dyDescent="0.6">
      <c r="F68" s="99" t="str">
        <v>SI7</v>
      </c>
    </row>
    <row r="69" spans="4:6" x14ac:dyDescent="0.6">
      <c r="F69" s="99">
        <v>0</v>
      </c>
    </row>
    <row r="70" spans="4:6" x14ac:dyDescent="0.6">
      <c r="F70" s="99">
        <v>0</v>
      </c>
    </row>
    <row r="71" spans="4:6" x14ac:dyDescent="0.6">
      <c r="F71" s="99">
        <v>0</v>
      </c>
    </row>
    <row r="72" spans="4:6" x14ac:dyDescent="0.6">
      <c r="F72" s="99">
        <v>0</v>
      </c>
    </row>
    <row r="73" spans="4:6" x14ac:dyDescent="0.6">
      <c r="D73" s="70"/>
      <c r="F73" s="99">
        <v>0</v>
      </c>
    </row>
    <row r="74" spans="4:6" x14ac:dyDescent="0.6">
      <c r="D74" s="70"/>
      <c r="F74" s="99">
        <v>0</v>
      </c>
    </row>
    <row r="75" spans="4:6" x14ac:dyDescent="0.6">
      <c r="D75" s="70"/>
      <c r="F75" s="99">
        <v>0</v>
      </c>
    </row>
    <row r="77" spans="4:6" ht="15.9" thickBot="1" x14ac:dyDescent="0.65">
      <c r="E77" s="109" t="s">
        <v>118</v>
      </c>
      <c r="F77" s="113">
        <f>COUNTA(_xlfn.ANCHORARRAY(F15))-COUNTIF(F15:F75,0)</f>
        <v>41</v>
      </c>
    </row>
    <row r="78" spans="4:6" ht="15.9" thickTop="1" x14ac:dyDescent="0.6"/>
    <row r="80" spans="4:6" x14ac:dyDescent="0.6">
      <c r="E80" s="116" t="s">
        <v>115</v>
      </c>
      <c r="F80" s="117"/>
    </row>
    <row r="81" spans="5:6" x14ac:dyDescent="0.6">
      <c r="E81" s="109" t="s">
        <v>113</v>
      </c>
      <c r="F81" s="118">
        <f>B49</f>
        <v>25</v>
      </c>
    </row>
    <row r="82" spans="5:6" x14ac:dyDescent="0.6">
      <c r="E82" s="109" t="s">
        <v>114</v>
      </c>
      <c r="F82" s="118">
        <f>D49</f>
        <v>16</v>
      </c>
    </row>
    <row r="83" spans="5:6" x14ac:dyDescent="0.6">
      <c r="E83" s="119"/>
      <c r="F83" s="118"/>
    </row>
    <row r="84" spans="5:6" ht="15.9" thickBot="1" x14ac:dyDescent="0.65">
      <c r="E84" s="70" t="s">
        <v>64</v>
      </c>
      <c r="F84" s="120">
        <f>F81+F82</f>
        <v>41</v>
      </c>
    </row>
    <row r="85" spans="5:6" ht="15.9" thickTop="1" x14ac:dyDescent="0.6">
      <c r="F85" s="121">
        <f>F77-F84</f>
        <v>0</v>
      </c>
    </row>
  </sheetData>
  <mergeCells count="1">
    <mergeCell ref="H11:H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1101-37A5-4ACD-961C-90E98BEEBB46}">
  <sheetPr codeName="Sheet2">
    <tabColor theme="7" tint="0.59999389629810485"/>
  </sheetPr>
  <dimension ref="A1:L46"/>
  <sheetViews>
    <sheetView showGridLines="0" topLeftCell="A10" workbookViewId="0">
      <selection activeCell="C32" sqref="C32"/>
    </sheetView>
  </sheetViews>
  <sheetFormatPr defaultRowHeight="14.4" x14ac:dyDescent="0.55000000000000004"/>
  <cols>
    <col min="1" max="1" width="16" customWidth="1"/>
    <col min="2" max="2" width="13.15625" customWidth="1"/>
    <col min="3" max="3" width="13.15625" style="1" customWidth="1"/>
    <col min="4" max="4" width="11.3125" style="1" customWidth="1"/>
    <col min="5" max="5" width="8.83984375" style="1"/>
    <col min="6" max="6" width="16.05078125" style="1" customWidth="1"/>
    <col min="7" max="7" width="8.83984375" style="16"/>
    <col min="8" max="8" width="8.83984375" style="3"/>
    <col min="9" max="9" width="18.578125" style="3" customWidth="1"/>
    <col min="10" max="10" width="20.15625" style="3" customWidth="1"/>
    <col min="11" max="11" width="9.47265625" style="3" customWidth="1"/>
    <col min="12" max="12" width="21.89453125" style="35" bestFit="1" customWidth="1"/>
  </cols>
  <sheetData>
    <row r="1" spans="1:12" x14ac:dyDescent="0.55000000000000004">
      <c r="A1" t="s">
        <v>130</v>
      </c>
    </row>
    <row r="2" spans="1:12" x14ac:dyDescent="0.55000000000000004">
      <c r="A2" s="20" t="s">
        <v>128</v>
      </c>
    </row>
    <row r="3" spans="1:12" x14ac:dyDescent="0.55000000000000004">
      <c r="A3" t="s">
        <v>131</v>
      </c>
    </row>
    <row r="5" spans="1:12" x14ac:dyDescent="0.55000000000000004">
      <c r="A5" t="s">
        <v>151</v>
      </c>
    </row>
    <row r="6" spans="1:12" x14ac:dyDescent="0.55000000000000004">
      <c r="A6" t="s">
        <v>152</v>
      </c>
    </row>
    <row r="7" spans="1:12" x14ac:dyDescent="0.55000000000000004">
      <c r="E7" s="1" t="s">
        <v>147</v>
      </c>
      <c r="L7" s="43" t="s">
        <v>150</v>
      </c>
    </row>
    <row r="8" spans="1:12" x14ac:dyDescent="0.55000000000000004">
      <c r="A8" s="58"/>
      <c r="B8" s="58"/>
      <c r="C8" s="59"/>
      <c r="D8" s="59"/>
      <c r="E8" s="59"/>
      <c r="F8" s="59"/>
      <c r="G8" s="60"/>
      <c r="H8" s="4"/>
      <c r="I8" s="4"/>
      <c r="J8" s="4"/>
      <c r="L8" s="61"/>
    </row>
    <row r="9" spans="1:12" s="20" customFormat="1" x14ac:dyDescent="0.55000000000000004">
      <c r="A9" s="20" t="s">
        <v>38</v>
      </c>
      <c r="B9" s="20" t="s">
        <v>39</v>
      </c>
      <c r="C9" s="21" t="s">
        <v>40</v>
      </c>
      <c r="D9" s="21" t="s">
        <v>37</v>
      </c>
      <c r="E9" s="21" t="s">
        <v>53</v>
      </c>
      <c r="F9" s="21" t="s">
        <v>41</v>
      </c>
      <c r="G9" s="22" t="s">
        <v>42</v>
      </c>
      <c r="H9" s="23" t="s">
        <v>43</v>
      </c>
      <c r="I9" s="23" t="s">
        <v>44</v>
      </c>
      <c r="J9" s="23" t="s">
        <v>45</v>
      </c>
      <c r="K9" s="57" t="s">
        <v>141</v>
      </c>
      <c r="L9" s="56" t="s">
        <v>142</v>
      </c>
    </row>
    <row r="10" spans="1:12" x14ac:dyDescent="0.55000000000000004">
      <c r="A10" s="9" t="s">
        <v>127</v>
      </c>
      <c r="B10" s="9"/>
      <c r="C10" s="24"/>
      <c r="D10" s="24"/>
      <c r="E10" s="24"/>
      <c r="F10" s="24"/>
      <c r="G10" s="29"/>
      <c r="H10" s="30"/>
      <c r="I10" s="30"/>
      <c r="J10" s="30">
        <v>480.37</v>
      </c>
      <c r="K10" s="30"/>
    </row>
    <row r="11" spans="1:12" x14ac:dyDescent="0.55000000000000004">
      <c r="A11" t="s">
        <v>46</v>
      </c>
      <c r="J11" s="3">
        <v>0</v>
      </c>
    </row>
    <row r="12" spans="1:12" x14ac:dyDescent="0.55000000000000004">
      <c r="B12" s="11">
        <v>43494</v>
      </c>
      <c r="C12" s="15">
        <v>43494</v>
      </c>
      <c r="D12" s="1" t="s">
        <v>47</v>
      </c>
      <c r="E12" s="1">
        <v>10</v>
      </c>
      <c r="F12" s="1" t="s">
        <v>54</v>
      </c>
      <c r="G12" s="17">
        <v>20</v>
      </c>
      <c r="H12" s="13">
        <v>10</v>
      </c>
      <c r="I12" s="13">
        <f>G12*H12</f>
        <v>200</v>
      </c>
      <c r="J12" s="13">
        <f>I12</f>
        <v>200</v>
      </c>
      <c r="K12" s="13"/>
    </row>
    <row r="13" spans="1:12" x14ac:dyDescent="0.55000000000000004">
      <c r="B13" s="11">
        <v>43494</v>
      </c>
      <c r="C13" s="15">
        <v>43494</v>
      </c>
      <c r="D13" s="1" t="s">
        <v>48</v>
      </c>
      <c r="E13" s="1">
        <v>10</v>
      </c>
      <c r="F13" s="1" t="s">
        <v>54</v>
      </c>
      <c r="G13" s="17">
        <v>1</v>
      </c>
      <c r="H13" s="13">
        <v>5</v>
      </c>
      <c r="I13" s="13">
        <f t="shared" ref="I13:I32" si="0">G13*H13</f>
        <v>5</v>
      </c>
      <c r="J13" s="13">
        <f>J12+I13</f>
        <v>205</v>
      </c>
      <c r="K13" s="13"/>
    </row>
    <row r="14" spans="1:12" x14ac:dyDescent="0.55000000000000004">
      <c r="B14" s="11">
        <v>43495</v>
      </c>
      <c r="C14" s="15">
        <v>43495</v>
      </c>
      <c r="D14" s="1" t="s">
        <v>49</v>
      </c>
      <c r="E14" s="1">
        <v>12</v>
      </c>
      <c r="F14" s="1" t="s">
        <v>55</v>
      </c>
      <c r="G14" s="17">
        <v>5</v>
      </c>
      <c r="H14" s="13">
        <v>1</v>
      </c>
      <c r="I14" s="13">
        <f t="shared" si="0"/>
        <v>5</v>
      </c>
      <c r="J14" s="13">
        <f t="shared" ref="J14:J32" si="1">J13+I14</f>
        <v>210</v>
      </c>
      <c r="K14" s="13"/>
    </row>
    <row r="15" spans="1:12" x14ac:dyDescent="0.55000000000000004">
      <c r="B15" s="11">
        <v>43495</v>
      </c>
      <c r="C15" s="15">
        <v>43495</v>
      </c>
      <c r="D15" s="1" t="s">
        <v>49</v>
      </c>
      <c r="E15" s="1">
        <v>14</v>
      </c>
      <c r="F15" s="1" t="s">
        <v>56</v>
      </c>
      <c r="G15" s="17">
        <v>10</v>
      </c>
      <c r="H15" s="13">
        <v>1</v>
      </c>
      <c r="I15" s="13">
        <f t="shared" si="0"/>
        <v>10</v>
      </c>
      <c r="J15" s="13">
        <f t="shared" si="1"/>
        <v>220</v>
      </c>
      <c r="K15" s="13"/>
    </row>
    <row r="16" spans="1:12" x14ac:dyDescent="0.55000000000000004">
      <c r="B16" s="11">
        <v>43495</v>
      </c>
      <c r="C16" s="15">
        <v>43495</v>
      </c>
      <c r="D16" s="1" t="s">
        <v>49</v>
      </c>
      <c r="E16" s="1">
        <v>15</v>
      </c>
      <c r="F16" s="1" t="s">
        <v>57</v>
      </c>
      <c r="G16" s="17">
        <v>100</v>
      </c>
      <c r="H16" s="13">
        <v>1</v>
      </c>
      <c r="I16" s="13">
        <f t="shared" si="0"/>
        <v>100</v>
      </c>
      <c r="J16" s="13">
        <f t="shared" si="1"/>
        <v>320</v>
      </c>
      <c r="K16" s="13"/>
    </row>
    <row r="17" spans="1:12" x14ac:dyDescent="0.55000000000000004">
      <c r="B17" s="11">
        <v>43495</v>
      </c>
      <c r="C17" s="15">
        <v>43495</v>
      </c>
      <c r="D17" s="1" t="s">
        <v>49</v>
      </c>
      <c r="E17" s="1">
        <v>17</v>
      </c>
      <c r="F17" s="1" t="s">
        <v>58</v>
      </c>
      <c r="G17" s="17">
        <v>20</v>
      </c>
      <c r="H17" s="13">
        <v>1</v>
      </c>
      <c r="I17" s="13">
        <f t="shared" si="0"/>
        <v>20</v>
      </c>
      <c r="J17" s="13">
        <f t="shared" si="1"/>
        <v>340</v>
      </c>
      <c r="K17" s="13"/>
    </row>
    <row r="18" spans="1:12" x14ac:dyDescent="0.55000000000000004">
      <c r="B18" s="11">
        <v>43495</v>
      </c>
      <c r="C18" s="15">
        <v>43495</v>
      </c>
      <c r="D18" s="1" t="s">
        <v>49</v>
      </c>
      <c r="E18" s="1">
        <v>19</v>
      </c>
      <c r="F18" s="1" t="s">
        <v>59</v>
      </c>
      <c r="G18" s="17">
        <v>10</v>
      </c>
      <c r="H18" s="13">
        <v>1</v>
      </c>
      <c r="I18" s="13">
        <f t="shared" si="0"/>
        <v>10</v>
      </c>
      <c r="J18" s="13">
        <f t="shared" si="1"/>
        <v>350</v>
      </c>
      <c r="K18" s="13"/>
    </row>
    <row r="19" spans="1:12" x14ac:dyDescent="0.55000000000000004">
      <c r="B19" s="11">
        <v>43495</v>
      </c>
      <c r="C19" s="15">
        <v>43495</v>
      </c>
      <c r="D19" s="1" t="s">
        <v>49</v>
      </c>
      <c r="E19" s="1">
        <v>20</v>
      </c>
      <c r="F19" s="1" t="s">
        <v>60</v>
      </c>
      <c r="G19" s="17">
        <v>10</v>
      </c>
      <c r="H19" s="13">
        <v>1</v>
      </c>
      <c r="I19" s="13">
        <f t="shared" si="0"/>
        <v>10</v>
      </c>
      <c r="J19" s="13">
        <f t="shared" si="1"/>
        <v>360</v>
      </c>
      <c r="K19" s="13"/>
    </row>
    <row r="20" spans="1:12" x14ac:dyDescent="0.55000000000000004">
      <c r="B20" s="11">
        <v>43495</v>
      </c>
      <c r="C20" s="15">
        <v>43495</v>
      </c>
      <c r="D20" s="1" t="s">
        <v>49</v>
      </c>
      <c r="E20" s="1">
        <v>25</v>
      </c>
      <c r="F20" s="1" t="s">
        <v>61</v>
      </c>
      <c r="G20" s="17">
        <v>30</v>
      </c>
      <c r="H20" s="13">
        <v>1</v>
      </c>
      <c r="I20" s="13">
        <f t="shared" si="0"/>
        <v>30</v>
      </c>
      <c r="J20" s="13">
        <f t="shared" si="1"/>
        <v>390</v>
      </c>
      <c r="K20" s="13"/>
    </row>
    <row r="21" spans="1:12" x14ac:dyDescent="0.55000000000000004">
      <c r="B21" s="11">
        <v>43495</v>
      </c>
      <c r="C21" s="15">
        <v>43495</v>
      </c>
      <c r="D21" s="1" t="s">
        <v>49</v>
      </c>
      <c r="E21" s="1">
        <v>27</v>
      </c>
      <c r="F21" s="1" t="s">
        <v>62</v>
      </c>
      <c r="G21" s="17">
        <v>20</v>
      </c>
      <c r="H21" s="13">
        <v>1</v>
      </c>
      <c r="I21" s="13">
        <f t="shared" si="0"/>
        <v>20</v>
      </c>
      <c r="J21" s="13">
        <f t="shared" si="1"/>
        <v>410</v>
      </c>
      <c r="K21" s="13"/>
    </row>
    <row r="22" spans="1:12" x14ac:dyDescent="0.55000000000000004">
      <c r="B22" s="11">
        <v>43495</v>
      </c>
      <c r="C22" s="15">
        <v>43495</v>
      </c>
      <c r="D22" s="1" t="s">
        <v>49</v>
      </c>
      <c r="E22" s="1">
        <v>29</v>
      </c>
      <c r="F22" s="1" t="s">
        <v>63</v>
      </c>
      <c r="G22" s="17">
        <v>100</v>
      </c>
      <c r="H22" s="13">
        <v>1</v>
      </c>
      <c r="I22" s="13">
        <f t="shared" si="0"/>
        <v>100</v>
      </c>
      <c r="J22" s="13">
        <f t="shared" si="1"/>
        <v>510</v>
      </c>
      <c r="K22" s="13"/>
    </row>
    <row r="23" spans="1:12" x14ac:dyDescent="0.55000000000000004">
      <c r="B23" s="11">
        <v>43495</v>
      </c>
      <c r="C23" s="15">
        <v>43495</v>
      </c>
      <c r="D23" s="1" t="s">
        <v>50</v>
      </c>
      <c r="E23" s="1">
        <v>15</v>
      </c>
      <c r="F23" s="1" t="s">
        <v>57</v>
      </c>
      <c r="G23" s="17">
        <v>-0.5</v>
      </c>
      <c r="H23" s="13">
        <v>1</v>
      </c>
      <c r="I23" s="13">
        <f t="shared" si="0"/>
        <v>-0.5</v>
      </c>
      <c r="J23" s="14">
        <f t="shared" si="1"/>
        <v>509.5</v>
      </c>
      <c r="K23" s="14"/>
    </row>
    <row r="24" spans="1:12" x14ac:dyDescent="0.55000000000000004">
      <c r="B24" s="11">
        <v>43495</v>
      </c>
      <c r="C24" s="15">
        <v>43495</v>
      </c>
      <c r="D24" s="1" t="s">
        <v>50</v>
      </c>
      <c r="E24" s="1">
        <v>29</v>
      </c>
      <c r="F24" s="1" t="s">
        <v>63</v>
      </c>
      <c r="G24" s="17">
        <v>-6.5</v>
      </c>
      <c r="H24" s="13">
        <v>1</v>
      </c>
      <c r="I24" s="13">
        <f t="shared" si="0"/>
        <v>-6.5</v>
      </c>
      <c r="J24" s="14">
        <f t="shared" si="1"/>
        <v>503</v>
      </c>
      <c r="K24" s="14"/>
    </row>
    <row r="25" spans="1:12" x14ac:dyDescent="0.55000000000000004">
      <c r="B25" s="11">
        <v>43495</v>
      </c>
      <c r="C25" s="15">
        <v>43495</v>
      </c>
      <c r="D25" s="1" t="s">
        <v>51</v>
      </c>
      <c r="E25" s="1">
        <v>15</v>
      </c>
      <c r="F25" s="1" t="s">
        <v>57</v>
      </c>
      <c r="G25" s="17">
        <v>-0.5</v>
      </c>
      <c r="H25" s="13">
        <v>1</v>
      </c>
      <c r="I25" s="13">
        <f t="shared" si="0"/>
        <v>-0.5</v>
      </c>
      <c r="J25" s="14">
        <f t="shared" si="1"/>
        <v>502.5</v>
      </c>
      <c r="K25" s="14"/>
    </row>
    <row r="26" spans="1:12" x14ac:dyDescent="0.55000000000000004">
      <c r="B26" s="11">
        <v>43495</v>
      </c>
      <c r="C26" s="15">
        <v>43495</v>
      </c>
      <c r="D26" s="1" t="s">
        <v>51</v>
      </c>
      <c r="E26" s="1">
        <v>29</v>
      </c>
      <c r="F26" s="1" t="s">
        <v>63</v>
      </c>
      <c r="G26" s="17">
        <v>-6.5</v>
      </c>
      <c r="H26" s="13">
        <v>1</v>
      </c>
      <c r="I26" s="13">
        <f t="shared" si="0"/>
        <v>-6.5</v>
      </c>
      <c r="J26" s="14">
        <f t="shared" si="1"/>
        <v>496</v>
      </c>
      <c r="K26" s="14"/>
    </row>
    <row r="27" spans="1:12" x14ac:dyDescent="0.55000000000000004">
      <c r="B27" s="11">
        <v>43495</v>
      </c>
      <c r="C27" s="15">
        <v>43495</v>
      </c>
      <c r="D27" s="1" t="s">
        <v>75</v>
      </c>
      <c r="E27" s="1">
        <v>10</v>
      </c>
      <c r="F27" s="1" t="s">
        <v>54</v>
      </c>
      <c r="G27" s="17">
        <v>3</v>
      </c>
      <c r="H27" s="13">
        <v>7.88</v>
      </c>
      <c r="I27" s="13">
        <f t="shared" si="0"/>
        <v>23.64</v>
      </c>
      <c r="J27" s="14">
        <f t="shared" si="1"/>
        <v>519.64</v>
      </c>
      <c r="K27" s="14"/>
    </row>
    <row r="28" spans="1:12" x14ac:dyDescent="0.55000000000000004">
      <c r="B28" s="11">
        <v>43495</v>
      </c>
      <c r="C28" s="15">
        <v>43495</v>
      </c>
      <c r="D28" s="1" t="s">
        <v>132</v>
      </c>
      <c r="E28" s="1">
        <v>10</v>
      </c>
      <c r="F28" s="1" t="s">
        <v>54</v>
      </c>
      <c r="G28" s="17">
        <v>10</v>
      </c>
      <c r="H28" s="13">
        <v>1</v>
      </c>
      <c r="I28" s="13">
        <f t="shared" si="0"/>
        <v>10</v>
      </c>
      <c r="J28" s="14">
        <f t="shared" si="1"/>
        <v>529.64</v>
      </c>
      <c r="K28" s="14"/>
    </row>
    <row r="29" spans="1:12" x14ac:dyDescent="0.55000000000000004">
      <c r="B29" s="11">
        <v>43497</v>
      </c>
      <c r="C29" s="15">
        <v>43497</v>
      </c>
      <c r="D29" s="1" t="s">
        <v>76</v>
      </c>
      <c r="E29" s="1">
        <v>10</v>
      </c>
      <c r="F29" s="1" t="s">
        <v>54</v>
      </c>
      <c r="G29" s="17">
        <v>-10</v>
      </c>
      <c r="H29" s="13">
        <v>6.12</v>
      </c>
      <c r="I29" s="13">
        <f t="shared" si="0"/>
        <v>-61.2</v>
      </c>
      <c r="J29" s="14">
        <f t="shared" si="1"/>
        <v>468.44</v>
      </c>
      <c r="K29" s="14"/>
    </row>
    <row r="30" spans="1:12" x14ac:dyDescent="0.55000000000000004">
      <c r="B30" s="11">
        <v>43497</v>
      </c>
      <c r="C30" s="15">
        <v>43497</v>
      </c>
      <c r="D30" s="1" t="s">
        <v>76</v>
      </c>
      <c r="E30" s="1">
        <v>10</v>
      </c>
      <c r="F30" s="1" t="s">
        <v>54</v>
      </c>
      <c r="G30" s="17">
        <v>10</v>
      </c>
      <c r="H30" s="13">
        <v>6.12</v>
      </c>
      <c r="I30" s="13">
        <f t="shared" si="0"/>
        <v>61.2</v>
      </c>
      <c r="J30" s="14">
        <f t="shared" si="1"/>
        <v>529.64</v>
      </c>
      <c r="K30" s="14"/>
    </row>
    <row r="31" spans="1:12" x14ac:dyDescent="0.55000000000000004">
      <c r="B31" s="11">
        <v>43614</v>
      </c>
      <c r="C31" s="15">
        <v>43614</v>
      </c>
      <c r="D31" s="1" t="s">
        <v>52</v>
      </c>
      <c r="E31" s="1">
        <v>10</v>
      </c>
      <c r="F31" s="1" t="s">
        <v>54</v>
      </c>
      <c r="G31" s="17">
        <v>-8</v>
      </c>
      <c r="H31" s="13">
        <v>6.12</v>
      </c>
      <c r="I31" s="13">
        <f t="shared" si="0"/>
        <v>-48.96</v>
      </c>
      <c r="J31" s="13">
        <f t="shared" si="1"/>
        <v>480.68</v>
      </c>
      <c r="K31" s="13"/>
    </row>
    <row r="32" spans="1:12" x14ac:dyDescent="0.55000000000000004">
      <c r="A32" s="36"/>
      <c r="B32" s="37">
        <v>44150</v>
      </c>
      <c r="C32" s="38">
        <v>44150</v>
      </c>
      <c r="D32" s="39" t="s">
        <v>77</v>
      </c>
      <c r="E32" s="39">
        <v>10</v>
      </c>
      <c r="F32" s="39" t="s">
        <v>54</v>
      </c>
      <c r="G32" s="40">
        <v>-0.05</v>
      </c>
      <c r="H32" s="41">
        <v>6.2</v>
      </c>
      <c r="I32" s="41">
        <f t="shared" si="0"/>
        <v>-0.31000000000000005</v>
      </c>
      <c r="J32" s="41">
        <f t="shared" si="1"/>
        <v>480.37</v>
      </c>
      <c r="K32" s="41"/>
      <c r="L32" s="42">
        <f>J10-Module_Inventory[[#This Row],[Cummulative Value]]</f>
        <v>0</v>
      </c>
    </row>
    <row r="33" spans="1:12" x14ac:dyDescent="0.55000000000000004">
      <c r="A33" s="9" t="s">
        <v>119</v>
      </c>
      <c r="B33" s="31"/>
      <c r="C33" s="25"/>
      <c r="D33" s="24"/>
      <c r="E33" s="24"/>
      <c r="F33" s="24"/>
      <c r="G33" s="32"/>
      <c r="H33" s="33"/>
      <c r="I33" s="33">
        <f t="shared" ref="I33" si="2">G33*H33</f>
        <v>0</v>
      </c>
      <c r="J33" s="34">
        <v>48.5</v>
      </c>
      <c r="K33" s="34"/>
    </row>
    <row r="34" spans="1:12" x14ac:dyDescent="0.55000000000000004">
      <c r="A34" t="s">
        <v>46</v>
      </c>
      <c r="B34" s="11"/>
      <c r="C34" s="15"/>
      <c r="G34" s="17"/>
      <c r="H34" s="13"/>
      <c r="I34" s="13">
        <v>0</v>
      </c>
      <c r="J34" s="14">
        <v>0</v>
      </c>
      <c r="K34" s="14"/>
    </row>
    <row r="35" spans="1:12" x14ac:dyDescent="0.55000000000000004">
      <c r="A35" s="36"/>
      <c r="B35" s="37">
        <v>43495</v>
      </c>
      <c r="C35" s="38">
        <v>43495</v>
      </c>
      <c r="D35" s="39" t="s">
        <v>124</v>
      </c>
      <c r="E35" s="39">
        <v>50001</v>
      </c>
      <c r="F35" s="39" t="s">
        <v>120</v>
      </c>
      <c r="G35" s="40">
        <v>10</v>
      </c>
      <c r="H35" s="41">
        <v>4.8499999999999996</v>
      </c>
      <c r="I35" s="41">
        <f t="shared" ref="I35:I36" si="3">G35*H35</f>
        <v>48.5</v>
      </c>
      <c r="J35" s="41">
        <f t="shared" ref="J35" si="4">J34+I35</f>
        <v>48.5</v>
      </c>
      <c r="K35" s="41"/>
      <c r="L35" s="42">
        <f>J33-Module_Inventory[[#This Row],[Cummulative Value]]</f>
        <v>0</v>
      </c>
    </row>
    <row r="36" spans="1:12" x14ac:dyDescent="0.55000000000000004">
      <c r="A36" s="9" t="s">
        <v>121</v>
      </c>
      <c r="B36" s="31"/>
      <c r="C36" s="25"/>
      <c r="D36" s="24"/>
      <c r="E36" s="24"/>
      <c r="F36" s="24"/>
      <c r="G36" s="32"/>
      <c r="H36" s="33"/>
      <c r="I36" s="33">
        <f t="shared" si="3"/>
        <v>0</v>
      </c>
      <c r="J36" s="34">
        <v>376.8</v>
      </c>
      <c r="K36" s="34"/>
    </row>
    <row r="37" spans="1:12" x14ac:dyDescent="0.55000000000000004">
      <c r="A37" t="s">
        <v>46</v>
      </c>
      <c r="B37" s="11"/>
      <c r="C37" s="15"/>
      <c r="G37" s="17"/>
      <c r="H37" s="13"/>
      <c r="I37" s="13"/>
      <c r="J37" s="14">
        <v>0</v>
      </c>
      <c r="K37" s="14"/>
    </row>
    <row r="38" spans="1:12" x14ac:dyDescent="0.55000000000000004">
      <c r="B38" s="11">
        <v>43614</v>
      </c>
      <c r="C38" s="15">
        <v>43614</v>
      </c>
      <c r="D38" s="1" t="s">
        <v>91</v>
      </c>
      <c r="E38" s="1">
        <v>10304</v>
      </c>
      <c r="F38" s="1" t="s">
        <v>122</v>
      </c>
      <c r="G38" s="17">
        <v>1</v>
      </c>
      <c r="H38" s="13">
        <v>375</v>
      </c>
      <c r="I38" s="13">
        <f>G38*H38</f>
        <v>375</v>
      </c>
      <c r="J38" s="13">
        <f>J37+I38</f>
        <v>375</v>
      </c>
      <c r="K38" s="13"/>
    </row>
    <row r="39" spans="1:12" x14ac:dyDescent="0.55000000000000004">
      <c r="B39" s="11">
        <v>44140</v>
      </c>
      <c r="C39" s="15">
        <v>44140</v>
      </c>
      <c r="D39" s="1" t="s">
        <v>93</v>
      </c>
      <c r="E39" s="1">
        <v>6</v>
      </c>
      <c r="F39" s="1" t="s">
        <v>123</v>
      </c>
      <c r="G39" s="17">
        <v>5</v>
      </c>
      <c r="H39" s="13">
        <v>0.06</v>
      </c>
      <c r="I39" s="13">
        <f>G39*H39</f>
        <v>0.3</v>
      </c>
      <c r="J39" s="13">
        <f t="shared" ref="J39:J40" si="5">J38+I39</f>
        <v>375.3</v>
      </c>
      <c r="K39" s="13"/>
    </row>
    <row r="40" spans="1:12" x14ac:dyDescent="0.55000000000000004">
      <c r="A40" s="36"/>
      <c r="B40" s="37">
        <v>44140</v>
      </c>
      <c r="C40" s="38">
        <v>44140</v>
      </c>
      <c r="D40" s="39" t="s">
        <v>94</v>
      </c>
      <c r="E40" s="39">
        <v>10304</v>
      </c>
      <c r="F40" s="39" t="s">
        <v>122</v>
      </c>
      <c r="G40" s="40">
        <v>6</v>
      </c>
      <c r="H40" s="41">
        <v>0.25</v>
      </c>
      <c r="I40" s="41">
        <f>G40*H40</f>
        <v>1.5</v>
      </c>
      <c r="J40" s="41">
        <f t="shared" si="5"/>
        <v>376.8</v>
      </c>
      <c r="K40" s="41"/>
      <c r="L40" s="42">
        <f>J36-Module_Inventory[[#This Row],[Cummulative Value]]</f>
        <v>0</v>
      </c>
    </row>
    <row r="41" spans="1:12" x14ac:dyDescent="0.55000000000000004">
      <c r="I41" s="4"/>
    </row>
    <row r="42" spans="1:12" ht="14.7" thickBot="1" x14ac:dyDescent="0.6">
      <c r="C42" s="43" t="s">
        <v>111</v>
      </c>
      <c r="D42" s="48">
        <f>COUNTA(Module_Inventory[Document])</f>
        <v>25</v>
      </c>
      <c r="H42" s="28" t="s">
        <v>103</v>
      </c>
      <c r="I42" s="66">
        <f>SUM(I12:I40)</f>
        <v>905.67</v>
      </c>
      <c r="J42" s="67"/>
      <c r="K42" s="67"/>
    </row>
    <row r="43" spans="1:12" ht="14.7" thickTop="1" x14ac:dyDescent="0.55000000000000004">
      <c r="H43" s="12"/>
      <c r="I43" s="67"/>
      <c r="J43" s="67"/>
      <c r="K43" s="67"/>
    </row>
    <row r="44" spans="1:12" ht="14.7" thickBot="1" x14ac:dyDescent="0.6">
      <c r="I44" s="28" t="s">
        <v>65</v>
      </c>
      <c r="J44" s="66">
        <f>J40+J35+J32</f>
        <v>905.67000000000007</v>
      </c>
      <c r="K44" s="68"/>
    </row>
    <row r="45" spans="1:12" ht="14.7" thickTop="1" x14ac:dyDescent="0.55000000000000004">
      <c r="I45" s="67"/>
      <c r="J45" s="67"/>
      <c r="K45" s="67"/>
    </row>
    <row r="46" spans="1:12" x14ac:dyDescent="0.55000000000000004">
      <c r="I46" s="28" t="s">
        <v>66</v>
      </c>
      <c r="J46" s="55">
        <f>I42-J44</f>
        <v>0</v>
      </c>
      <c r="K46" s="5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1E97-6016-4ADD-BC63-4567B29C7993}">
  <sheetPr codeName="Sheet3">
    <tabColor theme="5" tint="0.59999389629810485"/>
  </sheetPr>
  <dimension ref="A1:M42"/>
  <sheetViews>
    <sheetView showGridLines="0" topLeftCell="A4" workbookViewId="0">
      <selection activeCell="L22" sqref="L22"/>
    </sheetView>
  </sheetViews>
  <sheetFormatPr defaultRowHeight="14.4" x14ac:dyDescent="0.55000000000000004"/>
  <cols>
    <col min="1" max="1" width="13.15625" customWidth="1"/>
    <col min="2" max="2" width="13.68359375" customWidth="1"/>
    <col min="3" max="3" width="7.62890625" customWidth="1"/>
    <col min="5" max="5" width="10.41796875" style="1" customWidth="1"/>
    <col min="6" max="6" width="17.89453125" style="1" customWidth="1"/>
    <col min="7" max="7" width="21.3125" style="1" customWidth="1"/>
    <col min="8" max="8" width="30" customWidth="1"/>
    <col min="9" max="9" width="14.1015625" style="1" customWidth="1"/>
    <col min="10" max="10" width="20.68359375" customWidth="1"/>
    <col min="11" max="11" width="4.20703125" customWidth="1"/>
    <col min="12" max="12" width="22.3125" bestFit="1" customWidth="1"/>
    <col min="13" max="13" width="55.47265625" bestFit="1" customWidth="1"/>
  </cols>
  <sheetData>
    <row r="1" spans="1:13" x14ac:dyDescent="0.55000000000000004">
      <c r="A1" t="s">
        <v>130</v>
      </c>
    </row>
    <row r="2" spans="1:13" x14ac:dyDescent="0.55000000000000004">
      <c r="A2" s="20" t="s">
        <v>139</v>
      </c>
    </row>
    <row r="3" spans="1:13" x14ac:dyDescent="0.55000000000000004">
      <c r="A3" t="s">
        <v>131</v>
      </c>
    </row>
    <row r="5" spans="1:13" x14ac:dyDescent="0.55000000000000004">
      <c r="A5" t="s">
        <v>151</v>
      </c>
    </row>
    <row r="6" spans="1:13" x14ac:dyDescent="0.55000000000000004">
      <c r="A6" t="s">
        <v>152</v>
      </c>
    </row>
    <row r="8" spans="1:13" x14ac:dyDescent="0.55000000000000004">
      <c r="F8" s="1" t="s">
        <v>148</v>
      </c>
      <c r="L8" s="63" t="s">
        <v>149</v>
      </c>
      <c r="M8" s="63"/>
    </row>
    <row r="9" spans="1:13" x14ac:dyDescent="0.55000000000000004">
      <c r="A9" s="58"/>
      <c r="B9" s="58"/>
      <c r="C9" s="58"/>
      <c r="D9" s="58"/>
      <c r="E9" s="59"/>
      <c r="F9" s="59"/>
      <c r="G9" s="59"/>
      <c r="H9" s="58"/>
      <c r="I9" s="59"/>
      <c r="J9" s="58"/>
      <c r="L9" s="58"/>
      <c r="M9" s="58"/>
    </row>
    <row r="10" spans="1:13" x14ac:dyDescent="0.55000000000000004">
      <c r="A10" s="20" t="s">
        <v>40</v>
      </c>
      <c r="B10" s="20" t="s">
        <v>67</v>
      </c>
      <c r="C10" s="21" t="s">
        <v>68</v>
      </c>
      <c r="D10" s="21" t="s">
        <v>69</v>
      </c>
      <c r="E10" s="21" t="s">
        <v>70</v>
      </c>
      <c r="F10" s="21" t="s">
        <v>71</v>
      </c>
      <c r="G10" s="21" t="s">
        <v>88</v>
      </c>
      <c r="H10" s="21" t="s">
        <v>87</v>
      </c>
      <c r="I10" s="21" t="s">
        <v>72</v>
      </c>
      <c r="J10" s="21" t="s">
        <v>140</v>
      </c>
      <c r="K10" s="62" t="s">
        <v>141</v>
      </c>
      <c r="L10" s="53" t="s">
        <v>142</v>
      </c>
      <c r="M10" s="53" t="s">
        <v>143</v>
      </c>
    </row>
    <row r="11" spans="1:13" x14ac:dyDescent="0.55000000000000004">
      <c r="A11" s="9" t="s">
        <v>85</v>
      </c>
      <c r="B11" s="9" t="s">
        <v>73</v>
      </c>
      <c r="F11" s="24" t="s">
        <v>78</v>
      </c>
      <c r="L11" s="1"/>
      <c r="M11" s="1"/>
    </row>
    <row r="12" spans="1:13" x14ac:dyDescent="0.55000000000000004">
      <c r="A12" s="15">
        <v>43494</v>
      </c>
      <c r="B12" s="15">
        <v>43494</v>
      </c>
      <c r="C12" s="1" t="s">
        <v>74</v>
      </c>
      <c r="D12" s="1" t="s">
        <v>47</v>
      </c>
      <c r="E12" s="1">
        <v>1</v>
      </c>
      <c r="F12" s="1" t="s">
        <v>79</v>
      </c>
      <c r="G12" s="1" t="s">
        <v>80</v>
      </c>
      <c r="H12" s="1" t="s">
        <v>99</v>
      </c>
      <c r="I12" s="19">
        <v>200</v>
      </c>
      <c r="J12" s="18">
        <f>I12</f>
        <v>200</v>
      </c>
      <c r="K12" s="18"/>
      <c r="L12" s="1"/>
      <c r="M12" s="1"/>
    </row>
    <row r="13" spans="1:13" x14ac:dyDescent="0.55000000000000004">
      <c r="A13" s="15">
        <v>43494</v>
      </c>
      <c r="B13" s="15">
        <v>43494</v>
      </c>
      <c r="C13" s="1" t="s">
        <v>74</v>
      </c>
      <c r="D13" s="1" t="s">
        <v>48</v>
      </c>
      <c r="E13" s="1">
        <v>2</v>
      </c>
      <c r="F13" s="1" t="s">
        <v>79</v>
      </c>
      <c r="G13" s="1" t="s">
        <v>80</v>
      </c>
      <c r="H13" s="1" t="s">
        <v>99</v>
      </c>
      <c r="I13" s="19">
        <v>5</v>
      </c>
      <c r="J13" s="18">
        <f>J12+I13</f>
        <v>205</v>
      </c>
      <c r="K13" s="18"/>
      <c r="L13" s="1"/>
      <c r="M13" s="1"/>
    </row>
    <row r="14" spans="1:13" x14ac:dyDescent="0.55000000000000004">
      <c r="A14" s="15">
        <v>43495</v>
      </c>
      <c r="B14" s="15">
        <v>43495</v>
      </c>
      <c r="C14" s="1" t="s">
        <v>74</v>
      </c>
      <c r="D14" s="1" t="s">
        <v>49</v>
      </c>
      <c r="E14" s="1">
        <v>3</v>
      </c>
      <c r="F14" s="1" t="s">
        <v>79</v>
      </c>
      <c r="G14" s="1" t="s">
        <v>80</v>
      </c>
      <c r="H14" s="1" t="s">
        <v>99</v>
      </c>
      <c r="I14" s="19">
        <v>305</v>
      </c>
      <c r="J14" s="18">
        <f t="shared" ref="J14:J22" si="0">J13+I14</f>
        <v>510</v>
      </c>
      <c r="K14" s="18"/>
      <c r="L14" s="1"/>
      <c r="M14" s="1"/>
    </row>
    <row r="15" spans="1:13" x14ac:dyDescent="0.55000000000000004">
      <c r="A15" s="15">
        <v>43495</v>
      </c>
      <c r="B15" s="15">
        <v>43495</v>
      </c>
      <c r="C15" s="1" t="s">
        <v>74</v>
      </c>
      <c r="D15" s="1" t="s">
        <v>50</v>
      </c>
      <c r="E15" s="1">
        <v>4</v>
      </c>
      <c r="F15" s="1" t="s">
        <v>79</v>
      </c>
      <c r="G15" s="1" t="s">
        <v>81</v>
      </c>
      <c r="H15" s="1" t="s">
        <v>97</v>
      </c>
      <c r="I15" s="19">
        <v>-7</v>
      </c>
      <c r="J15" s="18">
        <f t="shared" si="0"/>
        <v>503</v>
      </c>
      <c r="K15" s="18"/>
      <c r="L15" s="1"/>
      <c r="M15" s="1"/>
    </row>
    <row r="16" spans="1:13" x14ac:dyDescent="0.55000000000000004">
      <c r="A16" s="15">
        <v>43495</v>
      </c>
      <c r="B16" s="15">
        <v>43495</v>
      </c>
      <c r="C16" s="1" t="s">
        <v>74</v>
      </c>
      <c r="D16" s="1" t="s">
        <v>51</v>
      </c>
      <c r="E16" s="1">
        <v>5</v>
      </c>
      <c r="F16" s="1" t="s">
        <v>79</v>
      </c>
      <c r="G16" s="1" t="s">
        <v>81</v>
      </c>
      <c r="H16" s="1" t="s">
        <v>97</v>
      </c>
      <c r="I16" s="19">
        <v>-7</v>
      </c>
      <c r="J16" s="18">
        <f t="shared" si="0"/>
        <v>496</v>
      </c>
      <c r="K16" s="18"/>
      <c r="L16" s="1"/>
      <c r="M16" s="1"/>
    </row>
    <row r="17" spans="1:13" x14ac:dyDescent="0.55000000000000004">
      <c r="A17" s="15">
        <v>43495</v>
      </c>
      <c r="B17" s="15">
        <v>43495</v>
      </c>
      <c r="C17" s="1" t="s">
        <v>74</v>
      </c>
      <c r="D17" s="1" t="s">
        <v>75</v>
      </c>
      <c r="E17" s="1">
        <v>8</v>
      </c>
      <c r="F17" s="1" t="s">
        <v>79</v>
      </c>
      <c r="G17" s="1" t="s">
        <v>82</v>
      </c>
      <c r="H17" s="1" t="s">
        <v>98</v>
      </c>
      <c r="I17" s="19">
        <v>23.64</v>
      </c>
      <c r="J17" s="18">
        <f t="shared" si="0"/>
        <v>519.64</v>
      </c>
      <c r="K17" s="18"/>
      <c r="L17" s="1"/>
      <c r="M17" s="1"/>
    </row>
    <row r="18" spans="1:13" x14ac:dyDescent="0.55000000000000004">
      <c r="A18" s="15">
        <v>43495</v>
      </c>
      <c r="B18" s="15">
        <v>43495</v>
      </c>
      <c r="C18" s="1" t="s">
        <v>74</v>
      </c>
      <c r="D18" s="1" t="s">
        <v>132</v>
      </c>
      <c r="E18" s="1">
        <v>9</v>
      </c>
      <c r="F18" s="1" t="s">
        <v>79</v>
      </c>
      <c r="G18" s="1" t="s">
        <v>80</v>
      </c>
      <c r="H18" s="1" t="s">
        <v>99</v>
      </c>
      <c r="I18" s="19">
        <v>10</v>
      </c>
      <c r="J18" s="18">
        <f t="shared" si="0"/>
        <v>529.64</v>
      </c>
      <c r="K18" s="18"/>
      <c r="L18" s="1"/>
      <c r="M18" s="1"/>
    </row>
    <row r="19" spans="1:13" x14ac:dyDescent="0.55000000000000004">
      <c r="A19" s="15">
        <v>43497</v>
      </c>
      <c r="B19" s="15">
        <v>43497</v>
      </c>
      <c r="C19" s="1" t="s">
        <v>74</v>
      </c>
      <c r="D19" s="1" t="s">
        <v>76</v>
      </c>
      <c r="E19" s="1">
        <v>10</v>
      </c>
      <c r="F19" s="1" t="s">
        <v>95</v>
      </c>
      <c r="G19" s="1" t="s">
        <v>83</v>
      </c>
      <c r="H19" s="1" t="s">
        <v>96</v>
      </c>
      <c r="I19" s="19">
        <v>-61.19</v>
      </c>
      <c r="J19" s="18">
        <f t="shared" si="0"/>
        <v>468.45</v>
      </c>
      <c r="K19" s="18"/>
      <c r="L19" s="1"/>
      <c r="M19" s="1"/>
    </row>
    <row r="20" spans="1:13" x14ac:dyDescent="0.55000000000000004">
      <c r="A20" s="15">
        <v>43497</v>
      </c>
      <c r="B20" s="15">
        <v>43497</v>
      </c>
      <c r="C20" s="1" t="s">
        <v>74</v>
      </c>
      <c r="D20" s="1" t="s">
        <v>76</v>
      </c>
      <c r="E20" s="1">
        <v>10</v>
      </c>
      <c r="F20" s="1" t="s">
        <v>95</v>
      </c>
      <c r="G20" s="1" t="s">
        <v>83</v>
      </c>
      <c r="H20" s="1" t="s">
        <v>96</v>
      </c>
      <c r="I20" s="19">
        <v>61.19</v>
      </c>
      <c r="J20" s="18">
        <f t="shared" si="0"/>
        <v>529.64</v>
      </c>
      <c r="K20" s="18"/>
      <c r="L20" s="1"/>
      <c r="M20" s="1"/>
    </row>
    <row r="21" spans="1:13" x14ac:dyDescent="0.55000000000000004">
      <c r="A21" s="15">
        <v>43614</v>
      </c>
      <c r="B21" s="15">
        <v>43614</v>
      </c>
      <c r="C21" s="1" t="s">
        <v>74</v>
      </c>
      <c r="D21" s="1" t="s">
        <v>52</v>
      </c>
      <c r="E21" s="1">
        <v>13</v>
      </c>
      <c r="F21" s="1" t="s">
        <v>79</v>
      </c>
      <c r="G21" s="1" t="s">
        <v>82</v>
      </c>
      <c r="H21" s="1" t="s">
        <v>98</v>
      </c>
      <c r="I21" s="19">
        <v>-48.95</v>
      </c>
      <c r="J21" s="18">
        <f t="shared" si="0"/>
        <v>480.69</v>
      </c>
      <c r="K21" s="18"/>
      <c r="L21" s="1"/>
      <c r="M21" s="1"/>
    </row>
    <row r="22" spans="1:13" ht="14.7" thickBot="1" x14ac:dyDescent="0.6">
      <c r="A22" s="38">
        <v>44140</v>
      </c>
      <c r="B22" s="38">
        <v>44140</v>
      </c>
      <c r="C22" s="39" t="s">
        <v>74</v>
      </c>
      <c r="D22" s="39" t="s">
        <v>77</v>
      </c>
      <c r="E22" s="39">
        <v>14</v>
      </c>
      <c r="F22" s="39" t="s">
        <v>79</v>
      </c>
      <c r="G22" s="39" t="s">
        <v>84</v>
      </c>
      <c r="H22" s="39" t="s">
        <v>97</v>
      </c>
      <c r="I22" s="64">
        <v>-0.31</v>
      </c>
      <c r="J22" s="65">
        <f t="shared" si="0"/>
        <v>480.38</v>
      </c>
      <c r="K22" s="18"/>
      <c r="L22" s="50">
        <f>SUM(I12:I22)</f>
        <v>480.38</v>
      </c>
      <c r="M22" s="54" t="s">
        <v>144</v>
      </c>
    </row>
    <row r="23" spans="1:13" ht="14.7" thickTop="1" x14ac:dyDescent="0.55000000000000004">
      <c r="I23" s="43"/>
      <c r="L23" s="44">
        <f>L22-J22</f>
        <v>0</v>
      </c>
      <c r="M23" s="1"/>
    </row>
    <row r="24" spans="1:13" x14ac:dyDescent="0.55000000000000004">
      <c r="A24" s="15"/>
      <c r="B24" s="25"/>
      <c r="C24" s="24"/>
      <c r="D24" s="24"/>
      <c r="E24" s="24"/>
      <c r="F24" s="24"/>
      <c r="G24" s="24"/>
      <c r="H24" s="1"/>
      <c r="I24" s="19"/>
      <c r="J24" s="26"/>
      <c r="K24" s="26"/>
      <c r="L24" s="1"/>
      <c r="M24" s="1"/>
    </row>
    <row r="25" spans="1:13" x14ac:dyDescent="0.55000000000000004">
      <c r="A25" s="25" t="s">
        <v>85</v>
      </c>
      <c r="B25" s="69" t="s">
        <v>86</v>
      </c>
      <c r="C25" s="1"/>
      <c r="D25" s="1"/>
      <c r="F25" s="24" t="s">
        <v>125</v>
      </c>
      <c r="H25" s="1"/>
      <c r="I25" s="19"/>
      <c r="J25" s="18"/>
      <c r="K25" s="18"/>
      <c r="L25" s="1"/>
      <c r="M25" s="1"/>
    </row>
    <row r="26" spans="1:13" ht="14.7" thickBot="1" x14ac:dyDescent="0.6">
      <c r="A26" s="38">
        <v>43495</v>
      </c>
      <c r="B26" s="38">
        <v>43495</v>
      </c>
      <c r="C26" s="39" t="s">
        <v>74</v>
      </c>
      <c r="D26" s="39" t="s">
        <v>124</v>
      </c>
      <c r="E26" s="39">
        <v>8</v>
      </c>
      <c r="F26" s="39" t="s">
        <v>79</v>
      </c>
      <c r="G26" s="39" t="s">
        <v>84</v>
      </c>
      <c r="H26" s="39" t="s">
        <v>97</v>
      </c>
      <c r="I26" s="64">
        <v>48.5</v>
      </c>
      <c r="J26" s="65">
        <f>I26</f>
        <v>48.5</v>
      </c>
      <c r="K26" s="18"/>
      <c r="L26" s="45">
        <f>I26</f>
        <v>48.5</v>
      </c>
      <c r="M26" s="27" t="s">
        <v>145</v>
      </c>
    </row>
    <row r="27" spans="1:13" ht="14.7" thickTop="1" x14ac:dyDescent="0.55000000000000004">
      <c r="A27" s="15"/>
      <c r="B27" s="15"/>
      <c r="C27" s="1"/>
      <c r="D27" s="1"/>
      <c r="H27" s="1"/>
      <c r="I27" s="19"/>
      <c r="J27" s="18"/>
      <c r="K27" s="18"/>
      <c r="L27" s="46">
        <f>L26-J26</f>
        <v>0</v>
      </c>
      <c r="M27" s="1"/>
    </row>
    <row r="28" spans="1:13" x14ac:dyDescent="0.55000000000000004">
      <c r="A28" s="15"/>
      <c r="B28" s="15"/>
      <c r="C28" s="1"/>
      <c r="D28" s="1"/>
      <c r="H28" s="1"/>
      <c r="I28" s="19"/>
      <c r="J28" s="18"/>
      <c r="K28" s="18"/>
      <c r="L28" s="1"/>
      <c r="M28" s="1"/>
    </row>
    <row r="29" spans="1:13" x14ac:dyDescent="0.55000000000000004">
      <c r="A29" s="25" t="s">
        <v>89</v>
      </c>
      <c r="B29" s="69" t="s">
        <v>90</v>
      </c>
      <c r="C29" s="1"/>
      <c r="D29" s="1"/>
      <c r="F29" s="24" t="s">
        <v>126</v>
      </c>
      <c r="H29" s="1"/>
      <c r="I29" s="19"/>
      <c r="J29" s="18"/>
      <c r="K29" s="18"/>
      <c r="L29" s="1"/>
      <c r="M29" s="1"/>
    </row>
    <row r="30" spans="1:13" x14ac:dyDescent="0.55000000000000004">
      <c r="A30" s="15">
        <v>43614</v>
      </c>
      <c r="B30" s="15">
        <v>43614</v>
      </c>
      <c r="C30" s="1" t="s">
        <v>74</v>
      </c>
      <c r="D30" s="1" t="s">
        <v>91</v>
      </c>
      <c r="E30" s="1">
        <v>11</v>
      </c>
      <c r="F30" s="1" t="s">
        <v>79</v>
      </c>
      <c r="G30" s="1" t="s">
        <v>84</v>
      </c>
      <c r="H30" s="1" t="s">
        <v>97</v>
      </c>
      <c r="I30" s="19">
        <v>375</v>
      </c>
      <c r="J30" s="18">
        <f>I30</f>
        <v>375</v>
      </c>
      <c r="K30" s="18"/>
      <c r="L30" s="1"/>
      <c r="M30" s="1"/>
    </row>
    <row r="31" spans="1:13" x14ac:dyDescent="0.55000000000000004">
      <c r="A31" s="15">
        <v>44010</v>
      </c>
      <c r="B31" s="15">
        <v>44010</v>
      </c>
      <c r="C31" s="1" t="s">
        <v>74</v>
      </c>
      <c r="D31" s="1" t="s">
        <v>92</v>
      </c>
      <c r="E31" s="1">
        <v>18</v>
      </c>
      <c r="F31" s="1" t="s">
        <v>138</v>
      </c>
      <c r="G31" s="1" t="s">
        <v>102</v>
      </c>
      <c r="H31" s="1" t="s">
        <v>100</v>
      </c>
      <c r="I31" s="19">
        <v>-50000</v>
      </c>
      <c r="J31" s="18">
        <f>J30+I31</f>
        <v>-49625</v>
      </c>
      <c r="K31" s="18"/>
      <c r="L31" s="1"/>
      <c r="M31" s="1"/>
    </row>
    <row r="32" spans="1:13" x14ac:dyDescent="0.55000000000000004">
      <c r="A32" s="15">
        <v>44140</v>
      </c>
      <c r="B32" s="15">
        <v>44150</v>
      </c>
      <c r="C32" s="1" t="s">
        <v>74</v>
      </c>
      <c r="D32" s="1" t="s">
        <v>93</v>
      </c>
      <c r="E32" s="1">
        <v>15</v>
      </c>
      <c r="F32" s="1" t="s">
        <v>79</v>
      </c>
      <c r="G32" s="1" t="s">
        <v>84</v>
      </c>
      <c r="H32" s="1" t="s">
        <v>97</v>
      </c>
      <c r="I32" s="19">
        <v>0.3</v>
      </c>
      <c r="J32" s="18">
        <f t="shared" ref="J32:J33" si="1">J31+I32</f>
        <v>-49624.7</v>
      </c>
      <c r="K32" s="18"/>
      <c r="L32" s="1"/>
      <c r="M32" s="1"/>
    </row>
    <row r="33" spans="1:13" ht="14.7" thickBot="1" x14ac:dyDescent="0.6">
      <c r="A33" s="38">
        <v>44140</v>
      </c>
      <c r="B33" s="38">
        <v>44140</v>
      </c>
      <c r="C33" s="39" t="s">
        <v>74</v>
      </c>
      <c r="D33" s="39" t="s">
        <v>94</v>
      </c>
      <c r="E33" s="39">
        <v>16</v>
      </c>
      <c r="F33" s="39" t="s">
        <v>101</v>
      </c>
      <c r="G33" s="39" t="s">
        <v>84</v>
      </c>
      <c r="H33" s="39" t="s">
        <v>97</v>
      </c>
      <c r="I33" s="64">
        <v>1.5</v>
      </c>
      <c r="J33" s="65">
        <f t="shared" si="1"/>
        <v>-49623.199999999997</v>
      </c>
      <c r="K33" s="18"/>
      <c r="L33" s="49">
        <f>SUM(I30:I33)</f>
        <v>-49623.199999999997</v>
      </c>
      <c r="M33" s="27" t="s">
        <v>146</v>
      </c>
    </row>
    <row r="34" spans="1:13" ht="14.7" thickTop="1" x14ac:dyDescent="0.55000000000000004">
      <c r="A34" s="15"/>
      <c r="B34" s="15"/>
      <c r="C34" s="1"/>
      <c r="D34" s="1"/>
      <c r="H34" s="1"/>
      <c r="I34" s="19"/>
      <c r="J34" s="18"/>
      <c r="K34" s="18"/>
      <c r="L34" s="46">
        <f>L33-J33</f>
        <v>0</v>
      </c>
      <c r="M34" s="1"/>
    </row>
    <row r="35" spans="1:13" x14ac:dyDescent="0.55000000000000004">
      <c r="I35" s="19"/>
    </row>
    <row r="36" spans="1:13" ht="14.7" thickBot="1" x14ac:dyDescent="0.6">
      <c r="C36" s="47" t="s">
        <v>112</v>
      </c>
      <c r="D36" s="48">
        <f>COUNTA(D11:D34)-COUNTIF(D11:D34,0)</f>
        <v>16</v>
      </c>
      <c r="I36" s="53" t="s">
        <v>107</v>
      </c>
    </row>
    <row r="37" spans="1:13" ht="14.7" thickTop="1" x14ac:dyDescent="0.55000000000000004">
      <c r="H37" s="28" t="s">
        <v>104</v>
      </c>
      <c r="I37" s="52">
        <f>L22</f>
        <v>480.38</v>
      </c>
    </row>
    <row r="38" spans="1:13" x14ac:dyDescent="0.55000000000000004">
      <c r="H38" s="28" t="s">
        <v>105</v>
      </c>
      <c r="I38" s="52">
        <f>L26</f>
        <v>48.5</v>
      </c>
    </row>
    <row r="39" spans="1:13" x14ac:dyDescent="0.55000000000000004">
      <c r="H39" s="28" t="s">
        <v>106</v>
      </c>
      <c r="I39" s="51">
        <f>L33</f>
        <v>-49623.199999999997</v>
      </c>
    </row>
    <row r="41" spans="1:13" ht="14.7" thickBot="1" x14ac:dyDescent="0.6">
      <c r="H41" s="28" t="s">
        <v>103</v>
      </c>
      <c r="I41" s="49">
        <f>SUM(I37:I39)</f>
        <v>-49094.32</v>
      </c>
    </row>
    <row r="42" spans="1:13" ht="14.7" thickTop="1" x14ac:dyDescent="0.55000000000000004"/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Reconciliation Report</vt:lpstr>
      <vt:lpstr>Module_Inventory</vt:lpstr>
      <vt:lpstr>Module_GL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Cisneros</dc:creator>
  <cp:lastModifiedBy>Fernando Cisneros</cp:lastModifiedBy>
  <dcterms:created xsi:type="dcterms:W3CDTF">2024-06-27T19:42:29Z</dcterms:created>
  <dcterms:modified xsi:type="dcterms:W3CDTF">2024-08-28T19:42:50Z</dcterms:modified>
</cp:coreProperties>
</file>