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Titulos por Data Base - Coopart" sheetId="1" r:id="rId1"/>
    <sheet name="- 60 dias" sheetId="2" r:id="rId2"/>
    <sheet name="+ 60 dias" sheetId="3" r:id="rId3"/>
  </sheets>
  <definedNames>
    <definedName name="_xlnm._FilterDatabase" localSheetId="0" hidden="1">'Titulos por Data Base - Coopart'!$I$1:$I$346</definedName>
  </definedNames>
  <calcPr calcId="0"/>
</workbook>
</file>

<file path=xl/calcChain.xml><?xml version="1.0" encoding="utf-8"?>
<calcChain xmlns="http://schemas.openxmlformats.org/spreadsheetml/2006/main">
  <c r="C113" i="1" l="1"/>
  <c r="D113" i="1"/>
  <c r="E113" i="1"/>
  <c r="F113" i="1"/>
  <c r="G113" i="1"/>
  <c r="J113" i="1"/>
  <c r="K113" i="1"/>
  <c r="L113" i="1"/>
  <c r="M113" i="1"/>
  <c r="C205" i="1"/>
  <c r="D205" i="1"/>
  <c r="E205" i="1"/>
  <c r="F205" i="1"/>
  <c r="G205" i="1"/>
  <c r="J205" i="1"/>
  <c r="K205" i="1"/>
  <c r="L205" i="1"/>
  <c r="M205" i="1"/>
  <c r="C288" i="1"/>
  <c r="D288" i="1"/>
  <c r="E288" i="1"/>
  <c r="F288" i="1"/>
  <c r="G288" i="1"/>
  <c r="J288" i="1"/>
  <c r="K288" i="1"/>
  <c r="L288" i="1"/>
  <c r="M288" i="1"/>
  <c r="C106" i="1"/>
  <c r="D106" i="1"/>
  <c r="E106" i="1"/>
  <c r="F106" i="1"/>
  <c r="G106" i="1"/>
  <c r="J106" i="1"/>
  <c r="K106" i="1"/>
  <c r="L106" i="1"/>
  <c r="M106" i="1"/>
  <c r="C107" i="1"/>
  <c r="D107" i="1"/>
  <c r="E107" i="1"/>
  <c r="F107" i="1"/>
  <c r="G107" i="1"/>
  <c r="J107" i="1"/>
  <c r="K107" i="1"/>
  <c r="L107" i="1"/>
  <c r="M107" i="1"/>
  <c r="C206" i="1"/>
  <c r="D206" i="1"/>
  <c r="E206" i="1"/>
  <c r="F206" i="1"/>
  <c r="G206" i="1"/>
  <c r="J206" i="1"/>
  <c r="K206" i="1"/>
  <c r="L206" i="1"/>
  <c r="M206" i="1"/>
  <c r="C165" i="1"/>
  <c r="D165" i="1"/>
  <c r="E165" i="1"/>
  <c r="F165" i="1"/>
  <c r="G165" i="1"/>
  <c r="J165" i="1"/>
  <c r="K165" i="1"/>
  <c r="L165" i="1"/>
  <c r="M165" i="1"/>
  <c r="C166" i="1"/>
  <c r="D166" i="1"/>
  <c r="E166" i="1"/>
  <c r="F166" i="1"/>
  <c r="G166" i="1"/>
  <c r="J166" i="1"/>
  <c r="K166" i="1"/>
  <c r="L166" i="1"/>
  <c r="M166" i="1"/>
  <c r="C109" i="1"/>
  <c r="D109" i="1"/>
  <c r="E109" i="1"/>
  <c r="F109" i="1"/>
  <c r="G109" i="1"/>
  <c r="J109" i="1"/>
  <c r="K109" i="1"/>
  <c r="L109" i="1"/>
  <c r="M109" i="1"/>
  <c r="C269" i="1"/>
  <c r="D269" i="1"/>
  <c r="E269" i="1"/>
  <c r="F269" i="1"/>
  <c r="G269" i="1"/>
  <c r="J269" i="1"/>
  <c r="K269" i="1"/>
  <c r="L269" i="1"/>
  <c r="M269" i="1"/>
  <c r="C40" i="1"/>
  <c r="D40" i="1"/>
  <c r="E40" i="1"/>
  <c r="F40" i="1"/>
  <c r="G40" i="1"/>
  <c r="J40" i="1"/>
  <c r="K40" i="1"/>
  <c r="L40" i="1"/>
  <c r="M40" i="1"/>
  <c r="C167" i="1"/>
  <c r="D167" i="1"/>
  <c r="E167" i="1"/>
  <c r="F167" i="1"/>
  <c r="G167" i="1"/>
  <c r="J167" i="1"/>
  <c r="K167" i="1"/>
  <c r="L167" i="1"/>
  <c r="M167" i="1"/>
  <c r="C168" i="1"/>
  <c r="D168" i="1"/>
  <c r="E168" i="1"/>
  <c r="F168" i="1"/>
  <c r="G168" i="1"/>
  <c r="J168" i="1"/>
  <c r="K168" i="1"/>
  <c r="L168" i="1"/>
  <c r="M168" i="1"/>
  <c r="C108" i="1"/>
  <c r="D108" i="1"/>
  <c r="E108" i="1"/>
  <c r="F108" i="1"/>
  <c r="G108" i="1"/>
  <c r="J108" i="1"/>
  <c r="K108" i="1"/>
  <c r="L108" i="1"/>
  <c r="M108" i="1"/>
  <c r="C191" i="1"/>
  <c r="D191" i="1"/>
  <c r="E191" i="1"/>
  <c r="F191" i="1"/>
  <c r="G191" i="1"/>
  <c r="J191" i="1"/>
  <c r="K191" i="1"/>
  <c r="L191" i="1"/>
  <c r="M191" i="1"/>
  <c r="C110" i="1"/>
  <c r="D110" i="1"/>
  <c r="E110" i="1"/>
  <c r="F110" i="1"/>
  <c r="G110" i="1"/>
  <c r="J110" i="1"/>
  <c r="K110" i="1"/>
  <c r="L110" i="1"/>
  <c r="M110" i="1"/>
  <c r="C145" i="1"/>
  <c r="D145" i="1"/>
  <c r="E145" i="1"/>
  <c r="F145" i="1"/>
  <c r="G145" i="1"/>
  <c r="J145" i="1"/>
  <c r="K145" i="1"/>
  <c r="L145" i="1"/>
  <c r="M145" i="1"/>
  <c r="C19" i="1"/>
  <c r="D19" i="1"/>
  <c r="E19" i="1"/>
  <c r="F19" i="1"/>
  <c r="G19" i="1"/>
  <c r="J19" i="1"/>
  <c r="K19" i="1"/>
  <c r="L19" i="1"/>
  <c r="M19" i="1"/>
  <c r="C41" i="1"/>
  <c r="D41" i="1"/>
  <c r="E41" i="1"/>
  <c r="F41" i="1"/>
  <c r="G41" i="1"/>
  <c r="J41" i="1"/>
  <c r="K41" i="1"/>
  <c r="L41" i="1"/>
  <c r="M41" i="1"/>
  <c r="C270" i="1"/>
  <c r="D270" i="1"/>
  <c r="E270" i="1"/>
  <c r="F270" i="1"/>
  <c r="G270" i="1"/>
  <c r="J270" i="1"/>
  <c r="K270" i="1"/>
  <c r="L270" i="1"/>
  <c r="M270" i="1"/>
  <c r="C302" i="1"/>
  <c r="D302" i="1"/>
  <c r="E302" i="1"/>
  <c r="F302" i="1"/>
  <c r="G302" i="1"/>
  <c r="J302" i="1"/>
  <c r="K302" i="1"/>
  <c r="L302" i="1"/>
  <c r="M302" i="1"/>
  <c r="C169" i="1"/>
  <c r="D169" i="1"/>
  <c r="E169" i="1"/>
  <c r="F169" i="1"/>
  <c r="G169" i="1"/>
  <c r="J169" i="1"/>
  <c r="K169" i="1"/>
  <c r="L169" i="1"/>
  <c r="M169" i="1"/>
  <c r="C317" i="1"/>
  <c r="D317" i="1"/>
  <c r="E317" i="1"/>
  <c r="F317" i="1"/>
  <c r="G317" i="1"/>
  <c r="J317" i="1"/>
  <c r="K317" i="1"/>
  <c r="L317" i="1"/>
  <c r="M317" i="1"/>
  <c r="C239" i="1"/>
  <c r="D239" i="1"/>
  <c r="E239" i="1"/>
  <c r="F239" i="1"/>
  <c r="G239" i="1"/>
  <c r="J239" i="1"/>
  <c r="K239" i="1"/>
  <c r="L239" i="1"/>
  <c r="M239" i="1"/>
  <c r="C111" i="1"/>
  <c r="D111" i="1"/>
  <c r="E111" i="1"/>
  <c r="F111" i="1"/>
  <c r="G111" i="1"/>
  <c r="J111" i="1"/>
  <c r="K111" i="1"/>
  <c r="L111" i="1"/>
  <c r="M111" i="1"/>
  <c r="C153" i="1"/>
  <c r="D153" i="1"/>
  <c r="E153" i="1"/>
  <c r="F153" i="1"/>
  <c r="G153" i="1"/>
  <c r="J153" i="1"/>
  <c r="K153" i="1"/>
  <c r="L153" i="1"/>
  <c r="M153" i="1"/>
  <c r="C53" i="1"/>
  <c r="D53" i="1"/>
  <c r="E53" i="1"/>
  <c r="F53" i="1"/>
  <c r="G53" i="1"/>
  <c r="J53" i="1"/>
  <c r="K53" i="1"/>
  <c r="L53" i="1"/>
  <c r="M53" i="1"/>
  <c r="C20" i="1"/>
  <c r="D20" i="1"/>
  <c r="E20" i="1"/>
  <c r="F20" i="1"/>
  <c r="G20" i="1"/>
  <c r="J20" i="1"/>
  <c r="K20" i="1"/>
  <c r="L20" i="1"/>
  <c r="M20" i="1"/>
  <c r="C82" i="1"/>
  <c r="D82" i="1"/>
  <c r="E82" i="1"/>
  <c r="F82" i="1"/>
  <c r="G82" i="1"/>
  <c r="J82" i="1"/>
  <c r="K82" i="1"/>
  <c r="L82" i="1"/>
  <c r="M82" i="1"/>
  <c r="C101" i="1"/>
  <c r="D101" i="1"/>
  <c r="E101" i="1"/>
  <c r="F101" i="1"/>
  <c r="G101" i="1"/>
  <c r="J101" i="1"/>
  <c r="K101" i="1"/>
  <c r="L101" i="1"/>
  <c r="M101" i="1"/>
  <c r="C98" i="1"/>
  <c r="D98" i="1"/>
  <c r="E98" i="1"/>
  <c r="F98" i="1"/>
  <c r="G98" i="1"/>
  <c r="J98" i="1"/>
  <c r="K98" i="1"/>
  <c r="L98" i="1"/>
  <c r="M98" i="1"/>
  <c r="C297" i="1"/>
  <c r="D297" i="1"/>
  <c r="E297" i="1"/>
  <c r="F297" i="1"/>
  <c r="G297" i="1"/>
  <c r="J297" i="1"/>
  <c r="K297" i="1"/>
  <c r="L297" i="1"/>
  <c r="M297" i="1"/>
  <c r="C2" i="1"/>
  <c r="D2" i="1"/>
  <c r="E2" i="1"/>
  <c r="F2" i="1"/>
  <c r="G2" i="1"/>
  <c r="J2" i="1"/>
  <c r="K2" i="1"/>
  <c r="L2" i="1"/>
  <c r="M2" i="1"/>
  <c r="C263" i="1"/>
  <c r="D263" i="1"/>
  <c r="E263" i="1"/>
  <c r="F263" i="1"/>
  <c r="G263" i="1"/>
  <c r="J263" i="1"/>
  <c r="K263" i="1"/>
  <c r="L263" i="1"/>
  <c r="M263" i="1"/>
  <c r="C91" i="1"/>
  <c r="D91" i="1"/>
  <c r="E91" i="1"/>
  <c r="F91" i="1"/>
  <c r="G91" i="1"/>
  <c r="J91" i="1"/>
  <c r="K91" i="1"/>
  <c r="L91" i="1"/>
  <c r="M91" i="1"/>
  <c r="C294" i="1"/>
  <c r="D294" i="1"/>
  <c r="E294" i="1"/>
  <c r="F294" i="1"/>
  <c r="G294" i="1"/>
  <c r="J294" i="1"/>
  <c r="K294" i="1"/>
  <c r="L294" i="1"/>
  <c r="M294" i="1"/>
  <c r="C192" i="1"/>
  <c r="D192" i="1"/>
  <c r="E192" i="1"/>
  <c r="F192" i="1"/>
  <c r="G192" i="1"/>
  <c r="J192" i="1"/>
  <c r="K192" i="1"/>
  <c r="L192" i="1"/>
  <c r="M192" i="1"/>
  <c r="C172" i="1"/>
  <c r="D172" i="1"/>
  <c r="E172" i="1"/>
  <c r="F172" i="1"/>
  <c r="G172" i="1"/>
  <c r="J172" i="1"/>
  <c r="K172" i="1"/>
  <c r="L172" i="1"/>
  <c r="M172" i="1"/>
  <c r="C159" i="1"/>
  <c r="D159" i="1"/>
  <c r="E159" i="1"/>
  <c r="F159" i="1"/>
  <c r="G159" i="1"/>
  <c r="J159" i="1"/>
  <c r="K159" i="1"/>
  <c r="L159" i="1"/>
  <c r="M159" i="1"/>
  <c r="C318" i="1"/>
  <c r="D318" i="1"/>
  <c r="E318" i="1"/>
  <c r="F318" i="1"/>
  <c r="G318" i="1"/>
  <c r="J318" i="1"/>
  <c r="K318" i="1"/>
  <c r="L318" i="1"/>
  <c r="M318" i="1"/>
  <c r="C271" i="1"/>
  <c r="D271" i="1"/>
  <c r="E271" i="1"/>
  <c r="F271" i="1"/>
  <c r="G271" i="1"/>
  <c r="J271" i="1"/>
  <c r="K271" i="1"/>
  <c r="L271" i="1"/>
  <c r="M271" i="1"/>
  <c r="C242" i="1"/>
  <c r="D242" i="1"/>
  <c r="E242" i="1"/>
  <c r="F242" i="1"/>
  <c r="G242" i="1"/>
  <c r="J242" i="1"/>
  <c r="K242" i="1"/>
  <c r="L242" i="1"/>
  <c r="M242" i="1"/>
  <c r="C130" i="1"/>
  <c r="D130" i="1"/>
  <c r="E130" i="1"/>
  <c r="F130" i="1"/>
  <c r="G130" i="1"/>
  <c r="J130" i="1"/>
  <c r="K130" i="1"/>
  <c r="L130" i="1"/>
  <c r="M130" i="1"/>
  <c r="C140" i="1"/>
  <c r="D140" i="1"/>
  <c r="E140" i="1"/>
  <c r="F140" i="1"/>
  <c r="G140" i="1"/>
  <c r="J140" i="1"/>
  <c r="K140" i="1"/>
  <c r="L140" i="1"/>
  <c r="M140" i="1"/>
  <c r="C202" i="1"/>
  <c r="D202" i="1"/>
  <c r="E202" i="1"/>
  <c r="F202" i="1"/>
  <c r="G202" i="1"/>
  <c r="J202" i="1"/>
  <c r="K202" i="1"/>
  <c r="L202" i="1"/>
  <c r="M202" i="1"/>
  <c r="C136" i="1"/>
  <c r="D136" i="1"/>
  <c r="E136" i="1"/>
  <c r="F136" i="1"/>
  <c r="G136" i="1"/>
  <c r="J136" i="1"/>
  <c r="K136" i="1"/>
  <c r="L136" i="1"/>
  <c r="M136" i="1"/>
  <c r="C137" i="1"/>
  <c r="D137" i="1"/>
  <c r="E137" i="1"/>
  <c r="F137" i="1"/>
  <c r="G137" i="1"/>
  <c r="J137" i="1"/>
  <c r="K137" i="1"/>
  <c r="L137" i="1"/>
  <c r="M137" i="1"/>
  <c r="C67" i="1"/>
  <c r="D67" i="1"/>
  <c r="E67" i="1"/>
  <c r="F67" i="1"/>
  <c r="G67" i="1"/>
  <c r="J67" i="1"/>
  <c r="K67" i="1"/>
  <c r="L67" i="1"/>
  <c r="M67" i="1"/>
  <c r="C253" i="1"/>
  <c r="D253" i="1"/>
  <c r="E253" i="1"/>
  <c r="F253" i="1"/>
  <c r="G253" i="1"/>
  <c r="J253" i="1"/>
  <c r="K253" i="1"/>
  <c r="L253" i="1"/>
  <c r="M253" i="1"/>
  <c r="C237" i="1"/>
  <c r="D237" i="1"/>
  <c r="E237" i="1"/>
  <c r="F237" i="1"/>
  <c r="G237" i="1"/>
  <c r="J237" i="1"/>
  <c r="K237" i="1"/>
  <c r="L237" i="1"/>
  <c r="M237" i="1"/>
  <c r="C193" i="1"/>
  <c r="D193" i="1"/>
  <c r="E193" i="1"/>
  <c r="F193" i="1"/>
  <c r="G193" i="1"/>
  <c r="J193" i="1"/>
  <c r="K193" i="1"/>
  <c r="L193" i="1"/>
  <c r="M193" i="1"/>
  <c r="C305" i="1"/>
  <c r="D305" i="1"/>
  <c r="E305" i="1"/>
  <c r="F305" i="1"/>
  <c r="G305" i="1"/>
  <c r="J305" i="1"/>
  <c r="K305" i="1"/>
  <c r="L305" i="1"/>
  <c r="M305" i="1"/>
  <c r="C16" i="1"/>
  <c r="D16" i="1"/>
  <c r="E16" i="1"/>
  <c r="F16" i="1"/>
  <c r="G16" i="1"/>
  <c r="J16" i="1"/>
  <c r="K16" i="1"/>
  <c r="L16" i="1"/>
  <c r="M16" i="1"/>
  <c r="C254" i="1"/>
  <c r="D254" i="1"/>
  <c r="E254" i="1"/>
  <c r="F254" i="1"/>
  <c r="G254" i="1"/>
  <c r="J254" i="1"/>
  <c r="K254" i="1"/>
  <c r="L254" i="1"/>
  <c r="M254" i="1"/>
  <c r="C59" i="1"/>
  <c r="D59" i="1"/>
  <c r="E59" i="1"/>
  <c r="F59" i="1"/>
  <c r="G59" i="1"/>
  <c r="J59" i="1"/>
  <c r="K59" i="1"/>
  <c r="L59" i="1"/>
  <c r="M59" i="1"/>
  <c r="C228" i="1"/>
  <c r="D228" i="1"/>
  <c r="E228" i="1"/>
  <c r="F228" i="1"/>
  <c r="G228" i="1"/>
  <c r="J228" i="1"/>
  <c r="K228" i="1"/>
  <c r="L228" i="1"/>
  <c r="M228" i="1"/>
  <c r="C320" i="1"/>
  <c r="D320" i="1"/>
  <c r="E320" i="1"/>
  <c r="F320" i="1"/>
  <c r="G320" i="1"/>
  <c r="J320" i="1"/>
  <c r="K320" i="1"/>
  <c r="L320" i="1"/>
  <c r="M320" i="1"/>
  <c r="C102" i="1"/>
  <c r="D102" i="1"/>
  <c r="E102" i="1"/>
  <c r="F102" i="1"/>
  <c r="G102" i="1"/>
  <c r="J102" i="1"/>
  <c r="K102" i="1"/>
  <c r="L102" i="1"/>
  <c r="M102" i="1"/>
  <c r="C24" i="1"/>
  <c r="D24" i="1"/>
  <c r="E24" i="1"/>
  <c r="F24" i="1"/>
  <c r="G24" i="1"/>
  <c r="J24" i="1"/>
  <c r="K24" i="1"/>
  <c r="L24" i="1"/>
  <c r="M24" i="1"/>
  <c r="C121" i="1"/>
  <c r="D121" i="1"/>
  <c r="E121" i="1"/>
  <c r="F121" i="1"/>
  <c r="G121" i="1"/>
  <c r="J121" i="1"/>
  <c r="K121" i="1"/>
  <c r="L121" i="1"/>
  <c r="M121" i="1"/>
  <c r="C142" i="1"/>
  <c r="D142" i="1"/>
  <c r="E142" i="1"/>
  <c r="F142" i="1"/>
  <c r="G142" i="1"/>
  <c r="J142" i="1"/>
  <c r="K142" i="1"/>
  <c r="L142" i="1"/>
  <c r="M142" i="1"/>
  <c r="C156" i="1"/>
  <c r="D156" i="1"/>
  <c r="E156" i="1"/>
  <c r="F156" i="1"/>
  <c r="G156" i="1"/>
  <c r="J156" i="1"/>
  <c r="K156" i="1"/>
  <c r="L156" i="1"/>
  <c r="M156" i="1"/>
  <c r="C146" i="1"/>
  <c r="D146" i="1"/>
  <c r="E146" i="1"/>
  <c r="F146" i="1"/>
  <c r="G146" i="1"/>
  <c r="J146" i="1"/>
  <c r="K146" i="1"/>
  <c r="L146" i="1"/>
  <c r="M146" i="1"/>
  <c r="C64" i="1"/>
  <c r="D64" i="1"/>
  <c r="E64" i="1"/>
  <c r="F64" i="1"/>
  <c r="G64" i="1"/>
  <c r="J64" i="1"/>
  <c r="K64" i="1"/>
  <c r="L64" i="1"/>
  <c r="M64" i="1"/>
  <c r="C246" i="1"/>
  <c r="D246" i="1"/>
  <c r="E246" i="1"/>
  <c r="F246" i="1"/>
  <c r="G246" i="1"/>
  <c r="J246" i="1"/>
  <c r="K246" i="1"/>
  <c r="L246" i="1"/>
  <c r="M246" i="1"/>
  <c r="C298" i="1"/>
  <c r="D298" i="1"/>
  <c r="E298" i="1"/>
  <c r="F298" i="1"/>
  <c r="G298" i="1"/>
  <c r="J298" i="1"/>
  <c r="K298" i="1"/>
  <c r="L298" i="1"/>
  <c r="M298" i="1"/>
  <c r="C90" i="1"/>
  <c r="D90" i="1"/>
  <c r="E90" i="1"/>
  <c r="F90" i="1"/>
  <c r="G90" i="1"/>
  <c r="J90" i="1"/>
  <c r="K90" i="1"/>
  <c r="L90" i="1"/>
  <c r="M90" i="1"/>
  <c r="C265" i="1"/>
  <c r="D265" i="1"/>
  <c r="E265" i="1"/>
  <c r="F265" i="1"/>
  <c r="G265" i="1"/>
  <c r="J265" i="1"/>
  <c r="K265" i="1"/>
  <c r="L265" i="1"/>
  <c r="M265" i="1"/>
  <c r="C151" i="1"/>
  <c r="D151" i="1"/>
  <c r="E151" i="1"/>
  <c r="F151" i="1"/>
  <c r="G151" i="1"/>
  <c r="J151" i="1"/>
  <c r="K151" i="1"/>
  <c r="L151" i="1"/>
  <c r="M151" i="1"/>
  <c r="C143" i="1"/>
  <c r="D143" i="1"/>
  <c r="E143" i="1"/>
  <c r="F143" i="1"/>
  <c r="G143" i="1"/>
  <c r="J143" i="1"/>
  <c r="K143" i="1"/>
  <c r="L143" i="1"/>
  <c r="M143" i="1"/>
  <c r="C194" i="1"/>
  <c r="D194" i="1"/>
  <c r="E194" i="1"/>
  <c r="F194" i="1"/>
  <c r="G194" i="1"/>
  <c r="J194" i="1"/>
  <c r="K194" i="1"/>
  <c r="L194" i="1"/>
  <c r="M194" i="1"/>
  <c r="C21" i="1"/>
  <c r="D21" i="1"/>
  <c r="E21" i="1"/>
  <c r="F21" i="1"/>
  <c r="G21" i="1"/>
  <c r="J21" i="1"/>
  <c r="K21" i="1"/>
  <c r="L21" i="1"/>
  <c r="M21" i="1"/>
  <c r="C104" i="1"/>
  <c r="D104" i="1"/>
  <c r="E104" i="1"/>
  <c r="F104" i="1"/>
  <c r="G104" i="1"/>
  <c r="J104" i="1"/>
  <c r="K104" i="1"/>
  <c r="L104" i="1"/>
  <c r="M104" i="1"/>
  <c r="C264" i="1"/>
  <c r="D264" i="1"/>
  <c r="E264" i="1"/>
  <c r="F264" i="1"/>
  <c r="G264" i="1"/>
  <c r="J264" i="1"/>
  <c r="K264" i="1"/>
  <c r="L264" i="1"/>
  <c r="M264" i="1"/>
  <c r="C32" i="1"/>
  <c r="D32" i="1"/>
  <c r="E32" i="1"/>
  <c r="F32" i="1"/>
  <c r="G32" i="1"/>
  <c r="J32" i="1"/>
  <c r="K32" i="1"/>
  <c r="L32" i="1"/>
  <c r="M32" i="1"/>
  <c r="C92" i="1"/>
  <c r="D92" i="1"/>
  <c r="E92" i="1"/>
  <c r="F92" i="1"/>
  <c r="G92" i="1"/>
  <c r="J92" i="1"/>
  <c r="K92" i="1"/>
  <c r="L92" i="1"/>
  <c r="M92" i="1"/>
  <c r="C93" i="1"/>
  <c r="D93" i="1"/>
  <c r="E93" i="1"/>
  <c r="F93" i="1"/>
  <c r="G93" i="1"/>
  <c r="J93" i="1"/>
  <c r="K93" i="1"/>
  <c r="L93" i="1"/>
  <c r="M93" i="1"/>
  <c r="C170" i="1"/>
  <c r="D170" i="1"/>
  <c r="E170" i="1"/>
  <c r="F170" i="1"/>
  <c r="G170" i="1"/>
  <c r="J170" i="1"/>
  <c r="K170" i="1"/>
  <c r="L170" i="1"/>
  <c r="M170" i="1"/>
  <c r="C330" i="1"/>
  <c r="D330" i="1"/>
  <c r="E330" i="1"/>
  <c r="F330" i="1"/>
  <c r="G330" i="1"/>
  <c r="J330" i="1"/>
  <c r="K330" i="1"/>
  <c r="L330" i="1"/>
  <c r="M330" i="1"/>
  <c r="C160" i="1"/>
  <c r="D160" i="1"/>
  <c r="E160" i="1"/>
  <c r="F160" i="1"/>
  <c r="G160" i="1"/>
  <c r="J160" i="1"/>
  <c r="K160" i="1"/>
  <c r="L160" i="1"/>
  <c r="M160" i="1"/>
  <c r="C272" i="1"/>
  <c r="D272" i="1"/>
  <c r="E272" i="1"/>
  <c r="F272" i="1"/>
  <c r="G272" i="1"/>
  <c r="J272" i="1"/>
  <c r="K272" i="1"/>
  <c r="L272" i="1"/>
  <c r="M272" i="1"/>
  <c r="C339" i="1"/>
  <c r="D339" i="1"/>
  <c r="E339" i="1"/>
  <c r="F339" i="1"/>
  <c r="G339" i="1"/>
  <c r="J339" i="1"/>
  <c r="K339" i="1"/>
  <c r="L339" i="1"/>
  <c r="M339" i="1"/>
  <c r="C308" i="1"/>
  <c r="D308" i="1"/>
  <c r="E308" i="1"/>
  <c r="F308" i="1"/>
  <c r="G308" i="1"/>
  <c r="J308" i="1"/>
  <c r="K308" i="1"/>
  <c r="L308" i="1"/>
  <c r="M308" i="1"/>
  <c r="C18" i="1"/>
  <c r="D18" i="1"/>
  <c r="E18" i="1"/>
  <c r="F18" i="1"/>
  <c r="G18" i="1"/>
  <c r="J18" i="1"/>
  <c r="K18" i="1"/>
  <c r="L18" i="1"/>
  <c r="M18" i="1"/>
  <c r="C47" i="1"/>
  <c r="D47" i="1"/>
  <c r="E47" i="1"/>
  <c r="F47" i="1"/>
  <c r="G47" i="1"/>
  <c r="J47" i="1"/>
  <c r="K47" i="1"/>
  <c r="L47" i="1"/>
  <c r="M47" i="1"/>
  <c r="C207" i="1"/>
  <c r="D207" i="1"/>
  <c r="E207" i="1"/>
  <c r="F207" i="1"/>
  <c r="G207" i="1"/>
  <c r="J207" i="1"/>
  <c r="K207" i="1"/>
  <c r="L207" i="1"/>
  <c r="M207" i="1"/>
  <c r="C88" i="1"/>
  <c r="D88" i="1"/>
  <c r="E88" i="1"/>
  <c r="F88" i="1"/>
  <c r="G88" i="1"/>
  <c r="J88" i="1"/>
  <c r="K88" i="1"/>
  <c r="L88" i="1"/>
  <c r="M88" i="1"/>
  <c r="C131" i="1"/>
  <c r="D131" i="1"/>
  <c r="E131" i="1"/>
  <c r="F131" i="1"/>
  <c r="G131" i="1"/>
  <c r="J131" i="1"/>
  <c r="K131" i="1"/>
  <c r="L131" i="1"/>
  <c r="M131" i="1"/>
  <c r="C112" i="1"/>
  <c r="D112" i="1"/>
  <c r="E112" i="1"/>
  <c r="F112" i="1"/>
  <c r="G112" i="1"/>
  <c r="J112" i="1"/>
  <c r="K112" i="1"/>
  <c r="L112" i="1"/>
  <c r="M112" i="1"/>
  <c r="C141" i="1"/>
  <c r="D141" i="1"/>
  <c r="E141" i="1"/>
  <c r="F141" i="1"/>
  <c r="G141" i="1"/>
  <c r="J141" i="1"/>
  <c r="K141" i="1"/>
  <c r="L141" i="1"/>
  <c r="M141" i="1"/>
  <c r="C311" i="1"/>
  <c r="D311" i="1"/>
  <c r="E311" i="1"/>
  <c r="F311" i="1"/>
  <c r="G311" i="1"/>
  <c r="J311" i="1"/>
  <c r="K311" i="1"/>
  <c r="L311" i="1"/>
  <c r="M311" i="1"/>
  <c r="C334" i="1"/>
  <c r="D334" i="1"/>
  <c r="E334" i="1"/>
  <c r="F334" i="1"/>
  <c r="G334" i="1"/>
  <c r="J334" i="1"/>
  <c r="K334" i="1"/>
  <c r="L334" i="1"/>
  <c r="M334" i="1"/>
  <c r="C273" i="1"/>
  <c r="D273" i="1"/>
  <c r="E273" i="1"/>
  <c r="F273" i="1"/>
  <c r="G273" i="1"/>
  <c r="J273" i="1"/>
  <c r="K273" i="1"/>
  <c r="L273" i="1"/>
  <c r="M273" i="1"/>
  <c r="C77" i="1"/>
  <c r="D77" i="1"/>
  <c r="E77" i="1"/>
  <c r="F77" i="1"/>
  <c r="G77" i="1"/>
  <c r="J77" i="1"/>
  <c r="K77" i="1"/>
  <c r="L77" i="1"/>
  <c r="M77" i="1"/>
  <c r="C38" i="1"/>
  <c r="D38" i="1"/>
  <c r="E38" i="1"/>
  <c r="F38" i="1"/>
  <c r="G38" i="1"/>
  <c r="J38" i="1"/>
  <c r="K38" i="1"/>
  <c r="L38" i="1"/>
  <c r="M38" i="1"/>
  <c r="C321" i="1"/>
  <c r="D321" i="1"/>
  <c r="E321" i="1"/>
  <c r="F321" i="1"/>
  <c r="G321" i="1"/>
  <c r="J321" i="1"/>
  <c r="K321" i="1"/>
  <c r="L321" i="1"/>
  <c r="M321" i="1"/>
  <c r="C218" i="1"/>
  <c r="D218" i="1"/>
  <c r="E218" i="1"/>
  <c r="F218" i="1"/>
  <c r="G218" i="1"/>
  <c r="J218" i="1"/>
  <c r="K218" i="1"/>
  <c r="L218" i="1"/>
  <c r="M218" i="1"/>
  <c r="C289" i="1"/>
  <c r="D289" i="1"/>
  <c r="E289" i="1"/>
  <c r="F289" i="1"/>
  <c r="G289" i="1"/>
  <c r="J289" i="1"/>
  <c r="K289" i="1"/>
  <c r="L289" i="1"/>
  <c r="M289" i="1"/>
  <c r="C300" i="1"/>
  <c r="D300" i="1"/>
  <c r="E300" i="1"/>
  <c r="F300" i="1"/>
  <c r="G300" i="1"/>
  <c r="J300" i="1"/>
  <c r="K300" i="1"/>
  <c r="L300" i="1"/>
  <c r="M300" i="1"/>
  <c r="C267" i="1"/>
  <c r="D267" i="1"/>
  <c r="E267" i="1"/>
  <c r="F267" i="1"/>
  <c r="G267" i="1"/>
  <c r="J267" i="1"/>
  <c r="K267" i="1"/>
  <c r="L267" i="1"/>
  <c r="M267" i="1"/>
  <c r="C124" i="1"/>
  <c r="D124" i="1"/>
  <c r="E124" i="1"/>
  <c r="F124" i="1"/>
  <c r="G124" i="1"/>
  <c r="J124" i="1"/>
  <c r="K124" i="1"/>
  <c r="L124" i="1"/>
  <c r="M124" i="1"/>
  <c r="C275" i="1"/>
  <c r="D275" i="1"/>
  <c r="E275" i="1"/>
  <c r="F275" i="1"/>
  <c r="G275" i="1"/>
  <c r="J275" i="1"/>
  <c r="K275" i="1"/>
  <c r="L275" i="1"/>
  <c r="M275" i="1"/>
  <c r="C70" i="1"/>
  <c r="D70" i="1"/>
  <c r="E70" i="1"/>
  <c r="F70" i="1"/>
  <c r="G70" i="1"/>
  <c r="J70" i="1"/>
  <c r="K70" i="1"/>
  <c r="L70" i="1"/>
  <c r="M70" i="1"/>
  <c r="C229" i="1"/>
  <c r="D229" i="1"/>
  <c r="E229" i="1"/>
  <c r="F229" i="1"/>
  <c r="G229" i="1"/>
  <c r="J229" i="1"/>
  <c r="K229" i="1"/>
  <c r="L229" i="1"/>
  <c r="M229" i="1"/>
  <c r="C5" i="1"/>
  <c r="D5" i="1"/>
  <c r="E5" i="1"/>
  <c r="F5" i="1"/>
  <c r="G5" i="1"/>
  <c r="J5" i="1"/>
  <c r="K5" i="1"/>
  <c r="L5" i="1"/>
  <c r="M5" i="1"/>
  <c r="C125" i="1"/>
  <c r="D125" i="1"/>
  <c r="E125" i="1"/>
  <c r="F125" i="1"/>
  <c r="G125" i="1"/>
  <c r="J125" i="1"/>
  <c r="K125" i="1"/>
  <c r="L125" i="1"/>
  <c r="M125" i="1"/>
  <c r="C226" i="1"/>
  <c r="D226" i="1"/>
  <c r="E226" i="1"/>
  <c r="F226" i="1"/>
  <c r="G226" i="1"/>
  <c r="J226" i="1"/>
  <c r="K226" i="1"/>
  <c r="L226" i="1"/>
  <c r="M226" i="1"/>
  <c r="C178" i="1"/>
  <c r="D178" i="1"/>
  <c r="E178" i="1"/>
  <c r="F178" i="1"/>
  <c r="G178" i="1"/>
  <c r="J178" i="1"/>
  <c r="K178" i="1"/>
  <c r="L178" i="1"/>
  <c r="M178" i="1"/>
  <c r="C256" i="1"/>
  <c r="D256" i="1"/>
  <c r="E256" i="1"/>
  <c r="F256" i="1"/>
  <c r="G256" i="1"/>
  <c r="J256" i="1"/>
  <c r="K256" i="1"/>
  <c r="L256" i="1"/>
  <c r="M256" i="1"/>
  <c r="C118" i="1"/>
  <c r="D118" i="1"/>
  <c r="E118" i="1"/>
  <c r="F118" i="1"/>
  <c r="G118" i="1"/>
  <c r="J118" i="1"/>
  <c r="K118" i="1"/>
  <c r="L118" i="1"/>
  <c r="M118" i="1"/>
  <c r="C48" i="1"/>
  <c r="D48" i="1"/>
  <c r="E48" i="1"/>
  <c r="F48" i="1"/>
  <c r="G48" i="1"/>
  <c r="J48" i="1"/>
  <c r="K48" i="1"/>
  <c r="L48" i="1"/>
  <c r="M48" i="1"/>
  <c r="C203" i="1"/>
  <c r="D203" i="1"/>
  <c r="E203" i="1"/>
  <c r="F203" i="1"/>
  <c r="G203" i="1"/>
  <c r="J203" i="1"/>
  <c r="K203" i="1"/>
  <c r="L203" i="1"/>
  <c r="M203" i="1"/>
  <c r="C138" i="1"/>
  <c r="D138" i="1"/>
  <c r="E138" i="1"/>
  <c r="F138" i="1"/>
  <c r="G138" i="1"/>
  <c r="J138" i="1"/>
  <c r="K138" i="1"/>
  <c r="L138" i="1"/>
  <c r="M138" i="1"/>
  <c r="C71" i="1"/>
  <c r="D71" i="1"/>
  <c r="E71" i="1"/>
  <c r="F71" i="1"/>
  <c r="G71" i="1"/>
  <c r="J71" i="1"/>
  <c r="K71" i="1"/>
  <c r="L71" i="1"/>
  <c r="M71" i="1"/>
  <c r="C249" i="1"/>
  <c r="D249" i="1"/>
  <c r="E249" i="1"/>
  <c r="F249" i="1"/>
  <c r="G249" i="1"/>
  <c r="J249" i="1"/>
  <c r="K249" i="1"/>
  <c r="L249" i="1"/>
  <c r="M249" i="1"/>
  <c r="C10" i="1"/>
  <c r="D10" i="1"/>
  <c r="E10" i="1"/>
  <c r="F10" i="1"/>
  <c r="G10" i="1"/>
  <c r="J10" i="1"/>
  <c r="K10" i="1"/>
  <c r="L10" i="1"/>
  <c r="M10" i="1"/>
  <c r="C22" i="1"/>
  <c r="D22" i="1"/>
  <c r="E22" i="1"/>
  <c r="F22" i="1"/>
  <c r="G22" i="1"/>
  <c r="J22" i="1"/>
  <c r="K22" i="1"/>
  <c r="L22" i="1"/>
  <c r="M22" i="1"/>
  <c r="C281" i="1"/>
  <c r="D281" i="1"/>
  <c r="E281" i="1"/>
  <c r="F281" i="1"/>
  <c r="G281" i="1"/>
  <c r="J281" i="1"/>
  <c r="K281" i="1"/>
  <c r="L281" i="1"/>
  <c r="M281" i="1"/>
  <c r="C171" i="1"/>
  <c r="D171" i="1"/>
  <c r="E171" i="1"/>
  <c r="F171" i="1"/>
  <c r="G171" i="1"/>
  <c r="J171" i="1"/>
  <c r="K171" i="1"/>
  <c r="L171" i="1"/>
  <c r="M171" i="1"/>
  <c r="C150" i="1"/>
  <c r="D150" i="1"/>
  <c r="E150" i="1"/>
  <c r="F150" i="1"/>
  <c r="G150" i="1"/>
  <c r="J150" i="1"/>
  <c r="K150" i="1"/>
  <c r="L150" i="1"/>
  <c r="M150" i="1"/>
  <c r="C46" i="1"/>
  <c r="D46" i="1"/>
  <c r="E46" i="1"/>
  <c r="F46" i="1"/>
  <c r="G46" i="1"/>
  <c r="J46" i="1"/>
  <c r="K46" i="1"/>
  <c r="L46" i="1"/>
  <c r="M46" i="1"/>
  <c r="C83" i="1"/>
  <c r="D83" i="1"/>
  <c r="E83" i="1"/>
  <c r="F83" i="1"/>
  <c r="G83" i="1"/>
  <c r="J83" i="1"/>
  <c r="K83" i="1"/>
  <c r="L83" i="1"/>
  <c r="M83" i="1"/>
  <c r="C174" i="1"/>
  <c r="D174" i="1"/>
  <c r="E174" i="1"/>
  <c r="F174" i="1"/>
  <c r="G174" i="1"/>
  <c r="J174" i="1"/>
  <c r="K174" i="1"/>
  <c r="L174" i="1"/>
  <c r="M174" i="1"/>
  <c r="C340" i="1"/>
  <c r="D340" i="1"/>
  <c r="E340" i="1"/>
  <c r="F340" i="1"/>
  <c r="G340" i="1"/>
  <c r="J340" i="1"/>
  <c r="K340" i="1"/>
  <c r="L340" i="1"/>
  <c r="M340" i="1"/>
  <c r="C149" i="1"/>
  <c r="D149" i="1"/>
  <c r="E149" i="1"/>
  <c r="F149" i="1"/>
  <c r="G149" i="1"/>
  <c r="J149" i="1"/>
  <c r="K149" i="1"/>
  <c r="L149" i="1"/>
  <c r="M149" i="1"/>
  <c r="C244" i="1"/>
  <c r="D244" i="1"/>
  <c r="E244" i="1"/>
  <c r="F244" i="1"/>
  <c r="G244" i="1"/>
  <c r="J244" i="1"/>
  <c r="K244" i="1"/>
  <c r="L244" i="1"/>
  <c r="M244" i="1"/>
  <c r="C240" i="1"/>
  <c r="D240" i="1"/>
  <c r="E240" i="1"/>
  <c r="F240" i="1"/>
  <c r="G240" i="1"/>
  <c r="J240" i="1"/>
  <c r="K240" i="1"/>
  <c r="L240" i="1"/>
  <c r="M240" i="1"/>
  <c r="C4" i="1"/>
  <c r="D4" i="1"/>
  <c r="E4" i="1"/>
  <c r="F4" i="1"/>
  <c r="G4" i="1"/>
  <c r="J4" i="1"/>
  <c r="K4" i="1"/>
  <c r="L4" i="1"/>
  <c r="M4" i="1"/>
  <c r="C128" i="1"/>
  <c r="D128" i="1"/>
  <c r="E128" i="1"/>
  <c r="F128" i="1"/>
  <c r="G128" i="1"/>
  <c r="J128" i="1"/>
  <c r="K128" i="1"/>
  <c r="L128" i="1"/>
  <c r="M128" i="1"/>
  <c r="C180" i="1"/>
  <c r="D180" i="1"/>
  <c r="E180" i="1"/>
  <c r="F180" i="1"/>
  <c r="G180" i="1"/>
  <c r="J180" i="1"/>
  <c r="K180" i="1"/>
  <c r="L180" i="1"/>
  <c r="M180" i="1"/>
  <c r="C181" i="1"/>
  <c r="D181" i="1"/>
  <c r="E181" i="1"/>
  <c r="F181" i="1"/>
  <c r="G181" i="1"/>
  <c r="J181" i="1"/>
  <c r="K181" i="1"/>
  <c r="L181" i="1"/>
  <c r="M181" i="1"/>
  <c r="C238" i="1"/>
  <c r="D238" i="1"/>
  <c r="E238" i="1"/>
  <c r="F238" i="1"/>
  <c r="G238" i="1"/>
  <c r="J238" i="1"/>
  <c r="K238" i="1"/>
  <c r="L238" i="1"/>
  <c r="M238" i="1"/>
  <c r="C33" i="1"/>
  <c r="D33" i="1"/>
  <c r="E33" i="1"/>
  <c r="F33" i="1"/>
  <c r="G33" i="1"/>
  <c r="J33" i="1"/>
  <c r="K33" i="1"/>
  <c r="L33" i="1"/>
  <c r="M33" i="1"/>
  <c r="C26" i="1"/>
  <c r="D26" i="1"/>
  <c r="E26" i="1"/>
  <c r="F26" i="1"/>
  <c r="G26" i="1"/>
  <c r="J26" i="1"/>
  <c r="K26" i="1"/>
  <c r="L26" i="1"/>
  <c r="M26" i="1"/>
  <c r="C233" i="1"/>
  <c r="D233" i="1"/>
  <c r="E233" i="1"/>
  <c r="F233" i="1"/>
  <c r="G233" i="1"/>
  <c r="J233" i="1"/>
  <c r="K233" i="1"/>
  <c r="L233" i="1"/>
  <c r="M233" i="1"/>
  <c r="C195" i="1"/>
  <c r="D195" i="1"/>
  <c r="E195" i="1"/>
  <c r="F195" i="1"/>
  <c r="G195" i="1"/>
  <c r="J195" i="1"/>
  <c r="K195" i="1"/>
  <c r="L195" i="1"/>
  <c r="M195" i="1"/>
  <c r="C285" i="1"/>
  <c r="D285" i="1"/>
  <c r="E285" i="1"/>
  <c r="F285" i="1"/>
  <c r="G285" i="1"/>
  <c r="J285" i="1"/>
  <c r="K285" i="1"/>
  <c r="L285" i="1"/>
  <c r="M285" i="1"/>
  <c r="C72" i="1"/>
  <c r="D72" i="1"/>
  <c r="E72" i="1"/>
  <c r="F72" i="1"/>
  <c r="G72" i="1"/>
  <c r="J72" i="1"/>
  <c r="K72" i="1"/>
  <c r="L72" i="1"/>
  <c r="M72" i="1"/>
  <c r="C126" i="1"/>
  <c r="D126" i="1"/>
  <c r="E126" i="1"/>
  <c r="F126" i="1"/>
  <c r="G126" i="1"/>
  <c r="J126" i="1"/>
  <c r="K126" i="1"/>
  <c r="L126" i="1"/>
  <c r="M126" i="1"/>
  <c r="C116" i="1"/>
  <c r="D116" i="1"/>
  <c r="E116" i="1"/>
  <c r="F116" i="1"/>
  <c r="G116" i="1"/>
  <c r="J116" i="1"/>
  <c r="K116" i="1"/>
  <c r="L116" i="1"/>
  <c r="M116" i="1"/>
  <c r="C105" i="1"/>
  <c r="D105" i="1"/>
  <c r="E105" i="1"/>
  <c r="F105" i="1"/>
  <c r="G105" i="1"/>
  <c r="J105" i="1"/>
  <c r="K105" i="1"/>
  <c r="L105" i="1"/>
  <c r="M105" i="1"/>
  <c r="C74" i="1"/>
  <c r="D74" i="1"/>
  <c r="E74" i="1"/>
  <c r="F74" i="1"/>
  <c r="G74" i="1"/>
  <c r="J74" i="1"/>
  <c r="K74" i="1"/>
  <c r="L74" i="1"/>
  <c r="M74" i="1"/>
  <c r="C306" i="1"/>
  <c r="D306" i="1"/>
  <c r="E306" i="1"/>
  <c r="F306" i="1"/>
  <c r="G306" i="1"/>
  <c r="J306" i="1"/>
  <c r="K306" i="1"/>
  <c r="L306" i="1"/>
  <c r="M306" i="1"/>
  <c r="C99" i="1"/>
  <c r="D99" i="1"/>
  <c r="E99" i="1"/>
  <c r="F99" i="1"/>
  <c r="G99" i="1"/>
  <c r="J99" i="1"/>
  <c r="K99" i="1"/>
  <c r="L99" i="1"/>
  <c r="M99" i="1"/>
  <c r="C7" i="1"/>
  <c r="D7" i="1"/>
  <c r="E7" i="1"/>
  <c r="F7" i="1"/>
  <c r="G7" i="1"/>
  <c r="J7" i="1"/>
  <c r="K7" i="1"/>
  <c r="L7" i="1"/>
  <c r="M7" i="1"/>
  <c r="C43" i="1"/>
  <c r="D43" i="1"/>
  <c r="E43" i="1"/>
  <c r="F43" i="1"/>
  <c r="G43" i="1"/>
  <c r="J43" i="1"/>
  <c r="K43" i="1"/>
  <c r="L43" i="1"/>
  <c r="M43" i="1"/>
  <c r="C255" i="1"/>
  <c r="D255" i="1"/>
  <c r="E255" i="1"/>
  <c r="F255" i="1"/>
  <c r="G255" i="1"/>
  <c r="J255" i="1"/>
  <c r="K255" i="1"/>
  <c r="L255" i="1"/>
  <c r="M255" i="1"/>
  <c r="C94" i="1"/>
  <c r="D94" i="1"/>
  <c r="E94" i="1"/>
  <c r="F94" i="1"/>
  <c r="G94" i="1"/>
  <c r="J94" i="1"/>
  <c r="K94" i="1"/>
  <c r="L94" i="1"/>
  <c r="M94" i="1"/>
  <c r="C95" i="1"/>
  <c r="D95" i="1"/>
  <c r="E95" i="1"/>
  <c r="F95" i="1"/>
  <c r="G95" i="1"/>
  <c r="J95" i="1"/>
  <c r="K95" i="1"/>
  <c r="L95" i="1"/>
  <c r="M95" i="1"/>
  <c r="C60" i="1"/>
  <c r="D60" i="1"/>
  <c r="E60" i="1"/>
  <c r="F60" i="1"/>
  <c r="G60" i="1"/>
  <c r="J60" i="1"/>
  <c r="K60" i="1"/>
  <c r="L60" i="1"/>
  <c r="M60" i="1"/>
  <c r="C114" i="1"/>
  <c r="D114" i="1"/>
  <c r="E114" i="1"/>
  <c r="F114" i="1"/>
  <c r="G114" i="1"/>
  <c r="J114" i="1"/>
  <c r="K114" i="1"/>
  <c r="L114" i="1"/>
  <c r="M114" i="1"/>
  <c r="C345" i="1"/>
  <c r="D345" i="1"/>
  <c r="E345" i="1"/>
  <c r="F345" i="1"/>
  <c r="G345" i="1"/>
  <c r="J345" i="1"/>
  <c r="K345" i="1"/>
  <c r="L345" i="1"/>
  <c r="M345" i="1"/>
  <c r="C309" i="1"/>
  <c r="D309" i="1"/>
  <c r="E309" i="1"/>
  <c r="F309" i="1"/>
  <c r="G309" i="1"/>
  <c r="J309" i="1"/>
  <c r="K309" i="1"/>
  <c r="L309" i="1"/>
  <c r="M309" i="1"/>
  <c r="C173" i="1"/>
  <c r="D173" i="1"/>
  <c r="E173" i="1"/>
  <c r="F173" i="1"/>
  <c r="G173" i="1"/>
  <c r="J173" i="1"/>
  <c r="K173" i="1"/>
  <c r="L173" i="1"/>
  <c r="M173" i="1"/>
  <c r="C337" i="1"/>
  <c r="D337" i="1"/>
  <c r="E337" i="1"/>
  <c r="F337" i="1"/>
  <c r="G337" i="1"/>
  <c r="J337" i="1"/>
  <c r="K337" i="1"/>
  <c r="L337" i="1"/>
  <c r="M337" i="1"/>
  <c r="C200" i="1"/>
  <c r="D200" i="1"/>
  <c r="E200" i="1"/>
  <c r="F200" i="1"/>
  <c r="G200" i="1"/>
  <c r="J200" i="1"/>
  <c r="K200" i="1"/>
  <c r="L200" i="1"/>
  <c r="M200" i="1"/>
  <c r="C161" i="1"/>
  <c r="D161" i="1"/>
  <c r="E161" i="1"/>
  <c r="F161" i="1"/>
  <c r="G161" i="1"/>
  <c r="J161" i="1"/>
  <c r="K161" i="1"/>
  <c r="L161" i="1"/>
  <c r="M161" i="1"/>
  <c r="C332" i="1"/>
  <c r="D332" i="1"/>
  <c r="E332" i="1"/>
  <c r="F332" i="1"/>
  <c r="G332" i="1"/>
  <c r="J332" i="1"/>
  <c r="K332" i="1"/>
  <c r="L332" i="1"/>
  <c r="M332" i="1"/>
  <c r="C163" i="1"/>
  <c r="D163" i="1"/>
  <c r="E163" i="1"/>
  <c r="F163" i="1"/>
  <c r="G163" i="1"/>
  <c r="J163" i="1"/>
  <c r="K163" i="1"/>
  <c r="L163" i="1"/>
  <c r="M163" i="1"/>
  <c r="C220" i="1"/>
  <c r="D220" i="1"/>
  <c r="E220" i="1"/>
  <c r="F220" i="1"/>
  <c r="G220" i="1"/>
  <c r="J220" i="1"/>
  <c r="K220" i="1"/>
  <c r="L220" i="1"/>
  <c r="M220" i="1"/>
  <c r="C197" i="1"/>
  <c r="D197" i="1"/>
  <c r="E197" i="1"/>
  <c r="F197" i="1"/>
  <c r="G197" i="1"/>
  <c r="J197" i="1"/>
  <c r="K197" i="1"/>
  <c r="L197" i="1"/>
  <c r="M197" i="1"/>
  <c r="C208" i="1"/>
  <c r="D208" i="1"/>
  <c r="E208" i="1"/>
  <c r="F208" i="1"/>
  <c r="G208" i="1"/>
  <c r="J208" i="1"/>
  <c r="K208" i="1"/>
  <c r="L208" i="1"/>
  <c r="M208" i="1"/>
  <c r="C132" i="1"/>
  <c r="D132" i="1"/>
  <c r="E132" i="1"/>
  <c r="F132" i="1"/>
  <c r="G132" i="1"/>
  <c r="J132" i="1"/>
  <c r="K132" i="1"/>
  <c r="L132" i="1"/>
  <c r="M132" i="1"/>
  <c r="C79" i="1"/>
  <c r="D79" i="1"/>
  <c r="E79" i="1"/>
  <c r="F79" i="1"/>
  <c r="G79" i="1"/>
  <c r="J79" i="1"/>
  <c r="K79" i="1"/>
  <c r="L79" i="1"/>
  <c r="M79" i="1"/>
  <c r="C155" i="1"/>
  <c r="D155" i="1"/>
  <c r="E155" i="1"/>
  <c r="F155" i="1"/>
  <c r="G155" i="1"/>
  <c r="J155" i="1"/>
  <c r="K155" i="1"/>
  <c r="L155" i="1"/>
  <c r="M155" i="1"/>
  <c r="C152" i="1"/>
  <c r="D152" i="1"/>
  <c r="E152" i="1"/>
  <c r="F152" i="1"/>
  <c r="G152" i="1"/>
  <c r="J152" i="1"/>
  <c r="K152" i="1"/>
  <c r="L152" i="1"/>
  <c r="M152" i="1"/>
  <c r="C139" i="1"/>
  <c r="D139" i="1"/>
  <c r="E139" i="1"/>
  <c r="F139" i="1"/>
  <c r="G139" i="1"/>
  <c r="J139" i="1"/>
  <c r="K139" i="1"/>
  <c r="L139" i="1"/>
  <c r="M139" i="1"/>
  <c r="C219" i="1"/>
  <c r="D219" i="1"/>
  <c r="E219" i="1"/>
  <c r="F219" i="1"/>
  <c r="G219" i="1"/>
  <c r="J219" i="1"/>
  <c r="K219" i="1"/>
  <c r="L219" i="1"/>
  <c r="M219" i="1"/>
  <c r="C135" i="1"/>
  <c r="D135" i="1"/>
  <c r="E135" i="1"/>
  <c r="F135" i="1"/>
  <c r="G135" i="1"/>
  <c r="J135" i="1"/>
  <c r="K135" i="1"/>
  <c r="L135" i="1"/>
  <c r="M135" i="1"/>
  <c r="C120" i="1"/>
  <c r="D120" i="1"/>
  <c r="E120" i="1"/>
  <c r="F120" i="1"/>
  <c r="G120" i="1"/>
  <c r="J120" i="1"/>
  <c r="K120" i="1"/>
  <c r="L120" i="1"/>
  <c r="M120" i="1"/>
  <c r="C45" i="1"/>
  <c r="D45" i="1"/>
  <c r="E45" i="1"/>
  <c r="F45" i="1"/>
  <c r="G45" i="1"/>
  <c r="J45" i="1"/>
  <c r="K45" i="1"/>
  <c r="L45" i="1"/>
  <c r="M45" i="1"/>
  <c r="C164" i="1"/>
  <c r="D164" i="1"/>
  <c r="E164" i="1"/>
  <c r="F164" i="1"/>
  <c r="G164" i="1"/>
  <c r="J164" i="1"/>
  <c r="K164" i="1"/>
  <c r="L164" i="1"/>
  <c r="M164" i="1"/>
  <c r="C177" i="1"/>
  <c r="D177" i="1"/>
  <c r="E177" i="1"/>
  <c r="F177" i="1"/>
  <c r="G177" i="1"/>
  <c r="J177" i="1"/>
  <c r="K177" i="1"/>
  <c r="L177" i="1"/>
  <c r="M177" i="1"/>
  <c r="C198" i="1"/>
  <c r="D198" i="1"/>
  <c r="E198" i="1"/>
  <c r="F198" i="1"/>
  <c r="G198" i="1"/>
  <c r="J198" i="1"/>
  <c r="K198" i="1"/>
  <c r="L198" i="1"/>
  <c r="M198" i="1"/>
  <c r="C223" i="1"/>
  <c r="D223" i="1"/>
  <c r="E223" i="1"/>
  <c r="F223" i="1"/>
  <c r="G223" i="1"/>
  <c r="J223" i="1"/>
  <c r="K223" i="1"/>
  <c r="L223" i="1"/>
  <c r="M223" i="1"/>
  <c r="C343" i="1"/>
  <c r="D343" i="1"/>
  <c r="E343" i="1"/>
  <c r="F343" i="1"/>
  <c r="G343" i="1"/>
  <c r="J343" i="1"/>
  <c r="K343" i="1"/>
  <c r="L343" i="1"/>
  <c r="M343" i="1"/>
  <c r="C292" i="1"/>
  <c r="D292" i="1"/>
  <c r="E292" i="1"/>
  <c r="F292" i="1"/>
  <c r="G292" i="1"/>
  <c r="J292" i="1"/>
  <c r="K292" i="1"/>
  <c r="L292" i="1"/>
  <c r="M292" i="1"/>
  <c r="C313" i="1"/>
  <c r="D313" i="1"/>
  <c r="E313" i="1"/>
  <c r="F313" i="1"/>
  <c r="G313" i="1"/>
  <c r="J313" i="1"/>
  <c r="K313" i="1"/>
  <c r="L313" i="1"/>
  <c r="M313" i="1"/>
  <c r="C187" i="1"/>
  <c r="D187" i="1"/>
  <c r="E187" i="1"/>
  <c r="F187" i="1"/>
  <c r="G187" i="1"/>
  <c r="J187" i="1"/>
  <c r="K187" i="1"/>
  <c r="L187" i="1"/>
  <c r="M187" i="1"/>
  <c r="C89" i="1"/>
  <c r="D89" i="1"/>
  <c r="E89" i="1"/>
  <c r="F89" i="1"/>
  <c r="G89" i="1"/>
  <c r="J89" i="1"/>
  <c r="K89" i="1"/>
  <c r="L89" i="1"/>
  <c r="M89" i="1"/>
  <c r="C323" i="1"/>
  <c r="D323" i="1"/>
  <c r="E323" i="1"/>
  <c r="F323" i="1"/>
  <c r="G323" i="1"/>
  <c r="J323" i="1"/>
  <c r="K323" i="1"/>
  <c r="L323" i="1"/>
  <c r="M323" i="1"/>
  <c r="C324" i="1"/>
  <c r="D324" i="1"/>
  <c r="E324" i="1"/>
  <c r="F324" i="1"/>
  <c r="G324" i="1"/>
  <c r="J324" i="1"/>
  <c r="K324" i="1"/>
  <c r="L324" i="1"/>
  <c r="M324" i="1"/>
  <c r="C325" i="1"/>
  <c r="D325" i="1"/>
  <c r="E325" i="1"/>
  <c r="F325" i="1"/>
  <c r="G325" i="1"/>
  <c r="J325" i="1"/>
  <c r="K325" i="1"/>
  <c r="L325" i="1"/>
  <c r="M325" i="1"/>
  <c r="C326" i="1"/>
  <c r="D326" i="1"/>
  <c r="E326" i="1"/>
  <c r="F326" i="1"/>
  <c r="G326" i="1"/>
  <c r="J326" i="1"/>
  <c r="K326" i="1"/>
  <c r="L326" i="1"/>
  <c r="M326" i="1"/>
  <c r="C327" i="1"/>
  <c r="D327" i="1"/>
  <c r="E327" i="1"/>
  <c r="F327" i="1"/>
  <c r="G327" i="1"/>
  <c r="J327" i="1"/>
  <c r="K327" i="1"/>
  <c r="L327" i="1"/>
  <c r="M327" i="1"/>
  <c r="C312" i="1"/>
  <c r="D312" i="1"/>
  <c r="E312" i="1"/>
  <c r="F312" i="1"/>
  <c r="G312" i="1"/>
  <c r="J312" i="1"/>
  <c r="K312" i="1"/>
  <c r="L312" i="1"/>
  <c r="M312" i="1"/>
  <c r="C231" i="1"/>
  <c r="D231" i="1"/>
  <c r="E231" i="1"/>
  <c r="F231" i="1"/>
  <c r="G231" i="1"/>
  <c r="J231" i="1"/>
  <c r="K231" i="1"/>
  <c r="L231" i="1"/>
  <c r="M231" i="1"/>
  <c r="C186" i="1"/>
  <c r="D186" i="1"/>
  <c r="E186" i="1"/>
  <c r="F186" i="1"/>
  <c r="G186" i="1"/>
  <c r="J186" i="1"/>
  <c r="K186" i="1"/>
  <c r="L186" i="1"/>
  <c r="M186" i="1"/>
  <c r="C335" i="1"/>
  <c r="D335" i="1"/>
  <c r="E335" i="1"/>
  <c r="F335" i="1"/>
  <c r="G335" i="1"/>
  <c r="J335" i="1"/>
  <c r="K335" i="1"/>
  <c r="L335" i="1"/>
  <c r="M335" i="1"/>
  <c r="C274" i="1"/>
  <c r="D274" i="1"/>
  <c r="E274" i="1"/>
  <c r="F274" i="1"/>
  <c r="G274" i="1"/>
  <c r="J274" i="1"/>
  <c r="K274" i="1"/>
  <c r="L274" i="1"/>
  <c r="M274" i="1"/>
  <c r="C76" i="1"/>
  <c r="D76" i="1"/>
  <c r="E76" i="1"/>
  <c r="F76" i="1"/>
  <c r="G76" i="1"/>
  <c r="J76" i="1"/>
  <c r="K76" i="1"/>
  <c r="L76" i="1"/>
  <c r="M76" i="1"/>
  <c r="C52" i="1"/>
  <c r="D52" i="1"/>
  <c r="E52" i="1"/>
  <c r="F52" i="1"/>
  <c r="G52" i="1"/>
  <c r="J52" i="1"/>
  <c r="K52" i="1"/>
  <c r="L52" i="1"/>
  <c r="M52" i="1"/>
  <c r="C78" i="1"/>
  <c r="D78" i="1"/>
  <c r="E78" i="1"/>
  <c r="F78" i="1"/>
  <c r="G78" i="1"/>
  <c r="J78" i="1"/>
  <c r="K78" i="1"/>
  <c r="L78" i="1"/>
  <c r="M78" i="1"/>
  <c r="C314" i="1"/>
  <c r="D314" i="1"/>
  <c r="E314" i="1"/>
  <c r="F314" i="1"/>
  <c r="G314" i="1"/>
  <c r="J314" i="1"/>
  <c r="K314" i="1"/>
  <c r="L314" i="1"/>
  <c r="M314" i="1"/>
  <c r="C87" i="1"/>
  <c r="D87" i="1"/>
  <c r="E87" i="1"/>
  <c r="F87" i="1"/>
  <c r="G87" i="1"/>
  <c r="J87" i="1"/>
  <c r="K87" i="1"/>
  <c r="L87" i="1"/>
  <c r="M87" i="1"/>
  <c r="C39" i="1"/>
  <c r="D39" i="1"/>
  <c r="E39" i="1"/>
  <c r="F39" i="1"/>
  <c r="G39" i="1"/>
  <c r="J39" i="1"/>
  <c r="K39" i="1"/>
  <c r="L39" i="1"/>
  <c r="M39" i="1"/>
  <c r="C199" i="1"/>
  <c r="D199" i="1"/>
  <c r="E199" i="1"/>
  <c r="F199" i="1"/>
  <c r="G199" i="1"/>
  <c r="J199" i="1"/>
  <c r="K199" i="1"/>
  <c r="L199" i="1"/>
  <c r="M199" i="1"/>
  <c r="C222" i="1"/>
  <c r="D222" i="1"/>
  <c r="E222" i="1"/>
  <c r="F222" i="1"/>
  <c r="G222" i="1"/>
  <c r="J222" i="1"/>
  <c r="K222" i="1"/>
  <c r="L222" i="1"/>
  <c r="M222" i="1"/>
  <c r="C158" i="1"/>
  <c r="D158" i="1"/>
  <c r="E158" i="1"/>
  <c r="F158" i="1"/>
  <c r="G158" i="1"/>
  <c r="J158" i="1"/>
  <c r="K158" i="1"/>
  <c r="L158" i="1"/>
  <c r="M158" i="1"/>
  <c r="C157" i="1"/>
  <c r="D157" i="1"/>
  <c r="E157" i="1"/>
  <c r="F157" i="1"/>
  <c r="G157" i="1"/>
  <c r="J157" i="1"/>
  <c r="K157" i="1"/>
  <c r="L157" i="1"/>
  <c r="M157" i="1"/>
  <c r="C185" i="1"/>
  <c r="D185" i="1"/>
  <c r="E185" i="1"/>
  <c r="F185" i="1"/>
  <c r="G185" i="1"/>
  <c r="J185" i="1"/>
  <c r="K185" i="1"/>
  <c r="L185" i="1"/>
  <c r="M185" i="1"/>
  <c r="C225" i="1"/>
  <c r="D225" i="1"/>
  <c r="E225" i="1"/>
  <c r="F225" i="1"/>
  <c r="G225" i="1"/>
  <c r="J225" i="1"/>
  <c r="K225" i="1"/>
  <c r="L225" i="1"/>
  <c r="M225" i="1"/>
  <c r="C290" i="1"/>
  <c r="D290" i="1"/>
  <c r="E290" i="1"/>
  <c r="F290" i="1"/>
  <c r="G290" i="1"/>
  <c r="J290" i="1"/>
  <c r="K290" i="1"/>
  <c r="L290" i="1"/>
  <c r="M290" i="1"/>
  <c r="C301" i="1"/>
  <c r="D301" i="1"/>
  <c r="E301" i="1"/>
  <c r="F301" i="1"/>
  <c r="G301" i="1"/>
  <c r="J301" i="1"/>
  <c r="K301" i="1"/>
  <c r="L301" i="1"/>
  <c r="M301" i="1"/>
  <c r="C319" i="1"/>
  <c r="D319" i="1"/>
  <c r="E319" i="1"/>
  <c r="F319" i="1"/>
  <c r="G319" i="1"/>
  <c r="J319" i="1"/>
  <c r="K319" i="1"/>
  <c r="L319" i="1"/>
  <c r="M319" i="1"/>
  <c r="C58" i="1"/>
  <c r="D58" i="1"/>
  <c r="E58" i="1"/>
  <c r="F58" i="1"/>
  <c r="G58" i="1"/>
  <c r="J58" i="1"/>
  <c r="K58" i="1"/>
  <c r="L58" i="1"/>
  <c r="M58" i="1"/>
  <c r="C183" i="1"/>
  <c r="D183" i="1"/>
  <c r="E183" i="1"/>
  <c r="F183" i="1"/>
  <c r="G183" i="1"/>
  <c r="J183" i="1"/>
  <c r="K183" i="1"/>
  <c r="L183" i="1"/>
  <c r="M183" i="1"/>
  <c r="C30" i="1"/>
  <c r="D30" i="1"/>
  <c r="E30" i="1"/>
  <c r="F30" i="1"/>
  <c r="G30" i="1"/>
  <c r="J30" i="1"/>
  <c r="K30" i="1"/>
  <c r="L30" i="1"/>
  <c r="M30" i="1"/>
  <c r="C25" i="1"/>
  <c r="D25" i="1"/>
  <c r="E25" i="1"/>
  <c r="F25" i="1"/>
  <c r="G25" i="1"/>
  <c r="J25" i="1"/>
  <c r="K25" i="1"/>
  <c r="L25" i="1"/>
  <c r="M25" i="1"/>
  <c r="C268" i="1"/>
  <c r="D268" i="1"/>
  <c r="E268" i="1"/>
  <c r="F268" i="1"/>
  <c r="G268" i="1"/>
  <c r="J268" i="1"/>
  <c r="K268" i="1"/>
  <c r="L268" i="1"/>
  <c r="M268" i="1"/>
  <c r="C65" i="1"/>
  <c r="D65" i="1"/>
  <c r="E65" i="1"/>
  <c r="F65" i="1"/>
  <c r="G65" i="1"/>
  <c r="J65" i="1"/>
  <c r="K65" i="1"/>
  <c r="L65" i="1"/>
  <c r="M65" i="1"/>
  <c r="C251" i="1"/>
  <c r="D251" i="1"/>
  <c r="E251" i="1"/>
  <c r="F251" i="1"/>
  <c r="G251" i="1"/>
  <c r="J251" i="1"/>
  <c r="K251" i="1"/>
  <c r="L251" i="1"/>
  <c r="M251" i="1"/>
  <c r="C230" i="1"/>
  <c r="D230" i="1"/>
  <c r="E230" i="1"/>
  <c r="F230" i="1"/>
  <c r="G230" i="1"/>
  <c r="J230" i="1"/>
  <c r="K230" i="1"/>
  <c r="L230" i="1"/>
  <c r="M230" i="1"/>
  <c r="C184" i="1"/>
  <c r="D184" i="1"/>
  <c r="E184" i="1"/>
  <c r="F184" i="1"/>
  <c r="G184" i="1"/>
  <c r="J184" i="1"/>
  <c r="K184" i="1"/>
  <c r="L184" i="1"/>
  <c r="M184" i="1"/>
  <c r="C9" i="1"/>
  <c r="D9" i="1"/>
  <c r="E9" i="1"/>
  <c r="F9" i="1"/>
  <c r="G9" i="1"/>
  <c r="J9" i="1"/>
  <c r="K9" i="1"/>
  <c r="L9" i="1"/>
  <c r="M9" i="1"/>
  <c r="C224" i="1"/>
  <c r="D224" i="1"/>
  <c r="E224" i="1"/>
  <c r="F224" i="1"/>
  <c r="G224" i="1"/>
  <c r="J224" i="1"/>
  <c r="K224" i="1"/>
  <c r="L224" i="1"/>
  <c r="M224" i="1"/>
  <c r="C257" i="1"/>
  <c r="D257" i="1"/>
  <c r="E257" i="1"/>
  <c r="F257" i="1"/>
  <c r="G257" i="1"/>
  <c r="J257" i="1"/>
  <c r="K257" i="1"/>
  <c r="L257" i="1"/>
  <c r="M257" i="1"/>
  <c r="C119" i="1"/>
  <c r="D119" i="1"/>
  <c r="E119" i="1"/>
  <c r="F119" i="1"/>
  <c r="G119" i="1"/>
  <c r="J119" i="1"/>
  <c r="K119" i="1"/>
  <c r="L119" i="1"/>
  <c r="M119" i="1"/>
  <c r="C276" i="1"/>
  <c r="D276" i="1"/>
  <c r="E276" i="1"/>
  <c r="F276" i="1"/>
  <c r="G276" i="1"/>
  <c r="J276" i="1"/>
  <c r="K276" i="1"/>
  <c r="L276" i="1"/>
  <c r="M276" i="1"/>
  <c r="C49" i="1"/>
  <c r="D49" i="1"/>
  <c r="E49" i="1"/>
  <c r="F49" i="1"/>
  <c r="G49" i="1"/>
  <c r="J49" i="1"/>
  <c r="K49" i="1"/>
  <c r="L49" i="1"/>
  <c r="M49" i="1"/>
  <c r="C36" i="1"/>
  <c r="D36" i="1"/>
  <c r="E36" i="1"/>
  <c r="F36" i="1"/>
  <c r="G36" i="1"/>
  <c r="J36" i="1"/>
  <c r="K36" i="1"/>
  <c r="L36" i="1"/>
  <c r="M36" i="1"/>
  <c r="C176" i="1"/>
  <c r="D176" i="1"/>
  <c r="E176" i="1"/>
  <c r="F176" i="1"/>
  <c r="G176" i="1"/>
  <c r="J176" i="1"/>
  <c r="K176" i="1"/>
  <c r="L176" i="1"/>
  <c r="M176" i="1"/>
  <c r="C50" i="1"/>
  <c r="D50" i="1"/>
  <c r="E50" i="1"/>
  <c r="F50" i="1"/>
  <c r="G50" i="1"/>
  <c r="J50" i="1"/>
  <c r="K50" i="1"/>
  <c r="L50" i="1"/>
  <c r="M50" i="1"/>
  <c r="C331" i="1"/>
  <c r="D331" i="1"/>
  <c r="E331" i="1"/>
  <c r="F331" i="1"/>
  <c r="G331" i="1"/>
  <c r="J331" i="1"/>
  <c r="K331" i="1"/>
  <c r="L331" i="1"/>
  <c r="M331" i="1"/>
  <c r="C262" i="1"/>
  <c r="D262" i="1"/>
  <c r="E262" i="1"/>
  <c r="F262" i="1"/>
  <c r="G262" i="1"/>
  <c r="J262" i="1"/>
  <c r="K262" i="1"/>
  <c r="L262" i="1"/>
  <c r="M262" i="1"/>
  <c r="C127" i="1"/>
  <c r="D127" i="1"/>
  <c r="E127" i="1"/>
  <c r="F127" i="1"/>
  <c r="G127" i="1"/>
  <c r="J127" i="1"/>
  <c r="K127" i="1"/>
  <c r="L127" i="1"/>
  <c r="M127" i="1"/>
  <c r="C81" i="1"/>
  <c r="D81" i="1"/>
  <c r="E81" i="1"/>
  <c r="F81" i="1"/>
  <c r="G81" i="1"/>
  <c r="J81" i="1"/>
  <c r="K81" i="1"/>
  <c r="L81" i="1"/>
  <c r="M81" i="1"/>
  <c r="C293" i="1"/>
  <c r="D293" i="1"/>
  <c r="E293" i="1"/>
  <c r="F293" i="1"/>
  <c r="G293" i="1"/>
  <c r="J293" i="1"/>
  <c r="K293" i="1"/>
  <c r="L293" i="1"/>
  <c r="M293" i="1"/>
  <c r="C344" i="1"/>
  <c r="D344" i="1"/>
  <c r="E344" i="1"/>
  <c r="F344" i="1"/>
  <c r="G344" i="1"/>
  <c r="J344" i="1"/>
  <c r="K344" i="1"/>
  <c r="L344" i="1"/>
  <c r="M344" i="1"/>
  <c r="C211" i="1"/>
  <c r="D211" i="1"/>
  <c r="E211" i="1"/>
  <c r="F211" i="1"/>
  <c r="G211" i="1"/>
  <c r="J211" i="1"/>
  <c r="K211" i="1"/>
  <c r="L211" i="1"/>
  <c r="M211" i="1"/>
  <c r="C235" i="1"/>
  <c r="D235" i="1"/>
  <c r="E235" i="1"/>
  <c r="F235" i="1"/>
  <c r="G235" i="1"/>
  <c r="J235" i="1"/>
  <c r="K235" i="1"/>
  <c r="L235" i="1"/>
  <c r="M235" i="1"/>
  <c r="C307" i="1"/>
  <c r="D307" i="1"/>
  <c r="E307" i="1"/>
  <c r="F307" i="1"/>
  <c r="G307" i="1"/>
  <c r="J307" i="1"/>
  <c r="K307" i="1"/>
  <c r="L307" i="1"/>
  <c r="M307" i="1"/>
  <c r="C144" i="1"/>
  <c r="D144" i="1"/>
  <c r="E144" i="1"/>
  <c r="F144" i="1"/>
  <c r="G144" i="1"/>
  <c r="J144" i="1"/>
  <c r="K144" i="1"/>
  <c r="L144" i="1"/>
  <c r="M144" i="1"/>
  <c r="C291" i="1"/>
  <c r="D291" i="1"/>
  <c r="E291" i="1"/>
  <c r="F291" i="1"/>
  <c r="G291" i="1"/>
  <c r="J291" i="1"/>
  <c r="K291" i="1"/>
  <c r="L291" i="1"/>
  <c r="M291" i="1"/>
  <c r="C147" i="1"/>
  <c r="D147" i="1"/>
  <c r="E147" i="1"/>
  <c r="F147" i="1"/>
  <c r="G147" i="1"/>
  <c r="J147" i="1"/>
  <c r="K147" i="1"/>
  <c r="L147" i="1"/>
  <c r="M147" i="1"/>
  <c r="C37" i="1"/>
  <c r="D37" i="1"/>
  <c r="E37" i="1"/>
  <c r="F37" i="1"/>
  <c r="G37" i="1"/>
  <c r="J37" i="1"/>
  <c r="K37" i="1"/>
  <c r="L37" i="1"/>
  <c r="M37" i="1"/>
  <c r="C284" i="1"/>
  <c r="D284" i="1"/>
  <c r="E284" i="1"/>
  <c r="F284" i="1"/>
  <c r="G284" i="1"/>
  <c r="J284" i="1"/>
  <c r="K284" i="1"/>
  <c r="L284" i="1"/>
  <c r="M284" i="1"/>
  <c r="C3" i="1"/>
  <c r="D3" i="1"/>
  <c r="E3" i="1"/>
  <c r="F3" i="1"/>
  <c r="G3" i="1"/>
  <c r="J3" i="1"/>
  <c r="K3" i="1"/>
  <c r="L3" i="1"/>
  <c r="M3" i="1"/>
  <c r="C188" i="1"/>
  <c r="D188" i="1"/>
  <c r="E188" i="1"/>
  <c r="F188" i="1"/>
  <c r="G188" i="1"/>
  <c r="J188" i="1"/>
  <c r="K188" i="1"/>
  <c r="L188" i="1"/>
  <c r="M188" i="1"/>
  <c r="C282" i="1"/>
  <c r="D282" i="1"/>
  <c r="E282" i="1"/>
  <c r="F282" i="1"/>
  <c r="G282" i="1"/>
  <c r="J282" i="1"/>
  <c r="K282" i="1"/>
  <c r="L282" i="1"/>
  <c r="M282" i="1"/>
  <c r="C129" i="1"/>
  <c r="D129" i="1"/>
  <c r="E129" i="1"/>
  <c r="F129" i="1"/>
  <c r="G129" i="1"/>
  <c r="J129" i="1"/>
  <c r="K129" i="1"/>
  <c r="L129" i="1"/>
  <c r="M129" i="1"/>
  <c r="C236" i="1"/>
  <c r="D236" i="1"/>
  <c r="E236" i="1"/>
  <c r="F236" i="1"/>
  <c r="G236" i="1"/>
  <c r="J236" i="1"/>
  <c r="K236" i="1"/>
  <c r="L236" i="1"/>
  <c r="M236" i="1"/>
  <c r="C35" i="1"/>
  <c r="D35" i="1"/>
  <c r="E35" i="1"/>
  <c r="F35" i="1"/>
  <c r="G35" i="1"/>
  <c r="J35" i="1"/>
  <c r="K35" i="1"/>
  <c r="L35" i="1"/>
  <c r="M35" i="1"/>
  <c r="C286" i="1"/>
  <c r="D286" i="1"/>
  <c r="E286" i="1"/>
  <c r="F286" i="1"/>
  <c r="G286" i="1"/>
  <c r="J286" i="1"/>
  <c r="K286" i="1"/>
  <c r="L286" i="1"/>
  <c r="M286" i="1"/>
  <c r="C247" i="1"/>
  <c r="D247" i="1"/>
  <c r="E247" i="1"/>
  <c r="F247" i="1"/>
  <c r="G247" i="1"/>
  <c r="J247" i="1"/>
  <c r="K247" i="1"/>
  <c r="L247" i="1"/>
  <c r="M247" i="1"/>
  <c r="C68" i="1"/>
  <c r="D68" i="1"/>
  <c r="E68" i="1"/>
  <c r="F68" i="1"/>
  <c r="G68" i="1"/>
  <c r="J68" i="1"/>
  <c r="K68" i="1"/>
  <c r="L68" i="1"/>
  <c r="M68" i="1"/>
  <c r="C23" i="1"/>
  <c r="D23" i="1"/>
  <c r="E23" i="1"/>
  <c r="F23" i="1"/>
  <c r="G23" i="1"/>
  <c r="J23" i="1"/>
  <c r="K23" i="1"/>
  <c r="L23" i="1"/>
  <c r="M23" i="1"/>
  <c r="C322" i="1"/>
  <c r="D322" i="1"/>
  <c r="E322" i="1"/>
  <c r="F322" i="1"/>
  <c r="G322" i="1"/>
  <c r="J322" i="1"/>
  <c r="K322" i="1"/>
  <c r="L322" i="1"/>
  <c r="M322" i="1"/>
  <c r="C261" i="1"/>
  <c r="D261" i="1"/>
  <c r="E261" i="1"/>
  <c r="F261" i="1"/>
  <c r="G261" i="1"/>
  <c r="J261" i="1"/>
  <c r="K261" i="1"/>
  <c r="L261" i="1"/>
  <c r="M261" i="1"/>
  <c r="C232" i="1"/>
  <c r="D232" i="1"/>
  <c r="E232" i="1"/>
  <c r="F232" i="1"/>
  <c r="G232" i="1"/>
  <c r="J232" i="1"/>
  <c r="K232" i="1"/>
  <c r="L232" i="1"/>
  <c r="M232" i="1"/>
  <c r="C303" i="1"/>
  <c r="D303" i="1"/>
  <c r="E303" i="1"/>
  <c r="F303" i="1"/>
  <c r="G303" i="1"/>
  <c r="J303" i="1"/>
  <c r="K303" i="1"/>
  <c r="L303" i="1"/>
  <c r="M303" i="1"/>
  <c r="C250" i="1"/>
  <c r="D250" i="1"/>
  <c r="E250" i="1"/>
  <c r="F250" i="1"/>
  <c r="G250" i="1"/>
  <c r="J250" i="1"/>
  <c r="K250" i="1"/>
  <c r="L250" i="1"/>
  <c r="M250" i="1"/>
  <c r="C11" i="1"/>
  <c r="D11" i="1"/>
  <c r="E11" i="1"/>
  <c r="F11" i="1"/>
  <c r="G11" i="1"/>
  <c r="J11" i="1"/>
  <c r="K11" i="1"/>
  <c r="L11" i="1"/>
  <c r="M11" i="1"/>
  <c r="C29" i="1"/>
  <c r="D29" i="1"/>
  <c r="E29" i="1"/>
  <c r="F29" i="1"/>
  <c r="G29" i="1"/>
  <c r="J29" i="1"/>
  <c r="K29" i="1"/>
  <c r="L29" i="1"/>
  <c r="M29" i="1"/>
  <c r="C329" i="1"/>
  <c r="D329" i="1"/>
  <c r="E329" i="1"/>
  <c r="F329" i="1"/>
  <c r="G329" i="1"/>
  <c r="J329" i="1"/>
  <c r="K329" i="1"/>
  <c r="L329" i="1"/>
  <c r="M329" i="1"/>
  <c r="C287" i="1"/>
  <c r="D287" i="1"/>
  <c r="E287" i="1"/>
  <c r="F287" i="1"/>
  <c r="G287" i="1"/>
  <c r="J287" i="1"/>
  <c r="K287" i="1"/>
  <c r="L287" i="1"/>
  <c r="M287" i="1"/>
  <c r="C175" i="1"/>
  <c r="D175" i="1"/>
  <c r="E175" i="1"/>
  <c r="F175" i="1"/>
  <c r="G175" i="1"/>
  <c r="J175" i="1"/>
  <c r="K175" i="1"/>
  <c r="L175" i="1"/>
  <c r="M175" i="1"/>
  <c r="C85" i="1"/>
  <c r="D85" i="1"/>
  <c r="E85" i="1"/>
  <c r="F85" i="1"/>
  <c r="G85" i="1"/>
  <c r="J85" i="1"/>
  <c r="K85" i="1"/>
  <c r="L85" i="1"/>
  <c r="M85" i="1"/>
  <c r="C227" i="1"/>
  <c r="D227" i="1"/>
  <c r="E227" i="1"/>
  <c r="F227" i="1"/>
  <c r="G227" i="1"/>
  <c r="J227" i="1"/>
  <c r="K227" i="1"/>
  <c r="L227" i="1"/>
  <c r="M227" i="1"/>
  <c r="C148" i="1"/>
  <c r="D148" i="1"/>
  <c r="E148" i="1"/>
  <c r="F148" i="1"/>
  <c r="G148" i="1"/>
  <c r="J148" i="1"/>
  <c r="K148" i="1"/>
  <c r="L148" i="1"/>
  <c r="M148" i="1"/>
  <c r="C84" i="1"/>
  <c r="D84" i="1"/>
  <c r="E84" i="1"/>
  <c r="F84" i="1"/>
  <c r="G84" i="1"/>
  <c r="J84" i="1"/>
  <c r="K84" i="1"/>
  <c r="L84" i="1"/>
  <c r="M84" i="1"/>
  <c r="C341" i="1"/>
  <c r="D341" i="1"/>
  <c r="E341" i="1"/>
  <c r="F341" i="1"/>
  <c r="G341" i="1"/>
  <c r="J341" i="1"/>
  <c r="K341" i="1"/>
  <c r="L341" i="1"/>
  <c r="M341" i="1"/>
  <c r="C31" i="1"/>
  <c r="D31" i="1"/>
  <c r="E31" i="1"/>
  <c r="F31" i="1"/>
  <c r="G31" i="1"/>
  <c r="J31" i="1"/>
  <c r="K31" i="1"/>
  <c r="L31" i="1"/>
  <c r="M31" i="1"/>
  <c r="C241" i="1"/>
  <c r="D241" i="1"/>
  <c r="E241" i="1"/>
  <c r="F241" i="1"/>
  <c r="G241" i="1"/>
  <c r="J241" i="1"/>
  <c r="K241" i="1"/>
  <c r="L241" i="1"/>
  <c r="M241" i="1"/>
  <c r="C248" i="1"/>
  <c r="D248" i="1"/>
  <c r="E248" i="1"/>
  <c r="F248" i="1"/>
  <c r="G248" i="1"/>
  <c r="J248" i="1"/>
  <c r="K248" i="1"/>
  <c r="L248" i="1"/>
  <c r="M248" i="1"/>
  <c r="C80" i="1"/>
  <c r="D80" i="1"/>
  <c r="E80" i="1"/>
  <c r="F80" i="1"/>
  <c r="G80" i="1"/>
  <c r="J80" i="1"/>
  <c r="K80" i="1"/>
  <c r="L80" i="1"/>
  <c r="M80" i="1"/>
  <c r="C234" i="1"/>
  <c r="D234" i="1"/>
  <c r="E234" i="1"/>
  <c r="F234" i="1"/>
  <c r="G234" i="1"/>
  <c r="J234" i="1"/>
  <c r="K234" i="1"/>
  <c r="L234" i="1"/>
  <c r="M234" i="1"/>
  <c r="C134" i="1"/>
  <c r="D134" i="1"/>
  <c r="E134" i="1"/>
  <c r="F134" i="1"/>
  <c r="G134" i="1"/>
  <c r="J134" i="1"/>
  <c r="K134" i="1"/>
  <c r="L134" i="1"/>
  <c r="M134" i="1"/>
  <c r="C266" i="1"/>
  <c r="D266" i="1"/>
  <c r="E266" i="1"/>
  <c r="F266" i="1"/>
  <c r="G266" i="1"/>
  <c r="J266" i="1"/>
  <c r="K266" i="1"/>
  <c r="L266" i="1"/>
  <c r="M266" i="1"/>
  <c r="C55" i="1"/>
  <c r="D55" i="1"/>
  <c r="E55" i="1"/>
  <c r="F55" i="1"/>
  <c r="G55" i="1"/>
  <c r="J55" i="1"/>
  <c r="K55" i="1"/>
  <c r="L55" i="1"/>
  <c r="M55" i="1"/>
  <c r="C243" i="1"/>
  <c r="D243" i="1"/>
  <c r="E243" i="1"/>
  <c r="F243" i="1"/>
  <c r="G243" i="1"/>
  <c r="J243" i="1"/>
  <c r="K243" i="1"/>
  <c r="L243" i="1"/>
  <c r="M243" i="1"/>
  <c r="C17" i="1"/>
  <c r="D17" i="1"/>
  <c r="E17" i="1"/>
  <c r="F17" i="1"/>
  <c r="G17" i="1"/>
  <c r="J17" i="1"/>
  <c r="K17" i="1"/>
  <c r="L17" i="1"/>
  <c r="M17" i="1"/>
  <c r="C13" i="1"/>
  <c r="D13" i="1"/>
  <c r="E13" i="1"/>
  <c r="F13" i="1"/>
  <c r="G13" i="1"/>
  <c r="J13" i="1"/>
  <c r="K13" i="1"/>
  <c r="L13" i="1"/>
  <c r="M13" i="1"/>
  <c r="C14" i="1"/>
  <c r="D14" i="1"/>
  <c r="E14" i="1"/>
  <c r="F14" i="1"/>
  <c r="G14" i="1"/>
  <c r="J14" i="1"/>
  <c r="K14" i="1"/>
  <c r="L14" i="1"/>
  <c r="M14" i="1"/>
  <c r="C154" i="1"/>
  <c r="D154" i="1"/>
  <c r="E154" i="1"/>
  <c r="F154" i="1"/>
  <c r="G154" i="1"/>
  <c r="J154" i="1"/>
  <c r="K154" i="1"/>
  <c r="L154" i="1"/>
  <c r="M154" i="1"/>
  <c r="C189" i="1"/>
  <c r="D189" i="1"/>
  <c r="E189" i="1"/>
  <c r="F189" i="1"/>
  <c r="G189" i="1"/>
  <c r="J189" i="1"/>
  <c r="K189" i="1"/>
  <c r="L189" i="1"/>
  <c r="M189" i="1"/>
  <c r="C336" i="1"/>
  <c r="D336" i="1"/>
  <c r="E336" i="1"/>
  <c r="F336" i="1"/>
  <c r="G336" i="1"/>
  <c r="J336" i="1"/>
  <c r="K336" i="1"/>
  <c r="L336" i="1"/>
  <c r="M336" i="1"/>
  <c r="C182" i="1"/>
  <c r="D182" i="1"/>
  <c r="E182" i="1"/>
  <c r="F182" i="1"/>
  <c r="G182" i="1"/>
  <c r="J182" i="1"/>
  <c r="K182" i="1"/>
  <c r="L182" i="1"/>
  <c r="M182" i="1"/>
  <c r="C34" i="1"/>
  <c r="D34" i="1"/>
  <c r="E34" i="1"/>
  <c r="F34" i="1"/>
  <c r="G34" i="1"/>
  <c r="J34" i="1"/>
  <c r="K34" i="1"/>
  <c r="L34" i="1"/>
  <c r="M34" i="1"/>
  <c r="C304" i="1"/>
  <c r="D304" i="1"/>
  <c r="E304" i="1"/>
  <c r="F304" i="1"/>
  <c r="G304" i="1"/>
  <c r="J304" i="1"/>
  <c r="K304" i="1"/>
  <c r="L304" i="1"/>
  <c r="M304" i="1"/>
  <c r="C212" i="1"/>
  <c r="D212" i="1"/>
  <c r="E212" i="1"/>
  <c r="F212" i="1"/>
  <c r="G212" i="1"/>
  <c r="J212" i="1"/>
  <c r="K212" i="1"/>
  <c r="L212" i="1"/>
  <c r="M212" i="1"/>
  <c r="C27" i="1"/>
  <c r="D27" i="1"/>
  <c r="E27" i="1"/>
  <c r="F27" i="1"/>
  <c r="G27" i="1"/>
  <c r="J27" i="1"/>
  <c r="K27" i="1"/>
  <c r="L27" i="1"/>
  <c r="M27" i="1"/>
  <c r="C196" i="1"/>
  <c r="D196" i="1"/>
  <c r="E196" i="1"/>
  <c r="F196" i="1"/>
  <c r="G196" i="1"/>
  <c r="J196" i="1"/>
  <c r="K196" i="1"/>
  <c r="L196" i="1"/>
  <c r="M196" i="1"/>
  <c r="C296" i="1"/>
  <c r="D296" i="1"/>
  <c r="E296" i="1"/>
  <c r="F296" i="1"/>
  <c r="G296" i="1"/>
  <c r="J296" i="1"/>
  <c r="K296" i="1"/>
  <c r="L296" i="1"/>
  <c r="M296" i="1"/>
  <c r="C12" i="1"/>
  <c r="D12" i="1"/>
  <c r="E12" i="1"/>
  <c r="F12" i="1"/>
  <c r="G12" i="1"/>
  <c r="J12" i="1"/>
  <c r="K12" i="1"/>
  <c r="L12" i="1"/>
  <c r="M12" i="1"/>
  <c r="C15" i="1"/>
  <c r="D15" i="1"/>
  <c r="E15" i="1"/>
  <c r="F15" i="1"/>
  <c r="G15" i="1"/>
  <c r="J15" i="1"/>
  <c r="K15" i="1"/>
  <c r="L15" i="1"/>
  <c r="M15" i="1"/>
  <c r="C103" i="1"/>
  <c r="D103" i="1"/>
  <c r="E103" i="1"/>
  <c r="F103" i="1"/>
  <c r="G103" i="1"/>
  <c r="J103" i="1"/>
  <c r="K103" i="1"/>
  <c r="L103" i="1"/>
  <c r="M103" i="1"/>
  <c r="C62" i="1"/>
  <c r="D62" i="1"/>
  <c r="E62" i="1"/>
  <c r="F62" i="1"/>
  <c r="G62" i="1"/>
  <c r="J62" i="1"/>
  <c r="K62" i="1"/>
  <c r="L62" i="1"/>
  <c r="M62" i="1"/>
  <c r="C69" i="1"/>
  <c r="D69" i="1"/>
  <c r="E69" i="1"/>
  <c r="F69" i="1"/>
  <c r="G69" i="1"/>
  <c r="J69" i="1"/>
  <c r="K69" i="1"/>
  <c r="L69" i="1"/>
  <c r="M69" i="1"/>
  <c r="C342" i="1"/>
  <c r="D342" i="1"/>
  <c r="E342" i="1"/>
  <c r="F342" i="1"/>
  <c r="G342" i="1"/>
  <c r="J342" i="1"/>
  <c r="K342" i="1"/>
  <c r="L342" i="1"/>
  <c r="M342" i="1"/>
  <c r="C73" i="1"/>
  <c r="D73" i="1"/>
  <c r="E73" i="1"/>
  <c r="F73" i="1"/>
  <c r="G73" i="1"/>
  <c r="J73" i="1"/>
  <c r="K73" i="1"/>
  <c r="L73" i="1"/>
  <c r="M73" i="1"/>
  <c r="C315" i="1"/>
  <c r="D315" i="1"/>
  <c r="E315" i="1"/>
  <c r="F315" i="1"/>
  <c r="G315" i="1"/>
  <c r="J315" i="1"/>
  <c r="K315" i="1"/>
  <c r="L315" i="1"/>
  <c r="M315" i="1"/>
  <c r="C245" i="1"/>
  <c r="D245" i="1"/>
  <c r="E245" i="1"/>
  <c r="F245" i="1"/>
  <c r="G245" i="1"/>
  <c r="J245" i="1"/>
  <c r="K245" i="1"/>
  <c r="L245" i="1"/>
  <c r="M245" i="1"/>
  <c r="C258" i="1"/>
  <c r="D258" i="1"/>
  <c r="E258" i="1"/>
  <c r="F258" i="1"/>
  <c r="G258" i="1"/>
  <c r="J258" i="1"/>
  <c r="K258" i="1"/>
  <c r="L258" i="1"/>
  <c r="M258" i="1"/>
  <c r="C209" i="1"/>
  <c r="D209" i="1"/>
  <c r="E209" i="1"/>
  <c r="F209" i="1"/>
  <c r="G209" i="1"/>
  <c r="J209" i="1"/>
  <c r="K209" i="1"/>
  <c r="L209" i="1"/>
  <c r="M209" i="1"/>
  <c r="C190" i="1"/>
  <c r="D190" i="1"/>
  <c r="E190" i="1"/>
  <c r="F190" i="1"/>
  <c r="G190" i="1"/>
  <c r="J190" i="1"/>
  <c r="K190" i="1"/>
  <c r="L190" i="1"/>
  <c r="M190" i="1"/>
  <c r="C328" i="1"/>
  <c r="D328" i="1"/>
  <c r="E328" i="1"/>
  <c r="F328" i="1"/>
  <c r="G328" i="1"/>
  <c r="J328" i="1"/>
  <c r="K328" i="1"/>
  <c r="L328" i="1"/>
  <c r="M328" i="1"/>
  <c r="C66" i="1"/>
  <c r="D66" i="1"/>
  <c r="E66" i="1"/>
  <c r="F66" i="1"/>
  <c r="G66" i="1"/>
  <c r="J66" i="1"/>
  <c r="K66" i="1"/>
  <c r="L66" i="1"/>
  <c r="M66" i="1"/>
  <c r="C75" i="1"/>
  <c r="D75" i="1"/>
  <c r="E75" i="1"/>
  <c r="F75" i="1"/>
  <c r="G75" i="1"/>
  <c r="J75" i="1"/>
  <c r="K75" i="1"/>
  <c r="L75" i="1"/>
  <c r="M75" i="1"/>
  <c r="C100" i="1"/>
  <c r="D100" i="1"/>
  <c r="E100" i="1"/>
  <c r="F100" i="1"/>
  <c r="G100" i="1"/>
  <c r="J100" i="1"/>
  <c r="K100" i="1"/>
  <c r="L100" i="1"/>
  <c r="M100" i="1"/>
  <c r="C54" i="1"/>
  <c r="D54" i="1"/>
  <c r="E54" i="1"/>
  <c r="F54" i="1"/>
  <c r="G54" i="1"/>
  <c r="J54" i="1"/>
  <c r="K54" i="1"/>
  <c r="L54" i="1"/>
  <c r="M54" i="1"/>
  <c r="C217" i="1"/>
  <c r="D217" i="1"/>
  <c r="E217" i="1"/>
  <c r="F217" i="1"/>
  <c r="G217" i="1"/>
  <c r="J217" i="1"/>
  <c r="K217" i="1"/>
  <c r="L217" i="1"/>
  <c r="M217" i="1"/>
  <c r="C8" i="1"/>
  <c r="D8" i="1"/>
  <c r="E8" i="1"/>
  <c r="F8" i="1"/>
  <c r="G8" i="1"/>
  <c r="J8" i="1"/>
  <c r="K8" i="1"/>
  <c r="L8" i="1"/>
  <c r="M8" i="1"/>
  <c r="C278" i="1"/>
  <c r="D278" i="1"/>
  <c r="E278" i="1"/>
  <c r="F278" i="1"/>
  <c r="G278" i="1"/>
  <c r="J278" i="1"/>
  <c r="K278" i="1"/>
  <c r="L278" i="1"/>
  <c r="M278" i="1"/>
  <c r="C115" i="1"/>
  <c r="D115" i="1"/>
  <c r="E115" i="1"/>
  <c r="F115" i="1"/>
  <c r="G115" i="1"/>
  <c r="J115" i="1"/>
  <c r="K115" i="1"/>
  <c r="L115" i="1"/>
  <c r="M115" i="1"/>
  <c r="C310" i="1"/>
  <c r="D310" i="1"/>
  <c r="E310" i="1"/>
  <c r="F310" i="1"/>
  <c r="G310" i="1"/>
  <c r="J310" i="1"/>
  <c r="K310" i="1"/>
  <c r="L310" i="1"/>
  <c r="M310" i="1"/>
  <c r="C28" i="1"/>
  <c r="D28" i="1"/>
  <c r="E28" i="1"/>
  <c r="F28" i="1"/>
  <c r="G28" i="1"/>
  <c r="J28" i="1"/>
  <c r="K28" i="1"/>
  <c r="L28" i="1"/>
  <c r="M28" i="1"/>
  <c r="C221" i="1"/>
  <c r="D221" i="1"/>
  <c r="E221" i="1"/>
  <c r="F221" i="1"/>
  <c r="G221" i="1"/>
  <c r="J221" i="1"/>
  <c r="K221" i="1"/>
  <c r="L221" i="1"/>
  <c r="M221" i="1"/>
  <c r="C215" i="1"/>
  <c r="D215" i="1"/>
  <c r="E215" i="1"/>
  <c r="F215" i="1"/>
  <c r="G215" i="1"/>
  <c r="J215" i="1"/>
  <c r="K215" i="1"/>
  <c r="L215" i="1"/>
  <c r="M215" i="1"/>
  <c r="C44" i="1"/>
  <c r="D44" i="1"/>
  <c r="E44" i="1"/>
  <c r="F44" i="1"/>
  <c r="G44" i="1"/>
  <c r="J44" i="1"/>
  <c r="K44" i="1"/>
  <c r="L44" i="1"/>
  <c r="M44" i="1"/>
  <c r="C57" i="1"/>
  <c r="D57" i="1"/>
  <c r="E57" i="1"/>
  <c r="F57" i="1"/>
  <c r="G57" i="1"/>
  <c r="J57" i="1"/>
  <c r="K57" i="1"/>
  <c r="L57" i="1"/>
  <c r="M57" i="1"/>
  <c r="C51" i="1"/>
  <c r="D51" i="1"/>
  <c r="E51" i="1"/>
  <c r="F51" i="1"/>
  <c r="G51" i="1"/>
  <c r="J51" i="1"/>
  <c r="K51" i="1"/>
  <c r="L51" i="1"/>
  <c r="M51" i="1"/>
  <c r="C280" i="1"/>
  <c r="D280" i="1"/>
  <c r="E280" i="1"/>
  <c r="F280" i="1"/>
  <c r="G280" i="1"/>
  <c r="J280" i="1"/>
  <c r="K280" i="1"/>
  <c r="L280" i="1"/>
  <c r="M280" i="1"/>
  <c r="C259" i="1"/>
  <c r="D259" i="1"/>
  <c r="E259" i="1"/>
  <c r="F259" i="1"/>
  <c r="G259" i="1"/>
  <c r="J259" i="1"/>
  <c r="K259" i="1"/>
  <c r="L259" i="1"/>
  <c r="M259" i="1"/>
  <c r="C213" i="1"/>
  <c r="D213" i="1"/>
  <c r="E213" i="1"/>
  <c r="F213" i="1"/>
  <c r="G213" i="1"/>
  <c r="J213" i="1"/>
  <c r="K213" i="1"/>
  <c r="L213" i="1"/>
  <c r="M213" i="1"/>
  <c r="C117" i="1"/>
  <c r="D117" i="1"/>
  <c r="E117" i="1"/>
  <c r="F117" i="1"/>
  <c r="G117" i="1"/>
  <c r="J117" i="1"/>
  <c r="K117" i="1"/>
  <c r="L117" i="1"/>
  <c r="M117" i="1"/>
  <c r="C61" i="1"/>
  <c r="D61" i="1"/>
  <c r="E61" i="1"/>
  <c r="F61" i="1"/>
  <c r="G61" i="1"/>
  <c r="J61" i="1"/>
  <c r="K61" i="1"/>
  <c r="L61" i="1"/>
  <c r="M61" i="1"/>
  <c r="C277" i="1"/>
  <c r="D277" i="1"/>
  <c r="E277" i="1"/>
  <c r="F277" i="1"/>
  <c r="G277" i="1"/>
  <c r="J277" i="1"/>
  <c r="K277" i="1"/>
  <c r="L277" i="1"/>
  <c r="M277" i="1"/>
  <c r="C214" i="1"/>
  <c r="D214" i="1"/>
  <c r="E214" i="1"/>
  <c r="F214" i="1"/>
  <c r="G214" i="1"/>
  <c r="J214" i="1"/>
  <c r="K214" i="1"/>
  <c r="L214" i="1"/>
  <c r="M214" i="1"/>
  <c r="C86" i="1"/>
  <c r="D86" i="1"/>
  <c r="E86" i="1"/>
  <c r="F86" i="1"/>
  <c r="G86" i="1"/>
  <c r="J86" i="1"/>
  <c r="K86" i="1"/>
  <c r="L86" i="1"/>
  <c r="M86" i="1"/>
  <c r="C179" i="1"/>
  <c r="D179" i="1"/>
  <c r="E179" i="1"/>
  <c r="F179" i="1"/>
  <c r="G179" i="1"/>
  <c r="J179" i="1"/>
  <c r="K179" i="1"/>
  <c r="L179" i="1"/>
  <c r="M179" i="1"/>
  <c r="C316" i="1"/>
  <c r="D316" i="1"/>
  <c r="E316" i="1"/>
  <c r="F316" i="1"/>
  <c r="G316" i="1"/>
  <c r="J316" i="1"/>
  <c r="K316" i="1"/>
  <c r="L316" i="1"/>
  <c r="M316" i="1"/>
  <c r="C210" i="1"/>
  <c r="D210" i="1"/>
  <c r="E210" i="1"/>
  <c r="F210" i="1"/>
  <c r="G210" i="1"/>
  <c r="J210" i="1"/>
  <c r="K210" i="1"/>
  <c r="L210" i="1"/>
  <c r="M210" i="1"/>
  <c r="C6" i="1"/>
  <c r="D6" i="1"/>
  <c r="E6" i="1"/>
  <c r="F6" i="1"/>
  <c r="G6" i="1"/>
  <c r="J6" i="1"/>
  <c r="K6" i="1"/>
  <c r="L6" i="1"/>
  <c r="M6" i="1"/>
  <c r="C162" i="1"/>
  <c r="D162" i="1"/>
  <c r="E162" i="1"/>
  <c r="F162" i="1"/>
  <c r="G162" i="1"/>
  <c r="J162" i="1"/>
  <c r="K162" i="1"/>
  <c r="L162" i="1"/>
  <c r="M162" i="1"/>
  <c r="C279" i="1"/>
  <c r="D279" i="1"/>
  <c r="E279" i="1"/>
  <c r="F279" i="1"/>
  <c r="G279" i="1"/>
  <c r="J279" i="1"/>
  <c r="K279" i="1"/>
  <c r="L279" i="1"/>
  <c r="M279" i="1"/>
  <c r="C252" i="1"/>
  <c r="D252" i="1"/>
  <c r="E252" i="1"/>
  <c r="F252" i="1"/>
  <c r="G252" i="1"/>
  <c r="J252" i="1"/>
  <c r="K252" i="1"/>
  <c r="L252" i="1"/>
  <c r="M252" i="1"/>
  <c r="C201" i="1"/>
  <c r="D201" i="1"/>
  <c r="E201" i="1"/>
  <c r="F201" i="1"/>
  <c r="G201" i="1"/>
  <c r="J201" i="1"/>
  <c r="K201" i="1"/>
  <c r="L201" i="1"/>
  <c r="M201" i="1"/>
  <c r="C260" i="1"/>
  <c r="D260" i="1"/>
  <c r="E260" i="1"/>
  <c r="F260" i="1"/>
  <c r="G260" i="1"/>
  <c r="J260" i="1"/>
  <c r="K260" i="1"/>
  <c r="L260" i="1"/>
  <c r="M260" i="1"/>
  <c r="C63" i="1"/>
  <c r="D63" i="1"/>
  <c r="E63" i="1"/>
  <c r="F63" i="1"/>
  <c r="G63" i="1"/>
  <c r="J63" i="1"/>
  <c r="K63" i="1"/>
  <c r="L63" i="1"/>
  <c r="M63" i="1"/>
  <c r="C56" i="1"/>
  <c r="D56" i="1"/>
  <c r="E56" i="1"/>
  <c r="F56" i="1"/>
  <c r="G56" i="1"/>
  <c r="J56" i="1"/>
  <c r="K56" i="1"/>
  <c r="L56" i="1"/>
  <c r="M56" i="1"/>
  <c r="C96" i="1"/>
  <c r="D96" i="1"/>
  <c r="E96" i="1"/>
  <c r="F96" i="1"/>
  <c r="G96" i="1"/>
  <c r="J96" i="1"/>
  <c r="K96" i="1"/>
  <c r="L96" i="1"/>
  <c r="M96" i="1"/>
  <c r="C97" i="1"/>
  <c r="D97" i="1"/>
  <c r="E97" i="1"/>
  <c r="F97" i="1"/>
  <c r="G97" i="1"/>
  <c r="J97" i="1"/>
  <c r="K97" i="1"/>
  <c r="L97" i="1"/>
  <c r="M97" i="1"/>
  <c r="C283" i="1"/>
  <c r="D283" i="1"/>
  <c r="E283" i="1"/>
  <c r="F283" i="1"/>
  <c r="G283" i="1"/>
  <c r="J283" i="1"/>
  <c r="K283" i="1"/>
  <c r="L283" i="1"/>
  <c r="M283" i="1"/>
  <c r="C122" i="1"/>
  <c r="D122" i="1"/>
  <c r="E122" i="1"/>
  <c r="F122" i="1"/>
  <c r="G122" i="1"/>
  <c r="J122" i="1"/>
  <c r="K122" i="1"/>
  <c r="L122" i="1"/>
  <c r="M122" i="1"/>
  <c r="C123" i="1"/>
  <c r="D123" i="1"/>
  <c r="E123" i="1"/>
  <c r="F123" i="1"/>
  <c r="G123" i="1"/>
  <c r="J123" i="1"/>
  <c r="K123" i="1"/>
  <c r="L123" i="1"/>
  <c r="M123" i="1"/>
  <c r="C338" i="1"/>
  <c r="D338" i="1"/>
  <c r="E338" i="1"/>
  <c r="F338" i="1"/>
  <c r="G338" i="1"/>
  <c r="J338" i="1"/>
  <c r="K338" i="1"/>
  <c r="L338" i="1"/>
  <c r="M338" i="1"/>
  <c r="C299" i="1"/>
  <c r="D299" i="1"/>
  <c r="E299" i="1"/>
  <c r="F299" i="1"/>
  <c r="G299" i="1"/>
  <c r="J299" i="1"/>
  <c r="K299" i="1"/>
  <c r="L299" i="1"/>
  <c r="M299" i="1"/>
  <c r="C333" i="1"/>
  <c r="D333" i="1"/>
  <c r="E333" i="1"/>
  <c r="F333" i="1"/>
  <c r="G333" i="1"/>
  <c r="J333" i="1"/>
  <c r="K333" i="1"/>
  <c r="L333" i="1"/>
  <c r="M333" i="1"/>
  <c r="C295" i="1"/>
  <c r="D295" i="1"/>
  <c r="E295" i="1"/>
  <c r="F295" i="1"/>
  <c r="G295" i="1"/>
  <c r="J295" i="1"/>
  <c r="K295" i="1"/>
  <c r="L295" i="1"/>
  <c r="M295" i="1"/>
  <c r="C204" i="1"/>
  <c r="D204" i="1"/>
  <c r="E204" i="1"/>
  <c r="F204" i="1"/>
  <c r="G204" i="1"/>
  <c r="J204" i="1"/>
  <c r="K204" i="1"/>
  <c r="L204" i="1"/>
  <c r="M204" i="1"/>
  <c r="C133" i="1"/>
  <c r="D133" i="1"/>
  <c r="E133" i="1"/>
  <c r="F133" i="1"/>
  <c r="G133" i="1"/>
  <c r="J133" i="1"/>
  <c r="K133" i="1"/>
  <c r="L133" i="1"/>
  <c r="M133" i="1"/>
  <c r="C42" i="1"/>
  <c r="D42" i="1"/>
  <c r="E42" i="1"/>
  <c r="F42" i="1"/>
  <c r="G42" i="1"/>
  <c r="J42" i="1"/>
  <c r="K42" i="1"/>
  <c r="L42" i="1"/>
  <c r="M42" i="1"/>
  <c r="C216" i="1"/>
  <c r="D216" i="1"/>
  <c r="E216" i="1"/>
  <c r="F216" i="1"/>
  <c r="G216" i="1"/>
  <c r="J216" i="1"/>
  <c r="K216" i="1"/>
  <c r="L216" i="1"/>
  <c r="M216" i="1"/>
</calcChain>
</file>

<file path=xl/sharedStrings.xml><?xml version="1.0" encoding="utf-8"?>
<sst xmlns="http://schemas.openxmlformats.org/spreadsheetml/2006/main" count="5" uniqueCount="5">
  <si>
    <t>Prazo</t>
  </si>
  <si>
    <t>Atraso</t>
  </si>
  <si>
    <t>Emissão</t>
  </si>
  <si>
    <t>Vencimento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</si>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</sst>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4" fillId="0" borderId="0" xfId="0" applyFont="1"/>
    <xf numFmtId="0" fontId="18" fillId="0" borderId="0" xfId="0" applyFont="1"/>
    <xf numFmtId="11" fontId="14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1"/>
  <sheetViews>
    <sheetView tabSelected="1" topLeftCell="A365" workbookViewId="0">
      <selection activeCell="G11" sqref="G11"/>
    </sheetView>
  </sheetViews>
  <sheetFormatPr defaultRowHeight="15" x14ac:dyDescent="0.25"/>
  <cols>
    <col min="5" max="5" width="44.7109375" bestFit="1" customWidth="1"/>
    <col min="9" max="9" width="9.140625" style="1"/>
    <col min="11" max="11" width="11.85546875" bestFit="1" customWidth="1"/>
  </cols>
  <sheetData>
    <row r="1" spans="1:16" x14ac:dyDescent="0.25">
      <c r="E1" t="s">
        <v>4</v>
      </c>
      <c r="H1" t="s">
        <v>0</v>
      </c>
      <c r="I1" s="1" t="s">
        <v>1</v>
      </c>
      <c r="J1" t="s">
        <v>2</v>
      </c>
      <c r="K1" t="s">
        <v>3</v>
      </c>
    </row>
    <row r="2" spans="1:16" s="2" customFormat="1" x14ac:dyDescent="0.25">
      <c r="A2" s="2">
        <v>45454167</v>
      </c>
      <c r="B2" s="2">
        <v>45454197</v>
      </c>
      <c r="C2" s="2" t="str">
        <f>"UNIMEDSJN"</f>
        <v>UNIMEDSJN</v>
      </c>
      <c r="D2" s="2" t="str">
        <f>"DH"</f>
        <v>DH</v>
      </c>
      <c r="E2" s="2" t="str">
        <f>"Alessandra Aparecida Faria de Oliveira"</f>
        <v>Alessandra Aparecida Faria de Oliveira</v>
      </c>
      <c r="F2" s="2" t="str">
        <f>"45454167-1/1"</f>
        <v>45454167-1/1</v>
      </c>
      <c r="G2" s="2" t="str">
        <f>"CARTEIRA PERDA"</f>
        <v>CARTEIRA PERDA</v>
      </c>
      <c r="H2" s="2">
        <v>24</v>
      </c>
      <c r="I2" s="3">
        <v>171</v>
      </c>
      <c r="J2" s="2" t="str">
        <f>"01/10/2019"</f>
        <v>01/10/2019</v>
      </c>
      <c r="K2" s="2" t="str">
        <f>"25/10/2019"</f>
        <v>25/10/2019</v>
      </c>
      <c r="L2" s="2" t="str">
        <f>"25/10/2019"</f>
        <v>25/10/2019</v>
      </c>
      <c r="M2" s="2" t="str">
        <f>"05/03/2020"</f>
        <v>05/03/2020</v>
      </c>
      <c r="N2" s="2">
        <v>61.56</v>
      </c>
      <c r="O2" s="2">
        <v>61.56</v>
      </c>
      <c r="P2" s="2">
        <v>0</v>
      </c>
    </row>
    <row r="3" spans="1:16" s="2" customFormat="1" x14ac:dyDescent="0.25">
      <c r="A3" s="2">
        <v>48570380</v>
      </c>
      <c r="B3" s="2">
        <v>48570389</v>
      </c>
      <c r="C3" s="2" t="str">
        <f>"UNIMEDSJN"</f>
        <v>UNIMEDSJN</v>
      </c>
      <c r="D3" s="2" t="str">
        <f>"DH"</f>
        <v>DH</v>
      </c>
      <c r="E3" s="2" t="str">
        <f>"Alex da Costa Silva"</f>
        <v>Alex da Costa Silva</v>
      </c>
      <c r="F3" s="2" t="str">
        <f>"48570380-1/1"</f>
        <v>48570380-1/1</v>
      </c>
      <c r="G3" s="2" t="str">
        <f>"Carteira 21"</f>
        <v>Carteira 21</v>
      </c>
      <c r="H3" s="2">
        <v>23</v>
      </c>
      <c r="I3" s="3">
        <v>79</v>
      </c>
      <c r="J3" s="2" t="str">
        <f>"02/01/2020"</f>
        <v>02/01/2020</v>
      </c>
      <c r="K3" s="2" t="str">
        <f>"25/01/2020"</f>
        <v>25/01/2020</v>
      </c>
      <c r="L3" s="2" t="str">
        <f>"27/03/2020"</f>
        <v>27/03/2020</v>
      </c>
      <c r="M3" s="2" t="str">
        <f>"30/03/2020"</f>
        <v>30/03/2020</v>
      </c>
      <c r="N3" s="2">
        <v>28.35</v>
      </c>
      <c r="O3" s="2">
        <v>29.49</v>
      </c>
      <c r="P3" s="2">
        <v>1.9999999999999601E-2</v>
      </c>
    </row>
    <row r="4" spans="1:16" s="2" customFormat="1" x14ac:dyDescent="0.25">
      <c r="A4" s="2">
        <v>47498984</v>
      </c>
      <c r="B4" s="2">
        <v>47498995</v>
      </c>
      <c r="C4" s="2" t="str">
        <f>"UNIMEDSJN"</f>
        <v>UNIMEDSJN</v>
      </c>
      <c r="D4" s="2" t="str">
        <f>"DH"</f>
        <v>DH</v>
      </c>
      <c r="E4" s="2" t="str">
        <f>"Alexandra Gabriel de Carvalho"</f>
        <v>Alexandra Gabriel de Carvalho</v>
      </c>
      <c r="F4" s="2" t="str">
        <f>"47498984-1/1"</f>
        <v>47498984-1/1</v>
      </c>
      <c r="G4" s="2" t="str">
        <f>"Carteira 21"</f>
        <v>Carteira 21</v>
      </c>
      <c r="H4" s="2">
        <v>24</v>
      </c>
      <c r="I4" s="3">
        <v>110</v>
      </c>
      <c r="J4" s="2" t="str">
        <f>"01/12/2019"</f>
        <v>01/12/2019</v>
      </c>
      <c r="K4" s="2" t="str">
        <f>"25/12/2019"</f>
        <v>25/12/2019</v>
      </c>
      <c r="L4" s="2" t="str">
        <f>"05/02/2020"</f>
        <v>05/02/2020</v>
      </c>
      <c r="M4" s="2" t="str">
        <f>"06/02/2020"</f>
        <v>06/02/2020</v>
      </c>
      <c r="N4" s="2">
        <v>28.35</v>
      </c>
      <c r="O4" s="2">
        <v>29.31</v>
      </c>
      <c r="P4" s="2">
        <v>9.9999999999980105E-3</v>
      </c>
    </row>
    <row r="5" spans="1:16" s="2" customFormat="1" x14ac:dyDescent="0.25">
      <c r="A5" s="2">
        <v>47494625</v>
      </c>
      <c r="B5" s="2">
        <v>47494644</v>
      </c>
      <c r="C5" s="2" t="str">
        <f>"UNIMEDSJN"</f>
        <v>UNIMEDSJN</v>
      </c>
      <c r="D5" s="2" t="str">
        <f>"DH"</f>
        <v>DH</v>
      </c>
      <c r="E5" s="2" t="str">
        <f>"Alexandre da Silva Guedes"</f>
        <v>Alexandre da Silva Guedes</v>
      </c>
      <c r="F5" s="2" t="str">
        <f>"47494625-1/1"</f>
        <v>47494625-1/1</v>
      </c>
      <c r="G5" s="2" t="str">
        <f>"Carteira 21"</f>
        <v>Carteira 21</v>
      </c>
      <c r="H5" s="2">
        <v>14</v>
      </c>
      <c r="I5" s="3">
        <v>120</v>
      </c>
      <c r="J5" s="2" t="str">
        <f>"01/12/2019"</f>
        <v>01/12/2019</v>
      </c>
      <c r="K5" s="2" t="str">
        <f>"15/12/2019"</f>
        <v>15/12/2019</v>
      </c>
      <c r="L5" s="2" t="str">
        <f>"20/02/2020"</f>
        <v>20/02/2020</v>
      </c>
      <c r="M5" s="2" t="str">
        <f>"21/02/2020"</f>
        <v>21/02/2020</v>
      </c>
      <c r="N5" s="2">
        <v>63.46</v>
      </c>
      <c r="O5" s="2">
        <v>66.11</v>
      </c>
      <c r="P5" s="2">
        <v>3.9999999999999099E-2</v>
      </c>
    </row>
    <row r="6" spans="1:16" s="2" customFormat="1" x14ac:dyDescent="0.25">
      <c r="A6" s="2">
        <v>48577145</v>
      </c>
      <c r="B6" s="2">
        <v>48577155</v>
      </c>
      <c r="C6" s="2" t="str">
        <f>"UNIMEDSJN"</f>
        <v>UNIMEDSJN</v>
      </c>
      <c r="D6" s="2" t="str">
        <f>"DH"</f>
        <v>DH</v>
      </c>
      <c r="E6" s="2" t="str">
        <f>"Alexandre Ramos de Mendonca"</f>
        <v>Alexandre Ramos de Mendonca</v>
      </c>
      <c r="F6" s="2" t="str">
        <f>"48577145-1/1"</f>
        <v>48577145-1/1</v>
      </c>
      <c r="G6" s="2" t="str">
        <f>"Carteira 21"</f>
        <v>Carteira 21</v>
      </c>
      <c r="H6" s="2">
        <v>23</v>
      </c>
      <c r="I6" s="3">
        <v>79</v>
      </c>
      <c r="J6" s="2" t="str">
        <f>"02/01/2020"</f>
        <v>02/01/2020</v>
      </c>
      <c r="K6" s="2" t="str">
        <f>"25/01/2020"</f>
        <v>25/01/2020</v>
      </c>
      <c r="L6" s="2" t="str">
        <f>"27/01/2020"</f>
        <v>27/01/2020</v>
      </c>
      <c r="M6" s="2" t="str">
        <f>"27/12/2019"</f>
        <v>27/12/2019</v>
      </c>
      <c r="N6" s="2">
        <v>28.35</v>
      </c>
      <c r="O6" s="2">
        <v>28.35</v>
      </c>
      <c r="P6" s="2">
        <v>0</v>
      </c>
    </row>
    <row r="7" spans="1:16" s="2" customFormat="1" x14ac:dyDescent="0.25">
      <c r="A7" s="2">
        <v>47502206</v>
      </c>
      <c r="B7" s="2">
        <v>47502217</v>
      </c>
      <c r="C7" s="2" t="str">
        <f>"UNIMEDSJN"</f>
        <v>UNIMEDSJN</v>
      </c>
      <c r="D7" s="2" t="str">
        <f>"DH"</f>
        <v>DH</v>
      </c>
      <c r="E7" s="2" t="str">
        <f>"ALINE FURTADO DE OLIVEIRA"</f>
        <v>ALINE FURTADO DE OLIVEIRA</v>
      </c>
      <c r="F7" s="2" t="str">
        <f>"47502206-1/1"</f>
        <v>47502206-1/1</v>
      </c>
      <c r="G7" s="2" t="str">
        <f>"Carteira 21"</f>
        <v>Carteira 21</v>
      </c>
      <c r="H7" s="2">
        <v>24</v>
      </c>
      <c r="I7" s="3">
        <v>110</v>
      </c>
      <c r="J7" s="2" t="str">
        <f>"01/12/2019"</f>
        <v>01/12/2019</v>
      </c>
      <c r="K7" s="2" t="str">
        <f>"25/12/2019"</f>
        <v>25/12/2019</v>
      </c>
      <c r="L7" s="2" t="str">
        <f>"16/03/2020"</f>
        <v>16/03/2020</v>
      </c>
      <c r="M7" s="2" t="str">
        <f>"17/03/2020"</f>
        <v>17/03/2020</v>
      </c>
      <c r="N7" s="2">
        <v>63.78</v>
      </c>
      <c r="O7" s="2">
        <v>66.78</v>
      </c>
      <c r="P7" s="2">
        <v>2.0000000000003099E-2</v>
      </c>
    </row>
    <row r="8" spans="1:16" s="2" customFormat="1" x14ac:dyDescent="0.25">
      <c r="A8" s="2">
        <v>48575915</v>
      </c>
      <c r="B8" s="2">
        <v>48575950</v>
      </c>
      <c r="C8" s="2" t="str">
        <f>"UNIMEDSJN"</f>
        <v>UNIMEDSJN</v>
      </c>
      <c r="D8" s="2" t="str">
        <f>"DH"</f>
        <v>DH</v>
      </c>
      <c r="E8" s="2" t="str">
        <f>"ALINE FURTADO DE OLIVEIRA"</f>
        <v>ALINE FURTADO DE OLIVEIRA</v>
      </c>
      <c r="F8" s="2" t="str">
        <f>"48575915-1/1"</f>
        <v>48575915-1/1</v>
      </c>
      <c r="G8" s="2" t="str">
        <f>"Carteira 21"</f>
        <v>Carteira 21</v>
      </c>
      <c r="H8" s="2">
        <v>23</v>
      </c>
      <c r="I8" s="3">
        <v>79</v>
      </c>
      <c r="J8" s="2" t="str">
        <f>"02/01/2020"</f>
        <v>02/01/2020</v>
      </c>
      <c r="K8" s="2" t="str">
        <f>"25/01/2020"</f>
        <v>25/01/2020</v>
      </c>
      <c r="L8" s="2" t="str">
        <f>"27/01/2020"</f>
        <v>27/01/2020</v>
      </c>
      <c r="M8" s="2" t="str">
        <f>"27/12/2019"</f>
        <v>27/12/2019</v>
      </c>
      <c r="N8" s="2">
        <v>350.17</v>
      </c>
      <c r="O8" s="2">
        <v>350.17</v>
      </c>
      <c r="P8" s="2">
        <v>0</v>
      </c>
    </row>
    <row r="9" spans="1:16" s="2" customFormat="1" x14ac:dyDescent="0.25">
      <c r="A9" s="2">
        <v>48568977</v>
      </c>
      <c r="B9" s="2">
        <v>48568989</v>
      </c>
      <c r="C9" s="2" t="str">
        <f>"UNIMEDSJN"</f>
        <v>UNIMEDSJN</v>
      </c>
      <c r="D9" s="2" t="str">
        <f>"DH"</f>
        <v>DH</v>
      </c>
      <c r="E9" s="2" t="str">
        <f>"ALINE MAURICIO MOREIRA"</f>
        <v>ALINE MAURICIO MOREIRA</v>
      </c>
      <c r="F9" s="2" t="str">
        <f>"48568977-1/1"</f>
        <v>48568977-1/1</v>
      </c>
      <c r="G9" s="2" t="str">
        <f>"Carteira 21"</f>
        <v>Carteira 21</v>
      </c>
      <c r="H9" s="2">
        <v>23</v>
      </c>
      <c r="I9" s="3">
        <v>79</v>
      </c>
      <c r="J9" s="2" t="str">
        <f>"02/01/2020"</f>
        <v>02/01/2020</v>
      </c>
      <c r="K9" s="2" t="str">
        <f>"25/01/2020"</f>
        <v>25/01/2020</v>
      </c>
      <c r="L9" s="2" t="str">
        <f>"18/03/2020"</f>
        <v>18/03/2020</v>
      </c>
      <c r="M9" s="2" t="str">
        <f>"19/03/2020"</f>
        <v>19/03/2020</v>
      </c>
      <c r="N9" s="2">
        <v>4.04</v>
      </c>
      <c r="O9" s="2">
        <v>4.1900000000000004</v>
      </c>
      <c r="P9" s="2">
        <v>0</v>
      </c>
    </row>
    <row r="10" spans="1:16" s="2" customFormat="1" x14ac:dyDescent="0.25">
      <c r="A10" s="2">
        <v>47496480</v>
      </c>
      <c r="B10" s="2">
        <v>47496503</v>
      </c>
      <c r="C10" s="2" t="str">
        <f>"UNIMEDSJN"</f>
        <v>UNIMEDSJN</v>
      </c>
      <c r="D10" s="2" t="str">
        <f>"DH"</f>
        <v>DH</v>
      </c>
      <c r="E10" s="2" t="str">
        <f>"ALISIA DE SOUZA MEDEIROS ITABORAHY"</f>
        <v>ALISIA DE SOUZA MEDEIROS ITABORAHY</v>
      </c>
      <c r="F10" s="2" t="str">
        <f>"47496480-1/1"</f>
        <v>47496480-1/1</v>
      </c>
      <c r="G10" s="2" t="str">
        <f>"Carteira 21"</f>
        <v>Carteira 21</v>
      </c>
      <c r="H10" s="2">
        <v>24</v>
      </c>
      <c r="I10" s="3">
        <v>110</v>
      </c>
      <c r="J10" s="2" t="str">
        <f>"01/12/2019"</f>
        <v>01/12/2019</v>
      </c>
      <c r="K10" s="2" t="str">
        <f>"25/12/2019"</f>
        <v>25/12/2019</v>
      </c>
      <c r="L10" s="2" t="str">
        <f>"19/02/2020"</f>
        <v>19/02/2020</v>
      </c>
      <c r="M10" s="2" t="str">
        <f>"20/02/2020"</f>
        <v>20/02/2020</v>
      </c>
      <c r="N10" s="2">
        <v>128.43</v>
      </c>
      <c r="O10" s="2">
        <v>133.37</v>
      </c>
      <c r="P10" s="2">
        <v>3.0000000000001099E-2</v>
      </c>
    </row>
    <row r="11" spans="1:16" s="2" customFormat="1" x14ac:dyDescent="0.25">
      <c r="A11" s="2">
        <v>48571762</v>
      </c>
      <c r="B11" s="2">
        <v>48571790</v>
      </c>
      <c r="C11" s="2" t="str">
        <f>"UNIMEDSJN"</f>
        <v>UNIMEDSJN</v>
      </c>
      <c r="D11" s="2" t="str">
        <f>"DH"</f>
        <v>DH</v>
      </c>
      <c r="E11" s="2" t="str">
        <f>"ALISIA DE SOUZA MEDEIROS ITABORAHY"</f>
        <v>ALISIA DE SOUZA MEDEIROS ITABORAHY</v>
      </c>
      <c r="F11" s="2" t="str">
        <f>"48571762-1/1"</f>
        <v>48571762-1/1</v>
      </c>
      <c r="G11" s="2" t="str">
        <f>"Carteira 21"</f>
        <v>Carteira 21</v>
      </c>
      <c r="H11" s="2">
        <v>23</v>
      </c>
      <c r="I11" s="3">
        <v>79</v>
      </c>
      <c r="J11" s="2" t="str">
        <f>"02/01/2020"</f>
        <v>02/01/2020</v>
      </c>
      <c r="K11" s="2" t="str">
        <f>"25/01/2020"</f>
        <v>25/01/2020</v>
      </c>
      <c r="L11" s="2" t="str">
        <f>"10/03/2020"</f>
        <v>10/03/2020</v>
      </c>
      <c r="M11" s="2" t="str">
        <f>"11/03/2020"</f>
        <v>11/03/2020</v>
      </c>
      <c r="N11" s="2">
        <v>33.6</v>
      </c>
      <c r="O11" s="2">
        <v>34.74</v>
      </c>
      <c r="P11" s="2">
        <v>3.0000000000001099E-2</v>
      </c>
    </row>
    <row r="12" spans="1:16" s="2" customFormat="1" x14ac:dyDescent="0.25">
      <c r="A12" s="2">
        <v>48574800</v>
      </c>
      <c r="B12" s="2">
        <v>48574821</v>
      </c>
      <c r="C12" s="2" t="str">
        <f>"UNIMEDSJN"</f>
        <v>UNIMEDSJN</v>
      </c>
      <c r="D12" s="2" t="str">
        <f>"DH"</f>
        <v>DH</v>
      </c>
      <c r="E12" s="2" t="str">
        <f>"Alonso Ferreira Callegaro"</f>
        <v>Alonso Ferreira Callegaro</v>
      </c>
      <c r="F12" s="2" t="str">
        <f>"48574800-1/1"</f>
        <v>48574800-1/1</v>
      </c>
      <c r="G12" s="2" t="str">
        <f>"Carteira 21"</f>
        <v>Carteira 21</v>
      </c>
      <c r="H12" s="2">
        <v>23</v>
      </c>
      <c r="I12" s="3">
        <v>79</v>
      </c>
      <c r="J12" s="2" t="str">
        <f>"02/01/2020"</f>
        <v>02/01/2020</v>
      </c>
      <c r="K12" s="2" t="str">
        <f>"25/01/2020"</f>
        <v>25/01/2020</v>
      </c>
      <c r="L12" s="2" t="str">
        <f>"12/02/2020"</f>
        <v>12/02/2020</v>
      </c>
      <c r="M12" s="2" t="str">
        <f>"13/02/2020"</f>
        <v>13/02/2020</v>
      </c>
      <c r="N12" s="2">
        <v>67.62</v>
      </c>
      <c r="O12" s="2">
        <v>69.33</v>
      </c>
      <c r="P12" s="2">
        <v>5.0000000000011403E-2</v>
      </c>
    </row>
    <row r="13" spans="1:16" s="2" customFormat="1" x14ac:dyDescent="0.25">
      <c r="A13" s="2">
        <v>48573401</v>
      </c>
      <c r="B13" s="2">
        <v>48573408</v>
      </c>
      <c r="C13" s="2" t="str">
        <f>"UNIMEDSJN"</f>
        <v>UNIMEDSJN</v>
      </c>
      <c r="D13" s="2" t="str">
        <f>"DH"</f>
        <v>DH</v>
      </c>
      <c r="E13" s="2" t="str">
        <f>"Ana Eliza de Souza Assis"</f>
        <v>Ana Eliza de Souza Assis</v>
      </c>
      <c r="F13" s="2" t="str">
        <f>"48573401-1/1"</f>
        <v>48573401-1/1</v>
      </c>
      <c r="G13" s="2" t="str">
        <f>"Carteira 21"</f>
        <v>Carteira 21</v>
      </c>
      <c r="H13" s="2">
        <v>23</v>
      </c>
      <c r="I13" s="3">
        <v>79</v>
      </c>
      <c r="J13" s="2" t="str">
        <f>"02/01/2020"</f>
        <v>02/01/2020</v>
      </c>
      <c r="K13" s="2" t="str">
        <f>"25/01/2020"</f>
        <v>25/01/2020</v>
      </c>
      <c r="L13" s="2" t="str">
        <f>"10/02/2020"</f>
        <v>10/02/2020</v>
      </c>
      <c r="M13" s="2" t="str">
        <f>"11/02/2020"</f>
        <v>11/02/2020</v>
      </c>
      <c r="N13" s="2">
        <v>30</v>
      </c>
      <c r="O13" s="2">
        <v>30.74</v>
      </c>
      <c r="P13" s="2">
        <v>1.9999999999999601E-2</v>
      </c>
    </row>
    <row r="14" spans="1:16" s="2" customFormat="1" x14ac:dyDescent="0.25">
      <c r="A14" s="2">
        <v>48573891</v>
      </c>
      <c r="B14" s="2">
        <v>48573900</v>
      </c>
      <c r="C14" s="2" t="str">
        <f>"UNIMEDSJN"</f>
        <v>UNIMEDSJN</v>
      </c>
      <c r="D14" s="2" t="str">
        <f>"DH"</f>
        <v>DH</v>
      </c>
      <c r="E14" s="2" t="str">
        <f>"Ana Maria Luercio Badaro"</f>
        <v>Ana Maria Luercio Badaro</v>
      </c>
      <c r="F14" s="2" t="str">
        <f>"48573891-1/1"</f>
        <v>48573891-1/1</v>
      </c>
      <c r="G14" s="2" t="str">
        <f>"Carteira 21"</f>
        <v>Carteira 21</v>
      </c>
      <c r="H14" s="2">
        <v>23</v>
      </c>
      <c r="I14" s="3">
        <v>79</v>
      </c>
      <c r="J14" s="2" t="str">
        <f>"02/01/2020"</f>
        <v>02/01/2020</v>
      </c>
      <c r="K14" s="2" t="str">
        <f>"25/01/2020"</f>
        <v>25/01/2020</v>
      </c>
      <c r="L14" s="2" t="str">
        <f>"11/02/2020"</f>
        <v>11/02/2020</v>
      </c>
      <c r="M14" s="2" t="str">
        <f>"12/02/2020"</f>
        <v>12/02/2020</v>
      </c>
      <c r="N14" s="2">
        <v>30</v>
      </c>
      <c r="O14" s="2">
        <v>30.75</v>
      </c>
      <c r="P14" s="2">
        <v>1.9999999999999601E-2</v>
      </c>
    </row>
    <row r="15" spans="1:16" s="2" customFormat="1" x14ac:dyDescent="0.25">
      <c r="A15" s="2">
        <v>48574841</v>
      </c>
      <c r="B15" s="2">
        <v>48574873</v>
      </c>
      <c r="C15" s="2" t="str">
        <f>"UNIMEDSJN"</f>
        <v>UNIMEDSJN</v>
      </c>
      <c r="D15" s="2" t="str">
        <f>"DH"</f>
        <v>DH</v>
      </c>
      <c r="E15" s="2" t="str">
        <f>"Andrea Candida da Costa"</f>
        <v>Andrea Candida da Costa</v>
      </c>
      <c r="F15" s="2" t="str">
        <f>"48574841-1/1"</f>
        <v>48574841-1/1</v>
      </c>
      <c r="G15" s="2" t="str">
        <f>"Carteira 21"</f>
        <v>Carteira 21</v>
      </c>
      <c r="H15" s="2">
        <v>23</v>
      </c>
      <c r="I15" s="3">
        <v>79</v>
      </c>
      <c r="J15" s="2" t="str">
        <f>"02/01/2020"</f>
        <v>02/01/2020</v>
      </c>
      <c r="K15" s="2" t="str">
        <f>"25/01/2020"</f>
        <v>25/01/2020</v>
      </c>
      <c r="L15" s="2" t="str">
        <f>"21/02/2020"</f>
        <v>21/02/2020</v>
      </c>
      <c r="M15" s="2" t="str">
        <f>"24/02/2020"</f>
        <v>24/02/2020</v>
      </c>
      <c r="N15" s="2">
        <v>34.68</v>
      </c>
      <c r="O15" s="2">
        <v>35.65</v>
      </c>
      <c r="P15" s="2">
        <v>3.0000000000001099E-2</v>
      </c>
    </row>
    <row r="16" spans="1:16" s="2" customFormat="1" x14ac:dyDescent="0.25">
      <c r="A16" s="2">
        <v>45915606</v>
      </c>
      <c r="B16" s="2">
        <v>45915611</v>
      </c>
      <c r="C16" s="2" t="str">
        <f>"UNIMEDSJN"</f>
        <v>UNIMEDSJN</v>
      </c>
      <c r="D16" s="2" t="str">
        <f>"DH"</f>
        <v>DH</v>
      </c>
      <c r="E16" s="2" t="str">
        <f>"Andrea Silva Guilhermino Correa"</f>
        <v>Andrea Silva Guilhermino Correa</v>
      </c>
      <c r="F16" s="2" t="str">
        <f>"45915606-1/1"</f>
        <v>45915606-1/1</v>
      </c>
      <c r="G16" s="2" t="str">
        <f>"Carteira 21"</f>
        <v>Carteira 21</v>
      </c>
      <c r="H16" s="2">
        <v>24</v>
      </c>
      <c r="I16" s="3">
        <v>140</v>
      </c>
      <c r="J16" s="2" t="str">
        <f>"01/11/2019"</f>
        <v>01/11/2019</v>
      </c>
      <c r="K16" s="2" t="str">
        <f>"25/11/2019"</f>
        <v>25/11/2019</v>
      </c>
      <c r="L16" s="2" t="str">
        <f>"07/02/2020"</f>
        <v>07/02/2020</v>
      </c>
      <c r="M16" s="2" t="str">
        <f>"10/02/2020"</f>
        <v>10/02/2020</v>
      </c>
      <c r="N16" s="2">
        <v>28.35</v>
      </c>
      <c r="O16" s="2">
        <v>29.61</v>
      </c>
      <c r="P16" s="2">
        <v>1.00000000000016E-2</v>
      </c>
    </row>
    <row r="17" spans="1:16" s="2" customFormat="1" x14ac:dyDescent="0.25">
      <c r="A17" s="2">
        <v>48573343</v>
      </c>
      <c r="B17" s="2">
        <v>48573355</v>
      </c>
      <c r="C17" s="2" t="str">
        <f>"UNIMEDSJN"</f>
        <v>UNIMEDSJN</v>
      </c>
      <c r="D17" s="2" t="str">
        <f>"DH"</f>
        <v>DH</v>
      </c>
      <c r="E17" s="2" t="str">
        <f>"ANDREIA MARIA JUSTINO DA COSTA"</f>
        <v>ANDREIA MARIA JUSTINO DA COSTA</v>
      </c>
      <c r="F17" s="2" t="str">
        <f>"48573343-1/1"</f>
        <v>48573343-1/1</v>
      </c>
      <c r="G17" s="2" t="str">
        <f>"Carteira 21"</f>
        <v>Carteira 21</v>
      </c>
      <c r="H17" s="2">
        <v>23</v>
      </c>
      <c r="I17" s="3">
        <v>79</v>
      </c>
      <c r="J17" s="2" t="str">
        <f>"02/01/2020"</f>
        <v>02/01/2020</v>
      </c>
      <c r="K17" s="2" t="str">
        <f>"25/01/2020"</f>
        <v>25/01/2020</v>
      </c>
      <c r="L17" s="2" t="str">
        <f>"10/02/2020"</f>
        <v>10/02/2020</v>
      </c>
      <c r="M17" s="2" t="str">
        <f>"11/02/2020"</f>
        <v>11/02/2020</v>
      </c>
      <c r="N17" s="2">
        <v>30</v>
      </c>
      <c r="O17" s="2">
        <v>30.74</v>
      </c>
      <c r="P17" s="2">
        <v>1.9999999999999601E-2</v>
      </c>
    </row>
    <row r="18" spans="1:16" s="2" customFormat="1" x14ac:dyDescent="0.25">
      <c r="A18" s="2">
        <v>45925446</v>
      </c>
      <c r="B18" s="2">
        <v>45925460</v>
      </c>
      <c r="C18" s="2" t="str">
        <f>"UNIMEDSJN"</f>
        <v>UNIMEDSJN</v>
      </c>
      <c r="D18" s="2" t="str">
        <f>"DH"</f>
        <v>DH</v>
      </c>
      <c r="E18" s="2" t="str">
        <f>"ANGELA DE LOURDES MENDES EGYDIO"</f>
        <v>ANGELA DE LOURDES MENDES EGYDIO</v>
      </c>
      <c r="F18" s="2" t="str">
        <f>"45925446-1/1"</f>
        <v>45925446-1/1</v>
      </c>
      <c r="G18" s="2" t="str">
        <f>"Carteira 21"</f>
        <v>Carteira 21</v>
      </c>
      <c r="H18" s="2">
        <v>24</v>
      </c>
      <c r="I18" s="3">
        <v>140</v>
      </c>
      <c r="J18" s="2" t="str">
        <f>"01/11/2019"</f>
        <v>01/11/2019</v>
      </c>
      <c r="K18" s="2" t="str">
        <f>"25/11/2019"</f>
        <v>25/11/2019</v>
      </c>
      <c r="L18" s="2" t="str">
        <f>"04/02/2020"</f>
        <v>04/02/2020</v>
      </c>
      <c r="M18" s="2" t="str">
        <f>"05/02/2020"</f>
        <v>05/02/2020</v>
      </c>
      <c r="N18" s="2">
        <v>37.51</v>
      </c>
      <c r="O18" s="2">
        <v>39.14</v>
      </c>
      <c r="P18" s="2">
        <v>9.9999999999980105E-3</v>
      </c>
    </row>
    <row r="19" spans="1:16" s="2" customFormat="1" x14ac:dyDescent="0.25">
      <c r="A19" s="2">
        <v>44964114</v>
      </c>
      <c r="B19" s="2">
        <v>44964127</v>
      </c>
      <c r="C19" s="2" t="str">
        <f>"UNIMEDSJN"</f>
        <v>UNIMEDSJN</v>
      </c>
      <c r="D19" s="2" t="str">
        <f>"DH"</f>
        <v>DH</v>
      </c>
      <c r="E19" s="2" t="str">
        <f>"Angelica Danelon Silva"</f>
        <v>Angelica Danelon Silva</v>
      </c>
      <c r="F19" s="2" t="str">
        <f>"44964114-1/1"</f>
        <v>44964114-1/1</v>
      </c>
      <c r="G19" s="2" t="str">
        <f>"CARTEIRA PERDA"</f>
        <v>CARTEIRA PERDA</v>
      </c>
      <c r="H19" s="2">
        <v>24</v>
      </c>
      <c r="I19" s="3">
        <v>201</v>
      </c>
      <c r="J19" s="2" t="str">
        <f>"01/09/2019"</f>
        <v>01/09/2019</v>
      </c>
      <c r="K19" s="2" t="str">
        <f>"25/09/2019"</f>
        <v>25/09/2019</v>
      </c>
      <c r="L19" s="2" t="str">
        <f>"25/09/2019"</f>
        <v>25/09/2019</v>
      </c>
      <c r="M19" s="2" t="str">
        <f>"05/03/2020"</f>
        <v>05/03/2020</v>
      </c>
      <c r="N19" s="2">
        <v>28.35</v>
      </c>
      <c r="O19" s="2">
        <v>28.35</v>
      </c>
      <c r="P19" s="2">
        <v>0</v>
      </c>
    </row>
    <row r="20" spans="1:16" s="2" customFormat="1" x14ac:dyDescent="0.25">
      <c r="A20" s="2">
        <v>45449939</v>
      </c>
      <c r="B20" s="2">
        <v>45449951</v>
      </c>
      <c r="C20" s="2" t="str">
        <f>"UNIMEDSJN"</f>
        <v>UNIMEDSJN</v>
      </c>
      <c r="D20" s="2" t="str">
        <f>"DH"</f>
        <v>DH</v>
      </c>
      <c r="E20" s="2" t="str">
        <f>"Angelica Danelon Silva"</f>
        <v>Angelica Danelon Silva</v>
      </c>
      <c r="F20" s="2" t="str">
        <f>"45449939-1/1"</f>
        <v>45449939-1/1</v>
      </c>
      <c r="G20" s="2" t="str">
        <f>"CARTEIRA PERDA"</f>
        <v>CARTEIRA PERDA</v>
      </c>
      <c r="H20" s="2">
        <v>24</v>
      </c>
      <c r="I20" s="3">
        <v>171</v>
      </c>
      <c r="J20" s="2" t="str">
        <f>"01/10/2019"</f>
        <v>01/10/2019</v>
      </c>
      <c r="K20" s="2" t="str">
        <f>"25/10/2019"</f>
        <v>25/10/2019</v>
      </c>
      <c r="L20" s="2" t="str">
        <f>"25/10/2019"</f>
        <v>25/10/2019</v>
      </c>
      <c r="M20" s="2" t="str">
        <f>"05/03/2020"</f>
        <v>05/03/2020</v>
      </c>
      <c r="N20" s="2">
        <v>30</v>
      </c>
      <c r="O20" s="2">
        <v>30</v>
      </c>
      <c r="P20" s="2">
        <v>0</v>
      </c>
    </row>
    <row r="21" spans="1:16" s="2" customFormat="1" x14ac:dyDescent="0.25">
      <c r="A21" s="2">
        <v>45921727</v>
      </c>
      <c r="B21" s="2">
        <v>45921743</v>
      </c>
      <c r="C21" s="2" t="str">
        <f>"UNIMEDSJN"</f>
        <v>UNIMEDSJN</v>
      </c>
      <c r="D21" s="2" t="str">
        <f>"DH"</f>
        <v>DH</v>
      </c>
      <c r="E21" s="2" t="str">
        <f>"ANGELICA DE SOUZA REIS"</f>
        <v>ANGELICA DE SOUZA REIS</v>
      </c>
      <c r="F21" s="2" t="str">
        <f>"45921727-1/1"</f>
        <v>45921727-1/1</v>
      </c>
      <c r="G21" s="2" t="str">
        <f>"Carteira 21"</f>
        <v>Carteira 21</v>
      </c>
      <c r="H21" s="2">
        <v>24</v>
      </c>
      <c r="I21" s="3">
        <v>140</v>
      </c>
      <c r="J21" s="2" t="str">
        <f>"01/11/2019"</f>
        <v>01/11/2019</v>
      </c>
      <c r="K21" s="2" t="str">
        <f>"25/11/2019"</f>
        <v>25/11/2019</v>
      </c>
      <c r="L21" s="2" t="str">
        <f>"11/03/2020"</f>
        <v>11/03/2020</v>
      </c>
      <c r="M21" s="2" t="str">
        <f>"12/03/2020"</f>
        <v>12/03/2020</v>
      </c>
      <c r="N21" s="2">
        <v>30</v>
      </c>
      <c r="O21" s="2">
        <v>31.66</v>
      </c>
      <c r="P21" s="2">
        <v>9.9999999999980105E-3</v>
      </c>
    </row>
    <row r="22" spans="1:16" s="2" customFormat="1" x14ac:dyDescent="0.25">
      <c r="A22" s="2">
        <v>47496697</v>
      </c>
      <c r="B22" s="2">
        <v>47496718</v>
      </c>
      <c r="C22" s="2" t="str">
        <f>"UNIMEDSJN"</f>
        <v>UNIMEDSJN</v>
      </c>
      <c r="D22" s="2" t="str">
        <f>"DH"</f>
        <v>DH</v>
      </c>
      <c r="E22" s="2" t="str">
        <f>"ANGELICA DE SOUZA REIS"</f>
        <v>ANGELICA DE SOUZA REIS</v>
      </c>
      <c r="F22" s="2" t="str">
        <f>"47496697-1/1"</f>
        <v>47496697-1/1</v>
      </c>
      <c r="G22" s="2" t="str">
        <f>"Carteira 21"</f>
        <v>Carteira 21</v>
      </c>
      <c r="H22" s="2">
        <v>24</v>
      </c>
      <c r="I22" s="3">
        <v>110</v>
      </c>
      <c r="J22" s="2" t="str">
        <f>"01/12/2019"</f>
        <v>01/12/2019</v>
      </c>
      <c r="K22" s="2" t="str">
        <f>"25/12/2019"</f>
        <v>25/12/2019</v>
      </c>
      <c r="L22" s="2" t="str">
        <f>"11/03/2020"</f>
        <v>11/03/2020</v>
      </c>
      <c r="M22" s="2" t="str">
        <f>"12/03/2020"</f>
        <v>12/03/2020</v>
      </c>
      <c r="N22" s="2">
        <v>37.5</v>
      </c>
      <c r="O22" s="2">
        <v>39.200000000000003</v>
      </c>
      <c r="P22" s="2">
        <v>9.9999999999980105E-3</v>
      </c>
    </row>
    <row r="23" spans="1:16" s="2" customFormat="1" x14ac:dyDescent="0.25">
      <c r="A23" s="2">
        <v>48571178</v>
      </c>
      <c r="B23" s="2">
        <v>48571197</v>
      </c>
      <c r="C23" s="2" t="str">
        <f>"UNIMEDSJN"</f>
        <v>UNIMEDSJN</v>
      </c>
      <c r="D23" s="2" t="str">
        <f>"DH"</f>
        <v>DH</v>
      </c>
      <c r="E23" s="2" t="str">
        <f>"ANTHONY SILVEIRA MATHIAS"</f>
        <v>ANTHONY SILVEIRA MATHIAS</v>
      </c>
      <c r="F23" s="2" t="str">
        <f>"48571178-1/1"</f>
        <v>48571178-1/1</v>
      </c>
      <c r="G23" s="2" t="str">
        <f>"Carteira 21"</f>
        <v>Carteira 21</v>
      </c>
      <c r="H23" s="2">
        <v>23</v>
      </c>
      <c r="I23" s="3">
        <v>79</v>
      </c>
      <c r="J23" s="2" t="str">
        <f>"02/01/2020"</f>
        <v>02/01/2020</v>
      </c>
      <c r="K23" s="2" t="str">
        <f>"25/01/2020"</f>
        <v>25/01/2020</v>
      </c>
      <c r="L23" s="2" t="str">
        <f>"05/02/2020"</f>
        <v>05/02/2020</v>
      </c>
      <c r="M23" s="2" t="str">
        <f>"06/02/2020"</f>
        <v>06/02/2020</v>
      </c>
      <c r="N23" s="2">
        <v>58.35</v>
      </c>
      <c r="O23" s="2">
        <v>59.69</v>
      </c>
      <c r="P23" s="2">
        <v>4.0000000000006301E-2</v>
      </c>
    </row>
    <row r="24" spans="1:16" s="2" customFormat="1" x14ac:dyDescent="0.25">
      <c r="A24" s="2">
        <v>45918605</v>
      </c>
      <c r="B24" s="2">
        <v>45918616</v>
      </c>
      <c r="C24" s="2" t="str">
        <f>"UNIMEDSJN"</f>
        <v>UNIMEDSJN</v>
      </c>
      <c r="D24" s="2" t="str">
        <f>"DH"</f>
        <v>DH</v>
      </c>
      <c r="E24" s="2" t="str">
        <f>"Antonio Abdias de Oliveira"</f>
        <v>Antonio Abdias de Oliveira</v>
      </c>
      <c r="F24" s="2" t="str">
        <f>"45918605-1/1"</f>
        <v>45918605-1/1</v>
      </c>
      <c r="G24" s="2" t="str">
        <f>"Carteira 21"</f>
        <v>Carteira 21</v>
      </c>
      <c r="H24" s="2">
        <v>24</v>
      </c>
      <c r="I24" s="3">
        <v>140</v>
      </c>
      <c r="J24" s="2" t="str">
        <f>"01/11/2019"</f>
        <v>01/11/2019</v>
      </c>
      <c r="K24" s="2" t="str">
        <f>"25/11/2019"</f>
        <v>25/11/2019</v>
      </c>
      <c r="L24" s="2" t="str">
        <f>"25/11/2019"</f>
        <v>25/11/2019</v>
      </c>
      <c r="M24" s="2" t="str">
        <f>"31/10/2019"</f>
        <v>31/10/2019</v>
      </c>
      <c r="N24" s="2">
        <v>45.81</v>
      </c>
      <c r="O24" s="2">
        <v>45.81</v>
      </c>
      <c r="P24" s="2">
        <v>0</v>
      </c>
    </row>
    <row r="25" spans="1:16" s="2" customFormat="1" x14ac:dyDescent="0.25">
      <c r="A25" s="2">
        <v>48568630</v>
      </c>
      <c r="B25" s="2">
        <v>48568644</v>
      </c>
      <c r="C25" s="2" t="str">
        <f>"UNIMEDSJN"</f>
        <v>UNIMEDSJN</v>
      </c>
      <c r="D25" s="2" t="str">
        <f>"DH"</f>
        <v>DH</v>
      </c>
      <c r="E25" s="2" t="str">
        <f>"ARTHUR GOMES BARBOSA"</f>
        <v>ARTHUR GOMES BARBOSA</v>
      </c>
      <c r="F25" s="2" t="str">
        <f>"48568630-1/1"</f>
        <v>48568630-1/1</v>
      </c>
      <c r="G25" s="2" t="str">
        <f>"Carteira 21"</f>
        <v>Carteira 21</v>
      </c>
      <c r="H25" s="2">
        <v>23</v>
      </c>
      <c r="I25" s="3">
        <v>79</v>
      </c>
      <c r="J25" s="2" t="str">
        <f>"02/01/2020"</f>
        <v>02/01/2020</v>
      </c>
      <c r="K25" s="2" t="str">
        <f>"25/01/2020"</f>
        <v>25/01/2020</v>
      </c>
      <c r="L25" s="2" t="str">
        <f>"17/02/2020"</f>
        <v>17/02/2020</v>
      </c>
      <c r="M25" s="2" t="str">
        <f>"18/02/2020"</f>
        <v>18/02/2020</v>
      </c>
      <c r="N25" s="2">
        <v>30</v>
      </c>
      <c r="O25" s="2">
        <v>30.81</v>
      </c>
      <c r="P25" s="2">
        <v>1.9999999999996E-2</v>
      </c>
    </row>
    <row r="26" spans="1:16" s="2" customFormat="1" x14ac:dyDescent="0.25">
      <c r="A26" s="2">
        <v>47500503</v>
      </c>
      <c r="B26" s="2">
        <v>47500517</v>
      </c>
      <c r="C26" s="2" t="str">
        <f>"UNIMEDSJN"</f>
        <v>UNIMEDSJN</v>
      </c>
      <c r="D26" s="2" t="str">
        <f>"DH"</f>
        <v>DH</v>
      </c>
      <c r="E26" s="2" t="str">
        <f>"AUGUSTO PEREIRA DE REZENDE"</f>
        <v>AUGUSTO PEREIRA DE REZENDE</v>
      </c>
      <c r="F26" s="2" t="str">
        <f>"47500503-1/1"</f>
        <v>47500503-1/1</v>
      </c>
      <c r="G26" s="2" t="str">
        <f>"Carteira 21"</f>
        <v>Carteira 21</v>
      </c>
      <c r="H26" s="2">
        <v>24</v>
      </c>
      <c r="I26" s="3">
        <v>110</v>
      </c>
      <c r="J26" s="2" t="str">
        <f>"01/12/2019"</f>
        <v>01/12/2019</v>
      </c>
      <c r="K26" s="2" t="str">
        <f>"25/12/2019"</f>
        <v>25/12/2019</v>
      </c>
      <c r="L26" s="2" t="str">
        <f>"07/02/2020"</f>
        <v>07/02/2020</v>
      </c>
      <c r="M26" s="2" t="str">
        <f>"10/02/2020"</f>
        <v>10/02/2020</v>
      </c>
      <c r="N26" s="2">
        <v>52.2</v>
      </c>
      <c r="O26" s="2">
        <v>54</v>
      </c>
      <c r="P26" s="2">
        <v>1.00000000000051E-2</v>
      </c>
    </row>
    <row r="27" spans="1:16" s="2" customFormat="1" x14ac:dyDescent="0.25">
      <c r="A27" s="2">
        <v>48574145</v>
      </c>
      <c r="B27" s="2">
        <v>48574167</v>
      </c>
      <c r="C27" s="2" t="str">
        <f>"UNIMEDSJN"</f>
        <v>UNIMEDSJN</v>
      </c>
      <c r="D27" s="2" t="str">
        <f>"DH"</f>
        <v>DH</v>
      </c>
      <c r="E27" s="2" t="str">
        <f>"AUGUSTO PEREIRA DE REZENDE"</f>
        <v>AUGUSTO PEREIRA DE REZENDE</v>
      </c>
      <c r="F27" s="2" t="str">
        <f>"48574145-1/1"</f>
        <v>48574145-1/1</v>
      </c>
      <c r="G27" s="2" t="str">
        <f>"Carteira 21"</f>
        <v>Carteira 21</v>
      </c>
      <c r="H27" s="2">
        <v>23</v>
      </c>
      <c r="I27" s="3">
        <v>79</v>
      </c>
      <c r="J27" s="2" t="str">
        <f>"02/01/2020"</f>
        <v>02/01/2020</v>
      </c>
      <c r="K27" s="2" t="str">
        <f>"25/01/2020"</f>
        <v>25/01/2020</v>
      </c>
      <c r="L27" s="2" t="str">
        <f>"06/03/2020"</f>
        <v>06/03/2020</v>
      </c>
      <c r="M27" s="2" t="str">
        <f>"09/03/2020"</f>
        <v>09/03/2020</v>
      </c>
      <c r="N27" s="2">
        <v>48.72</v>
      </c>
      <c r="O27" s="2">
        <v>50.32</v>
      </c>
      <c r="P27" s="2">
        <v>3.9999999999999099E-2</v>
      </c>
    </row>
    <row r="28" spans="1:16" s="2" customFormat="1" x14ac:dyDescent="0.25">
      <c r="A28" s="2">
        <v>48576136</v>
      </c>
      <c r="B28" s="2">
        <v>48576145</v>
      </c>
      <c r="C28" s="2" t="str">
        <f>"UNIMEDSJN"</f>
        <v>UNIMEDSJN</v>
      </c>
      <c r="D28" s="2" t="str">
        <f>"DH"</f>
        <v>DH</v>
      </c>
      <c r="E28" s="2" t="str">
        <f>"BARBARA MARIA DA COSTA DORNELAS"</f>
        <v>BARBARA MARIA DA COSTA DORNELAS</v>
      </c>
      <c r="F28" s="2" t="str">
        <f>"48576136-1/1"</f>
        <v>48576136-1/1</v>
      </c>
      <c r="G28" s="2" t="str">
        <f>"Carteira 21"</f>
        <v>Carteira 21</v>
      </c>
      <c r="H28" s="2">
        <v>23</v>
      </c>
      <c r="I28" s="3">
        <v>79</v>
      </c>
      <c r="J28" s="2" t="str">
        <f>"02/01/2020"</f>
        <v>02/01/2020</v>
      </c>
      <c r="K28" s="2" t="str">
        <f>"25/01/2020"</f>
        <v>25/01/2020</v>
      </c>
      <c r="L28" s="2" t="str">
        <f>"27/01/2020"</f>
        <v>27/01/2020</v>
      </c>
      <c r="M28" s="2" t="str">
        <f>"27/12/2019"</f>
        <v>27/12/2019</v>
      </c>
      <c r="N28" s="2">
        <v>30</v>
      </c>
      <c r="O28" s="2">
        <v>30</v>
      </c>
      <c r="P28" s="2">
        <v>0</v>
      </c>
    </row>
    <row r="29" spans="1:16" s="2" customFormat="1" x14ac:dyDescent="0.25">
      <c r="A29" s="2">
        <v>48571774</v>
      </c>
      <c r="B29" s="2">
        <v>48571792</v>
      </c>
      <c r="C29" s="2" t="str">
        <f>"UNIMEDSJN"</f>
        <v>UNIMEDSJN</v>
      </c>
      <c r="D29" s="2" t="str">
        <f>"DH"</f>
        <v>DH</v>
      </c>
      <c r="E29" s="2" t="str">
        <f>"BERNADETE DE SOUZA QUEIROZ"</f>
        <v>BERNADETE DE SOUZA QUEIROZ</v>
      </c>
      <c r="F29" s="2" t="str">
        <f>"48571774-1/1"</f>
        <v>48571774-1/1</v>
      </c>
      <c r="G29" s="2" t="str">
        <f>"Carteira 21"</f>
        <v>Carteira 21</v>
      </c>
      <c r="H29" s="2">
        <v>23</v>
      </c>
      <c r="I29" s="3">
        <v>79</v>
      </c>
      <c r="J29" s="2" t="str">
        <f>"02/01/2020"</f>
        <v>02/01/2020</v>
      </c>
      <c r="K29" s="2" t="str">
        <f>"25/01/2020"</f>
        <v>25/01/2020</v>
      </c>
      <c r="L29" s="2" t="str">
        <f>"28/02/2020"</f>
        <v>28/02/2020</v>
      </c>
      <c r="M29" s="2" t="str">
        <f>"13/03/2020"</f>
        <v>13/03/2020</v>
      </c>
      <c r="N29" s="2">
        <v>57.4</v>
      </c>
      <c r="O29" s="2">
        <v>59.16</v>
      </c>
      <c r="P29" s="2">
        <v>3.9999999999992E-2</v>
      </c>
    </row>
    <row r="30" spans="1:16" s="2" customFormat="1" x14ac:dyDescent="0.25">
      <c r="A30" s="2">
        <v>48568603</v>
      </c>
      <c r="B30" s="2">
        <v>48568615</v>
      </c>
      <c r="C30" s="2" t="str">
        <f>"UNIMEDSJN"</f>
        <v>UNIMEDSJN</v>
      </c>
      <c r="D30" s="2" t="str">
        <f>"DH"</f>
        <v>DH</v>
      </c>
      <c r="E30" s="2" t="str">
        <f>"BERNARDO REIS MEDINA"</f>
        <v>BERNARDO REIS MEDINA</v>
      </c>
      <c r="F30" s="2" t="str">
        <f>"48568603-1/1"</f>
        <v>48568603-1/1</v>
      </c>
      <c r="G30" s="2" t="str">
        <f>"Carteira 21"</f>
        <v>Carteira 21</v>
      </c>
      <c r="H30" s="2">
        <v>23</v>
      </c>
      <c r="I30" s="3">
        <v>79</v>
      </c>
      <c r="J30" s="2" t="str">
        <f>"02/01/2020"</f>
        <v>02/01/2020</v>
      </c>
      <c r="K30" s="2" t="str">
        <f>"25/01/2020"</f>
        <v>25/01/2020</v>
      </c>
      <c r="L30" s="2" t="str">
        <f>"27/01/2020"</f>
        <v>27/01/2020</v>
      </c>
      <c r="M30" s="2" t="str">
        <f>"14/02/2020"</f>
        <v>14/02/2020</v>
      </c>
      <c r="N30" s="2">
        <v>54.18</v>
      </c>
      <c r="O30" s="2">
        <v>55.52</v>
      </c>
      <c r="P30" s="2">
        <v>-1.34</v>
      </c>
    </row>
    <row r="31" spans="1:16" x14ac:dyDescent="0.25">
      <c r="A31">
        <v>48572557</v>
      </c>
      <c r="B31">
        <v>48572569</v>
      </c>
      <c r="C31" t="str">
        <f>"UNIMEDSJN"</f>
        <v>UNIMEDSJN</v>
      </c>
      <c r="D31" t="str">
        <f>"DH"</f>
        <v>DH</v>
      </c>
      <c r="E31" t="str">
        <f>"Bruna Cristina Pereira Ferreira"</f>
        <v>Bruna Cristina Pereira Ferreira</v>
      </c>
      <c r="F31" t="str">
        <f>"48572557-1/1"</f>
        <v>48572557-1/1</v>
      </c>
      <c r="G31" t="str">
        <f>"Carteira 21"</f>
        <v>Carteira 21</v>
      </c>
      <c r="H31">
        <v>53</v>
      </c>
      <c r="I31" s="1">
        <v>49</v>
      </c>
      <c r="J31" t="str">
        <f>"02/01/2020"</f>
        <v>02/01/2020</v>
      </c>
      <c r="K31" t="str">
        <f>"24/02/2020"</f>
        <v>24/02/2020</v>
      </c>
      <c r="L31" t="str">
        <f>"30/03/2020"</f>
        <v>30/03/2020</v>
      </c>
      <c r="M31" t="str">
        <f>"31/03/2020"</f>
        <v>31/03/2020</v>
      </c>
      <c r="N31">
        <v>85.05</v>
      </c>
      <c r="O31">
        <v>88.52</v>
      </c>
      <c r="P31">
        <v>-0.78000000000000103</v>
      </c>
    </row>
    <row r="32" spans="1:16" s="2" customFormat="1" x14ac:dyDescent="0.25">
      <c r="A32" s="2">
        <v>45922256</v>
      </c>
      <c r="B32" s="2">
        <v>45922266</v>
      </c>
      <c r="C32" s="2" t="str">
        <f>"UNIMEDSJN"</f>
        <v>UNIMEDSJN</v>
      </c>
      <c r="D32" s="2" t="str">
        <f>"DH"</f>
        <v>DH</v>
      </c>
      <c r="E32" s="2" t="str">
        <f>"Bruno Cestaro"</f>
        <v>Bruno Cestaro</v>
      </c>
      <c r="F32" s="2" t="str">
        <f>"45922256-1/1"</f>
        <v>45922256-1/1</v>
      </c>
      <c r="G32" s="2" t="str">
        <f>"Carteira 21"</f>
        <v>Carteira 21</v>
      </c>
      <c r="H32" s="2">
        <v>24</v>
      </c>
      <c r="I32" s="3">
        <v>140</v>
      </c>
      <c r="J32" s="2" t="str">
        <f>"01/11/2019"</f>
        <v>01/11/2019</v>
      </c>
      <c r="K32" s="2" t="str">
        <f>"25/11/2019"</f>
        <v>25/11/2019</v>
      </c>
      <c r="L32" s="2" t="str">
        <f>"25/11/2019"</f>
        <v>25/11/2019</v>
      </c>
      <c r="M32" s="2" t="str">
        <f>"31/10/2019"</f>
        <v>31/10/2019</v>
      </c>
      <c r="N32" s="2">
        <v>60</v>
      </c>
      <c r="O32" s="2">
        <v>60</v>
      </c>
      <c r="P32" s="2">
        <v>0</v>
      </c>
    </row>
    <row r="33" spans="1:16" s="2" customFormat="1" x14ac:dyDescent="0.25">
      <c r="A33" s="2">
        <v>47500086</v>
      </c>
      <c r="B33" s="2">
        <v>47500106</v>
      </c>
      <c r="C33" s="2" t="str">
        <f>"UNIMEDSJN"</f>
        <v>UNIMEDSJN</v>
      </c>
      <c r="D33" s="2" t="str">
        <f>"DH"</f>
        <v>DH</v>
      </c>
      <c r="E33" s="2" t="str">
        <f>"Bruno Cestaro"</f>
        <v>Bruno Cestaro</v>
      </c>
      <c r="F33" s="2" t="str">
        <f>"47500086-1/1"</f>
        <v>47500086-1/1</v>
      </c>
      <c r="G33" s="2" t="str">
        <f>"Carteira 21"</f>
        <v>Carteira 21</v>
      </c>
      <c r="H33" s="2">
        <v>24</v>
      </c>
      <c r="I33" s="3">
        <v>110</v>
      </c>
      <c r="J33" s="2" t="str">
        <f>"01/12/2019"</f>
        <v>01/12/2019</v>
      </c>
      <c r="K33" s="2" t="str">
        <f>"25/12/2019"</f>
        <v>25/12/2019</v>
      </c>
      <c r="L33" s="2" t="str">
        <f>"25/12/2019"</f>
        <v>25/12/2019</v>
      </c>
      <c r="M33" s="2" t="str">
        <f>"28/11/2019"</f>
        <v>28/11/2019</v>
      </c>
      <c r="N33" s="2">
        <v>37.14</v>
      </c>
      <c r="O33" s="2">
        <v>37.14</v>
      </c>
      <c r="P33" s="2">
        <v>0</v>
      </c>
    </row>
    <row r="34" spans="1:16" s="2" customFormat="1" x14ac:dyDescent="0.25">
      <c r="A34" s="2">
        <v>48573976</v>
      </c>
      <c r="B34" s="2">
        <v>48573992</v>
      </c>
      <c r="C34" s="2" t="str">
        <f>"UNIMEDSJN"</f>
        <v>UNIMEDSJN</v>
      </c>
      <c r="D34" s="2" t="str">
        <f>"DH"</f>
        <v>DH</v>
      </c>
      <c r="E34" s="2" t="str">
        <f>"Bruno Cestaro"</f>
        <v>Bruno Cestaro</v>
      </c>
      <c r="F34" s="2" t="str">
        <f>"48573976-1/1"</f>
        <v>48573976-1/1</v>
      </c>
      <c r="G34" s="2" t="str">
        <f>"Carteira 21"</f>
        <v>Carteira 21</v>
      </c>
      <c r="H34" s="2">
        <v>23</v>
      </c>
      <c r="I34" s="3">
        <v>79</v>
      </c>
      <c r="J34" s="2" t="str">
        <f>"02/01/2020"</f>
        <v>02/01/2020</v>
      </c>
      <c r="K34" s="2" t="str">
        <f>"25/01/2020"</f>
        <v>25/01/2020</v>
      </c>
      <c r="L34" s="2" t="str">
        <f>"27/01/2020"</f>
        <v>27/01/2020</v>
      </c>
      <c r="M34" s="2" t="str">
        <f>"27/12/2019"</f>
        <v>27/12/2019</v>
      </c>
      <c r="N34" s="2">
        <v>60</v>
      </c>
      <c r="O34" s="2">
        <v>60</v>
      </c>
      <c r="P34" s="2">
        <v>0</v>
      </c>
    </row>
    <row r="35" spans="1:16" s="2" customFormat="1" x14ac:dyDescent="0.25">
      <c r="A35" s="2">
        <v>48571025</v>
      </c>
      <c r="B35" s="2">
        <v>48571048</v>
      </c>
      <c r="C35" s="2" t="str">
        <f>"UNIMEDSJN"</f>
        <v>UNIMEDSJN</v>
      </c>
      <c r="D35" s="2" t="str">
        <f>"DH"</f>
        <v>DH</v>
      </c>
      <c r="E35" s="2" t="str">
        <f>"CAIO FAGUNDES NEHMY"</f>
        <v>CAIO FAGUNDES NEHMY</v>
      </c>
      <c r="F35" s="2" t="str">
        <f>"48571025-1/1"</f>
        <v>48571025-1/1</v>
      </c>
      <c r="G35" s="2" t="str">
        <f>"Carteira 21"</f>
        <v>Carteira 21</v>
      </c>
      <c r="H35" s="2">
        <v>23</v>
      </c>
      <c r="I35" s="3">
        <v>79</v>
      </c>
      <c r="J35" s="2" t="str">
        <f>"02/01/2020"</f>
        <v>02/01/2020</v>
      </c>
      <c r="K35" s="2" t="str">
        <f>"25/01/2020"</f>
        <v>25/01/2020</v>
      </c>
      <c r="L35" s="2" t="str">
        <f>"14/02/2020"</f>
        <v>14/02/2020</v>
      </c>
      <c r="M35" s="2" t="str">
        <f>"17/02/2020"</f>
        <v>17/02/2020</v>
      </c>
      <c r="N35" s="2">
        <v>114.53</v>
      </c>
      <c r="O35" s="2">
        <v>117.5</v>
      </c>
      <c r="P35" s="2">
        <v>7.9999999999998295E-2</v>
      </c>
    </row>
    <row r="36" spans="1:16" s="2" customFormat="1" x14ac:dyDescent="0.25">
      <c r="A36" s="2">
        <v>48569693</v>
      </c>
      <c r="B36" s="2">
        <v>48569701</v>
      </c>
      <c r="C36" s="2" t="str">
        <f>"UNIMEDSJN"</f>
        <v>UNIMEDSJN</v>
      </c>
      <c r="D36" s="2" t="str">
        <f>"DH"</f>
        <v>DH</v>
      </c>
      <c r="E36" s="2" t="str">
        <f>"Camila Pereira Barreiros"</f>
        <v>Camila Pereira Barreiros</v>
      </c>
      <c r="F36" s="2" t="str">
        <f>"48569693-1/1"</f>
        <v>48569693-1/1</v>
      </c>
      <c r="G36" s="2" t="str">
        <f>"Carteira 21"</f>
        <v>Carteira 21</v>
      </c>
      <c r="H36" s="2">
        <v>23</v>
      </c>
      <c r="I36" s="3">
        <v>79</v>
      </c>
      <c r="J36" s="2" t="str">
        <f>"02/01/2020"</f>
        <v>02/01/2020</v>
      </c>
      <c r="K36" s="2" t="str">
        <f>"25/01/2020"</f>
        <v>25/01/2020</v>
      </c>
      <c r="L36" s="2" t="str">
        <f>"20/03/2020"</f>
        <v>20/03/2020</v>
      </c>
      <c r="M36" s="2" t="str">
        <f>"23/03/2020"</f>
        <v>23/03/2020</v>
      </c>
      <c r="N36" s="2">
        <v>30</v>
      </c>
      <c r="O36" s="2">
        <v>31.13</v>
      </c>
      <c r="P36" s="2">
        <v>1.9999999999999601E-2</v>
      </c>
    </row>
    <row r="37" spans="1:16" s="2" customFormat="1" x14ac:dyDescent="0.25">
      <c r="A37" s="2">
        <v>48570281</v>
      </c>
      <c r="B37" s="2">
        <v>48570296</v>
      </c>
      <c r="C37" s="2" t="str">
        <f>"UNIMEDSJN"</f>
        <v>UNIMEDSJN</v>
      </c>
      <c r="D37" s="2" t="str">
        <f>"DH"</f>
        <v>DH</v>
      </c>
      <c r="E37" s="2" t="str">
        <f>"CARLA DE OLIVEIRA SOUZA MACEDO"</f>
        <v>CARLA DE OLIVEIRA SOUZA MACEDO</v>
      </c>
      <c r="F37" s="2" t="str">
        <f>"48570281-1/1"</f>
        <v>48570281-1/1</v>
      </c>
      <c r="G37" s="2" t="str">
        <f>"Carteira 21"</f>
        <v>Carteira 21</v>
      </c>
      <c r="H37" s="2">
        <v>13</v>
      </c>
      <c r="I37" s="3">
        <v>89</v>
      </c>
      <c r="J37" s="2" t="str">
        <f>"02/01/2020"</f>
        <v>02/01/2020</v>
      </c>
      <c r="K37" s="2" t="str">
        <f>"15/01/2020"</f>
        <v>15/01/2020</v>
      </c>
      <c r="L37" s="2" t="str">
        <f>"06/02/2020"</f>
        <v>06/02/2020</v>
      </c>
      <c r="M37" s="2" t="str">
        <f>"07/02/2020"</f>
        <v>07/02/2020</v>
      </c>
      <c r="N37" s="2">
        <v>28.35</v>
      </c>
      <c r="O37" s="2">
        <v>29.13</v>
      </c>
      <c r="P37" s="4">
        <v>3.5527136788005001E-15</v>
      </c>
    </row>
    <row r="38" spans="1:16" s="2" customFormat="1" x14ac:dyDescent="0.25">
      <c r="A38" s="2">
        <v>47492507</v>
      </c>
      <c r="B38" s="2">
        <v>47492528</v>
      </c>
      <c r="C38" s="2" t="str">
        <f>"UNIMEDSJN"</f>
        <v>UNIMEDSJN</v>
      </c>
      <c r="D38" s="2" t="str">
        <f>"DH"</f>
        <v>DH</v>
      </c>
      <c r="E38" s="2" t="str">
        <f>"CARLOS ALBERTO MONFARDINI"</f>
        <v>CARLOS ALBERTO MONFARDINI</v>
      </c>
      <c r="F38" s="2" t="str">
        <f>"47492507-1/1"</f>
        <v>47492507-1/1</v>
      </c>
      <c r="G38" s="2" t="str">
        <f>"Carteira 21"</f>
        <v>Carteira 21</v>
      </c>
      <c r="H38" s="2">
        <v>21</v>
      </c>
      <c r="I38" s="3">
        <v>113</v>
      </c>
      <c r="J38" s="2" t="str">
        <f>"01/12/2019"</f>
        <v>01/12/2019</v>
      </c>
      <c r="K38" s="2" t="str">
        <f>"22/12/2019"</f>
        <v>22/12/2019</v>
      </c>
      <c r="L38" s="2" t="str">
        <f>"14/02/2020"</f>
        <v>14/02/2020</v>
      </c>
      <c r="M38" s="2" t="str">
        <f>"17/02/2020"</f>
        <v>17/02/2020</v>
      </c>
      <c r="N38" s="2">
        <v>120.48</v>
      </c>
      <c r="O38" s="2">
        <v>125</v>
      </c>
      <c r="P38" s="2">
        <v>6.0000000000002301E-2</v>
      </c>
    </row>
    <row r="39" spans="1:16" s="2" customFormat="1" x14ac:dyDescent="0.25">
      <c r="A39" s="2">
        <v>48567617</v>
      </c>
      <c r="B39" s="2">
        <v>48567633</v>
      </c>
      <c r="C39" s="2" t="str">
        <f>"UNIMEDSJN"</f>
        <v>UNIMEDSJN</v>
      </c>
      <c r="D39" s="2" t="str">
        <f>"DH"</f>
        <v>DH</v>
      </c>
      <c r="E39" s="2" t="str">
        <f>"CARLOS ALBERTO MONFARDINI"</f>
        <v>CARLOS ALBERTO MONFARDINI</v>
      </c>
      <c r="F39" s="2" t="str">
        <f>"48567617-1/1"</f>
        <v>48567617-1/1</v>
      </c>
      <c r="G39" s="2" t="str">
        <f>"Carteira 21"</f>
        <v>Carteira 21</v>
      </c>
      <c r="H39" s="2">
        <v>20</v>
      </c>
      <c r="I39" s="3">
        <v>82</v>
      </c>
      <c r="J39" s="2" t="str">
        <f>"02/01/2020"</f>
        <v>02/01/2020</v>
      </c>
      <c r="K39" s="2" t="str">
        <f>"22/01/2020"</f>
        <v>22/01/2020</v>
      </c>
      <c r="L39" s="2" t="str">
        <f>"06/03/2020"</f>
        <v>06/03/2020</v>
      </c>
      <c r="M39" s="2" t="str">
        <f>"09/03/2020"</f>
        <v>09/03/2020</v>
      </c>
      <c r="N39" s="2">
        <v>265.83</v>
      </c>
      <c r="O39" s="2">
        <v>275.01</v>
      </c>
      <c r="P39" s="2">
        <v>4.0000000000020498E-2</v>
      </c>
    </row>
    <row r="40" spans="1:16" s="2" customFormat="1" x14ac:dyDescent="0.25">
      <c r="A40" s="2">
        <v>44327650</v>
      </c>
      <c r="B40" s="2">
        <v>44327679</v>
      </c>
      <c r="C40" s="2" t="str">
        <f>"UNIMEDSJN"</f>
        <v>UNIMEDSJN</v>
      </c>
      <c r="D40" s="2" t="str">
        <f>"DH"</f>
        <v>DH</v>
      </c>
      <c r="E40" s="2" t="str">
        <f>"CARLOS ALBERTONI"</f>
        <v>CARLOS ALBERTONI</v>
      </c>
      <c r="F40" s="2" t="str">
        <f>"44327650-1/1"</f>
        <v>44327650-1/1</v>
      </c>
      <c r="G40" s="2" t="str">
        <f>"Carteira 21"</f>
        <v>Carteira 21</v>
      </c>
      <c r="H40" s="2">
        <v>24</v>
      </c>
      <c r="I40" s="3">
        <v>232</v>
      </c>
      <c r="J40" s="2" t="str">
        <f>"01/08/2019"</f>
        <v>01/08/2019</v>
      </c>
      <c r="K40" s="2" t="str">
        <f>"25/08/2019"</f>
        <v>25/08/2019</v>
      </c>
      <c r="L40" s="2" t="str">
        <f>"26/08/2019"</f>
        <v>26/08/2019</v>
      </c>
      <c r="M40" s="2" t="str">
        <f>"31/07/2019"</f>
        <v>31/07/2019</v>
      </c>
      <c r="N40" s="2">
        <v>113.04</v>
      </c>
      <c r="O40" s="2">
        <v>113.04</v>
      </c>
      <c r="P40" s="2">
        <v>0</v>
      </c>
    </row>
    <row r="41" spans="1:16" s="2" customFormat="1" x14ac:dyDescent="0.25">
      <c r="A41" s="2">
        <v>44967166</v>
      </c>
      <c r="B41" s="2">
        <v>44967177</v>
      </c>
      <c r="C41" s="2" t="str">
        <f>"UNIMEDSJN"</f>
        <v>UNIMEDSJN</v>
      </c>
      <c r="D41" s="2" t="str">
        <f>"DH"</f>
        <v>DH</v>
      </c>
      <c r="E41" s="2" t="str">
        <f>"CARLOS ALBERTONI"</f>
        <v>CARLOS ALBERTONI</v>
      </c>
      <c r="F41" s="2" t="str">
        <f>"44967166-1/1"</f>
        <v>44967166-1/1</v>
      </c>
      <c r="G41" s="2" t="str">
        <f>"Carteira 21"</f>
        <v>Carteira 21</v>
      </c>
      <c r="H41" s="2">
        <v>24</v>
      </c>
      <c r="I41" s="3">
        <v>201</v>
      </c>
      <c r="J41" s="2" t="str">
        <f>"01/09/2019"</f>
        <v>01/09/2019</v>
      </c>
      <c r="K41" s="2" t="str">
        <f>"25/09/2019"</f>
        <v>25/09/2019</v>
      </c>
      <c r="L41" s="2" t="str">
        <f>"25/09/2019"</f>
        <v>25/09/2019</v>
      </c>
      <c r="M41" s="2" t="str">
        <f>"29/08/2019"</f>
        <v>29/08/2019</v>
      </c>
      <c r="N41" s="2">
        <v>33.630000000000003</v>
      </c>
      <c r="O41" s="2">
        <v>33.630000000000003</v>
      </c>
      <c r="P41" s="2">
        <v>0</v>
      </c>
    </row>
    <row r="42" spans="1:16" s="2" customFormat="1" x14ac:dyDescent="0.25">
      <c r="A42" s="2">
        <v>48750320</v>
      </c>
      <c r="B42" s="2">
        <v>48750333</v>
      </c>
      <c r="C42" s="2" t="str">
        <f>"UNIMEDSJN"</f>
        <v>UNIMEDSJN</v>
      </c>
      <c r="D42" s="2" t="str">
        <f>"DH"</f>
        <v>DH</v>
      </c>
      <c r="E42" s="2" t="str">
        <f>"CARLOS ANTONIO TELSON BORDONAL"</f>
        <v>CARLOS ANTONIO TELSON BORDONAL</v>
      </c>
      <c r="F42" s="2" t="str">
        <f>"48750320-1/1"</f>
        <v>48750320-1/1</v>
      </c>
      <c r="G42" s="2" t="str">
        <f>"Carteira 21"</f>
        <v>Carteira 21</v>
      </c>
      <c r="H42" s="2">
        <v>22</v>
      </c>
      <c r="I42" s="3">
        <v>74</v>
      </c>
      <c r="J42" s="2" t="str">
        <f>"08/01/2020"</f>
        <v>08/01/2020</v>
      </c>
      <c r="K42" s="2" t="str">
        <f>"30/01/2020"</f>
        <v>30/01/2020</v>
      </c>
      <c r="L42" s="2" t="str">
        <f>"30/01/2020"</f>
        <v>30/01/2020</v>
      </c>
      <c r="M42" s="2" t="str">
        <f>"08/01/2020"</f>
        <v>08/01/2020</v>
      </c>
      <c r="N42" s="2">
        <v>191.13</v>
      </c>
      <c r="O42" s="2">
        <v>191.13</v>
      </c>
      <c r="P42" s="2">
        <v>0</v>
      </c>
    </row>
    <row r="43" spans="1:16" s="2" customFormat="1" x14ac:dyDescent="0.25">
      <c r="A43" s="2">
        <v>47502312</v>
      </c>
      <c r="B43" s="2">
        <v>47502331</v>
      </c>
      <c r="C43" s="2" t="str">
        <f>"UNIMEDSJN"</f>
        <v>UNIMEDSJN</v>
      </c>
      <c r="D43" s="2" t="str">
        <f>"DH"</f>
        <v>DH</v>
      </c>
      <c r="E43" s="2" t="str">
        <f>"Carlos Webster Ferreira Del Lhano"</f>
        <v>Carlos Webster Ferreira Del Lhano</v>
      </c>
      <c r="F43" s="2" t="str">
        <f>"47502312-1/1"</f>
        <v>47502312-1/1</v>
      </c>
      <c r="G43" s="2" t="str">
        <f>"Carteira 21"</f>
        <v>Carteira 21</v>
      </c>
      <c r="H43" s="2">
        <v>24</v>
      </c>
      <c r="I43" s="3">
        <v>110</v>
      </c>
      <c r="J43" s="2" t="str">
        <f>"01/12/2019"</f>
        <v>01/12/2019</v>
      </c>
      <c r="K43" s="2" t="str">
        <f>"25/12/2019"</f>
        <v>25/12/2019</v>
      </c>
      <c r="L43" s="2" t="str">
        <f>"05/02/2020"</f>
        <v>05/02/2020</v>
      </c>
      <c r="M43" s="2" t="str">
        <f>"06/02/2020"</f>
        <v>06/02/2020</v>
      </c>
      <c r="N43" s="2">
        <v>117.89</v>
      </c>
      <c r="O43" s="2">
        <v>121.88</v>
      </c>
      <c r="P43" s="2">
        <v>2.0000000000010201E-2</v>
      </c>
    </row>
    <row r="44" spans="1:16" s="2" customFormat="1" x14ac:dyDescent="0.25">
      <c r="A44" s="2">
        <v>48576327</v>
      </c>
      <c r="B44" s="2">
        <v>48576339</v>
      </c>
      <c r="C44" s="2" t="str">
        <f>"UNIMEDSJN"</f>
        <v>UNIMEDSJN</v>
      </c>
      <c r="D44" s="2" t="str">
        <f>"DH"</f>
        <v>DH</v>
      </c>
      <c r="E44" s="2" t="str">
        <f>"Carlos Webster Ferreira Del Lhano"</f>
        <v>Carlos Webster Ferreira Del Lhano</v>
      </c>
      <c r="F44" s="2" t="str">
        <f>"48576327-1/1"</f>
        <v>48576327-1/1</v>
      </c>
      <c r="G44" s="2" t="str">
        <f>"Carteira 21"</f>
        <v>Carteira 21</v>
      </c>
      <c r="H44" s="2">
        <v>23</v>
      </c>
      <c r="I44" s="3">
        <v>79</v>
      </c>
      <c r="J44" s="2" t="str">
        <f>"02/01/2020"</f>
        <v>02/01/2020</v>
      </c>
      <c r="K44" s="2" t="str">
        <f>"25/01/2020"</f>
        <v>25/01/2020</v>
      </c>
      <c r="L44" s="2" t="str">
        <f>"03/03/2020"</f>
        <v>03/03/2020</v>
      </c>
      <c r="M44" s="2" t="str">
        <f>"04/03/2020"</f>
        <v>04/03/2020</v>
      </c>
      <c r="N44" s="2">
        <v>125.6</v>
      </c>
      <c r="O44" s="2">
        <v>129.6</v>
      </c>
      <c r="P44" s="2">
        <v>0.100000000000009</v>
      </c>
    </row>
    <row r="45" spans="1:16" s="2" customFormat="1" x14ac:dyDescent="0.25">
      <c r="A45" s="2">
        <v>48562919</v>
      </c>
      <c r="B45" s="2">
        <v>48562951</v>
      </c>
      <c r="C45" s="2" t="str">
        <f>"UNIMEDSJN"</f>
        <v>UNIMEDSJN</v>
      </c>
      <c r="D45" s="2" t="str">
        <f>"DH"</f>
        <v>DH</v>
      </c>
      <c r="E45" s="2" t="str">
        <f>"CELSO PANARO CASCARDO"</f>
        <v>CELSO PANARO CASCARDO</v>
      </c>
      <c r="F45" s="2" t="str">
        <f>"48562919-1/1"</f>
        <v>48562919-1/1</v>
      </c>
      <c r="G45" s="2" t="str">
        <f>"Carteira 21"</f>
        <v>Carteira 21</v>
      </c>
      <c r="H45" s="2">
        <v>16</v>
      </c>
      <c r="I45" s="3">
        <v>86</v>
      </c>
      <c r="J45" s="2" t="str">
        <f>"02/01/2020"</f>
        <v>02/01/2020</v>
      </c>
      <c r="K45" s="2" t="str">
        <f>"18/01/2020"</f>
        <v>18/01/2020</v>
      </c>
      <c r="L45" s="2" t="str">
        <f>"26/02/2020"</f>
        <v>26/02/2020</v>
      </c>
      <c r="M45" s="2" t="str">
        <f>"27/02/2020"</f>
        <v>27/02/2020</v>
      </c>
      <c r="N45" s="2">
        <v>301.38</v>
      </c>
      <c r="O45" s="2">
        <v>311.08999999999997</v>
      </c>
      <c r="P45" s="2">
        <v>0.239999999999952</v>
      </c>
    </row>
    <row r="46" spans="1:16" s="2" customFormat="1" x14ac:dyDescent="0.25">
      <c r="A46" s="2">
        <v>47498372</v>
      </c>
      <c r="B46" s="2">
        <v>47498644</v>
      </c>
      <c r="C46" s="2" t="str">
        <f>"UNIMEDSJN"</f>
        <v>UNIMEDSJN</v>
      </c>
      <c r="D46" s="2" t="str">
        <f>"DH"</f>
        <v>DH</v>
      </c>
      <c r="E46" s="2" t="str">
        <f>"CHRISTIANE RESENDE ITABORAHY"</f>
        <v>CHRISTIANE RESENDE ITABORAHY</v>
      </c>
      <c r="F46" s="2" t="str">
        <f>"47498372-1/1"</f>
        <v>47498372-1/1</v>
      </c>
      <c r="G46" s="2" t="str">
        <f>"Carteira 21"</f>
        <v>Carteira 21</v>
      </c>
      <c r="H46" s="2">
        <v>24</v>
      </c>
      <c r="I46" s="3">
        <v>110</v>
      </c>
      <c r="J46" s="2" t="str">
        <f>"01/12/2019"</f>
        <v>01/12/2019</v>
      </c>
      <c r="K46" s="2" t="str">
        <f>"25/12/2019"</f>
        <v>25/12/2019</v>
      </c>
      <c r="L46" s="2" t="str">
        <f>"20/03/2020"</f>
        <v>20/03/2020</v>
      </c>
      <c r="M46" s="2" t="str">
        <f>"23/03/2020"</f>
        <v>23/03/2020</v>
      </c>
      <c r="N46" s="2">
        <v>47.16</v>
      </c>
      <c r="O46" s="2">
        <v>49.44</v>
      </c>
      <c r="P46" s="2">
        <v>1.00000000000051E-2</v>
      </c>
    </row>
    <row r="47" spans="1:16" s="2" customFormat="1" x14ac:dyDescent="0.25">
      <c r="A47" s="2">
        <v>45926905</v>
      </c>
      <c r="B47" s="2">
        <v>45926917</v>
      </c>
      <c r="C47" s="2" t="str">
        <f>"UNIMEDSJN"</f>
        <v>UNIMEDSJN</v>
      </c>
      <c r="D47" s="2" t="str">
        <f>"DH"</f>
        <v>DH</v>
      </c>
      <c r="E47" s="2" t="str">
        <f>"Cimara Romagnoli"</f>
        <v>Cimara Romagnoli</v>
      </c>
      <c r="F47" s="2" t="str">
        <f>"45926905-1/1"</f>
        <v>45926905-1/1</v>
      </c>
      <c r="G47" s="2" t="str">
        <f>"Carteira 21"</f>
        <v>Carteira 21</v>
      </c>
      <c r="H47" s="2">
        <v>24</v>
      </c>
      <c r="I47" s="3">
        <v>140</v>
      </c>
      <c r="J47" s="2" t="str">
        <f>"01/11/2019"</f>
        <v>01/11/2019</v>
      </c>
      <c r="K47" s="2" t="str">
        <f>"25/11/2019"</f>
        <v>25/11/2019</v>
      </c>
      <c r="L47" s="2" t="str">
        <f>"03/03/2020"</f>
        <v>03/03/2020</v>
      </c>
      <c r="M47" s="2" t="str">
        <f>"04/03/2020"</f>
        <v>04/03/2020</v>
      </c>
      <c r="N47" s="2">
        <v>30</v>
      </c>
      <c r="O47" s="2">
        <v>31.58</v>
      </c>
      <c r="P47" s="2">
        <v>9.9999999999980105E-3</v>
      </c>
    </row>
    <row r="48" spans="1:16" s="2" customFormat="1" x14ac:dyDescent="0.25">
      <c r="A48" s="2">
        <v>47495416</v>
      </c>
      <c r="B48" s="2">
        <v>47495437</v>
      </c>
      <c r="C48" s="2" t="str">
        <f>"UNIMEDSJN"</f>
        <v>UNIMEDSJN</v>
      </c>
      <c r="D48" s="2" t="str">
        <f>"DH"</f>
        <v>DH</v>
      </c>
      <c r="E48" s="2" t="str">
        <f>"Clariana Aparecida da Silva"</f>
        <v>Clariana Aparecida da Silva</v>
      </c>
      <c r="F48" s="2" t="str">
        <f>"47495416-1/1"</f>
        <v>47495416-1/1</v>
      </c>
      <c r="G48" s="2" t="str">
        <f>"Carteira 21"</f>
        <v>Carteira 21</v>
      </c>
      <c r="H48" s="2">
        <v>24</v>
      </c>
      <c r="I48" s="3">
        <v>110</v>
      </c>
      <c r="J48" s="2" t="str">
        <f>"01/12/2019"</f>
        <v>01/12/2019</v>
      </c>
      <c r="K48" s="2" t="str">
        <f>"25/12/2019"</f>
        <v>25/12/2019</v>
      </c>
      <c r="L48" s="2" t="str">
        <f>"25/12/2019"</f>
        <v>25/12/2019</v>
      </c>
      <c r="M48" s="2" t="str">
        <f>"28/11/2019"</f>
        <v>28/11/2019</v>
      </c>
      <c r="N48" s="2">
        <v>99.48</v>
      </c>
      <c r="O48" s="2">
        <v>99.48</v>
      </c>
      <c r="P48" s="2">
        <v>0</v>
      </c>
    </row>
    <row r="49" spans="1:16" s="2" customFormat="1" x14ac:dyDescent="0.25">
      <c r="A49" s="2">
        <v>48569661</v>
      </c>
      <c r="B49" s="2">
        <v>48569673</v>
      </c>
      <c r="C49" s="2" t="str">
        <f>"UNIMEDSJN"</f>
        <v>UNIMEDSJN</v>
      </c>
      <c r="D49" s="2" t="str">
        <f>"DH"</f>
        <v>DH</v>
      </c>
      <c r="E49" s="2" t="str">
        <f>"Clariana Aparecida da Silva"</f>
        <v>Clariana Aparecida da Silva</v>
      </c>
      <c r="F49" s="2" t="str">
        <f>"48569661-1/1"</f>
        <v>48569661-1/1</v>
      </c>
      <c r="G49" s="2" t="str">
        <f>"Carteira 21"</f>
        <v>Carteira 21</v>
      </c>
      <c r="H49" s="2">
        <v>23</v>
      </c>
      <c r="I49" s="3">
        <v>79</v>
      </c>
      <c r="J49" s="2" t="str">
        <f>"02/01/2020"</f>
        <v>02/01/2020</v>
      </c>
      <c r="K49" s="2" t="str">
        <f>"25/01/2020"</f>
        <v>25/01/2020</v>
      </c>
      <c r="L49" s="2" t="str">
        <f>"27/01/2020"</f>
        <v>27/01/2020</v>
      </c>
      <c r="M49" s="2" t="str">
        <f>"27/12/2019"</f>
        <v>27/12/2019</v>
      </c>
      <c r="N49" s="2">
        <v>30</v>
      </c>
      <c r="O49" s="2">
        <v>30</v>
      </c>
      <c r="P49" s="2">
        <v>0</v>
      </c>
    </row>
    <row r="50" spans="1:16" s="2" customFormat="1" x14ac:dyDescent="0.25">
      <c r="A50" s="2">
        <v>48569728</v>
      </c>
      <c r="B50" s="2">
        <v>48569744</v>
      </c>
      <c r="C50" s="2" t="str">
        <f>"UNIMEDSJN"</f>
        <v>UNIMEDSJN</v>
      </c>
      <c r="D50" s="2" t="str">
        <f>"DH"</f>
        <v>DH</v>
      </c>
      <c r="E50" s="2" t="str">
        <f>"Cleber Junio Souza da Silva"</f>
        <v>Cleber Junio Souza da Silva</v>
      </c>
      <c r="F50" s="2" t="str">
        <f>"48569728-1/1"</f>
        <v>48569728-1/1</v>
      </c>
      <c r="G50" s="2" t="str">
        <f>"Carteira 21"</f>
        <v>Carteira 21</v>
      </c>
      <c r="H50" s="2">
        <v>23</v>
      </c>
      <c r="I50" s="3">
        <v>79</v>
      </c>
      <c r="J50" s="2" t="str">
        <f>"02/01/2020"</f>
        <v>02/01/2020</v>
      </c>
      <c r="K50" s="2" t="str">
        <f>"25/01/2020"</f>
        <v>25/01/2020</v>
      </c>
      <c r="L50" s="2" t="str">
        <f>"16/03/2020"</f>
        <v>16/03/2020</v>
      </c>
      <c r="M50" s="2" t="str">
        <f>"17/03/2020"</f>
        <v>17/03/2020</v>
      </c>
      <c r="N50" s="2">
        <v>47.89</v>
      </c>
      <c r="O50" s="2">
        <v>49.62</v>
      </c>
      <c r="P50" s="2">
        <v>3.9999999999999099E-2</v>
      </c>
    </row>
    <row r="51" spans="1:16" s="2" customFormat="1" x14ac:dyDescent="0.25">
      <c r="A51" s="2">
        <v>48576453</v>
      </c>
      <c r="B51" s="2">
        <v>48576463</v>
      </c>
      <c r="C51" s="2" t="str">
        <f>"UNIMEDSJN"</f>
        <v>UNIMEDSJN</v>
      </c>
      <c r="D51" s="2" t="str">
        <f>"DH"</f>
        <v>DH</v>
      </c>
      <c r="E51" s="2" t="str">
        <f>"Cristina de Cassia Morais Clemente"</f>
        <v>Cristina de Cassia Morais Clemente</v>
      </c>
      <c r="F51" s="2" t="str">
        <f>"48576453-1/1"</f>
        <v>48576453-1/1</v>
      </c>
      <c r="G51" s="2" t="str">
        <f>"Carteira 21"</f>
        <v>Carteira 21</v>
      </c>
      <c r="H51" s="2">
        <v>23</v>
      </c>
      <c r="I51" s="3">
        <v>79</v>
      </c>
      <c r="J51" s="2" t="str">
        <f>"02/01/2020"</f>
        <v>02/01/2020</v>
      </c>
      <c r="K51" s="2" t="str">
        <f>"25/01/2020"</f>
        <v>25/01/2020</v>
      </c>
      <c r="L51" s="2" t="str">
        <f>"14/02/2020"</f>
        <v>14/02/2020</v>
      </c>
      <c r="M51" s="2" t="str">
        <f>"17/02/2020"</f>
        <v>17/02/2020</v>
      </c>
      <c r="N51" s="2">
        <v>28.35</v>
      </c>
      <c r="O51" s="2">
        <v>29.09</v>
      </c>
      <c r="P51" s="2">
        <v>2.0000000000003099E-2</v>
      </c>
    </row>
    <row r="52" spans="1:16" s="2" customFormat="1" x14ac:dyDescent="0.25">
      <c r="A52" s="2">
        <v>48567079</v>
      </c>
      <c r="B52" s="2">
        <v>48567098</v>
      </c>
      <c r="C52" s="2" t="str">
        <f>"UNIMEDSJN"</f>
        <v>UNIMEDSJN</v>
      </c>
      <c r="D52" s="2" t="str">
        <f>"DH"</f>
        <v>DH</v>
      </c>
      <c r="E52" s="2" t="str">
        <f>"DALILA CELESTE MENDONCA E SILVA"</f>
        <v>DALILA CELESTE MENDONCA E SILVA</v>
      </c>
      <c r="F52" s="2" t="str">
        <f>"48567079-1/1"</f>
        <v>48567079-1/1</v>
      </c>
      <c r="G52" s="2" t="str">
        <f>"Carteira 21"</f>
        <v>Carteira 21</v>
      </c>
      <c r="H52" s="2">
        <v>16</v>
      </c>
      <c r="I52" s="3">
        <v>86</v>
      </c>
      <c r="J52" s="2" t="str">
        <f>"02/01/2020"</f>
        <v>02/01/2020</v>
      </c>
      <c r="K52" s="2" t="str">
        <f>"18/01/2020"</f>
        <v>18/01/2020</v>
      </c>
      <c r="L52" s="2" t="str">
        <f>"20/02/2020"</f>
        <v>20/02/2020</v>
      </c>
      <c r="M52" s="2" t="str">
        <f>"21/02/2020"</f>
        <v>21/02/2020</v>
      </c>
      <c r="N52" s="2">
        <v>136.36000000000001</v>
      </c>
      <c r="O52" s="2">
        <v>140.47999999999999</v>
      </c>
      <c r="P52" s="2">
        <v>0.110000000000014</v>
      </c>
    </row>
    <row r="53" spans="1:16" s="2" customFormat="1" x14ac:dyDescent="0.25">
      <c r="A53" s="2">
        <v>45449524</v>
      </c>
      <c r="B53" s="2">
        <v>45449543</v>
      </c>
      <c r="C53" s="2" t="str">
        <f>"UNIMEDSJN"</f>
        <v>UNIMEDSJN</v>
      </c>
      <c r="D53" s="2" t="str">
        <f>"DH"</f>
        <v>DH</v>
      </c>
      <c r="E53" s="2" t="str">
        <f>"Daniela Alzira Dutra Filgueiras"</f>
        <v>Daniela Alzira Dutra Filgueiras</v>
      </c>
      <c r="F53" s="2" t="str">
        <f>"45449524-1/1"</f>
        <v>45449524-1/1</v>
      </c>
      <c r="G53" s="2" t="str">
        <f>"Carteira 21"</f>
        <v>Carteira 21</v>
      </c>
      <c r="H53" s="2">
        <v>24</v>
      </c>
      <c r="I53" s="3">
        <v>171</v>
      </c>
      <c r="J53" s="2" t="str">
        <f>"01/10/2019"</f>
        <v>01/10/2019</v>
      </c>
      <c r="K53" s="2" t="str">
        <f>"25/10/2019"</f>
        <v>25/10/2019</v>
      </c>
      <c r="L53" s="2" t="str">
        <f>"25/10/2019"</f>
        <v>25/10/2019</v>
      </c>
      <c r="M53" s="2" t="str">
        <f>"27/09/2019"</f>
        <v>27/09/2019</v>
      </c>
      <c r="N53" s="2">
        <v>59.58</v>
      </c>
      <c r="O53" s="2">
        <v>59.58</v>
      </c>
      <c r="P53" s="2">
        <v>0</v>
      </c>
    </row>
    <row r="54" spans="1:16" s="2" customFormat="1" x14ac:dyDescent="0.25">
      <c r="A54" s="2">
        <v>48575889</v>
      </c>
      <c r="B54" s="2">
        <v>48575910</v>
      </c>
      <c r="C54" s="2" t="str">
        <f>"UNIMEDSJN"</f>
        <v>UNIMEDSJN</v>
      </c>
      <c r="D54" s="2" t="str">
        <f>"DH"</f>
        <v>DH</v>
      </c>
      <c r="E54" s="2" t="str">
        <f>"DANIELY NOGUEIRA DA SILVA"</f>
        <v>DANIELY NOGUEIRA DA SILVA</v>
      </c>
      <c r="F54" s="2" t="str">
        <f>"48575889-1/1"</f>
        <v>48575889-1/1</v>
      </c>
      <c r="G54" s="2" t="str">
        <f>"Carteira 21"</f>
        <v>Carteira 21</v>
      </c>
      <c r="H54" s="2">
        <v>23</v>
      </c>
      <c r="I54" s="3">
        <v>79</v>
      </c>
      <c r="J54" s="2" t="str">
        <f>"02/01/2020"</f>
        <v>02/01/2020</v>
      </c>
      <c r="K54" s="2" t="str">
        <f>"25/01/2020"</f>
        <v>25/01/2020</v>
      </c>
      <c r="L54" s="2" t="str">
        <f>"03/04/2020"</f>
        <v>03/04/2020</v>
      </c>
      <c r="M54" s="2" t="str">
        <f>"06/04/2020"</f>
        <v>06/04/2020</v>
      </c>
      <c r="N54" s="2">
        <v>30</v>
      </c>
      <c r="O54" s="2">
        <v>31.26</v>
      </c>
      <c r="P54" s="2">
        <v>2.9999999999997602E-2</v>
      </c>
    </row>
    <row r="55" spans="1:16" s="2" customFormat="1" x14ac:dyDescent="0.25">
      <c r="A55" s="2">
        <v>48573227</v>
      </c>
      <c r="B55" s="2">
        <v>48573237</v>
      </c>
      <c r="C55" s="2" t="str">
        <f>"UNIMEDSJN"</f>
        <v>UNIMEDSJN</v>
      </c>
      <c r="D55" s="2" t="str">
        <f>"DH"</f>
        <v>DH</v>
      </c>
      <c r="E55" s="2" t="str">
        <f>"Darlene Barbosa de Lima"</f>
        <v>Darlene Barbosa de Lima</v>
      </c>
      <c r="F55" s="2" t="str">
        <f>"48573227-1/1"</f>
        <v>48573227-1/1</v>
      </c>
      <c r="G55" s="2" t="str">
        <f>"Carteira 21"</f>
        <v>Carteira 21</v>
      </c>
      <c r="H55" s="2">
        <v>23</v>
      </c>
      <c r="I55" s="3">
        <v>79</v>
      </c>
      <c r="J55" s="2" t="str">
        <f>"02/01/2020"</f>
        <v>02/01/2020</v>
      </c>
      <c r="K55" s="2" t="str">
        <f>"25/01/2020"</f>
        <v>25/01/2020</v>
      </c>
      <c r="L55" s="2" t="str">
        <f>"27/01/2020"</f>
        <v>27/01/2020</v>
      </c>
      <c r="M55" s="2" t="str">
        <f>"27/12/2019"</f>
        <v>27/12/2019</v>
      </c>
      <c r="N55" s="2">
        <v>30</v>
      </c>
      <c r="O55" s="2">
        <v>30</v>
      </c>
      <c r="P55" s="2">
        <v>0</v>
      </c>
    </row>
    <row r="56" spans="1:16" s="2" customFormat="1" x14ac:dyDescent="0.25">
      <c r="A56" s="2">
        <v>48577703</v>
      </c>
      <c r="B56" s="2">
        <v>48577716</v>
      </c>
      <c r="C56" s="2" t="str">
        <f>"UNIMEDSJN"</f>
        <v>UNIMEDSJN</v>
      </c>
      <c r="D56" s="2" t="str">
        <f>"DH"</f>
        <v>DH</v>
      </c>
      <c r="E56" s="2" t="str">
        <f>"DEUSIANE APARECIDA DA SILVA RIBEIRO"</f>
        <v>DEUSIANE APARECIDA DA SILVA RIBEIRO</v>
      </c>
      <c r="F56" s="2" t="str">
        <f>"48577703-1/1"</f>
        <v>48577703-1/1</v>
      </c>
      <c r="G56" s="2" t="str">
        <f>"Carteira 21"</f>
        <v>Carteira 21</v>
      </c>
      <c r="H56" s="2">
        <v>23</v>
      </c>
      <c r="I56" s="3">
        <v>79</v>
      </c>
      <c r="J56" s="2" t="str">
        <f>"02/01/2020"</f>
        <v>02/01/2020</v>
      </c>
      <c r="K56" s="2" t="str">
        <f>"25/01/2020"</f>
        <v>25/01/2020</v>
      </c>
      <c r="L56" s="2" t="str">
        <f>"01/04/2020"</f>
        <v>01/04/2020</v>
      </c>
      <c r="M56" s="2" t="str">
        <f>"02/04/2020"</f>
        <v>02/04/2020</v>
      </c>
      <c r="N56" s="2">
        <v>30</v>
      </c>
      <c r="O56" s="2">
        <v>31.24</v>
      </c>
      <c r="P56" s="2">
        <v>2.9999999999997602E-2</v>
      </c>
    </row>
    <row r="57" spans="1:16" s="2" customFormat="1" x14ac:dyDescent="0.25">
      <c r="A57" s="2">
        <v>48576430</v>
      </c>
      <c r="B57" s="2">
        <v>48576441</v>
      </c>
      <c r="C57" s="2" t="str">
        <f>"UNIMEDSJN"</f>
        <v>UNIMEDSJN</v>
      </c>
      <c r="D57" s="2" t="str">
        <f>"DH"</f>
        <v>DH</v>
      </c>
      <c r="E57" s="2" t="str">
        <f>"Dhiego Ribeiro Prata"</f>
        <v>Dhiego Ribeiro Prata</v>
      </c>
      <c r="F57" s="2" t="str">
        <f>"48576430-1/1"</f>
        <v>48576430-1/1</v>
      </c>
      <c r="G57" s="2" t="str">
        <f>"Carteira 21"</f>
        <v>Carteira 21</v>
      </c>
      <c r="H57" s="2">
        <v>23</v>
      </c>
      <c r="I57" s="3">
        <v>79</v>
      </c>
      <c r="J57" s="2" t="str">
        <f>"02/01/2020"</f>
        <v>02/01/2020</v>
      </c>
      <c r="K57" s="2" t="str">
        <f>"25/01/2020"</f>
        <v>25/01/2020</v>
      </c>
      <c r="L57" s="2" t="str">
        <f>"28/02/2020"</f>
        <v>28/02/2020</v>
      </c>
      <c r="M57" s="2" t="str">
        <f>"13/03/2020"</f>
        <v>13/03/2020</v>
      </c>
      <c r="N57" s="2">
        <v>95.78</v>
      </c>
      <c r="O57" s="2">
        <v>98.71</v>
      </c>
      <c r="P57" s="2">
        <v>7.9999999999998295E-2</v>
      </c>
    </row>
    <row r="58" spans="1:16" s="2" customFormat="1" x14ac:dyDescent="0.25">
      <c r="A58" s="2">
        <v>48568449</v>
      </c>
      <c r="B58" s="2">
        <v>48568467</v>
      </c>
      <c r="C58" s="2" t="str">
        <f>"UNIMEDSJN"</f>
        <v>UNIMEDSJN</v>
      </c>
      <c r="D58" s="2" t="str">
        <f>"DH"</f>
        <v>DH</v>
      </c>
      <c r="E58" s="2" t="str">
        <f>"DJANIRA DO CARMO OLIVEIRA"</f>
        <v>DJANIRA DO CARMO OLIVEIRA</v>
      </c>
      <c r="F58" s="2" t="str">
        <f>"48568449-1/1"</f>
        <v>48568449-1/1</v>
      </c>
      <c r="G58" s="2" t="str">
        <f>"Carteira 21"</f>
        <v>Carteira 21</v>
      </c>
      <c r="H58" s="2">
        <v>23</v>
      </c>
      <c r="I58" s="3">
        <v>79</v>
      </c>
      <c r="J58" s="2" t="str">
        <f>"02/01/2020"</f>
        <v>02/01/2020</v>
      </c>
      <c r="K58" s="2" t="str">
        <f>"25/01/2020"</f>
        <v>25/01/2020</v>
      </c>
      <c r="L58" s="2" t="str">
        <f>"17/02/2020"</f>
        <v>17/02/2020</v>
      </c>
      <c r="M58" s="2" t="str">
        <f>"18/02/2020"</f>
        <v>18/02/2020</v>
      </c>
      <c r="N58" s="2">
        <v>117.81</v>
      </c>
      <c r="O58" s="2">
        <v>120.98</v>
      </c>
      <c r="P58" s="2">
        <v>9.0000000000003397E-2</v>
      </c>
    </row>
    <row r="59" spans="1:16" s="2" customFormat="1" x14ac:dyDescent="0.25">
      <c r="A59" s="2">
        <v>45915925</v>
      </c>
      <c r="B59" s="2">
        <v>45915934</v>
      </c>
      <c r="C59" s="2" t="str">
        <f>"UNIMEDSJN"</f>
        <v>UNIMEDSJN</v>
      </c>
      <c r="D59" s="2" t="str">
        <f>"DH"</f>
        <v>DH</v>
      </c>
      <c r="E59" s="2" t="str">
        <f>"Dulcineia da Silva Marcelino"</f>
        <v>Dulcineia da Silva Marcelino</v>
      </c>
      <c r="F59" s="2" t="str">
        <f>"45915925-1/1"</f>
        <v>45915925-1/1</v>
      </c>
      <c r="G59" s="2" t="str">
        <f>"Carteira 21"</f>
        <v>Carteira 21</v>
      </c>
      <c r="H59" s="2">
        <v>24</v>
      </c>
      <c r="I59" s="3">
        <v>140</v>
      </c>
      <c r="J59" s="2" t="str">
        <f>"01/11/2019"</f>
        <v>01/11/2019</v>
      </c>
      <c r="K59" s="2" t="str">
        <f>"25/11/2019"</f>
        <v>25/11/2019</v>
      </c>
      <c r="L59" s="2" t="str">
        <f>"25/11/2019"</f>
        <v>25/11/2019</v>
      </c>
      <c r="M59" s="2" t="str">
        <f>"31/10/2019"</f>
        <v>31/10/2019</v>
      </c>
      <c r="N59" s="2">
        <v>46.55</v>
      </c>
      <c r="O59" s="2">
        <v>46.55</v>
      </c>
      <c r="P59" s="2">
        <v>0</v>
      </c>
    </row>
    <row r="60" spans="1:16" s="2" customFormat="1" x14ac:dyDescent="0.25">
      <c r="A60" s="2">
        <v>47502725</v>
      </c>
      <c r="B60" s="2">
        <v>47502737</v>
      </c>
      <c r="C60" s="2" t="str">
        <f>"UNIMEDSJN"</f>
        <v>UNIMEDSJN</v>
      </c>
      <c r="D60" s="2" t="str">
        <f>"DH"</f>
        <v>DH</v>
      </c>
      <c r="E60" s="2" t="str">
        <f>"Dulcineia da Silva Marcelino"</f>
        <v>Dulcineia da Silva Marcelino</v>
      </c>
      <c r="F60" s="2" t="str">
        <f>"47502725-1/1"</f>
        <v>47502725-1/1</v>
      </c>
      <c r="G60" s="2" t="str">
        <f>"Carteira 21"</f>
        <v>Carteira 21</v>
      </c>
      <c r="H60" s="2">
        <v>24</v>
      </c>
      <c r="I60" s="3">
        <v>110</v>
      </c>
      <c r="J60" s="2" t="str">
        <f>"01/12/2019"</f>
        <v>01/12/2019</v>
      </c>
      <c r="K60" s="2" t="str">
        <f>"25/12/2019"</f>
        <v>25/12/2019</v>
      </c>
      <c r="L60" s="2" t="str">
        <f>"25/12/2019"</f>
        <v>25/12/2019</v>
      </c>
      <c r="M60" s="2" t="str">
        <f>"28/11/2019"</f>
        <v>28/11/2019</v>
      </c>
      <c r="N60" s="2">
        <v>65.27</v>
      </c>
      <c r="O60" s="2">
        <v>65.27</v>
      </c>
      <c r="P60" s="2">
        <v>0</v>
      </c>
    </row>
    <row r="61" spans="1:16" s="2" customFormat="1" x14ac:dyDescent="0.25">
      <c r="A61" s="2">
        <v>48576774</v>
      </c>
      <c r="B61" s="2">
        <v>48576784</v>
      </c>
      <c r="C61" s="2" t="str">
        <f>"UNIMEDSJN"</f>
        <v>UNIMEDSJN</v>
      </c>
      <c r="D61" s="2" t="str">
        <f>"DH"</f>
        <v>DH</v>
      </c>
      <c r="E61" s="2" t="str">
        <f>"Dulcineia da Silva Marcelino"</f>
        <v>Dulcineia da Silva Marcelino</v>
      </c>
      <c r="F61" s="2" t="str">
        <f>"48576774-1/1"</f>
        <v>48576774-1/1</v>
      </c>
      <c r="G61" s="2" t="str">
        <f>"Carteira 21"</f>
        <v>Carteira 21</v>
      </c>
      <c r="H61" s="2">
        <v>23</v>
      </c>
      <c r="I61" s="3">
        <v>79</v>
      </c>
      <c r="J61" s="2" t="str">
        <f>"02/01/2020"</f>
        <v>02/01/2020</v>
      </c>
      <c r="K61" s="2" t="str">
        <f>"25/01/2020"</f>
        <v>25/01/2020</v>
      </c>
      <c r="L61" s="2" t="str">
        <f>"27/01/2020"</f>
        <v>27/01/2020</v>
      </c>
      <c r="M61" s="2" t="str">
        <f>"27/12/2019"</f>
        <v>27/12/2019</v>
      </c>
      <c r="N61" s="2">
        <v>28.35</v>
      </c>
      <c r="O61" s="2">
        <v>28.35</v>
      </c>
      <c r="P61" s="2">
        <v>0</v>
      </c>
    </row>
    <row r="62" spans="1:16" s="2" customFormat="1" x14ac:dyDescent="0.25">
      <c r="A62" s="2">
        <v>48574900</v>
      </c>
      <c r="B62" s="2">
        <v>48574917</v>
      </c>
      <c r="C62" s="2" t="str">
        <f>"UNIMEDSJN"</f>
        <v>UNIMEDSJN</v>
      </c>
      <c r="D62" s="2" t="str">
        <f>"DH"</f>
        <v>DH</v>
      </c>
      <c r="E62" s="2" t="str">
        <f>"EDUARDO DA ROCHA MEDINA"</f>
        <v>EDUARDO DA ROCHA MEDINA</v>
      </c>
      <c r="F62" s="2" t="str">
        <f>"48574900-1/1"</f>
        <v>48574900-1/1</v>
      </c>
      <c r="G62" s="2" t="str">
        <f>"Carteira 21"</f>
        <v>Carteira 21</v>
      </c>
      <c r="H62" s="2">
        <v>23</v>
      </c>
      <c r="I62" s="3">
        <v>79</v>
      </c>
      <c r="J62" s="2" t="str">
        <f>"02/01/2020"</f>
        <v>02/01/2020</v>
      </c>
      <c r="K62" s="2" t="str">
        <f>"25/01/2020"</f>
        <v>25/01/2020</v>
      </c>
      <c r="L62" s="2" t="str">
        <f>"27/01/2020"</f>
        <v>27/01/2020</v>
      </c>
      <c r="M62" s="2" t="str">
        <f>"14/02/2020"</f>
        <v>14/02/2020</v>
      </c>
      <c r="N62" s="2">
        <v>82.71</v>
      </c>
      <c r="O62" s="2">
        <v>84.62</v>
      </c>
      <c r="P62" s="2">
        <v>-1.91</v>
      </c>
    </row>
    <row r="63" spans="1:16" s="2" customFormat="1" x14ac:dyDescent="0.25">
      <c r="A63" s="2">
        <v>48577524</v>
      </c>
      <c r="B63" s="2">
        <v>48577533</v>
      </c>
      <c r="C63" s="2" t="str">
        <f>"UNIMEDSJN"</f>
        <v>UNIMEDSJN</v>
      </c>
      <c r="D63" s="2" t="str">
        <f>"DH"</f>
        <v>DH</v>
      </c>
      <c r="E63" s="2" t="str">
        <f>"Eduardo Sobreira da Silva"</f>
        <v>Eduardo Sobreira da Silva</v>
      </c>
      <c r="F63" s="2" t="str">
        <f>"48577524-1/1"</f>
        <v>48577524-1/1</v>
      </c>
      <c r="G63" s="2" t="str">
        <f>"Carteira 21"</f>
        <v>Carteira 21</v>
      </c>
      <c r="H63" s="2">
        <v>23</v>
      </c>
      <c r="I63" s="3">
        <v>79</v>
      </c>
      <c r="J63" s="2" t="str">
        <f>"02/01/2020"</f>
        <v>02/01/2020</v>
      </c>
      <c r="K63" s="2" t="str">
        <f>"25/01/2020"</f>
        <v>25/01/2020</v>
      </c>
      <c r="L63" s="2" t="str">
        <f>"07/02/2020"</f>
        <v>07/02/2020</v>
      </c>
      <c r="M63" s="2" t="str">
        <f>"10/02/2020"</f>
        <v>10/02/2020</v>
      </c>
      <c r="N63" s="2">
        <v>35.58</v>
      </c>
      <c r="O63" s="2">
        <v>36.42</v>
      </c>
      <c r="P63" s="2">
        <v>1.9999999999996E-2</v>
      </c>
    </row>
    <row r="64" spans="1:16" s="2" customFormat="1" x14ac:dyDescent="0.25">
      <c r="A64" s="2">
        <v>45919831</v>
      </c>
      <c r="B64" s="2">
        <v>45919858</v>
      </c>
      <c r="C64" s="2" t="str">
        <f>"UNIMEDSJN"</f>
        <v>UNIMEDSJN</v>
      </c>
      <c r="D64" s="2" t="str">
        <f>"DH"</f>
        <v>DH</v>
      </c>
      <c r="E64" s="2" t="str">
        <f>"ELAINE MARANGON ALVES DA SILVA"</f>
        <v>ELAINE MARANGON ALVES DA SILVA</v>
      </c>
      <c r="F64" s="2" t="str">
        <f>"45919831-1/1"</f>
        <v>45919831-1/1</v>
      </c>
      <c r="G64" s="2" t="str">
        <f>"Carteira 21"</f>
        <v>Carteira 21</v>
      </c>
      <c r="H64" s="2">
        <v>84</v>
      </c>
      <c r="I64" s="3">
        <v>80</v>
      </c>
      <c r="J64" s="2" t="str">
        <f>"01/11/2019"</f>
        <v>01/11/2019</v>
      </c>
      <c r="K64" s="2" t="str">
        <f>"24/01/2020"</f>
        <v>24/01/2020</v>
      </c>
      <c r="L64" s="2" t="str">
        <f>"28/02/2020"</f>
        <v>28/02/2020</v>
      </c>
      <c r="M64" s="2" t="str">
        <f>"13/03/2020"</f>
        <v>13/03/2020</v>
      </c>
      <c r="N64" s="2">
        <v>7.6</v>
      </c>
      <c r="O64" s="2">
        <v>7.99</v>
      </c>
      <c r="P64" s="2">
        <v>-0.149999999999999</v>
      </c>
    </row>
    <row r="65" spans="1:16" s="2" customFormat="1" x14ac:dyDescent="0.25">
      <c r="A65" s="2">
        <v>48568708</v>
      </c>
      <c r="B65" s="2">
        <v>48568722</v>
      </c>
      <c r="C65" s="2" t="str">
        <f>"UNIMEDSJN"</f>
        <v>UNIMEDSJN</v>
      </c>
      <c r="D65" s="2" t="str">
        <f>"DH"</f>
        <v>DH</v>
      </c>
      <c r="E65" s="2" t="str">
        <f>"ELAINE MARANGON ALVES DA SILVA"</f>
        <v>ELAINE MARANGON ALVES DA SILVA</v>
      </c>
      <c r="F65" s="2" t="str">
        <f>"48568708-1/1"</f>
        <v>48568708-1/1</v>
      </c>
      <c r="G65" s="2" t="str">
        <f>"Carteira 21"</f>
        <v>Carteira 21</v>
      </c>
      <c r="H65" s="2">
        <v>23</v>
      </c>
      <c r="I65" s="3">
        <v>79</v>
      </c>
      <c r="J65" s="2" t="str">
        <f>"02/01/2020"</f>
        <v>02/01/2020</v>
      </c>
      <c r="K65" s="2" t="str">
        <f>"25/01/2020"</f>
        <v>25/01/2020</v>
      </c>
      <c r="L65" s="2" t="str">
        <f>"20/03/2020"</f>
        <v>20/03/2020</v>
      </c>
      <c r="M65" s="2" t="str">
        <f>"23/03/2020"</f>
        <v>23/03/2020</v>
      </c>
      <c r="N65" s="2">
        <v>28.35</v>
      </c>
      <c r="O65" s="2">
        <v>29.42</v>
      </c>
      <c r="P65" s="2">
        <v>1.9999999999999601E-2</v>
      </c>
    </row>
    <row r="66" spans="1:16" s="2" customFormat="1" x14ac:dyDescent="0.25">
      <c r="A66" s="2">
        <v>48575795</v>
      </c>
      <c r="B66" s="2">
        <v>48575816</v>
      </c>
      <c r="C66" s="2" t="str">
        <f>"UNIMEDSJN"</f>
        <v>UNIMEDSJN</v>
      </c>
      <c r="D66" s="2" t="str">
        <f>"DH"</f>
        <v>DH</v>
      </c>
      <c r="E66" s="2" t="str">
        <f>"Eliane Fernandes Novais"</f>
        <v>Eliane Fernandes Novais</v>
      </c>
      <c r="F66" s="2" t="str">
        <f>"48575795-1/1"</f>
        <v>48575795-1/1</v>
      </c>
      <c r="G66" s="2" t="str">
        <f>"Carteira 21"</f>
        <v>Carteira 21</v>
      </c>
      <c r="H66" s="2">
        <v>23</v>
      </c>
      <c r="I66" s="3">
        <v>79</v>
      </c>
      <c r="J66" s="2" t="str">
        <f>"02/01/2020"</f>
        <v>02/01/2020</v>
      </c>
      <c r="K66" s="2" t="str">
        <f>"25/01/2020"</f>
        <v>25/01/2020</v>
      </c>
      <c r="L66" s="2" t="str">
        <f>"26/03/2020"</f>
        <v>26/03/2020</v>
      </c>
      <c r="M66" s="2" t="str">
        <f>"27/03/2020"</f>
        <v>27/03/2020</v>
      </c>
      <c r="N66" s="2">
        <v>28.35</v>
      </c>
      <c r="O66" s="2">
        <v>29.48</v>
      </c>
      <c r="P66" s="2">
        <v>1.9999999999999601E-2</v>
      </c>
    </row>
    <row r="67" spans="1:16" s="2" customFormat="1" x14ac:dyDescent="0.25">
      <c r="A67" s="2">
        <v>45913606</v>
      </c>
      <c r="B67" s="2">
        <v>45913880</v>
      </c>
      <c r="C67" s="2" t="str">
        <f>"UNIMEDSJN"</f>
        <v>UNIMEDSJN</v>
      </c>
      <c r="D67" s="2" t="str">
        <f>"DH"</f>
        <v>DH</v>
      </c>
      <c r="E67" s="2" t="str">
        <f>"ELIS FOREAUX GUIMARAES"</f>
        <v>ELIS FOREAUX GUIMARAES</v>
      </c>
      <c r="F67" s="2" t="str">
        <f>"45913606-1/1"</f>
        <v>45913606-1/1</v>
      </c>
      <c r="G67" s="2" t="str">
        <f>"Carteira 21"</f>
        <v>Carteira 21</v>
      </c>
      <c r="H67" s="2">
        <v>24</v>
      </c>
      <c r="I67" s="3">
        <v>140</v>
      </c>
      <c r="J67" s="2" t="str">
        <f>"01/11/2019"</f>
        <v>01/11/2019</v>
      </c>
      <c r="K67" s="2" t="str">
        <f>"25/11/2019"</f>
        <v>25/11/2019</v>
      </c>
      <c r="L67" s="2" t="str">
        <f>"26/03/2020"</f>
        <v>26/03/2020</v>
      </c>
      <c r="M67" s="2" t="str">
        <f>"27/03/2020"</f>
        <v>27/03/2020</v>
      </c>
      <c r="N67" s="2">
        <v>111.76</v>
      </c>
      <c r="O67" s="2">
        <v>118.49</v>
      </c>
      <c r="P67" s="2">
        <v>4.9999999999997199E-2</v>
      </c>
    </row>
    <row r="68" spans="1:16" s="2" customFormat="1" x14ac:dyDescent="0.25">
      <c r="A68" s="2">
        <v>48571119</v>
      </c>
      <c r="B68" s="2">
        <v>48571629</v>
      </c>
      <c r="C68" s="2" t="str">
        <f>"UNIMEDSJN"</f>
        <v>UNIMEDSJN</v>
      </c>
      <c r="D68" s="2" t="str">
        <f>"DH"</f>
        <v>DH</v>
      </c>
      <c r="E68" s="2" t="str">
        <f>"ELIS FOREAUX GUIMARAES"</f>
        <v>ELIS FOREAUX GUIMARAES</v>
      </c>
      <c r="F68" s="2" t="str">
        <f>"48571119-1/1"</f>
        <v>48571119-1/1</v>
      </c>
      <c r="G68" s="2" t="str">
        <f>"Carteira 21"</f>
        <v>Carteira 21</v>
      </c>
      <c r="H68" s="2">
        <v>23</v>
      </c>
      <c r="I68" s="3">
        <v>79</v>
      </c>
      <c r="J68" s="2" t="str">
        <f>"02/01/2020"</f>
        <v>02/01/2020</v>
      </c>
      <c r="K68" s="2" t="str">
        <f>"25/01/2020"</f>
        <v>25/01/2020</v>
      </c>
      <c r="L68" s="2" t="str">
        <f>"24/03/2020"</f>
        <v>24/03/2020</v>
      </c>
      <c r="M68" s="2" t="str">
        <f>"25/03/2020"</f>
        <v>25/03/2020</v>
      </c>
      <c r="N68" s="2">
        <v>30</v>
      </c>
      <c r="O68" s="2">
        <v>31.17</v>
      </c>
      <c r="P68" s="2">
        <v>1.9999999999999601E-2</v>
      </c>
    </row>
    <row r="69" spans="1:16" s="2" customFormat="1" x14ac:dyDescent="0.25">
      <c r="A69" s="2">
        <v>48575119</v>
      </c>
      <c r="B69" s="2">
        <v>48575405</v>
      </c>
      <c r="C69" s="2" t="str">
        <f>"UNIMEDSJN"</f>
        <v>UNIMEDSJN</v>
      </c>
      <c r="D69" s="2" t="str">
        <f>"DH"</f>
        <v>DH</v>
      </c>
      <c r="E69" s="2" t="str">
        <f>"ELIS REGINA DE OLIVEIRA MATTOS"</f>
        <v>ELIS REGINA DE OLIVEIRA MATTOS</v>
      </c>
      <c r="F69" s="2" t="str">
        <f>"48575119-1/1"</f>
        <v>48575119-1/1</v>
      </c>
      <c r="G69" s="2" t="str">
        <f>"Carteira 21"</f>
        <v>Carteira 21</v>
      </c>
      <c r="H69" s="2">
        <v>13</v>
      </c>
      <c r="I69" s="3">
        <v>89</v>
      </c>
      <c r="J69" s="2" t="str">
        <f>"02/01/2020"</f>
        <v>02/01/2020</v>
      </c>
      <c r="K69" s="2" t="str">
        <f>"15/01/2020"</f>
        <v>15/01/2020</v>
      </c>
      <c r="L69" s="2" t="str">
        <f>"07/02/2020"</f>
        <v>07/02/2020</v>
      </c>
      <c r="M69" s="2" t="str">
        <f>"10/02/2020"</f>
        <v>10/02/2020</v>
      </c>
      <c r="N69" s="2">
        <v>281.8</v>
      </c>
      <c r="O69" s="2">
        <v>289.58</v>
      </c>
      <c r="P69" s="2">
        <v>2.0000000000038699E-2</v>
      </c>
    </row>
    <row r="70" spans="1:16" s="2" customFormat="1" x14ac:dyDescent="0.25">
      <c r="A70" s="2">
        <v>47494561</v>
      </c>
      <c r="B70" s="2">
        <v>47494569</v>
      </c>
      <c r="C70" s="2" t="str">
        <f>"UNIMEDSJN"</f>
        <v>UNIMEDSJN</v>
      </c>
      <c r="D70" s="2" t="str">
        <f>"DH"</f>
        <v>DH</v>
      </c>
      <c r="E70" s="2" t="str">
        <f>"ELISANGELA MARIA DUQUE NOGUEIRA"</f>
        <v>ELISANGELA MARIA DUQUE NOGUEIRA</v>
      </c>
      <c r="F70" s="2" t="str">
        <f>"47494561-1/1"</f>
        <v>47494561-1/1</v>
      </c>
      <c r="G70" s="2" t="str">
        <f>"Carteira 21"</f>
        <v>Carteira 21</v>
      </c>
      <c r="H70" s="2">
        <v>24</v>
      </c>
      <c r="I70" s="3">
        <v>110</v>
      </c>
      <c r="J70" s="2" t="str">
        <f>"01/12/2019"</f>
        <v>01/12/2019</v>
      </c>
      <c r="K70" s="2" t="str">
        <f>"25/12/2019"</f>
        <v>25/12/2019</v>
      </c>
      <c r="L70" s="2" t="str">
        <f>"04/02/2020"</f>
        <v>04/02/2020</v>
      </c>
      <c r="M70" s="2" t="str">
        <f>"05/02/2020"</f>
        <v>05/02/2020</v>
      </c>
      <c r="N70" s="2">
        <v>28.35</v>
      </c>
      <c r="O70" s="2">
        <v>29.3</v>
      </c>
      <c r="P70" s="2">
        <v>1.00000000000016E-2</v>
      </c>
    </row>
    <row r="71" spans="1:16" s="2" customFormat="1" x14ac:dyDescent="0.25">
      <c r="A71" s="2">
        <v>47495830</v>
      </c>
      <c r="B71" s="2">
        <v>47495849</v>
      </c>
      <c r="C71" s="2" t="str">
        <f>"UNIMEDSJN"</f>
        <v>UNIMEDSJN</v>
      </c>
      <c r="D71" s="2" t="str">
        <f>"DH"</f>
        <v>DH</v>
      </c>
      <c r="E71" s="2" t="str">
        <f>"Emanuely da Silva Mendonca"</f>
        <v>Emanuely da Silva Mendonca</v>
      </c>
      <c r="F71" s="2" t="str">
        <f>"47495830-1/1"</f>
        <v>47495830-1/1</v>
      </c>
      <c r="G71" s="2" t="str">
        <f>"Carteira 21"</f>
        <v>Carteira 21</v>
      </c>
      <c r="H71" s="2">
        <v>24</v>
      </c>
      <c r="I71" s="3">
        <v>110</v>
      </c>
      <c r="J71" s="2" t="str">
        <f>"01/12/2019"</f>
        <v>01/12/2019</v>
      </c>
      <c r="K71" s="2" t="str">
        <f>"25/12/2019"</f>
        <v>25/12/2019</v>
      </c>
      <c r="L71" s="2" t="str">
        <f>"13/02/2020"</f>
        <v>13/02/2020</v>
      </c>
      <c r="M71" s="2" t="str">
        <f>"14/02/2020"</f>
        <v>14/02/2020</v>
      </c>
      <c r="N71" s="2">
        <v>66</v>
      </c>
      <c r="O71" s="2">
        <v>68.41</v>
      </c>
      <c r="P71" s="2">
        <v>1.00000000000051E-2</v>
      </c>
    </row>
    <row r="72" spans="1:16" s="2" customFormat="1" x14ac:dyDescent="0.25">
      <c r="A72" s="2">
        <v>47501107</v>
      </c>
      <c r="B72" s="2">
        <v>47501375</v>
      </c>
      <c r="C72" s="2" t="str">
        <f>"UNIMEDSJN"</f>
        <v>UNIMEDSJN</v>
      </c>
      <c r="D72" s="2" t="str">
        <f>"DH"</f>
        <v>DH</v>
      </c>
      <c r="E72" s="2" t="str">
        <f>"ERIKA DE ANDRADE BRAGA"</f>
        <v>ERIKA DE ANDRADE BRAGA</v>
      </c>
      <c r="F72" s="2" t="str">
        <f>"47501107-1/1"</f>
        <v>47501107-1/1</v>
      </c>
      <c r="G72" s="2" t="str">
        <f>"Carteira 21"</f>
        <v>Carteira 21</v>
      </c>
      <c r="H72" s="2">
        <v>24</v>
      </c>
      <c r="I72" s="3">
        <v>110</v>
      </c>
      <c r="J72" s="2" t="str">
        <f>"01/12/2019"</f>
        <v>01/12/2019</v>
      </c>
      <c r="K72" s="2" t="str">
        <f>"25/12/2019"</f>
        <v>25/12/2019</v>
      </c>
      <c r="L72" s="2" t="str">
        <f>"10/03/2020"</f>
        <v>10/03/2020</v>
      </c>
      <c r="M72" s="2" t="str">
        <f>"11/03/2020"</f>
        <v>11/03/2020</v>
      </c>
      <c r="N72" s="2">
        <v>30</v>
      </c>
      <c r="O72" s="2">
        <v>31.35</v>
      </c>
      <c r="P72" s="2">
        <v>9.9999999999980105E-3</v>
      </c>
    </row>
    <row r="73" spans="1:16" s="2" customFormat="1" x14ac:dyDescent="0.25">
      <c r="A73" s="2">
        <v>48575182</v>
      </c>
      <c r="B73" s="2">
        <v>48575202</v>
      </c>
      <c r="C73" s="2" t="str">
        <f>"UNIMEDSJN"</f>
        <v>UNIMEDSJN</v>
      </c>
      <c r="D73" s="2" t="str">
        <f>"DH"</f>
        <v>DH</v>
      </c>
      <c r="E73" s="2" t="str">
        <f>"ERIKA DE ANDRADE BRAGA"</f>
        <v>ERIKA DE ANDRADE BRAGA</v>
      </c>
      <c r="F73" s="2" t="str">
        <f>"48575182-1/1"</f>
        <v>48575182-1/1</v>
      </c>
      <c r="G73" s="2" t="str">
        <f>"Carteira 21"</f>
        <v>Carteira 21</v>
      </c>
      <c r="H73" s="2">
        <v>23</v>
      </c>
      <c r="I73" s="3">
        <v>79</v>
      </c>
      <c r="J73" s="2" t="str">
        <f>"02/01/2020"</f>
        <v>02/01/2020</v>
      </c>
      <c r="K73" s="2" t="str">
        <f>"25/01/2020"</f>
        <v>25/01/2020</v>
      </c>
      <c r="L73" s="2" t="str">
        <f>"27/01/2020"</f>
        <v>27/01/2020</v>
      </c>
      <c r="M73" s="2" t="str">
        <f>"27/12/2019"</f>
        <v>27/12/2019</v>
      </c>
      <c r="N73" s="2">
        <v>60</v>
      </c>
      <c r="O73" s="2">
        <v>60</v>
      </c>
      <c r="P73" s="2">
        <v>0</v>
      </c>
    </row>
    <row r="74" spans="1:16" s="2" customFormat="1" x14ac:dyDescent="0.25">
      <c r="A74" s="2">
        <v>47501703</v>
      </c>
      <c r="B74" s="2">
        <v>47501722</v>
      </c>
      <c r="C74" s="2" t="str">
        <f>"UNIMEDSJN"</f>
        <v>UNIMEDSJN</v>
      </c>
      <c r="D74" s="2" t="str">
        <f>"DH"</f>
        <v>DH</v>
      </c>
      <c r="E74" s="2" t="str">
        <f>"Erika Kaizer Guerra de Oliveira Silva"</f>
        <v>Erika Kaizer Guerra de Oliveira Silva</v>
      </c>
      <c r="F74" s="2" t="str">
        <f>"47501703-1/1"</f>
        <v>47501703-1/1</v>
      </c>
      <c r="G74" s="2" t="str">
        <f>"Carteira 21"</f>
        <v>Carteira 21</v>
      </c>
      <c r="H74" s="2">
        <v>24</v>
      </c>
      <c r="I74" s="3">
        <v>110</v>
      </c>
      <c r="J74" s="2" t="str">
        <f>"01/12/2019"</f>
        <v>01/12/2019</v>
      </c>
      <c r="K74" s="2" t="str">
        <f>"25/12/2019"</f>
        <v>25/12/2019</v>
      </c>
      <c r="L74" s="2" t="str">
        <f>"06/03/2020"</f>
        <v>06/03/2020</v>
      </c>
      <c r="M74" s="2" t="str">
        <f>"09/03/2020"</f>
        <v>09/03/2020</v>
      </c>
      <c r="N74" s="2">
        <v>30</v>
      </c>
      <c r="O74" s="2">
        <v>31.31</v>
      </c>
      <c r="P74" s="2">
        <v>9.9999999999980105E-3</v>
      </c>
    </row>
    <row r="75" spans="1:16" s="2" customFormat="1" x14ac:dyDescent="0.25">
      <c r="A75" s="2">
        <v>48575824</v>
      </c>
      <c r="B75" s="2">
        <v>48575836</v>
      </c>
      <c r="C75" s="2" t="str">
        <f>"UNIMEDSJN"</f>
        <v>UNIMEDSJN</v>
      </c>
      <c r="D75" s="2" t="str">
        <f>"DH"</f>
        <v>DH</v>
      </c>
      <c r="E75" s="2" t="str">
        <f>"Erika Kaizer Guerra de Oliveira Silva"</f>
        <v>Erika Kaizer Guerra de Oliveira Silva</v>
      </c>
      <c r="F75" s="2" t="str">
        <f>"48575824-1/1"</f>
        <v>48575824-1/1</v>
      </c>
      <c r="G75" s="2" t="str">
        <f>"Carteira 21"</f>
        <v>Carteira 21</v>
      </c>
      <c r="H75" s="2">
        <v>23</v>
      </c>
      <c r="I75" s="3">
        <v>79</v>
      </c>
      <c r="J75" s="2" t="str">
        <f>"02/01/2020"</f>
        <v>02/01/2020</v>
      </c>
      <c r="K75" s="2" t="str">
        <f>"25/01/2020"</f>
        <v>25/01/2020</v>
      </c>
      <c r="L75" s="2" t="str">
        <f>"07/04/2020"</f>
        <v>07/04/2020</v>
      </c>
      <c r="M75" s="2" t="str">
        <f>"08/04/2020"</f>
        <v>08/04/2020</v>
      </c>
      <c r="N75" s="2">
        <v>30</v>
      </c>
      <c r="O75" s="2">
        <v>31.3</v>
      </c>
      <c r="P75" s="2">
        <v>3.0000000000001099E-2</v>
      </c>
    </row>
    <row r="76" spans="1:16" s="2" customFormat="1" x14ac:dyDescent="0.25">
      <c r="A76" s="2">
        <v>48566892</v>
      </c>
      <c r="B76" s="2">
        <v>48566908</v>
      </c>
      <c r="C76" s="2" t="str">
        <f>"UNIMEDSJN"</f>
        <v>UNIMEDSJN</v>
      </c>
      <c r="D76" s="2" t="str">
        <f>"DH"</f>
        <v>DH</v>
      </c>
      <c r="E76" s="2" t="str">
        <f>"ESTELINA FAJARDO LEIVA"</f>
        <v>ESTELINA FAJARDO LEIVA</v>
      </c>
      <c r="F76" s="2" t="str">
        <f>"48566892-1/1"</f>
        <v>48566892-1/1</v>
      </c>
      <c r="G76" s="2" t="str">
        <f>"Carteira 21"</f>
        <v>Carteira 21</v>
      </c>
      <c r="H76" s="2">
        <v>23</v>
      </c>
      <c r="I76" s="3">
        <v>79</v>
      </c>
      <c r="J76" s="2" t="str">
        <f>"02/01/2020"</f>
        <v>02/01/2020</v>
      </c>
      <c r="K76" s="2" t="str">
        <f>"25/01/2020"</f>
        <v>25/01/2020</v>
      </c>
      <c r="L76" s="2" t="str">
        <f>"03/02/2020"</f>
        <v>03/02/2020</v>
      </c>
      <c r="M76" s="2" t="str">
        <f>"04/02/2020"</f>
        <v>04/02/2020</v>
      </c>
      <c r="N76" s="2">
        <v>30</v>
      </c>
      <c r="O76" s="2">
        <v>30.67</v>
      </c>
      <c r="P76" s="2">
        <v>1.9999999999999601E-2</v>
      </c>
    </row>
    <row r="77" spans="1:16" s="2" customFormat="1" x14ac:dyDescent="0.25">
      <c r="A77" s="2">
        <v>47492356</v>
      </c>
      <c r="B77" s="2">
        <v>47492370</v>
      </c>
      <c r="C77" s="2" t="str">
        <f>"UNIMEDSJN"</f>
        <v>UNIMEDSJN</v>
      </c>
      <c r="D77" s="2" t="str">
        <f>"DH"</f>
        <v>DH</v>
      </c>
      <c r="E77" s="2" t="str">
        <f>"EVELINE BARBOSA DE OLIVEIRA RODRIGUES"</f>
        <v>EVELINE BARBOSA DE OLIVEIRA RODRIGUES</v>
      </c>
      <c r="F77" s="2" t="str">
        <f>"47492356-1/1"</f>
        <v>47492356-1/1</v>
      </c>
      <c r="G77" s="2" t="str">
        <f>"Carteira 21"</f>
        <v>Carteira 21</v>
      </c>
      <c r="H77" s="2">
        <v>21</v>
      </c>
      <c r="I77" s="3">
        <v>113</v>
      </c>
      <c r="J77" s="2" t="str">
        <f>"01/12/2019"</f>
        <v>01/12/2019</v>
      </c>
      <c r="K77" s="2" t="str">
        <f>"22/12/2019"</f>
        <v>22/12/2019</v>
      </c>
      <c r="L77" s="2" t="str">
        <f>"06/02/2020"</f>
        <v>06/02/2020</v>
      </c>
      <c r="M77" s="2" t="str">
        <f>"07/02/2020"</f>
        <v>07/02/2020</v>
      </c>
      <c r="N77" s="2">
        <v>58.35</v>
      </c>
      <c r="O77" s="2">
        <v>60.38</v>
      </c>
      <c r="P77" s="2">
        <v>3.0000000000001099E-2</v>
      </c>
    </row>
    <row r="78" spans="1:16" s="2" customFormat="1" x14ac:dyDescent="0.25">
      <c r="A78" s="2">
        <v>48567370</v>
      </c>
      <c r="B78" s="2">
        <v>48567893</v>
      </c>
      <c r="C78" s="2" t="str">
        <f>"UNIMEDSJN"</f>
        <v>UNIMEDSJN</v>
      </c>
      <c r="D78" s="2" t="str">
        <f>"DH"</f>
        <v>DH</v>
      </c>
      <c r="E78" s="2" t="str">
        <f>"EVELINE BARBOSA DE OLIVEIRA RODRIGUES"</f>
        <v>EVELINE BARBOSA DE OLIVEIRA RODRIGUES</v>
      </c>
      <c r="F78" s="2" t="str">
        <f>"48567370-1/1"</f>
        <v>48567370-1/1</v>
      </c>
      <c r="G78" s="2" t="str">
        <f>"Carteira 21"</f>
        <v>Carteira 21</v>
      </c>
      <c r="H78" s="2">
        <v>20</v>
      </c>
      <c r="I78" s="3">
        <v>82</v>
      </c>
      <c r="J78" s="2" t="str">
        <f>"02/01/2020"</f>
        <v>02/01/2020</v>
      </c>
      <c r="K78" s="2" t="str">
        <f>"22/01/2020"</f>
        <v>22/01/2020</v>
      </c>
      <c r="L78" s="2" t="str">
        <f>"28/02/2020"</f>
        <v>28/02/2020</v>
      </c>
      <c r="M78" s="2" t="str">
        <f>"13/03/2020"</f>
        <v>13/03/2020</v>
      </c>
      <c r="N78" s="2">
        <v>60</v>
      </c>
      <c r="O78" s="2">
        <v>60</v>
      </c>
      <c r="P78" s="2">
        <v>1.94</v>
      </c>
    </row>
    <row r="79" spans="1:16" s="2" customFormat="1" x14ac:dyDescent="0.25">
      <c r="A79" s="2">
        <v>47513120</v>
      </c>
      <c r="B79" s="2">
        <v>47513414</v>
      </c>
      <c r="C79" s="2" t="str">
        <f>"UNIMEDSJN"</f>
        <v>UNIMEDSJN</v>
      </c>
      <c r="D79" s="2" t="str">
        <f>"DH"</f>
        <v>DH</v>
      </c>
      <c r="E79" s="2" t="str">
        <f>"FABIANA COSTA TEIXEIRA"</f>
        <v>FABIANA COSTA TEIXEIRA</v>
      </c>
      <c r="F79" s="2" t="str">
        <f>"47513120-1/1"</f>
        <v>47513120-1/1</v>
      </c>
      <c r="G79" s="2" t="str">
        <f>"Carteira 21"</f>
        <v>Carteira 21</v>
      </c>
      <c r="H79" s="2">
        <v>29</v>
      </c>
      <c r="I79" s="3">
        <v>105</v>
      </c>
      <c r="J79" s="2" t="str">
        <f>"01/12/2019"</f>
        <v>01/12/2019</v>
      </c>
      <c r="K79" s="2" t="str">
        <f>"30/12/2019"</f>
        <v>30/12/2019</v>
      </c>
      <c r="L79" s="2" t="str">
        <f>"30/12/2019"</f>
        <v>30/12/2019</v>
      </c>
      <c r="M79" s="2" t="str">
        <f>"28/11/2019"</f>
        <v>28/11/2019</v>
      </c>
      <c r="N79" s="2">
        <v>280.8</v>
      </c>
      <c r="O79" s="2">
        <v>280.8</v>
      </c>
      <c r="P79" s="2">
        <v>0</v>
      </c>
    </row>
    <row r="80" spans="1:16" s="2" customFormat="1" x14ac:dyDescent="0.25">
      <c r="A80" s="2">
        <v>48572782</v>
      </c>
      <c r="B80" s="2">
        <v>48572796</v>
      </c>
      <c r="C80" s="2" t="str">
        <f>"UNIMEDSJN"</f>
        <v>UNIMEDSJN</v>
      </c>
      <c r="D80" s="2" t="str">
        <f>"DH"</f>
        <v>DH</v>
      </c>
      <c r="E80" s="2" t="str">
        <f>"Fabiana da Silva Freire"</f>
        <v>Fabiana da Silva Freire</v>
      </c>
      <c r="F80" s="2" t="str">
        <f>"48572782-1/1"</f>
        <v>48572782-1/1</v>
      </c>
      <c r="G80" s="2" t="str">
        <f>"Carteira 21"</f>
        <v>Carteira 21</v>
      </c>
      <c r="H80" s="2">
        <v>23</v>
      </c>
      <c r="I80" s="3">
        <v>79</v>
      </c>
      <c r="J80" s="2" t="str">
        <f>"02/01/2020"</f>
        <v>02/01/2020</v>
      </c>
      <c r="K80" s="2" t="str">
        <f>"25/01/2020"</f>
        <v>25/01/2020</v>
      </c>
      <c r="L80" s="2" t="str">
        <f>"03/02/2020"</f>
        <v>03/02/2020</v>
      </c>
      <c r="M80" s="2" t="str">
        <f>"04/02/2020"</f>
        <v>04/02/2020</v>
      </c>
      <c r="N80" s="2">
        <v>144.75</v>
      </c>
      <c r="O80" s="2">
        <v>147.97999999999999</v>
      </c>
      <c r="P80" s="2">
        <v>0.100000000000023</v>
      </c>
    </row>
    <row r="81" spans="1:16" s="2" customFormat="1" x14ac:dyDescent="0.25">
      <c r="A81" s="2">
        <v>48569896</v>
      </c>
      <c r="B81" s="2">
        <v>48569908</v>
      </c>
      <c r="C81" s="2" t="str">
        <f>"UNIMEDSJN"</f>
        <v>UNIMEDSJN</v>
      </c>
      <c r="D81" s="2" t="str">
        <f>"DH"</f>
        <v>DH</v>
      </c>
      <c r="E81" s="2" t="str">
        <f>"Felipe Luzia de Oliveira Costa"</f>
        <v>Felipe Luzia de Oliveira Costa</v>
      </c>
      <c r="F81" s="2" t="str">
        <f>"48569896-1/1"</f>
        <v>48569896-1/1</v>
      </c>
      <c r="G81" s="2" t="str">
        <f>"Carteira 21"</f>
        <v>Carteira 21</v>
      </c>
      <c r="H81" s="2">
        <v>13</v>
      </c>
      <c r="I81" s="3">
        <v>89</v>
      </c>
      <c r="J81" s="2" t="str">
        <f>"02/01/2020"</f>
        <v>02/01/2020</v>
      </c>
      <c r="K81" s="2" t="str">
        <f>"15/01/2020"</f>
        <v>15/01/2020</v>
      </c>
      <c r="L81" s="2" t="str">
        <f>"15/01/2020"</f>
        <v>15/01/2020</v>
      </c>
      <c r="M81" s="2" t="str">
        <f>"27/12/2019"</f>
        <v>27/12/2019</v>
      </c>
      <c r="N81" s="2">
        <v>47.89</v>
      </c>
      <c r="O81" s="2">
        <v>47.89</v>
      </c>
      <c r="P81" s="2">
        <v>0</v>
      </c>
    </row>
    <row r="82" spans="1:16" s="2" customFormat="1" x14ac:dyDescent="0.25">
      <c r="A82" s="2">
        <v>45450317</v>
      </c>
      <c r="B82" s="2">
        <v>45450330</v>
      </c>
      <c r="C82" s="2" t="str">
        <f>"UNIMEDSJN"</f>
        <v>UNIMEDSJN</v>
      </c>
      <c r="D82" s="2" t="str">
        <f>"DH"</f>
        <v>DH</v>
      </c>
      <c r="E82" s="2" t="str">
        <f>"Fernanda Aparecida Dutra Filgueiras"</f>
        <v>Fernanda Aparecida Dutra Filgueiras</v>
      </c>
      <c r="F82" s="2" t="str">
        <f>"45450317-1/1"</f>
        <v>45450317-1/1</v>
      </c>
      <c r="G82" s="2" t="str">
        <f>"Carteira 21"</f>
        <v>Carteira 21</v>
      </c>
      <c r="H82" s="2">
        <v>24</v>
      </c>
      <c r="I82" s="3">
        <v>171</v>
      </c>
      <c r="J82" s="2" t="str">
        <f>"01/10/2019"</f>
        <v>01/10/2019</v>
      </c>
      <c r="K82" s="2" t="str">
        <f>"25/10/2019"</f>
        <v>25/10/2019</v>
      </c>
      <c r="L82" s="2" t="str">
        <f>"25/10/2019"</f>
        <v>25/10/2019</v>
      </c>
      <c r="M82" s="2" t="str">
        <f>"27/09/2019"</f>
        <v>27/09/2019</v>
      </c>
      <c r="N82" s="2">
        <v>54.12</v>
      </c>
      <c r="O82" s="2">
        <v>54.12</v>
      </c>
      <c r="P82" s="2">
        <v>0</v>
      </c>
    </row>
    <row r="83" spans="1:16" s="2" customFormat="1" x14ac:dyDescent="0.25">
      <c r="A83" s="2">
        <v>47498490</v>
      </c>
      <c r="B83" s="2">
        <v>47498505</v>
      </c>
      <c r="C83" s="2" t="str">
        <f>"UNIMEDSJN"</f>
        <v>UNIMEDSJN</v>
      </c>
      <c r="D83" s="2" t="str">
        <f>"DH"</f>
        <v>DH</v>
      </c>
      <c r="E83" s="2" t="str">
        <f>"Fernanda Lhamas Costa"</f>
        <v>Fernanda Lhamas Costa</v>
      </c>
      <c r="F83" s="2" t="str">
        <f>"47498490-1/1"</f>
        <v>47498490-1/1</v>
      </c>
      <c r="G83" s="2" t="str">
        <f>"Carteira 21"</f>
        <v>Carteira 21</v>
      </c>
      <c r="H83" s="2">
        <v>24</v>
      </c>
      <c r="I83" s="3">
        <v>110</v>
      </c>
      <c r="J83" s="2" t="str">
        <f>"01/12/2019"</f>
        <v>01/12/2019</v>
      </c>
      <c r="K83" s="2" t="str">
        <f>"25/12/2019"</f>
        <v>25/12/2019</v>
      </c>
      <c r="L83" s="2" t="str">
        <f>"10/02/2020"</f>
        <v>10/02/2020</v>
      </c>
      <c r="M83" s="2" t="str">
        <f>"11/02/2020"</f>
        <v>11/02/2020</v>
      </c>
      <c r="N83" s="2">
        <v>30</v>
      </c>
      <c r="O83" s="2">
        <v>31.07</v>
      </c>
      <c r="P83" s="2">
        <v>0</v>
      </c>
    </row>
    <row r="84" spans="1:16" s="2" customFormat="1" x14ac:dyDescent="0.25">
      <c r="A84" s="2">
        <v>48572459</v>
      </c>
      <c r="B84" s="2">
        <v>48572471</v>
      </c>
      <c r="C84" s="2" t="str">
        <f>"UNIMEDSJN"</f>
        <v>UNIMEDSJN</v>
      </c>
      <c r="D84" s="2" t="str">
        <f>"DH"</f>
        <v>DH</v>
      </c>
      <c r="E84" s="2" t="str">
        <f>"Fernanda Lhamas Costa"</f>
        <v>Fernanda Lhamas Costa</v>
      </c>
      <c r="F84" s="2" t="str">
        <f>"48572459-1/1"</f>
        <v>48572459-1/1</v>
      </c>
      <c r="G84" s="2" t="str">
        <f>"Carteira 21"</f>
        <v>Carteira 21</v>
      </c>
      <c r="H84" s="2">
        <v>23</v>
      </c>
      <c r="I84" s="3">
        <v>79</v>
      </c>
      <c r="J84" s="2" t="str">
        <f>"02/01/2020"</f>
        <v>02/01/2020</v>
      </c>
      <c r="K84" s="2" t="str">
        <f>"25/01/2020"</f>
        <v>25/01/2020</v>
      </c>
      <c r="L84" s="2" t="str">
        <f>"02/03/2020"</f>
        <v>02/03/2020</v>
      </c>
      <c r="M84" s="2" t="str">
        <f>"03/03/2020"</f>
        <v>03/03/2020</v>
      </c>
      <c r="N84" s="2">
        <v>20.04</v>
      </c>
      <c r="O84" s="2">
        <v>20.67</v>
      </c>
      <c r="P84" s="2">
        <v>1.9999999999996E-2</v>
      </c>
    </row>
    <row r="85" spans="1:16" s="2" customFormat="1" x14ac:dyDescent="0.25">
      <c r="A85" s="2">
        <v>48572347</v>
      </c>
      <c r="B85" s="2">
        <v>48572364</v>
      </c>
      <c r="C85" s="2" t="str">
        <f>"UNIMEDSJN"</f>
        <v>UNIMEDSJN</v>
      </c>
      <c r="D85" s="2" t="str">
        <f>"DH"</f>
        <v>DH</v>
      </c>
      <c r="E85" s="2" t="str">
        <f>"FLAVIA CRISTINA DE SOUZA ABREU"</f>
        <v>FLAVIA CRISTINA DE SOUZA ABREU</v>
      </c>
      <c r="F85" s="2" t="str">
        <f>"48572347-1/1"</f>
        <v>48572347-1/1</v>
      </c>
      <c r="G85" s="2" t="str">
        <f>"Carteira 21"</f>
        <v>Carteira 21</v>
      </c>
      <c r="H85" s="2">
        <v>23</v>
      </c>
      <c r="I85" s="3">
        <v>79</v>
      </c>
      <c r="J85" s="2" t="str">
        <f>"02/01/2020"</f>
        <v>02/01/2020</v>
      </c>
      <c r="K85" s="2" t="str">
        <f>"25/01/2020"</f>
        <v>25/01/2020</v>
      </c>
      <c r="L85" s="2" t="str">
        <f>"26/03/2020"</f>
        <v>26/03/2020</v>
      </c>
      <c r="M85" s="2" t="str">
        <f>"27/03/2020"</f>
        <v>27/03/2020</v>
      </c>
      <c r="N85" s="2">
        <v>30</v>
      </c>
      <c r="O85" s="2">
        <v>31.18</v>
      </c>
      <c r="P85" s="2">
        <v>3.0000000000001099E-2</v>
      </c>
    </row>
    <row r="86" spans="1:16" s="2" customFormat="1" x14ac:dyDescent="0.25">
      <c r="A86" s="2">
        <v>48577028</v>
      </c>
      <c r="B86" s="2">
        <v>48577044</v>
      </c>
      <c r="C86" s="2" t="str">
        <f>"UNIMEDSJN"</f>
        <v>UNIMEDSJN</v>
      </c>
      <c r="D86" s="2" t="str">
        <f>"DH"</f>
        <v>DH</v>
      </c>
      <c r="E86" s="2" t="str">
        <f>"Flavia de Rezende Macedo"</f>
        <v>Flavia de Rezende Macedo</v>
      </c>
      <c r="F86" s="2" t="str">
        <f>"48577028-1/1"</f>
        <v>48577028-1/1</v>
      </c>
      <c r="G86" s="2" t="str">
        <f>"Carteira 21"</f>
        <v>Carteira 21</v>
      </c>
      <c r="H86" s="2">
        <v>23</v>
      </c>
      <c r="I86" s="3">
        <v>79</v>
      </c>
      <c r="J86" s="2" t="str">
        <f>"02/01/2020"</f>
        <v>02/01/2020</v>
      </c>
      <c r="K86" s="2" t="str">
        <f>"25/01/2020"</f>
        <v>25/01/2020</v>
      </c>
      <c r="L86" s="2" t="str">
        <f>"27/01/2020"</f>
        <v>27/01/2020</v>
      </c>
      <c r="M86" s="2" t="str">
        <f>"16/03/2020"</f>
        <v>16/03/2020</v>
      </c>
      <c r="N86" s="2">
        <v>30</v>
      </c>
      <c r="O86" s="2">
        <v>30.8</v>
      </c>
      <c r="P86" s="2">
        <v>-0.80000000000000104</v>
      </c>
    </row>
    <row r="87" spans="1:16" s="2" customFormat="1" x14ac:dyDescent="0.25">
      <c r="A87" s="2">
        <v>48567596</v>
      </c>
      <c r="B87" s="2">
        <v>48567605</v>
      </c>
      <c r="C87" s="2" t="str">
        <f>"UNIMEDSJN"</f>
        <v>UNIMEDSJN</v>
      </c>
      <c r="D87" s="2" t="str">
        <f>"DH"</f>
        <v>DH</v>
      </c>
      <c r="E87" s="2" t="str">
        <f>"FLAVIA FERREIRA ALVES REBELLO"</f>
        <v>FLAVIA FERREIRA ALVES REBELLO</v>
      </c>
      <c r="F87" s="2" t="str">
        <f>"48567596-1/1"</f>
        <v>48567596-1/1</v>
      </c>
      <c r="G87" s="2" t="str">
        <f>"Carteira 21"</f>
        <v>Carteira 21</v>
      </c>
      <c r="H87" s="2">
        <v>20</v>
      </c>
      <c r="I87" s="3">
        <v>82</v>
      </c>
      <c r="J87" s="2" t="str">
        <f>"02/01/2020"</f>
        <v>02/01/2020</v>
      </c>
      <c r="K87" s="2" t="str">
        <f>"22/01/2020"</f>
        <v>22/01/2020</v>
      </c>
      <c r="L87" s="2" t="str">
        <f>"13/02/2020"</f>
        <v>13/02/2020</v>
      </c>
      <c r="M87" s="2" t="str">
        <f>"14/02/2020"</f>
        <v>14/02/2020</v>
      </c>
      <c r="N87" s="2">
        <v>306.52</v>
      </c>
      <c r="O87" s="2">
        <v>314.87</v>
      </c>
      <c r="P87" s="2">
        <v>2.9999999999972701E-2</v>
      </c>
    </row>
    <row r="88" spans="1:16" s="2" customFormat="1" x14ac:dyDescent="0.25">
      <c r="A88" s="2">
        <v>45930302</v>
      </c>
      <c r="B88" s="2">
        <v>45930309</v>
      </c>
      <c r="C88" s="2" t="str">
        <f>"UNIMEDSJN"</f>
        <v>UNIMEDSJN</v>
      </c>
      <c r="D88" s="2" t="str">
        <f>"DH"</f>
        <v>DH</v>
      </c>
      <c r="E88" s="2" t="str">
        <f>"Flaviane Aparecida Sodre de Almeida"</f>
        <v>Flaviane Aparecida Sodre de Almeida</v>
      </c>
      <c r="F88" s="2" t="str">
        <f>"45930302-1/1"</f>
        <v>45930302-1/1</v>
      </c>
      <c r="G88" s="2" t="str">
        <f>"CARTEIRA PERDA"</f>
        <v>CARTEIRA PERDA</v>
      </c>
      <c r="H88" s="2">
        <v>24</v>
      </c>
      <c r="I88" s="3">
        <v>140</v>
      </c>
      <c r="J88" s="2" t="str">
        <f>"01/11/2019"</f>
        <v>01/11/2019</v>
      </c>
      <c r="K88" s="2" t="str">
        <f>"25/11/2019"</f>
        <v>25/11/2019</v>
      </c>
      <c r="L88" s="2" t="str">
        <f>"25/11/2019"</f>
        <v>25/11/2019</v>
      </c>
      <c r="M88" s="2" t="str">
        <f>"05/03/2020"</f>
        <v>05/03/2020</v>
      </c>
      <c r="N88" s="2">
        <v>166.48</v>
      </c>
      <c r="O88" s="2">
        <v>166.48</v>
      </c>
      <c r="P88" s="2">
        <v>0</v>
      </c>
    </row>
    <row r="89" spans="1:16" s="2" customFormat="1" x14ac:dyDescent="0.25">
      <c r="A89" s="2">
        <v>48563436</v>
      </c>
      <c r="B89" s="2">
        <v>48563450</v>
      </c>
      <c r="C89" s="2" t="str">
        <f>"UNIMEDSJN"</f>
        <v>UNIMEDSJN</v>
      </c>
      <c r="D89" s="2" t="str">
        <f>"DH"</f>
        <v>DH</v>
      </c>
      <c r="E89" s="2" t="str">
        <f>"Flaviane Aparecida Sodre de Almeida"</f>
        <v>Flaviane Aparecida Sodre de Almeida</v>
      </c>
      <c r="F89" s="2" t="str">
        <f>"48563436-1/1"</f>
        <v>48563436-1/1</v>
      </c>
      <c r="G89" s="2" t="str">
        <f>"CARTEIRA PERDA"</f>
        <v>CARTEIRA PERDA</v>
      </c>
      <c r="H89" s="2">
        <v>23</v>
      </c>
      <c r="I89" s="3">
        <v>79</v>
      </c>
      <c r="J89" s="2" t="str">
        <f>"02/01/2020"</f>
        <v>02/01/2020</v>
      </c>
      <c r="K89" s="2" t="str">
        <f>"25/01/2020"</f>
        <v>25/01/2020</v>
      </c>
      <c r="L89" s="2" t="str">
        <f>"27/01/2020"</f>
        <v>27/01/2020</v>
      </c>
      <c r="M89" s="2" t="str">
        <f>"05/03/2020"</f>
        <v>05/03/2020</v>
      </c>
      <c r="N89" s="2">
        <v>5.69</v>
      </c>
      <c r="O89" s="2">
        <v>5.69</v>
      </c>
      <c r="P89" s="2">
        <v>0</v>
      </c>
    </row>
    <row r="90" spans="1:16" s="2" customFormat="1" x14ac:dyDescent="0.25">
      <c r="A90" s="2">
        <v>45920895</v>
      </c>
      <c r="B90" s="2">
        <v>45920902</v>
      </c>
      <c r="C90" s="2" t="str">
        <f>"UNIMEDSJN"</f>
        <v>UNIMEDSJN</v>
      </c>
      <c r="D90" s="2" t="str">
        <f>"DH"</f>
        <v>DH</v>
      </c>
      <c r="E90" s="2" t="str">
        <f>"Flavio Augusto Moraes Medeiros"</f>
        <v>Flavio Augusto Moraes Medeiros</v>
      </c>
      <c r="F90" s="2" t="str">
        <f>"45920895-1/1"</f>
        <v>45920895-1/1</v>
      </c>
      <c r="G90" s="2" t="str">
        <f>"Carteira 21"</f>
        <v>Carteira 21</v>
      </c>
      <c r="H90" s="2">
        <v>24</v>
      </c>
      <c r="I90" s="3">
        <v>140</v>
      </c>
      <c r="J90" s="2" t="str">
        <f>"01/11/2019"</f>
        <v>01/11/2019</v>
      </c>
      <c r="K90" s="2" t="str">
        <f>"25/11/2019"</f>
        <v>25/11/2019</v>
      </c>
      <c r="L90" s="2" t="str">
        <f>"05/02/2020"</f>
        <v>05/02/2020</v>
      </c>
      <c r="M90" s="2" t="str">
        <f>"06/02/2020"</f>
        <v>06/02/2020</v>
      </c>
      <c r="N90" s="2">
        <v>47.89</v>
      </c>
      <c r="O90" s="2">
        <v>49.99</v>
      </c>
      <c r="P90" s="2">
        <v>9.9999999999980105E-3</v>
      </c>
    </row>
    <row r="91" spans="1:16" s="2" customFormat="1" x14ac:dyDescent="0.25">
      <c r="A91" s="2">
        <v>45456517</v>
      </c>
      <c r="B91" s="2">
        <v>45456531</v>
      </c>
      <c r="C91" s="2" t="str">
        <f>"UNIMEDSJN"</f>
        <v>UNIMEDSJN</v>
      </c>
      <c r="D91" s="2" t="str">
        <f>"DH"</f>
        <v>DH</v>
      </c>
      <c r="E91" s="2" t="str">
        <f>"Franciane Linhares"</f>
        <v>Franciane Linhares</v>
      </c>
      <c r="F91" s="2" t="str">
        <f>"45456517-1/1"</f>
        <v>45456517-1/1</v>
      </c>
      <c r="G91" s="2" t="str">
        <f>"Carteira 21"</f>
        <v>Carteira 21</v>
      </c>
      <c r="H91" s="2">
        <v>24</v>
      </c>
      <c r="I91" s="3">
        <v>171</v>
      </c>
      <c r="J91" s="2" t="str">
        <f>"01/10/2019"</f>
        <v>01/10/2019</v>
      </c>
      <c r="K91" s="2" t="str">
        <f>"25/10/2019"</f>
        <v>25/10/2019</v>
      </c>
      <c r="L91" s="2" t="str">
        <f>"25/10/2019"</f>
        <v>25/10/2019</v>
      </c>
      <c r="M91" s="2" t="str">
        <f>"27/09/2019"</f>
        <v>27/09/2019</v>
      </c>
      <c r="N91" s="2">
        <v>12.72</v>
      </c>
      <c r="O91" s="2">
        <v>12.72</v>
      </c>
      <c r="P91" s="2">
        <v>0</v>
      </c>
    </row>
    <row r="92" spans="1:16" s="2" customFormat="1" x14ac:dyDescent="0.25">
      <c r="A92" s="2">
        <v>45922459</v>
      </c>
      <c r="B92" s="2">
        <v>45922467</v>
      </c>
      <c r="C92" s="2" t="str">
        <f>"UNIMEDSJN"</f>
        <v>UNIMEDSJN</v>
      </c>
      <c r="D92" s="2" t="str">
        <f>"DH"</f>
        <v>DH</v>
      </c>
      <c r="E92" s="2" t="str">
        <f>"Franciane Linhares"</f>
        <v>Franciane Linhares</v>
      </c>
      <c r="F92" s="2" t="str">
        <f>"45922459-1/1"</f>
        <v>45922459-1/1</v>
      </c>
      <c r="G92" s="2" t="str">
        <f>"Carteira 21"</f>
        <v>Carteira 21</v>
      </c>
      <c r="H92" s="2">
        <v>21</v>
      </c>
      <c r="I92" s="3">
        <v>143</v>
      </c>
      <c r="J92" s="2" t="str">
        <f>"01/11/2019"</f>
        <v>01/11/2019</v>
      </c>
      <c r="K92" s="2" t="str">
        <f>"22/11/2019"</f>
        <v>22/11/2019</v>
      </c>
      <c r="L92" s="2" t="str">
        <f>"22/11/2019"</f>
        <v>22/11/2019</v>
      </c>
      <c r="M92" s="2" t="str">
        <f>"31/10/2019"</f>
        <v>31/10/2019</v>
      </c>
      <c r="N92" s="2">
        <v>30</v>
      </c>
      <c r="O92" s="2">
        <v>30</v>
      </c>
      <c r="P92" s="2">
        <v>0</v>
      </c>
    </row>
    <row r="93" spans="1:16" s="2" customFormat="1" x14ac:dyDescent="0.25">
      <c r="A93" s="2">
        <v>45922473</v>
      </c>
      <c r="B93" s="2">
        <v>45922478</v>
      </c>
      <c r="C93" s="2" t="str">
        <f>"UNIMEDSJN"</f>
        <v>UNIMEDSJN</v>
      </c>
      <c r="D93" s="2" t="str">
        <f>"DH"</f>
        <v>DH</v>
      </c>
      <c r="E93" s="2" t="str">
        <f>"Franciane Linhares"</f>
        <v>Franciane Linhares</v>
      </c>
      <c r="F93" s="2" t="str">
        <f>"45922473-1/1"</f>
        <v>45922473-1/1</v>
      </c>
      <c r="G93" s="2" t="str">
        <f>"Carteira 21"</f>
        <v>Carteira 21</v>
      </c>
      <c r="H93" s="2">
        <v>24</v>
      </c>
      <c r="I93" s="3">
        <v>140</v>
      </c>
      <c r="J93" s="2" t="str">
        <f>"01/11/2019"</f>
        <v>01/11/2019</v>
      </c>
      <c r="K93" s="2" t="str">
        <f>"25/11/2019"</f>
        <v>25/11/2019</v>
      </c>
      <c r="L93" s="2" t="str">
        <f>"25/11/2019"</f>
        <v>25/11/2019</v>
      </c>
      <c r="M93" s="2" t="str">
        <f>"31/10/2019"</f>
        <v>31/10/2019</v>
      </c>
      <c r="N93" s="2">
        <v>30</v>
      </c>
      <c r="O93" s="2">
        <v>30</v>
      </c>
      <c r="P93" s="2">
        <v>0</v>
      </c>
    </row>
    <row r="94" spans="1:16" s="2" customFormat="1" x14ac:dyDescent="0.25">
      <c r="A94" s="2">
        <v>47502458</v>
      </c>
      <c r="B94" s="2">
        <v>47502467</v>
      </c>
      <c r="C94" s="2" t="str">
        <f>"UNIMEDSJN"</f>
        <v>UNIMEDSJN</v>
      </c>
      <c r="D94" s="2" t="str">
        <f>"DH"</f>
        <v>DH</v>
      </c>
      <c r="E94" s="2" t="str">
        <f>"Franciane Linhares"</f>
        <v>Franciane Linhares</v>
      </c>
      <c r="F94" s="2" t="str">
        <f>"47502458-1/1"</f>
        <v>47502458-1/1</v>
      </c>
      <c r="G94" s="2" t="str">
        <f>"Carteira 21"</f>
        <v>Carteira 21</v>
      </c>
      <c r="H94" s="2">
        <v>21</v>
      </c>
      <c r="I94" s="3">
        <v>113</v>
      </c>
      <c r="J94" s="2" t="str">
        <f>"01/12/2019"</f>
        <v>01/12/2019</v>
      </c>
      <c r="K94" s="2" t="str">
        <f>"22/12/2019"</f>
        <v>22/12/2019</v>
      </c>
      <c r="L94" s="2" t="str">
        <f>"23/12/2019"</f>
        <v>23/12/2019</v>
      </c>
      <c r="M94" s="2" t="str">
        <f>"28/11/2019"</f>
        <v>28/11/2019</v>
      </c>
      <c r="N94" s="2">
        <v>6.2</v>
      </c>
      <c r="O94" s="2">
        <v>6.2</v>
      </c>
      <c r="P94" s="2">
        <v>0</v>
      </c>
    </row>
    <row r="95" spans="1:16" s="2" customFormat="1" x14ac:dyDescent="0.25">
      <c r="A95" s="2">
        <v>47502490</v>
      </c>
      <c r="B95" s="2">
        <v>47502505</v>
      </c>
      <c r="C95" s="2" t="str">
        <f>"UNIMEDSJN"</f>
        <v>UNIMEDSJN</v>
      </c>
      <c r="D95" s="2" t="str">
        <f>"DH"</f>
        <v>DH</v>
      </c>
      <c r="E95" s="2" t="str">
        <f>"Franciane Linhares"</f>
        <v>Franciane Linhares</v>
      </c>
      <c r="F95" s="2" t="str">
        <f>"47502490-1/1"</f>
        <v>47502490-1/1</v>
      </c>
      <c r="G95" s="2" t="str">
        <f>"Carteira 21"</f>
        <v>Carteira 21</v>
      </c>
      <c r="H95" s="2">
        <v>24</v>
      </c>
      <c r="I95" s="3">
        <v>110</v>
      </c>
      <c r="J95" s="2" t="str">
        <f>"01/12/2019"</f>
        <v>01/12/2019</v>
      </c>
      <c r="K95" s="2" t="str">
        <f>"25/12/2019"</f>
        <v>25/12/2019</v>
      </c>
      <c r="L95" s="2" t="str">
        <f>"25/12/2019"</f>
        <v>25/12/2019</v>
      </c>
      <c r="M95" s="2" t="str">
        <f>"28/11/2019"</f>
        <v>28/11/2019</v>
      </c>
      <c r="N95" s="2">
        <v>30</v>
      </c>
      <c r="O95" s="2">
        <v>30</v>
      </c>
      <c r="P95" s="2">
        <v>0</v>
      </c>
    </row>
    <row r="96" spans="1:16" s="2" customFormat="1" x14ac:dyDescent="0.25">
      <c r="A96" s="2">
        <v>48577748</v>
      </c>
      <c r="B96" s="2">
        <v>48577761</v>
      </c>
      <c r="C96" s="2" t="str">
        <f>"UNIMEDSJN"</f>
        <v>UNIMEDSJN</v>
      </c>
      <c r="D96" s="2" t="str">
        <f>"DH"</f>
        <v>DH</v>
      </c>
      <c r="E96" s="2" t="str">
        <f>"Franciane Linhares"</f>
        <v>Franciane Linhares</v>
      </c>
      <c r="F96" s="2" t="str">
        <f>"48577748-1/1"</f>
        <v>48577748-1/1</v>
      </c>
      <c r="G96" s="2" t="str">
        <f>"Carteira 21"</f>
        <v>Carteira 21</v>
      </c>
      <c r="H96" s="2">
        <v>20</v>
      </c>
      <c r="I96" s="3">
        <v>82</v>
      </c>
      <c r="J96" s="2" t="str">
        <f>"02/01/2020"</f>
        <v>02/01/2020</v>
      </c>
      <c r="K96" s="2" t="str">
        <f>"22/01/2020"</f>
        <v>22/01/2020</v>
      </c>
      <c r="L96" s="2" t="str">
        <f>"22/01/2020"</f>
        <v>22/01/2020</v>
      </c>
      <c r="M96" s="2" t="str">
        <f>"27/12/2019"</f>
        <v>27/12/2019</v>
      </c>
      <c r="N96" s="2">
        <v>30</v>
      </c>
      <c r="O96" s="2">
        <v>30</v>
      </c>
      <c r="P96" s="2">
        <v>0</v>
      </c>
    </row>
    <row r="97" spans="1:16" s="2" customFormat="1" x14ac:dyDescent="0.25">
      <c r="A97" s="2">
        <v>48577767</v>
      </c>
      <c r="B97" s="2">
        <v>48577774</v>
      </c>
      <c r="C97" s="2" t="str">
        <f>"UNIMEDSJN"</f>
        <v>UNIMEDSJN</v>
      </c>
      <c r="D97" s="2" t="str">
        <f>"DH"</f>
        <v>DH</v>
      </c>
      <c r="E97" s="2" t="str">
        <f>"Franciane Linhares"</f>
        <v>Franciane Linhares</v>
      </c>
      <c r="F97" s="2" t="str">
        <f>"48577767-1/1"</f>
        <v>48577767-1/1</v>
      </c>
      <c r="G97" s="2" t="str">
        <f>"Carteira 21"</f>
        <v>Carteira 21</v>
      </c>
      <c r="H97" s="2">
        <v>23</v>
      </c>
      <c r="I97" s="3">
        <v>79</v>
      </c>
      <c r="J97" s="2" t="str">
        <f>"02/01/2020"</f>
        <v>02/01/2020</v>
      </c>
      <c r="K97" s="2" t="str">
        <f>"25/01/2020"</f>
        <v>25/01/2020</v>
      </c>
      <c r="L97" s="2" t="str">
        <f>"27/01/2020"</f>
        <v>27/01/2020</v>
      </c>
      <c r="M97" s="2" t="str">
        <f>"27/12/2019"</f>
        <v>27/12/2019</v>
      </c>
      <c r="N97" s="2">
        <v>30</v>
      </c>
      <c r="O97" s="2">
        <v>30</v>
      </c>
      <c r="P97" s="2">
        <v>0</v>
      </c>
    </row>
    <row r="98" spans="1:16" s="2" customFormat="1" x14ac:dyDescent="0.25">
      <c r="A98" s="2">
        <v>45451344</v>
      </c>
      <c r="B98" s="2">
        <v>45451354</v>
      </c>
      <c r="C98" s="2" t="str">
        <f>"UNIMEDSJN"</f>
        <v>UNIMEDSJN</v>
      </c>
      <c r="D98" s="2" t="str">
        <f>"DH"</f>
        <v>DH</v>
      </c>
      <c r="E98" s="2" t="str">
        <f>"Franciele Machado"</f>
        <v>Franciele Machado</v>
      </c>
      <c r="F98" s="2" t="str">
        <f>"45451344-1/1"</f>
        <v>45451344-1/1</v>
      </c>
      <c r="G98" s="2" t="str">
        <f>"Carteira 21"</f>
        <v>Carteira 21</v>
      </c>
      <c r="H98" s="2">
        <v>24</v>
      </c>
      <c r="I98" s="3">
        <v>171</v>
      </c>
      <c r="J98" s="2" t="str">
        <f>"01/10/2019"</f>
        <v>01/10/2019</v>
      </c>
      <c r="K98" s="2" t="str">
        <f>"25/10/2019"</f>
        <v>25/10/2019</v>
      </c>
      <c r="L98" s="2" t="str">
        <f>"25/10/2019"</f>
        <v>25/10/2019</v>
      </c>
      <c r="M98" s="2" t="str">
        <f>"27/09/2019"</f>
        <v>27/09/2019</v>
      </c>
      <c r="N98" s="2">
        <v>16.2</v>
      </c>
      <c r="O98" s="2">
        <v>16.2</v>
      </c>
      <c r="P98" s="2">
        <v>0</v>
      </c>
    </row>
    <row r="99" spans="1:16" s="2" customFormat="1" x14ac:dyDescent="0.25">
      <c r="A99" s="2">
        <v>47501889</v>
      </c>
      <c r="B99" s="2">
        <v>47501912</v>
      </c>
      <c r="C99" s="2" t="str">
        <f>"UNIMEDSJN"</f>
        <v>UNIMEDSJN</v>
      </c>
      <c r="D99" s="2" t="str">
        <f>"DH"</f>
        <v>DH</v>
      </c>
      <c r="E99" s="2" t="str">
        <f>"FRANCIELEN RAMOS BARAO"</f>
        <v>FRANCIELEN RAMOS BARAO</v>
      </c>
      <c r="F99" s="2" t="str">
        <f>"47501889-1/1"</f>
        <v>47501889-1/1</v>
      </c>
      <c r="G99" s="2" t="str">
        <f>"Carteira 21"</f>
        <v>Carteira 21</v>
      </c>
      <c r="H99" s="2">
        <v>24</v>
      </c>
      <c r="I99" s="3">
        <v>110</v>
      </c>
      <c r="J99" s="2" t="str">
        <f>"01/12/2019"</f>
        <v>01/12/2019</v>
      </c>
      <c r="K99" s="2" t="str">
        <f>"25/12/2019"</f>
        <v>25/12/2019</v>
      </c>
      <c r="L99" s="2" t="str">
        <f>"20/02/2020"</f>
        <v>20/02/2020</v>
      </c>
      <c r="M99" s="2" t="str">
        <f>"21/02/2020"</f>
        <v>21/02/2020</v>
      </c>
      <c r="N99" s="2">
        <v>34.659999999999997</v>
      </c>
      <c r="O99" s="2">
        <v>36</v>
      </c>
      <c r="P99" s="2">
        <v>1.00000000000051E-2</v>
      </c>
    </row>
    <row r="100" spans="1:16" s="2" customFormat="1" x14ac:dyDescent="0.25">
      <c r="A100" s="2">
        <v>48575842</v>
      </c>
      <c r="B100" s="2">
        <v>48575856</v>
      </c>
      <c r="C100" s="2" t="str">
        <f>"UNIMEDSJN"</f>
        <v>UNIMEDSJN</v>
      </c>
      <c r="D100" s="2" t="str">
        <f>"DH"</f>
        <v>DH</v>
      </c>
      <c r="E100" s="2" t="str">
        <f>"FRANCIELEN RAMOS BARAO"</f>
        <v>FRANCIELEN RAMOS BARAO</v>
      </c>
      <c r="F100" s="2" t="str">
        <f>"48575842-1/1"</f>
        <v>48575842-1/1</v>
      </c>
      <c r="G100" s="2" t="str">
        <f>"Carteira 21"</f>
        <v>Carteira 21</v>
      </c>
      <c r="H100" s="2">
        <v>23</v>
      </c>
      <c r="I100" s="3">
        <v>79</v>
      </c>
      <c r="J100" s="2" t="str">
        <f>"02/01/2020"</f>
        <v>02/01/2020</v>
      </c>
      <c r="K100" s="2" t="str">
        <f>"25/01/2020"</f>
        <v>25/01/2020</v>
      </c>
      <c r="L100" s="2" t="str">
        <f>"27/01/2020"</f>
        <v>27/01/2020</v>
      </c>
      <c r="M100" s="2" t="str">
        <f>"27/12/2019"</f>
        <v>27/12/2019</v>
      </c>
      <c r="N100" s="2">
        <v>75.03</v>
      </c>
      <c r="O100" s="2">
        <v>75.03</v>
      </c>
      <c r="P100" s="2">
        <v>0</v>
      </c>
    </row>
    <row r="101" spans="1:16" s="2" customFormat="1" x14ac:dyDescent="0.25">
      <c r="A101" s="2">
        <v>45450454</v>
      </c>
      <c r="B101" s="2">
        <v>45450474</v>
      </c>
      <c r="C101" s="2" t="str">
        <f>"UNIMEDSJN"</f>
        <v>UNIMEDSJN</v>
      </c>
      <c r="D101" s="2" t="str">
        <f>"DH"</f>
        <v>DH</v>
      </c>
      <c r="E101" s="2" t="str">
        <f>"GABRIEL COELHO MORAES"</f>
        <v>GABRIEL COELHO MORAES</v>
      </c>
      <c r="F101" s="2" t="str">
        <f>"45450454-1/1"</f>
        <v>45450454-1/1</v>
      </c>
      <c r="G101" s="2" t="str">
        <f>"Carteira 21"</f>
        <v>Carteira 21</v>
      </c>
      <c r="H101" s="2">
        <v>24</v>
      </c>
      <c r="I101" s="3">
        <v>171</v>
      </c>
      <c r="J101" s="2" t="str">
        <f>"01/10/2019"</f>
        <v>01/10/2019</v>
      </c>
      <c r="K101" s="2" t="str">
        <f>"25/10/2019"</f>
        <v>25/10/2019</v>
      </c>
      <c r="L101" s="2" t="str">
        <f>"25/10/2019"</f>
        <v>25/10/2019</v>
      </c>
      <c r="M101" s="2" t="str">
        <f>"27/09/2019"</f>
        <v>27/09/2019</v>
      </c>
      <c r="N101" s="2">
        <v>236.53</v>
      </c>
      <c r="O101" s="2">
        <v>236.53</v>
      </c>
      <c r="P101" s="2">
        <v>0</v>
      </c>
    </row>
    <row r="102" spans="1:16" s="2" customFormat="1" x14ac:dyDescent="0.25">
      <c r="A102" s="2">
        <v>45918524</v>
      </c>
      <c r="B102" s="2">
        <v>45918538</v>
      </c>
      <c r="C102" s="2" t="str">
        <f>"UNIMEDSJN"</f>
        <v>UNIMEDSJN</v>
      </c>
      <c r="D102" s="2" t="str">
        <f>"DH"</f>
        <v>DH</v>
      </c>
      <c r="E102" s="2" t="str">
        <f>"GABRIEL COELHO MORAES"</f>
        <v>GABRIEL COELHO MORAES</v>
      </c>
      <c r="F102" s="2" t="str">
        <f>"45918524-1/1"</f>
        <v>45918524-1/1</v>
      </c>
      <c r="G102" s="2" t="str">
        <f>"Carteira 21"</f>
        <v>Carteira 21</v>
      </c>
      <c r="H102" s="2">
        <v>24</v>
      </c>
      <c r="I102" s="3">
        <v>140</v>
      </c>
      <c r="J102" s="2" t="str">
        <f>"01/11/2019"</f>
        <v>01/11/2019</v>
      </c>
      <c r="K102" s="2" t="str">
        <f>"25/11/2019"</f>
        <v>25/11/2019</v>
      </c>
      <c r="L102" s="2" t="str">
        <f>"25/11/2019"</f>
        <v>25/11/2019</v>
      </c>
      <c r="M102" s="2" t="str">
        <f>"31/10/2019"</f>
        <v>31/10/2019</v>
      </c>
      <c r="N102" s="2">
        <v>63.36</v>
      </c>
      <c r="O102" s="2">
        <v>63.36</v>
      </c>
      <c r="P102" s="2">
        <v>0</v>
      </c>
    </row>
    <row r="103" spans="1:16" s="2" customFormat="1" x14ac:dyDescent="0.25">
      <c r="A103" s="2">
        <v>48574886</v>
      </c>
      <c r="B103" s="2">
        <v>48574896</v>
      </c>
      <c r="C103" s="2" t="str">
        <f>"UNIMEDSJN"</f>
        <v>UNIMEDSJN</v>
      </c>
      <c r="D103" s="2" t="str">
        <f>"DH"</f>
        <v>DH</v>
      </c>
      <c r="E103" s="2" t="str">
        <f>"GABRIEL LIMA AMINO"</f>
        <v>GABRIEL LIMA AMINO</v>
      </c>
      <c r="F103" s="2" t="str">
        <f>"48574886-1/1"</f>
        <v>48574886-1/1</v>
      </c>
      <c r="G103" s="2" t="str">
        <f>"Carteira 21"</f>
        <v>Carteira 21</v>
      </c>
      <c r="H103" s="2">
        <v>23</v>
      </c>
      <c r="I103" s="3">
        <v>79</v>
      </c>
      <c r="J103" s="2" t="str">
        <f>"02/01/2020"</f>
        <v>02/01/2020</v>
      </c>
      <c r="K103" s="2" t="str">
        <f>"25/01/2020"</f>
        <v>25/01/2020</v>
      </c>
      <c r="L103" s="2" t="str">
        <f>"04/02/2020"</f>
        <v>04/02/2020</v>
      </c>
      <c r="M103" s="2" t="str">
        <f>"05/02/2020"</f>
        <v>05/02/2020</v>
      </c>
      <c r="N103" s="2">
        <v>47.89</v>
      </c>
      <c r="O103" s="2">
        <v>48.98</v>
      </c>
      <c r="P103" s="2">
        <v>2.9999999999994E-2</v>
      </c>
    </row>
    <row r="104" spans="1:16" s="2" customFormat="1" x14ac:dyDescent="0.25">
      <c r="A104" s="2">
        <v>45921843</v>
      </c>
      <c r="B104" s="2">
        <v>45921852</v>
      </c>
      <c r="C104" s="2" t="str">
        <f>"UNIMEDSJN"</f>
        <v>UNIMEDSJN</v>
      </c>
      <c r="D104" s="2" t="str">
        <f>"DH"</f>
        <v>DH</v>
      </c>
      <c r="E104" s="2" t="str">
        <f>"GABRIEL MENDES EGYDIO"</f>
        <v>GABRIEL MENDES EGYDIO</v>
      </c>
      <c r="F104" s="2" t="str">
        <f>"45921843-1/1"</f>
        <v>45921843-1/1</v>
      </c>
      <c r="G104" s="2" t="str">
        <f>"Carteira 21"</f>
        <v>Carteira 21</v>
      </c>
      <c r="H104" s="2">
        <v>24</v>
      </c>
      <c r="I104" s="3">
        <v>140</v>
      </c>
      <c r="J104" s="2" t="str">
        <f>"01/11/2019"</f>
        <v>01/11/2019</v>
      </c>
      <c r="K104" s="2" t="str">
        <f>"25/11/2019"</f>
        <v>25/11/2019</v>
      </c>
      <c r="L104" s="2" t="str">
        <f>"04/02/2020"</f>
        <v>04/02/2020</v>
      </c>
      <c r="M104" s="2" t="str">
        <f>"05/02/2020"</f>
        <v>05/02/2020</v>
      </c>
      <c r="N104" s="2">
        <v>53.58</v>
      </c>
      <c r="O104" s="2">
        <v>55.91</v>
      </c>
      <c r="P104" s="2">
        <v>9.9999999999909103E-3</v>
      </c>
    </row>
    <row r="105" spans="1:16" s="2" customFormat="1" x14ac:dyDescent="0.25">
      <c r="A105" s="2">
        <v>47501687</v>
      </c>
      <c r="B105" s="2">
        <v>47501699</v>
      </c>
      <c r="C105" s="2" t="str">
        <f>"UNIMEDSJN"</f>
        <v>UNIMEDSJN</v>
      </c>
      <c r="D105" s="2" t="str">
        <f>"DH"</f>
        <v>DH</v>
      </c>
      <c r="E105" s="2" t="str">
        <f>"GABRIEL MENDES EGYDIO"</f>
        <v>GABRIEL MENDES EGYDIO</v>
      </c>
      <c r="F105" s="2" t="str">
        <f>"47501687-1/1"</f>
        <v>47501687-1/1</v>
      </c>
      <c r="G105" s="2" t="str">
        <f>"Carteira 21"</f>
        <v>Carteira 21</v>
      </c>
      <c r="H105" s="2">
        <v>24</v>
      </c>
      <c r="I105" s="3">
        <v>110</v>
      </c>
      <c r="J105" s="2" t="str">
        <f>"01/12/2019"</f>
        <v>01/12/2019</v>
      </c>
      <c r="K105" s="2" t="str">
        <f>"25/12/2019"</f>
        <v>25/12/2019</v>
      </c>
      <c r="L105" s="2" t="str">
        <f>"13/03/2020"</f>
        <v>13/03/2020</v>
      </c>
      <c r="M105" s="2" t="str">
        <f>"16/03/2020"</f>
        <v>16/03/2020</v>
      </c>
      <c r="N105" s="2">
        <v>56.7</v>
      </c>
      <c r="O105" s="2">
        <v>59.3</v>
      </c>
      <c r="P105" s="2">
        <v>1.9999999999996E-2</v>
      </c>
    </row>
    <row r="106" spans="1:16" s="2" customFormat="1" x14ac:dyDescent="0.25">
      <c r="A106" s="2">
        <v>43565144</v>
      </c>
      <c r="B106" s="2">
        <v>43565164</v>
      </c>
      <c r="C106" s="2" t="str">
        <f>"UNIMEDSJN"</f>
        <v>UNIMEDSJN</v>
      </c>
      <c r="D106" s="2" t="str">
        <f>"DH"</f>
        <v>DH</v>
      </c>
      <c r="E106" s="2" t="str">
        <f>"Gabriella Pinton Pavanelli"</f>
        <v>Gabriella Pinton Pavanelli</v>
      </c>
      <c r="F106" s="2" t="str">
        <f>"43565144-1/1"</f>
        <v>43565144-1/1</v>
      </c>
      <c r="G106" s="2" t="str">
        <f>"Carteira 21"</f>
        <v>Carteira 21</v>
      </c>
      <c r="H106" s="2">
        <v>22</v>
      </c>
      <c r="I106" s="3">
        <v>293</v>
      </c>
      <c r="J106" s="2" t="str">
        <f>"03/06/2019"</f>
        <v>03/06/2019</v>
      </c>
      <c r="K106" s="2" t="str">
        <f>"25/06/2019"</f>
        <v>25/06/2019</v>
      </c>
      <c r="L106" s="2" t="str">
        <f>"25/06/2019"</f>
        <v>25/06/2019</v>
      </c>
      <c r="M106" s="2" t="str">
        <f>"03/06/2019"</f>
        <v>03/06/2019</v>
      </c>
      <c r="N106" s="2">
        <v>61.98</v>
      </c>
      <c r="O106" s="2">
        <v>61.98</v>
      </c>
      <c r="P106" s="2">
        <v>0</v>
      </c>
    </row>
    <row r="107" spans="1:16" s="2" customFormat="1" x14ac:dyDescent="0.25">
      <c r="A107" s="2">
        <v>43994065</v>
      </c>
      <c r="B107" s="2">
        <v>43994086</v>
      </c>
      <c r="C107" s="2" t="str">
        <f>"UNIMEDSJN"</f>
        <v>UNIMEDSJN</v>
      </c>
      <c r="D107" s="2" t="str">
        <f>"DH"</f>
        <v>DH</v>
      </c>
      <c r="E107" s="2" t="str">
        <f>"Geder Matos Mendonca"</f>
        <v>Geder Matos Mendonca</v>
      </c>
      <c r="F107" s="2" t="str">
        <f>"43994065-1/1"</f>
        <v>43994065-1/1</v>
      </c>
      <c r="G107" s="2" t="str">
        <f>"Carteira 21"</f>
        <v>Carteira 21</v>
      </c>
      <c r="H107" s="2">
        <v>24</v>
      </c>
      <c r="I107" s="3">
        <v>263</v>
      </c>
      <c r="J107" s="2" t="str">
        <f>"01/07/2019"</f>
        <v>01/07/2019</v>
      </c>
      <c r="K107" s="2" t="str">
        <f>"25/07/2019"</f>
        <v>25/07/2019</v>
      </c>
      <c r="L107" s="2" t="str">
        <f>"25/07/2019"</f>
        <v>25/07/2019</v>
      </c>
      <c r="M107" s="2" t="str">
        <f>"01/07/2019"</f>
        <v>01/07/2019</v>
      </c>
      <c r="N107" s="2">
        <v>58.38</v>
      </c>
      <c r="O107" s="2">
        <v>58.38</v>
      </c>
      <c r="P107" s="2">
        <v>0</v>
      </c>
    </row>
    <row r="108" spans="1:16" s="2" customFormat="1" x14ac:dyDescent="0.25">
      <c r="A108" s="2">
        <v>44328457</v>
      </c>
      <c r="B108" s="2">
        <v>44328462</v>
      </c>
      <c r="C108" s="2" t="str">
        <f>"UNIMEDSJN"</f>
        <v>UNIMEDSJN</v>
      </c>
      <c r="D108" s="2" t="str">
        <f>"DH"</f>
        <v>DH</v>
      </c>
      <c r="E108" s="2" t="str">
        <f>"Geder Matos Mendonca"</f>
        <v>Geder Matos Mendonca</v>
      </c>
      <c r="F108" s="2" t="str">
        <f>"44328457-1/1"</f>
        <v>44328457-1/1</v>
      </c>
      <c r="G108" s="2" t="str">
        <f>"Carteira 21"</f>
        <v>Carteira 21</v>
      </c>
      <c r="H108" s="2">
        <v>24</v>
      </c>
      <c r="I108" s="3">
        <v>232</v>
      </c>
      <c r="J108" s="2" t="str">
        <f>"01/08/2019"</f>
        <v>01/08/2019</v>
      </c>
      <c r="K108" s="2" t="str">
        <f>"25/08/2019"</f>
        <v>25/08/2019</v>
      </c>
      <c r="L108" s="2" t="str">
        <f>"26/08/2019"</f>
        <v>26/08/2019</v>
      </c>
      <c r="M108" s="2" t="str">
        <f>"31/07/2019"</f>
        <v>31/07/2019</v>
      </c>
      <c r="N108" s="2">
        <v>30</v>
      </c>
      <c r="O108" s="2">
        <v>30</v>
      </c>
      <c r="P108" s="2">
        <v>0</v>
      </c>
    </row>
    <row r="109" spans="1:16" s="2" customFormat="1" x14ac:dyDescent="0.25">
      <c r="A109" s="2">
        <v>44014809</v>
      </c>
      <c r="B109" s="2">
        <v>44014906</v>
      </c>
      <c r="C109" s="2" t="str">
        <f>"UNIMEDSJN"</f>
        <v>UNIMEDSJN</v>
      </c>
      <c r="D109" s="2" t="str">
        <f>"DH"</f>
        <v>DH</v>
      </c>
      <c r="E109" s="2" t="str">
        <f>"GEICILAINE ALVES BASILIO"</f>
        <v>GEICILAINE ALVES BASILIO</v>
      </c>
      <c r="F109" s="2" t="str">
        <f>"44014809-1/1"</f>
        <v>44014809-1/1</v>
      </c>
      <c r="G109" s="2" t="str">
        <f>"Carteira 21"</f>
        <v>Carteira 21</v>
      </c>
      <c r="H109" s="2">
        <v>28</v>
      </c>
      <c r="I109" s="3">
        <v>258</v>
      </c>
      <c r="J109" s="2" t="str">
        <f>"02/07/2019"</f>
        <v>02/07/2019</v>
      </c>
      <c r="K109" s="2" t="str">
        <f>"30/07/2019"</f>
        <v>30/07/2019</v>
      </c>
      <c r="L109" s="2" t="str">
        <f>"30/07/2019"</f>
        <v>30/07/2019</v>
      </c>
      <c r="M109" s="2" t="str">
        <f>"02/07/2019"</f>
        <v>02/07/2019</v>
      </c>
      <c r="N109" s="2">
        <v>637.49</v>
      </c>
      <c r="O109" s="2">
        <v>637.49</v>
      </c>
      <c r="P109" s="2">
        <v>0</v>
      </c>
    </row>
    <row r="110" spans="1:16" s="2" customFormat="1" x14ac:dyDescent="0.25">
      <c r="A110" s="2">
        <v>44369879</v>
      </c>
      <c r="B110" s="2">
        <v>44369891</v>
      </c>
      <c r="C110" s="2" t="str">
        <f>"UNIMEDSJN"</f>
        <v>UNIMEDSJN</v>
      </c>
      <c r="D110" s="2" t="str">
        <f>"DH"</f>
        <v>DH</v>
      </c>
      <c r="E110" s="2" t="str">
        <f>"GEICILAINE ALVES BASILIO"</f>
        <v>GEICILAINE ALVES BASILIO</v>
      </c>
      <c r="F110" s="2" t="str">
        <f>"44369879-1/1"</f>
        <v>44369879-1/1</v>
      </c>
      <c r="G110" s="2" t="str">
        <f>"Carteira 21"</f>
        <v>Carteira 21</v>
      </c>
      <c r="H110" s="2">
        <v>29</v>
      </c>
      <c r="I110" s="3">
        <v>227</v>
      </c>
      <c r="J110" s="2" t="str">
        <f>"01/08/2019"</f>
        <v>01/08/2019</v>
      </c>
      <c r="K110" s="2" t="str">
        <f>"30/08/2019"</f>
        <v>30/08/2019</v>
      </c>
      <c r="L110" s="2" t="str">
        <f>"30/08/2019"</f>
        <v>30/08/2019</v>
      </c>
      <c r="M110" s="2" t="str">
        <f>"01/08/2019"</f>
        <v>01/08/2019</v>
      </c>
      <c r="N110" s="2">
        <v>271.2</v>
      </c>
      <c r="O110" s="2">
        <v>271.2</v>
      </c>
      <c r="P110" s="2">
        <v>0</v>
      </c>
    </row>
    <row r="111" spans="1:16" s="2" customFormat="1" x14ac:dyDescent="0.25">
      <c r="A111" s="2">
        <v>45061174</v>
      </c>
      <c r="B111" s="2">
        <v>45061199</v>
      </c>
      <c r="C111" s="2" t="str">
        <f>"UNIMEDSJN"</f>
        <v>UNIMEDSJN</v>
      </c>
      <c r="D111" s="2" t="str">
        <f>"DH"</f>
        <v>DH</v>
      </c>
      <c r="E111" s="2" t="str">
        <f>"GEICILAINE ALVES BASILIO"</f>
        <v>GEICILAINE ALVES BASILIO</v>
      </c>
      <c r="F111" s="2" t="str">
        <f>"45061174-1/1"</f>
        <v>45061174-1/1</v>
      </c>
      <c r="G111" s="2" t="str">
        <f>"Carteira 21"</f>
        <v>Carteira 21</v>
      </c>
      <c r="H111" s="2">
        <v>28</v>
      </c>
      <c r="I111" s="3">
        <v>196</v>
      </c>
      <c r="J111" s="2" t="str">
        <f>"02/09/2019"</f>
        <v>02/09/2019</v>
      </c>
      <c r="K111" s="2" t="str">
        <f>"30/09/2019"</f>
        <v>30/09/2019</v>
      </c>
      <c r="L111" s="2" t="str">
        <f>"30/09/2019"</f>
        <v>30/09/2019</v>
      </c>
      <c r="M111" s="2" t="str">
        <f>"03/09/2019"</f>
        <v>03/09/2019</v>
      </c>
      <c r="N111" s="2">
        <v>334.49</v>
      </c>
      <c r="O111" s="2">
        <v>334.49</v>
      </c>
      <c r="P111" s="2">
        <v>0</v>
      </c>
    </row>
    <row r="112" spans="1:16" s="2" customFormat="1" x14ac:dyDescent="0.25">
      <c r="A112" s="2">
        <v>45952429</v>
      </c>
      <c r="B112" s="2">
        <v>45952443</v>
      </c>
      <c r="C112" s="2" t="str">
        <f>"UNIMEDSJN"</f>
        <v>UNIMEDSJN</v>
      </c>
      <c r="D112" s="2" t="str">
        <f>"DH"</f>
        <v>DH</v>
      </c>
      <c r="E112" s="2" t="str">
        <f>"GEICILAINE ALVES BASILIO"</f>
        <v>GEICILAINE ALVES BASILIO</v>
      </c>
      <c r="F112" s="2" t="str">
        <f>"45952429-1/1"</f>
        <v>45952429-1/1</v>
      </c>
      <c r="G112" s="2" t="str">
        <f>"Carteira 21"</f>
        <v>Carteira 21</v>
      </c>
      <c r="H112" s="2">
        <v>29</v>
      </c>
      <c r="I112" s="3">
        <v>135</v>
      </c>
      <c r="J112" s="2" t="str">
        <f>"01/11/2019"</f>
        <v>01/11/2019</v>
      </c>
      <c r="K112" s="2" t="str">
        <f>"30/11/2019"</f>
        <v>30/11/2019</v>
      </c>
      <c r="L112" s="2" t="str">
        <f>"10/02/2020"</f>
        <v>10/02/2020</v>
      </c>
      <c r="M112" s="2" t="str">
        <f>"11/02/2020"</f>
        <v>11/02/2020</v>
      </c>
      <c r="N112" s="2">
        <v>126.81</v>
      </c>
      <c r="O112" s="2">
        <v>126.81</v>
      </c>
      <c r="P112" s="2">
        <v>5.58</v>
      </c>
    </row>
    <row r="113" spans="1:16" s="2" customFormat="1" x14ac:dyDescent="0.25">
      <c r="A113" s="2">
        <v>43279244</v>
      </c>
      <c r="B113" s="2">
        <v>43279256</v>
      </c>
      <c r="C113" s="2" t="str">
        <f t="shared" ref="C113" si="0">"UNIMEDSJN"</f>
        <v>UNIMEDSJN</v>
      </c>
      <c r="D113" s="2" t="str">
        <f t="shared" ref="D113" si="1">"DH"</f>
        <v>DH</v>
      </c>
      <c r="E113" s="2" t="str">
        <f>"GEICILAINE ALVES BASILIO"</f>
        <v>GEICILAINE ALVES BASILIO</v>
      </c>
      <c r="F113" s="2" t="str">
        <f>"43279244-1/1"</f>
        <v>43279244-1/1</v>
      </c>
      <c r="G113" s="2" t="str">
        <f>"Carteira 21"</f>
        <v>Carteira 21</v>
      </c>
      <c r="H113" s="2">
        <v>116</v>
      </c>
      <c r="I113" s="3">
        <v>230</v>
      </c>
      <c r="J113" s="2" t="str">
        <f>"03/05/2019"</f>
        <v>03/05/2019</v>
      </c>
      <c r="K113" s="2" t="str">
        <f>"27/08/2019"</f>
        <v>27/08/2019</v>
      </c>
      <c r="L113" s="2" t="str">
        <f>"05/08/2019"</f>
        <v>05/08/2019</v>
      </c>
      <c r="M113" s="2" t="str">
        <f>"25/09/2019"</f>
        <v>25/09/2019</v>
      </c>
      <c r="N113" s="2">
        <v>204</v>
      </c>
      <c r="O113" s="2">
        <v>204</v>
      </c>
      <c r="P113" s="2">
        <v>0</v>
      </c>
    </row>
    <row r="114" spans="1:16" s="2" customFormat="1" x14ac:dyDescent="0.25">
      <c r="A114" s="2">
        <v>47502759</v>
      </c>
      <c r="B114" s="2">
        <v>47502777</v>
      </c>
      <c r="C114" s="2" t="str">
        <f>"UNIMEDSJN"</f>
        <v>UNIMEDSJN</v>
      </c>
      <c r="D114" s="2" t="str">
        <f>"DH"</f>
        <v>DH</v>
      </c>
      <c r="E114" s="2" t="str">
        <f>"Geisimara Alves de Oliveira"</f>
        <v>Geisimara Alves de Oliveira</v>
      </c>
      <c r="F114" s="2" t="str">
        <f>"47502759-1/1"</f>
        <v>47502759-1/1</v>
      </c>
      <c r="G114" s="2" t="str">
        <f>"Carteira 21"</f>
        <v>Carteira 21</v>
      </c>
      <c r="H114" s="2">
        <v>24</v>
      </c>
      <c r="I114" s="3">
        <v>110</v>
      </c>
      <c r="J114" s="2" t="str">
        <f>"01/12/2019"</f>
        <v>01/12/2019</v>
      </c>
      <c r="K114" s="2" t="str">
        <f>"25/12/2019"</f>
        <v>25/12/2019</v>
      </c>
      <c r="L114" s="2" t="str">
        <f>"11/02/2020"</f>
        <v>11/02/2020</v>
      </c>
      <c r="M114" s="2" t="str">
        <f>"12/02/2020"</f>
        <v>12/02/2020</v>
      </c>
      <c r="N114" s="2">
        <v>28.35</v>
      </c>
      <c r="O114" s="2">
        <v>29.36</v>
      </c>
      <c r="P114" s="2">
        <v>1.00000000000016E-2</v>
      </c>
    </row>
    <row r="115" spans="1:16" s="2" customFormat="1" x14ac:dyDescent="0.25">
      <c r="A115" s="2">
        <v>48576077</v>
      </c>
      <c r="B115" s="2">
        <v>48576088</v>
      </c>
      <c r="C115" s="2" t="str">
        <f>"UNIMEDSJN"</f>
        <v>UNIMEDSJN</v>
      </c>
      <c r="D115" s="2" t="str">
        <f>"DH"</f>
        <v>DH</v>
      </c>
      <c r="E115" s="2" t="str">
        <f>"Geisimara Alves de Oliveira"</f>
        <v>Geisimara Alves de Oliveira</v>
      </c>
      <c r="F115" s="2" t="str">
        <f>"48576077-1/1"</f>
        <v>48576077-1/1</v>
      </c>
      <c r="G115" s="2" t="str">
        <f>"Carteira 21"</f>
        <v>Carteira 21</v>
      </c>
      <c r="H115" s="2">
        <v>23</v>
      </c>
      <c r="I115" s="3">
        <v>79</v>
      </c>
      <c r="J115" s="2" t="str">
        <f>"02/01/2020"</f>
        <v>02/01/2020</v>
      </c>
      <c r="K115" s="2" t="str">
        <f>"25/01/2020"</f>
        <v>25/01/2020</v>
      </c>
      <c r="L115" s="2" t="str">
        <f>"12/03/2020"</f>
        <v>12/03/2020</v>
      </c>
      <c r="M115" s="2" t="str">
        <f>"13/03/2020"</f>
        <v>13/03/2020</v>
      </c>
      <c r="N115" s="2">
        <v>30</v>
      </c>
      <c r="O115" s="2">
        <v>31.05</v>
      </c>
      <c r="P115" s="2">
        <v>1.9999999999999601E-2</v>
      </c>
    </row>
    <row r="116" spans="1:16" s="2" customFormat="1" x14ac:dyDescent="0.25">
      <c r="A116" s="2">
        <v>47501490</v>
      </c>
      <c r="B116" s="2">
        <v>47501507</v>
      </c>
      <c r="C116" s="2" t="str">
        <f>"UNIMEDSJN"</f>
        <v>UNIMEDSJN</v>
      </c>
      <c r="D116" s="2" t="str">
        <f>"DH"</f>
        <v>DH</v>
      </c>
      <c r="E116" s="2" t="str">
        <f>"GESSICA ROBERTA MENDES PACHECO"</f>
        <v>GESSICA ROBERTA MENDES PACHECO</v>
      </c>
      <c r="F116" s="2" t="str">
        <f>"47501490-1/1"</f>
        <v>47501490-1/1</v>
      </c>
      <c r="G116" s="2" t="str">
        <f>"Carteira 21"</f>
        <v>Carteira 21</v>
      </c>
      <c r="H116" s="2">
        <v>24</v>
      </c>
      <c r="I116" s="3">
        <v>110</v>
      </c>
      <c r="J116" s="2" t="str">
        <f>"01/12/2019"</f>
        <v>01/12/2019</v>
      </c>
      <c r="K116" s="2" t="str">
        <f>"25/12/2019"</f>
        <v>25/12/2019</v>
      </c>
      <c r="L116" s="2" t="str">
        <f>"20/02/2020"</f>
        <v>20/02/2020</v>
      </c>
      <c r="M116" s="2" t="str">
        <f>"21/02/2020"</f>
        <v>21/02/2020</v>
      </c>
      <c r="N116" s="2">
        <v>60</v>
      </c>
      <c r="O116" s="2">
        <v>62.33</v>
      </c>
      <c r="P116" s="2">
        <v>1.00000000000051E-2</v>
      </c>
    </row>
    <row r="117" spans="1:16" s="2" customFormat="1" x14ac:dyDescent="0.25">
      <c r="A117" s="2">
        <v>48576710</v>
      </c>
      <c r="B117" s="2">
        <v>48576719</v>
      </c>
      <c r="C117" s="2" t="str">
        <f>"UNIMEDSJN"</f>
        <v>UNIMEDSJN</v>
      </c>
      <c r="D117" s="2" t="str">
        <f>"DH"</f>
        <v>DH</v>
      </c>
      <c r="E117" s="2" t="str">
        <f>"GESSICA ROBERTA MENDES PACHECO"</f>
        <v>GESSICA ROBERTA MENDES PACHECO</v>
      </c>
      <c r="F117" s="2" t="str">
        <f>"48576710-1/1"</f>
        <v>48576710-1/1</v>
      </c>
      <c r="G117" s="2" t="str">
        <f>"Carteira 21"</f>
        <v>Carteira 21</v>
      </c>
      <c r="H117" s="2">
        <v>23</v>
      </c>
      <c r="I117" s="3">
        <v>79</v>
      </c>
      <c r="J117" s="2" t="str">
        <f>"02/01/2020"</f>
        <v>02/01/2020</v>
      </c>
      <c r="K117" s="2" t="str">
        <f>"25/01/2020"</f>
        <v>25/01/2020</v>
      </c>
      <c r="L117" s="2" t="str">
        <f>"20/02/2020"</f>
        <v>20/02/2020</v>
      </c>
      <c r="M117" s="2" t="str">
        <f>"21/02/2020"</f>
        <v>21/02/2020</v>
      </c>
      <c r="N117" s="2">
        <v>118.47</v>
      </c>
      <c r="O117" s="2">
        <v>121.78</v>
      </c>
      <c r="P117" s="2">
        <v>9.0000000000003397E-2</v>
      </c>
    </row>
    <row r="118" spans="1:16" s="2" customFormat="1" x14ac:dyDescent="0.25">
      <c r="A118" s="2">
        <v>47495283</v>
      </c>
      <c r="B118" s="2">
        <v>47495306</v>
      </c>
      <c r="C118" s="2" t="str">
        <f>"UNIMEDSJN"</f>
        <v>UNIMEDSJN</v>
      </c>
      <c r="D118" s="2" t="str">
        <f>"DH"</f>
        <v>DH</v>
      </c>
      <c r="E118" s="2" t="str">
        <f>"Gilcelina Aparecida Edvirgem Silva"</f>
        <v>Gilcelina Aparecida Edvirgem Silva</v>
      </c>
      <c r="F118" s="2" t="str">
        <f>"47495283-1/1"</f>
        <v>47495283-1/1</v>
      </c>
      <c r="G118" s="2" t="str">
        <f>"Carteira 21"</f>
        <v>Carteira 21</v>
      </c>
      <c r="H118" s="2">
        <v>24</v>
      </c>
      <c r="I118" s="3">
        <v>110</v>
      </c>
      <c r="J118" s="2" t="str">
        <f>"01/12/2019"</f>
        <v>01/12/2019</v>
      </c>
      <c r="K118" s="2" t="str">
        <f>"25/12/2019"</f>
        <v>25/12/2019</v>
      </c>
      <c r="L118" s="2" t="str">
        <f>"02/03/2020"</f>
        <v>02/03/2020</v>
      </c>
      <c r="M118" s="2" t="str">
        <f>"03/03/2020"</f>
        <v>03/03/2020</v>
      </c>
      <c r="N118" s="2">
        <v>60</v>
      </c>
      <c r="O118" s="2">
        <v>62.54</v>
      </c>
      <c r="P118" s="2">
        <v>2.0000000000003099E-2</v>
      </c>
    </row>
    <row r="119" spans="1:16" s="2" customFormat="1" x14ac:dyDescent="0.25">
      <c r="A119" s="2">
        <v>48569244</v>
      </c>
      <c r="B119" s="2">
        <v>48569267</v>
      </c>
      <c r="C119" s="2" t="str">
        <f>"UNIMEDSJN"</f>
        <v>UNIMEDSJN</v>
      </c>
      <c r="D119" s="2" t="str">
        <f>"DH"</f>
        <v>DH</v>
      </c>
      <c r="E119" s="2" t="str">
        <f>"Gilcelina Aparecida Edvirgem Silva"</f>
        <v>Gilcelina Aparecida Edvirgem Silva</v>
      </c>
      <c r="F119" s="2" t="str">
        <f>"48569244-1/1"</f>
        <v>48569244-1/1</v>
      </c>
      <c r="G119" s="2" t="str">
        <f>"Carteira 21"</f>
        <v>Carteira 21</v>
      </c>
      <c r="H119" s="2">
        <v>23</v>
      </c>
      <c r="I119" s="3">
        <v>79</v>
      </c>
      <c r="J119" s="2" t="str">
        <f>"02/01/2020"</f>
        <v>02/01/2020</v>
      </c>
      <c r="K119" s="2" t="str">
        <f>"25/01/2020"</f>
        <v>25/01/2020</v>
      </c>
      <c r="L119" s="2" t="str">
        <f>"27/01/2020"</f>
        <v>27/01/2020</v>
      </c>
      <c r="M119" s="2" t="str">
        <f>"27/12/2019"</f>
        <v>27/12/2019</v>
      </c>
      <c r="N119" s="2">
        <v>4.33</v>
      </c>
      <c r="O119" s="2">
        <v>4.33</v>
      </c>
      <c r="P119" s="2">
        <v>0</v>
      </c>
    </row>
    <row r="120" spans="1:16" s="2" customFormat="1" x14ac:dyDescent="0.25">
      <c r="A120" s="2">
        <v>48562583</v>
      </c>
      <c r="B120" s="2">
        <v>48562604</v>
      </c>
      <c r="C120" s="2" t="str">
        <f>"UNIMEDSJN"</f>
        <v>UNIMEDSJN</v>
      </c>
      <c r="D120" s="2" t="str">
        <f>"DH"</f>
        <v>DH</v>
      </c>
      <c r="E120" s="2" t="str">
        <f>"GIOVANA FERREIRA"</f>
        <v>GIOVANA FERREIRA</v>
      </c>
      <c r="F120" s="2" t="str">
        <f>"48562583-1/1"</f>
        <v>48562583-1/1</v>
      </c>
      <c r="G120" s="2" t="str">
        <f>"Carteira 21"</f>
        <v>Carteira 21</v>
      </c>
      <c r="H120" s="2">
        <v>13</v>
      </c>
      <c r="I120" s="3">
        <v>89</v>
      </c>
      <c r="J120" s="2" t="str">
        <f>"02/01/2020"</f>
        <v>02/01/2020</v>
      </c>
      <c r="K120" s="2" t="str">
        <f>"15/01/2020"</f>
        <v>15/01/2020</v>
      </c>
      <c r="L120" s="2" t="str">
        <f>"17/02/2020"</f>
        <v>17/02/2020</v>
      </c>
      <c r="M120" s="2" t="str">
        <f>"18/02/2020"</f>
        <v>18/02/2020</v>
      </c>
      <c r="N120" s="2">
        <v>82.2</v>
      </c>
      <c r="O120" s="2">
        <v>84.73</v>
      </c>
      <c r="P120" s="2">
        <v>1.00000000000051E-2</v>
      </c>
    </row>
    <row r="121" spans="1:16" s="2" customFormat="1" x14ac:dyDescent="0.25">
      <c r="A121" s="2">
        <v>45918745</v>
      </c>
      <c r="B121" s="2">
        <v>45918768</v>
      </c>
      <c r="C121" s="2" t="str">
        <f>"UNIMEDSJN"</f>
        <v>UNIMEDSJN</v>
      </c>
      <c r="D121" s="2" t="str">
        <f>"DH"</f>
        <v>DH</v>
      </c>
      <c r="E121" s="2" t="str">
        <f>"Giselli Prado Calegari"</f>
        <v>Giselli Prado Calegari</v>
      </c>
      <c r="F121" s="2" t="str">
        <f>"45918745-1/1"</f>
        <v>45918745-1/1</v>
      </c>
      <c r="G121" s="2" t="str">
        <f>"Carteira 21"</f>
        <v>Carteira 21</v>
      </c>
      <c r="H121" s="2">
        <v>24</v>
      </c>
      <c r="I121" s="3">
        <v>140</v>
      </c>
      <c r="J121" s="2" t="str">
        <f>"01/11/2019"</f>
        <v>01/11/2019</v>
      </c>
      <c r="K121" s="2" t="str">
        <f>"25/11/2019"</f>
        <v>25/11/2019</v>
      </c>
      <c r="L121" s="2" t="str">
        <f>"25/11/2019"</f>
        <v>25/11/2019</v>
      </c>
      <c r="M121" s="2" t="str">
        <f>"31/10/2019"</f>
        <v>31/10/2019</v>
      </c>
      <c r="N121" s="2">
        <v>28.35</v>
      </c>
      <c r="O121" s="2">
        <v>28.35</v>
      </c>
      <c r="P121" s="2">
        <v>0</v>
      </c>
    </row>
    <row r="122" spans="1:16" s="2" customFormat="1" x14ac:dyDescent="0.25">
      <c r="A122" s="2">
        <v>48578220</v>
      </c>
      <c r="B122" s="2">
        <v>48578232</v>
      </c>
      <c r="C122" s="2" t="str">
        <f>"UNIMEDSJN"</f>
        <v>UNIMEDSJN</v>
      </c>
      <c r="D122" s="2" t="str">
        <f>"DH"</f>
        <v>DH</v>
      </c>
      <c r="E122" s="2" t="str">
        <f>"Gizele Costa"</f>
        <v>Gizele Costa</v>
      </c>
      <c r="F122" s="2" t="str">
        <f>"48578220-1/1"</f>
        <v>48578220-1/1</v>
      </c>
      <c r="G122" s="2" t="str">
        <f>"Carteira 21"</f>
        <v>Carteira 21</v>
      </c>
      <c r="H122" s="2">
        <v>23</v>
      </c>
      <c r="I122" s="3">
        <v>79</v>
      </c>
      <c r="J122" s="2" t="str">
        <f>"02/01/2020"</f>
        <v>02/01/2020</v>
      </c>
      <c r="K122" s="2" t="str">
        <f>"25/01/2020"</f>
        <v>25/01/2020</v>
      </c>
      <c r="L122" s="2" t="str">
        <f>"13/02/2020"</f>
        <v>13/02/2020</v>
      </c>
      <c r="M122" s="2" t="str">
        <f>"14/02/2020"</f>
        <v>14/02/2020</v>
      </c>
      <c r="N122" s="2">
        <v>97.21</v>
      </c>
      <c r="O122" s="2">
        <v>99.7</v>
      </c>
      <c r="P122" s="2">
        <v>7.0000000000007404E-2</v>
      </c>
    </row>
    <row r="123" spans="1:16" s="2" customFormat="1" x14ac:dyDescent="0.25">
      <c r="A123" s="2">
        <v>48578249</v>
      </c>
      <c r="B123" s="2">
        <v>48578261</v>
      </c>
      <c r="C123" s="2" t="str">
        <f>"UNIMEDSJN"</f>
        <v>UNIMEDSJN</v>
      </c>
      <c r="D123" s="2" t="str">
        <f>"DH"</f>
        <v>DH</v>
      </c>
      <c r="E123" s="2" t="str">
        <f>"Gizele Costa"</f>
        <v>Gizele Costa</v>
      </c>
      <c r="F123" s="2" t="str">
        <f>"48578249-1/1"</f>
        <v>48578249-1/1</v>
      </c>
      <c r="G123" s="2" t="str">
        <f>"Carteira 21"</f>
        <v>Carteira 21</v>
      </c>
      <c r="H123" s="2">
        <v>23</v>
      </c>
      <c r="I123" s="3">
        <v>79</v>
      </c>
      <c r="J123" s="2" t="str">
        <f>"02/01/2020"</f>
        <v>02/01/2020</v>
      </c>
      <c r="K123" s="2" t="str">
        <f>"25/01/2020"</f>
        <v>25/01/2020</v>
      </c>
      <c r="L123" s="2" t="str">
        <f>"10/02/2020"</f>
        <v>10/02/2020</v>
      </c>
      <c r="M123" s="2" t="str">
        <f>"11/02/2020"</f>
        <v>11/02/2020</v>
      </c>
      <c r="N123" s="2">
        <v>56.7</v>
      </c>
      <c r="O123" s="2">
        <v>58.09</v>
      </c>
      <c r="P123" s="2">
        <v>3.9999999999999099E-2</v>
      </c>
    </row>
    <row r="124" spans="1:16" s="2" customFormat="1" x14ac:dyDescent="0.25">
      <c r="A124" s="2">
        <v>47494429</v>
      </c>
      <c r="B124" s="2">
        <v>47494443</v>
      </c>
      <c r="C124" s="2" t="str">
        <f>"UNIMEDSJN"</f>
        <v>UNIMEDSJN</v>
      </c>
      <c r="D124" s="2" t="str">
        <f>"DH"</f>
        <v>DH</v>
      </c>
      <c r="E124" s="2" t="str">
        <f>"Gleice Kelli Navarini Amado"</f>
        <v>Gleice Kelli Navarini Amado</v>
      </c>
      <c r="F124" s="2" t="str">
        <f>"47494429-1/1"</f>
        <v>47494429-1/1</v>
      </c>
      <c r="G124" s="2" t="str">
        <f>"Carteira 21"</f>
        <v>Carteira 21</v>
      </c>
      <c r="H124" s="2">
        <v>24</v>
      </c>
      <c r="I124" s="3">
        <v>110</v>
      </c>
      <c r="J124" s="2" t="str">
        <f>"01/12/2019"</f>
        <v>01/12/2019</v>
      </c>
      <c r="K124" s="2" t="str">
        <f>"25/12/2019"</f>
        <v>25/12/2019</v>
      </c>
      <c r="L124" s="2" t="str">
        <f>"13/02/2020"</f>
        <v>13/02/2020</v>
      </c>
      <c r="M124" s="2" t="str">
        <f>"14/02/2020"</f>
        <v>14/02/2020</v>
      </c>
      <c r="N124" s="2">
        <v>44.42</v>
      </c>
      <c r="O124" s="2">
        <v>46.04</v>
      </c>
      <c r="P124" s="2">
        <v>1.00000000000051E-2</v>
      </c>
    </row>
    <row r="125" spans="1:16" s="2" customFormat="1" x14ac:dyDescent="0.25">
      <c r="A125" s="2">
        <v>47494844</v>
      </c>
      <c r="B125" s="2">
        <v>47494855</v>
      </c>
      <c r="C125" s="2" t="str">
        <f>"UNIMEDSJN"</f>
        <v>UNIMEDSJN</v>
      </c>
      <c r="D125" s="2" t="str">
        <f>"DH"</f>
        <v>DH</v>
      </c>
      <c r="E125" s="2" t="str">
        <f>"GUILHERME LIMA VIVAQUA"</f>
        <v>GUILHERME LIMA VIVAQUA</v>
      </c>
      <c r="F125" s="2" t="str">
        <f>"47494844-1/1"</f>
        <v>47494844-1/1</v>
      </c>
      <c r="G125" s="2" t="str">
        <f>"Carteira 21"</f>
        <v>Carteira 21</v>
      </c>
      <c r="H125" s="2">
        <v>24</v>
      </c>
      <c r="I125" s="3">
        <v>110</v>
      </c>
      <c r="J125" s="2" t="str">
        <f>"01/12/2019"</f>
        <v>01/12/2019</v>
      </c>
      <c r="K125" s="2" t="str">
        <f>"25/12/2019"</f>
        <v>25/12/2019</v>
      </c>
      <c r="L125" s="2" t="str">
        <f>"25/12/2019"</f>
        <v>25/12/2019</v>
      </c>
      <c r="M125" s="2" t="str">
        <f>"28/11/2019"</f>
        <v>28/11/2019</v>
      </c>
      <c r="N125" s="2">
        <v>89.77</v>
      </c>
      <c r="O125" s="2">
        <v>89.77</v>
      </c>
      <c r="P125" s="2">
        <v>0</v>
      </c>
    </row>
    <row r="126" spans="1:16" s="2" customFormat="1" x14ac:dyDescent="0.25">
      <c r="A126" s="2">
        <v>47501249</v>
      </c>
      <c r="B126" s="2">
        <v>47501269</v>
      </c>
      <c r="C126" s="2" t="str">
        <f>"UNIMEDSJN"</f>
        <v>UNIMEDSJN</v>
      </c>
      <c r="D126" s="2" t="str">
        <f>"DH"</f>
        <v>DH</v>
      </c>
      <c r="E126" s="2" t="str">
        <f>"HENRIQUE HUNGARO DE SOUZA"</f>
        <v>HENRIQUE HUNGARO DE SOUZA</v>
      </c>
      <c r="F126" s="2" t="str">
        <f>"47501249-1/1"</f>
        <v>47501249-1/1</v>
      </c>
      <c r="G126" s="2" t="str">
        <f>"Carteira 21"</f>
        <v>Carteira 21</v>
      </c>
      <c r="H126" s="2">
        <v>24</v>
      </c>
      <c r="I126" s="3">
        <v>110</v>
      </c>
      <c r="J126" s="2" t="str">
        <f>"01/12/2019"</f>
        <v>01/12/2019</v>
      </c>
      <c r="K126" s="2" t="str">
        <f>"25/12/2019"</f>
        <v>25/12/2019</v>
      </c>
      <c r="L126" s="2" t="str">
        <f>"11/02/2020"</f>
        <v>11/02/2020</v>
      </c>
      <c r="M126" s="2" t="str">
        <f>"12/02/2020"</f>
        <v>12/02/2020</v>
      </c>
      <c r="N126" s="2">
        <v>30</v>
      </c>
      <c r="O126" s="2">
        <v>31.08</v>
      </c>
      <c r="P126" s="2">
        <v>0</v>
      </c>
    </row>
    <row r="127" spans="1:16" s="2" customFormat="1" x14ac:dyDescent="0.25">
      <c r="A127" s="2">
        <v>48569821</v>
      </c>
      <c r="B127" s="2">
        <v>48569841</v>
      </c>
      <c r="C127" s="2" t="str">
        <f>"UNIMEDSJN"</f>
        <v>UNIMEDSJN</v>
      </c>
      <c r="D127" s="2" t="str">
        <f>"DH"</f>
        <v>DH</v>
      </c>
      <c r="E127" s="2" t="str">
        <f>"HENRIQUE TRINDADE NASCIMENTO"</f>
        <v>HENRIQUE TRINDADE NASCIMENTO</v>
      </c>
      <c r="F127" s="2" t="str">
        <f>"48569821-1/1"</f>
        <v>48569821-1/1</v>
      </c>
      <c r="G127" s="2" t="str">
        <f>"Carteira 21"</f>
        <v>Carteira 21</v>
      </c>
      <c r="H127" s="2">
        <v>23</v>
      </c>
      <c r="I127" s="3">
        <v>79</v>
      </c>
      <c r="J127" s="2" t="str">
        <f>"02/01/2020"</f>
        <v>02/01/2020</v>
      </c>
      <c r="K127" s="2" t="str">
        <f>"25/01/2020"</f>
        <v>25/01/2020</v>
      </c>
      <c r="L127" s="2" t="str">
        <f>"20/03/2020"</f>
        <v>20/03/2020</v>
      </c>
      <c r="M127" s="2" t="str">
        <f>"23/03/2020"</f>
        <v>23/03/2020</v>
      </c>
      <c r="N127" s="2">
        <v>30</v>
      </c>
      <c r="O127" s="2">
        <v>31.13</v>
      </c>
      <c r="P127" s="2">
        <v>1.9999999999999601E-2</v>
      </c>
    </row>
    <row r="128" spans="1:16" s="2" customFormat="1" x14ac:dyDescent="0.25">
      <c r="A128" s="2">
        <v>47499414</v>
      </c>
      <c r="B128" s="2">
        <v>47499436</v>
      </c>
      <c r="C128" s="2" t="str">
        <f>"UNIMEDSJN"</f>
        <v>UNIMEDSJN</v>
      </c>
      <c r="D128" s="2" t="str">
        <f>"DH"</f>
        <v>DH</v>
      </c>
      <c r="E128" s="2" t="str">
        <f>"Humberto Bernardo Rodrigues"</f>
        <v>Humberto Bernardo Rodrigues</v>
      </c>
      <c r="F128" s="2" t="str">
        <f>"47499414-1/1"</f>
        <v>47499414-1/1</v>
      </c>
      <c r="G128" s="2" t="str">
        <f>"Carteira 21"</f>
        <v>Carteira 21</v>
      </c>
      <c r="H128" s="2">
        <v>24</v>
      </c>
      <c r="I128" s="3">
        <v>110</v>
      </c>
      <c r="J128" s="2" t="str">
        <f>"01/12/2019"</f>
        <v>01/12/2019</v>
      </c>
      <c r="K128" s="2" t="str">
        <f>"25/12/2019"</f>
        <v>25/12/2019</v>
      </c>
      <c r="L128" s="2" t="str">
        <f>"26/03/2020"</f>
        <v>26/03/2020</v>
      </c>
      <c r="M128" s="2" t="str">
        <f>"27/03/2020"</f>
        <v>27/03/2020</v>
      </c>
      <c r="N128" s="2">
        <v>122.04</v>
      </c>
      <c r="O128" s="2">
        <v>128.18</v>
      </c>
      <c r="P128" s="2">
        <v>4.0000000000006301E-2</v>
      </c>
    </row>
    <row r="129" spans="1:16" s="2" customFormat="1" x14ac:dyDescent="0.25">
      <c r="A129" s="2">
        <v>48570804</v>
      </c>
      <c r="B129" s="2">
        <v>48570824</v>
      </c>
      <c r="C129" s="2" t="str">
        <f>"UNIMEDSJN"</f>
        <v>UNIMEDSJN</v>
      </c>
      <c r="D129" s="2" t="str">
        <f>"DH"</f>
        <v>DH</v>
      </c>
      <c r="E129" s="2" t="str">
        <f>"IGOR FARIA AZEVEDO"</f>
        <v>IGOR FARIA AZEVEDO</v>
      </c>
      <c r="F129" s="2" t="str">
        <f>"48570804-1/1"</f>
        <v>48570804-1/1</v>
      </c>
      <c r="G129" s="2" t="str">
        <f>"Carteira 21"</f>
        <v>Carteira 21</v>
      </c>
      <c r="H129" s="2">
        <v>23</v>
      </c>
      <c r="I129" s="3">
        <v>79</v>
      </c>
      <c r="J129" s="2" t="str">
        <f>"02/01/2020"</f>
        <v>02/01/2020</v>
      </c>
      <c r="K129" s="2" t="str">
        <f>"25/01/2020"</f>
        <v>25/01/2020</v>
      </c>
      <c r="L129" s="2" t="str">
        <f>"27/01/2020"</f>
        <v>27/01/2020</v>
      </c>
      <c r="M129" s="2" t="str">
        <f>"27/12/2019"</f>
        <v>27/12/2019</v>
      </c>
      <c r="N129" s="2">
        <v>60</v>
      </c>
      <c r="O129" s="2">
        <v>60</v>
      </c>
      <c r="P129" s="2">
        <v>0</v>
      </c>
    </row>
    <row r="130" spans="1:16" s="2" customFormat="1" x14ac:dyDescent="0.25">
      <c r="A130" s="2">
        <v>45497197</v>
      </c>
      <c r="B130" s="2">
        <v>48793427</v>
      </c>
      <c r="C130" s="2" t="str">
        <f>"UNIMEDSJN"</f>
        <v>UNIMEDSJN</v>
      </c>
      <c r="D130" s="2" t="str">
        <f>"DH"</f>
        <v>DH</v>
      </c>
      <c r="E130" s="2" t="str">
        <f>"Ingrid Mariana Moraes E Silva"</f>
        <v>Ingrid Mariana Moraes E Silva</v>
      </c>
      <c r="F130" s="2" t="str">
        <f>"45497197-1/1"</f>
        <v>45497197-1/1</v>
      </c>
      <c r="G130" s="2" t="str">
        <f>"Carteira 21"</f>
        <v>Carteira 21</v>
      </c>
      <c r="H130" s="2">
        <v>59</v>
      </c>
      <c r="I130" s="3">
        <v>136</v>
      </c>
      <c r="J130" s="2" t="str">
        <f>"01/10/2019"</f>
        <v>01/10/2019</v>
      </c>
      <c r="K130" s="2" t="str">
        <f>"29/11/2019"</f>
        <v>29/11/2019</v>
      </c>
      <c r="L130" s="2" t="str">
        <f>"29/11/2019"</f>
        <v>29/11/2019</v>
      </c>
      <c r="M130" s="2" t="str">
        <f>"20/01/2020"</f>
        <v>20/01/2020</v>
      </c>
      <c r="N130" s="2">
        <v>24.59</v>
      </c>
      <c r="O130" s="2">
        <v>24.59</v>
      </c>
      <c r="P130" s="2">
        <v>0</v>
      </c>
    </row>
    <row r="131" spans="1:16" s="2" customFormat="1" x14ac:dyDescent="0.25">
      <c r="A131" s="2">
        <v>45952257</v>
      </c>
      <c r="B131" s="2">
        <v>45952273</v>
      </c>
      <c r="C131" s="2" t="str">
        <f>"UNIMEDSJN"</f>
        <v>UNIMEDSJN</v>
      </c>
      <c r="D131" s="2" t="str">
        <f>"DH"</f>
        <v>DH</v>
      </c>
      <c r="E131" s="2" t="str">
        <f>"Ingrid Mariana Moraes E Silva"</f>
        <v>Ingrid Mariana Moraes E Silva</v>
      </c>
      <c r="F131" s="2" t="str">
        <f>"45952257-1/1"</f>
        <v>45952257-1/1</v>
      </c>
      <c r="G131" s="2" t="str">
        <f>"Carteira 21"</f>
        <v>Carteira 21</v>
      </c>
      <c r="H131" s="2">
        <v>58</v>
      </c>
      <c r="I131" s="3">
        <v>106</v>
      </c>
      <c r="J131" s="2" t="str">
        <f>"01/11/2019"</f>
        <v>01/11/2019</v>
      </c>
      <c r="K131" s="2" t="str">
        <f>"29/12/2019"</f>
        <v>29/12/2019</v>
      </c>
      <c r="L131" s="2" t="str">
        <f>"30/12/2019"</f>
        <v>30/12/2019</v>
      </c>
      <c r="M131" s="2" t="str">
        <f>"16/01/2020"</f>
        <v>16/01/2020</v>
      </c>
      <c r="N131" s="2">
        <v>214.4</v>
      </c>
      <c r="O131" s="2">
        <v>214.4</v>
      </c>
      <c r="P131" s="2">
        <v>0</v>
      </c>
    </row>
    <row r="132" spans="1:16" s="2" customFormat="1" x14ac:dyDescent="0.25">
      <c r="A132" s="2">
        <v>47513117</v>
      </c>
      <c r="B132" s="2">
        <v>47513409</v>
      </c>
      <c r="C132" s="2" t="str">
        <f>"UNIMEDSJN"</f>
        <v>UNIMEDSJN</v>
      </c>
      <c r="D132" s="2" t="str">
        <f>"DH"</f>
        <v>DH</v>
      </c>
      <c r="E132" s="2" t="str">
        <f>"Ingrid Mariana Moraes E Silva"</f>
        <v>Ingrid Mariana Moraes E Silva</v>
      </c>
      <c r="F132" s="2" t="str">
        <f>"47513117-1/1"</f>
        <v>47513117-1/1</v>
      </c>
      <c r="G132" s="2" t="str">
        <f>"Carteira 21"</f>
        <v>Carteira 21</v>
      </c>
      <c r="H132" s="2">
        <v>29</v>
      </c>
      <c r="I132" s="3">
        <v>105</v>
      </c>
      <c r="J132" s="2" t="str">
        <f>"01/12/2019"</f>
        <v>01/12/2019</v>
      </c>
      <c r="K132" s="2" t="str">
        <f>"30/12/2019"</f>
        <v>30/12/2019</v>
      </c>
      <c r="L132" s="2" t="str">
        <f>"30/12/2019"</f>
        <v>30/12/2019</v>
      </c>
      <c r="M132" s="2" t="str">
        <f>"28/11/2019"</f>
        <v>28/11/2019</v>
      </c>
      <c r="N132" s="2">
        <v>200</v>
      </c>
      <c r="O132" s="2">
        <v>200</v>
      </c>
      <c r="P132" s="2">
        <v>0</v>
      </c>
    </row>
    <row r="133" spans="1:16" s="2" customFormat="1" x14ac:dyDescent="0.25">
      <c r="A133" s="2">
        <v>48586665</v>
      </c>
      <c r="B133" s="2">
        <v>48586678</v>
      </c>
      <c r="C133" s="2" t="str">
        <f>"UNIMEDSJN"</f>
        <v>UNIMEDSJN</v>
      </c>
      <c r="D133" s="2" t="str">
        <f>"DH"</f>
        <v>DH</v>
      </c>
      <c r="E133" s="2" t="str">
        <f>"Ingrid Mariana Moraes E Silva"</f>
        <v>Ingrid Mariana Moraes E Silva</v>
      </c>
      <c r="F133" s="2" t="str">
        <f>"48586665-1/1"</f>
        <v>48586665-1/1</v>
      </c>
      <c r="G133" s="2" t="str">
        <f>"Carteira 21"</f>
        <v>Carteira 21</v>
      </c>
      <c r="H133" s="2">
        <v>28</v>
      </c>
      <c r="I133" s="3">
        <v>74</v>
      </c>
      <c r="J133" s="2" t="str">
        <f>"02/01/2020"</f>
        <v>02/01/2020</v>
      </c>
      <c r="K133" s="2" t="str">
        <f>"30/01/2020"</f>
        <v>30/01/2020</v>
      </c>
      <c r="L133" s="2" t="str">
        <f>"30/01/2020"</f>
        <v>30/01/2020</v>
      </c>
      <c r="M133" s="2" t="str">
        <f>"27/12/2019"</f>
        <v>27/12/2019</v>
      </c>
      <c r="N133" s="2">
        <v>593.01</v>
      </c>
      <c r="O133" s="2">
        <v>593.01</v>
      </c>
      <c r="P133" s="2">
        <v>0</v>
      </c>
    </row>
    <row r="134" spans="1:16" s="2" customFormat="1" x14ac:dyDescent="0.25">
      <c r="A134" s="2">
        <v>48572974</v>
      </c>
      <c r="B134" s="2">
        <v>48572988</v>
      </c>
      <c r="C134" s="2" t="str">
        <f>"UNIMEDSJN"</f>
        <v>UNIMEDSJN</v>
      </c>
      <c r="D134" s="2" t="str">
        <f>"DH"</f>
        <v>DH</v>
      </c>
      <c r="E134" s="2" t="str">
        <f>"Irene Chaves Kattah"</f>
        <v>Irene Chaves Kattah</v>
      </c>
      <c r="F134" s="2" t="str">
        <f>"48572974-1/1"</f>
        <v>48572974-1/1</v>
      </c>
      <c r="G134" s="2" t="str">
        <f>"Carteira 21"</f>
        <v>Carteira 21</v>
      </c>
      <c r="H134" s="2">
        <v>23</v>
      </c>
      <c r="I134" s="3">
        <v>79</v>
      </c>
      <c r="J134" s="2" t="str">
        <f>"02/01/2020"</f>
        <v>02/01/2020</v>
      </c>
      <c r="K134" s="2" t="str">
        <f>"25/01/2020"</f>
        <v>25/01/2020</v>
      </c>
      <c r="L134" s="2" t="str">
        <f>"02/03/2020"</f>
        <v>02/03/2020</v>
      </c>
      <c r="M134" s="2" t="str">
        <f>"03/03/2020"</f>
        <v>03/03/2020</v>
      </c>
      <c r="N134" s="2">
        <v>14.4</v>
      </c>
      <c r="O134" s="2">
        <v>14.86</v>
      </c>
      <c r="P134" s="2">
        <v>1.00000000000016E-2</v>
      </c>
    </row>
    <row r="135" spans="1:16" s="2" customFormat="1" x14ac:dyDescent="0.25">
      <c r="A135" s="2">
        <v>48562564</v>
      </c>
      <c r="B135" s="2">
        <v>48562575</v>
      </c>
      <c r="C135" s="2" t="str">
        <f>"UNIMEDSJN"</f>
        <v>UNIMEDSJN</v>
      </c>
      <c r="D135" s="2" t="str">
        <f>"DH"</f>
        <v>DH</v>
      </c>
      <c r="E135" s="2" t="str">
        <f>"IZABELA ALBERTONI LOUZADA"</f>
        <v>IZABELA ALBERTONI LOUZADA</v>
      </c>
      <c r="F135" s="2" t="str">
        <f>"48562564-1/1"</f>
        <v>48562564-1/1</v>
      </c>
      <c r="G135" s="2" t="str">
        <f>"Carteira 21"</f>
        <v>Carteira 21</v>
      </c>
      <c r="H135" s="2">
        <v>20</v>
      </c>
      <c r="I135" s="3">
        <v>82</v>
      </c>
      <c r="J135" s="2" t="str">
        <f>"02/01/2020"</f>
        <v>02/01/2020</v>
      </c>
      <c r="K135" s="2" t="str">
        <f>"22/01/2020"</f>
        <v>22/01/2020</v>
      </c>
      <c r="L135" s="2" t="str">
        <f>"17/02/2020"</f>
        <v>17/02/2020</v>
      </c>
      <c r="M135" s="2" t="str">
        <f>"18/02/2020"</f>
        <v>18/02/2020</v>
      </c>
      <c r="N135" s="2">
        <v>40.200000000000003</v>
      </c>
      <c r="O135" s="2">
        <v>41.35</v>
      </c>
      <c r="P135" s="2">
        <v>0</v>
      </c>
    </row>
    <row r="136" spans="1:16" s="2" customFormat="1" x14ac:dyDescent="0.25">
      <c r="A136" s="2">
        <v>45912847</v>
      </c>
      <c r="B136" s="2">
        <v>45912862</v>
      </c>
      <c r="C136" s="2" t="str">
        <f>"UNIMEDSJN"</f>
        <v>UNIMEDSJN</v>
      </c>
      <c r="D136" s="2" t="str">
        <f>"DH"</f>
        <v>DH</v>
      </c>
      <c r="E136" s="2" t="str">
        <f>"Jairo Pereira Toledo"</f>
        <v>Jairo Pereira Toledo</v>
      </c>
      <c r="F136" s="2" t="str">
        <f>"45912847-1/1"</f>
        <v>45912847-1/1</v>
      </c>
      <c r="G136" s="2" t="str">
        <f>"Carteira 21"</f>
        <v>Carteira 21</v>
      </c>
      <c r="H136" s="2">
        <v>24</v>
      </c>
      <c r="I136" s="3">
        <v>140</v>
      </c>
      <c r="J136" s="2" t="str">
        <f>"01/11/2019"</f>
        <v>01/11/2019</v>
      </c>
      <c r="K136" s="2" t="str">
        <f>"25/11/2019"</f>
        <v>25/11/2019</v>
      </c>
      <c r="L136" s="2" t="str">
        <f>"25/11/2019"</f>
        <v>25/11/2019</v>
      </c>
      <c r="M136" s="2" t="str">
        <f>"31/10/2019"</f>
        <v>31/10/2019</v>
      </c>
      <c r="N136" s="2">
        <v>28.35</v>
      </c>
      <c r="O136" s="2">
        <v>28.35</v>
      </c>
      <c r="P136" s="2">
        <v>0</v>
      </c>
    </row>
    <row r="137" spans="1:16" s="2" customFormat="1" x14ac:dyDescent="0.25">
      <c r="A137" s="2">
        <v>45912872</v>
      </c>
      <c r="B137" s="2">
        <v>45913146</v>
      </c>
      <c r="C137" s="2" t="str">
        <f>"UNIMEDSJN"</f>
        <v>UNIMEDSJN</v>
      </c>
      <c r="D137" s="2" t="str">
        <f>"DH"</f>
        <v>DH</v>
      </c>
      <c r="E137" s="2" t="str">
        <f>"Jairo Pereira Toledo"</f>
        <v>Jairo Pereira Toledo</v>
      </c>
      <c r="F137" s="2" t="str">
        <f>"45912872-1/1"</f>
        <v>45912872-1/1</v>
      </c>
      <c r="G137" s="2" t="str">
        <f>"Carteira 21"</f>
        <v>Carteira 21</v>
      </c>
      <c r="H137" s="2">
        <v>24</v>
      </c>
      <c r="I137" s="3">
        <v>140</v>
      </c>
      <c r="J137" s="2" t="str">
        <f>"01/11/2019"</f>
        <v>01/11/2019</v>
      </c>
      <c r="K137" s="2" t="str">
        <f>"25/11/2019"</f>
        <v>25/11/2019</v>
      </c>
      <c r="L137" s="2" t="str">
        <f>"25/11/2019"</f>
        <v>25/11/2019</v>
      </c>
      <c r="M137" s="2" t="str">
        <f>"31/10/2019"</f>
        <v>31/10/2019</v>
      </c>
      <c r="N137" s="2">
        <v>36.630000000000003</v>
      </c>
      <c r="O137" s="2">
        <v>36.630000000000003</v>
      </c>
      <c r="P137" s="2">
        <v>0</v>
      </c>
    </row>
    <row r="138" spans="1:16" s="2" customFormat="1" x14ac:dyDescent="0.25">
      <c r="A138" s="2">
        <v>47495769</v>
      </c>
      <c r="B138" s="2">
        <v>47495781</v>
      </c>
      <c r="C138" s="2" t="str">
        <f>"UNIMEDSJN"</f>
        <v>UNIMEDSJN</v>
      </c>
      <c r="D138" s="2" t="str">
        <f>"DH"</f>
        <v>DH</v>
      </c>
      <c r="E138" s="2" t="str">
        <f>"Jairo Pereira Toledo"</f>
        <v>Jairo Pereira Toledo</v>
      </c>
      <c r="F138" s="2" t="str">
        <f>"47495769-1/1"</f>
        <v>47495769-1/1</v>
      </c>
      <c r="G138" s="2" t="str">
        <f>"Carteira 21"</f>
        <v>Carteira 21</v>
      </c>
      <c r="H138" s="2">
        <v>24</v>
      </c>
      <c r="I138" s="3">
        <v>110</v>
      </c>
      <c r="J138" s="2" t="str">
        <f>"01/12/2019"</f>
        <v>01/12/2019</v>
      </c>
      <c r="K138" s="2" t="str">
        <f>"25/12/2019"</f>
        <v>25/12/2019</v>
      </c>
      <c r="L138" s="2" t="str">
        <f>"25/12/2019"</f>
        <v>25/12/2019</v>
      </c>
      <c r="M138" s="2" t="str">
        <f>"28/11/2019"</f>
        <v>28/11/2019</v>
      </c>
      <c r="N138" s="2">
        <v>32.94</v>
      </c>
      <c r="O138" s="2">
        <v>32.94</v>
      </c>
      <c r="P138" s="2">
        <v>0</v>
      </c>
    </row>
    <row r="139" spans="1:16" s="2" customFormat="1" x14ac:dyDescent="0.25">
      <c r="A139" s="2">
        <v>48562407</v>
      </c>
      <c r="B139" s="2">
        <v>48562417</v>
      </c>
      <c r="C139" s="2" t="str">
        <f>"UNIMEDSJN"</f>
        <v>UNIMEDSJN</v>
      </c>
      <c r="D139" s="2" t="str">
        <f>"DH"</f>
        <v>DH</v>
      </c>
      <c r="E139" s="2" t="str">
        <f>"JANE FERREIRA ALBERTONI LOUZADA"</f>
        <v>JANE FERREIRA ALBERTONI LOUZADA</v>
      </c>
      <c r="F139" s="2" t="str">
        <f>"48562407-1/1"</f>
        <v>48562407-1/1</v>
      </c>
      <c r="G139" s="2" t="str">
        <f>"Carteira 21"</f>
        <v>Carteira 21</v>
      </c>
      <c r="H139" s="2">
        <v>13</v>
      </c>
      <c r="I139" s="3">
        <v>89</v>
      </c>
      <c r="J139" s="2" t="str">
        <f>"02/01/2020"</f>
        <v>02/01/2020</v>
      </c>
      <c r="K139" s="2" t="str">
        <f>"15/01/2020"</f>
        <v>15/01/2020</v>
      </c>
      <c r="L139" s="2" t="str">
        <f>"27/02/2020"</f>
        <v>27/02/2020</v>
      </c>
      <c r="M139" s="2" t="str">
        <f>"28/02/2020"</f>
        <v>28/02/2020</v>
      </c>
      <c r="N139" s="2">
        <v>30</v>
      </c>
      <c r="O139" s="2">
        <v>31.03</v>
      </c>
      <c r="P139" s="2">
        <v>0</v>
      </c>
    </row>
    <row r="140" spans="1:16" s="2" customFormat="1" x14ac:dyDescent="0.25">
      <c r="A140" s="2">
        <v>45911108</v>
      </c>
      <c r="B140" s="2">
        <v>45911118</v>
      </c>
      <c r="C140" s="2" t="str">
        <f>"UNIMEDSJN"</f>
        <v>UNIMEDSJN</v>
      </c>
      <c r="D140" s="2" t="str">
        <f>"DH"</f>
        <v>DH</v>
      </c>
      <c r="E140" s="2" t="str">
        <f>"JANIMAR DE MELO MARQUES"</f>
        <v>JANIMAR DE MELO MARQUES</v>
      </c>
      <c r="F140" s="2" t="str">
        <f>"45911108-1/1"</f>
        <v>45911108-1/1</v>
      </c>
      <c r="G140" s="2" t="str">
        <f>"Carteira 21"</f>
        <v>Carteira 21</v>
      </c>
      <c r="H140" s="2">
        <v>24</v>
      </c>
      <c r="I140" s="3">
        <v>140</v>
      </c>
      <c r="J140" s="2" t="str">
        <f>"01/11/2019"</f>
        <v>01/11/2019</v>
      </c>
      <c r="K140" s="2" t="str">
        <f>"25/11/2019"</f>
        <v>25/11/2019</v>
      </c>
      <c r="L140" s="2" t="str">
        <f>"03/02/2020"</f>
        <v>03/02/2020</v>
      </c>
      <c r="M140" s="2" t="str">
        <f>"04/02/2020"</f>
        <v>04/02/2020</v>
      </c>
      <c r="N140" s="2">
        <v>50</v>
      </c>
      <c r="O140" s="2">
        <v>52.16</v>
      </c>
      <c r="P140" s="2">
        <v>9.9999999999980105E-3</v>
      </c>
    </row>
    <row r="141" spans="1:16" s="2" customFormat="1" x14ac:dyDescent="0.25">
      <c r="A141" s="2">
        <v>47491299</v>
      </c>
      <c r="B141" s="2">
        <v>47491333</v>
      </c>
      <c r="C141" s="2" t="str">
        <f>"UNIMEDSJN"</f>
        <v>UNIMEDSJN</v>
      </c>
      <c r="D141" s="2" t="str">
        <f>"DH"</f>
        <v>DH</v>
      </c>
      <c r="E141" s="2" t="str">
        <f>"JANIMAR DE MELO MARQUES"</f>
        <v>JANIMAR DE MELO MARQUES</v>
      </c>
      <c r="F141" s="2" t="str">
        <f>"47491299-1/1"</f>
        <v>47491299-1/1</v>
      </c>
      <c r="G141" s="2" t="str">
        <f>"Carteira 21"</f>
        <v>Carteira 21</v>
      </c>
      <c r="H141" s="2">
        <v>24</v>
      </c>
      <c r="I141" s="3">
        <v>110</v>
      </c>
      <c r="J141" s="2" t="str">
        <f>"01/12/2019"</f>
        <v>01/12/2019</v>
      </c>
      <c r="K141" s="2" t="str">
        <f>"25/12/2019"</f>
        <v>25/12/2019</v>
      </c>
      <c r="L141" s="2" t="str">
        <f>"16/03/2020"</f>
        <v>16/03/2020</v>
      </c>
      <c r="M141" s="2" t="str">
        <f>"17/03/2020"</f>
        <v>17/03/2020</v>
      </c>
      <c r="N141" s="2">
        <v>98.38</v>
      </c>
      <c r="O141" s="2">
        <v>103.01</v>
      </c>
      <c r="P141" s="2">
        <v>2.9999999999986902E-2</v>
      </c>
    </row>
    <row r="142" spans="1:16" s="2" customFormat="1" x14ac:dyDescent="0.25">
      <c r="A142" s="2">
        <v>45918772</v>
      </c>
      <c r="B142" s="2">
        <v>45918791</v>
      </c>
      <c r="C142" s="2" t="str">
        <f>"UNIMEDSJN"</f>
        <v>UNIMEDSJN</v>
      </c>
      <c r="D142" s="2" t="str">
        <f>"DH"</f>
        <v>DH</v>
      </c>
      <c r="E142" s="2" t="str">
        <f>"Jean Carlos Tostes Vieira"</f>
        <v>Jean Carlos Tostes Vieira</v>
      </c>
      <c r="F142" s="2" t="str">
        <f>"45918772-1/1"</f>
        <v>45918772-1/1</v>
      </c>
      <c r="G142" s="2" t="str">
        <f>"Carteira 21"</f>
        <v>Carteira 21</v>
      </c>
      <c r="H142" s="2">
        <v>24</v>
      </c>
      <c r="I142" s="3">
        <v>140</v>
      </c>
      <c r="J142" s="2" t="str">
        <f>"01/11/2019"</f>
        <v>01/11/2019</v>
      </c>
      <c r="K142" s="2" t="str">
        <f>"25/11/2019"</f>
        <v>25/11/2019</v>
      </c>
      <c r="L142" s="2" t="str">
        <f>"25/11/2019"</f>
        <v>25/11/2019</v>
      </c>
      <c r="M142" s="2" t="str">
        <f>"31/10/2019"</f>
        <v>31/10/2019</v>
      </c>
      <c r="N142" s="2">
        <v>30</v>
      </c>
      <c r="O142" s="2">
        <v>30</v>
      </c>
      <c r="P142" s="2">
        <v>0</v>
      </c>
    </row>
    <row r="143" spans="1:16" s="2" customFormat="1" x14ac:dyDescent="0.25">
      <c r="A143" s="2">
        <v>45921406</v>
      </c>
      <c r="B143" s="2">
        <v>45921416</v>
      </c>
      <c r="C143" s="2" t="str">
        <f>"UNIMEDSJN"</f>
        <v>UNIMEDSJN</v>
      </c>
      <c r="D143" s="2" t="str">
        <f>"DH"</f>
        <v>DH</v>
      </c>
      <c r="E143" s="2" t="str">
        <f>"Jeli Patricia de Souza"</f>
        <v>Jeli Patricia de Souza</v>
      </c>
      <c r="F143" s="2" t="str">
        <f>"45921406-1/1"</f>
        <v>45921406-1/1</v>
      </c>
      <c r="G143" s="2" t="str">
        <f>"Carteira 21"</f>
        <v>Carteira 21</v>
      </c>
      <c r="H143" s="2">
        <v>14</v>
      </c>
      <c r="I143" s="3">
        <v>150</v>
      </c>
      <c r="J143" s="2" t="str">
        <f>"01/11/2019"</f>
        <v>01/11/2019</v>
      </c>
      <c r="K143" s="2" t="str">
        <f>"15/11/2019"</f>
        <v>15/11/2019</v>
      </c>
      <c r="L143" s="2" t="str">
        <f>"17/02/2020"</f>
        <v>17/02/2020</v>
      </c>
      <c r="M143" s="2" t="str">
        <f>"18/02/2020"</f>
        <v>18/02/2020</v>
      </c>
      <c r="N143" s="2">
        <v>30</v>
      </c>
      <c r="O143" s="2">
        <v>31.53</v>
      </c>
      <c r="P143" s="2">
        <v>9.9999999999980105E-3</v>
      </c>
    </row>
    <row r="144" spans="1:16" s="2" customFormat="1" x14ac:dyDescent="0.25">
      <c r="A144" s="2">
        <v>48570167</v>
      </c>
      <c r="B144" s="2">
        <v>48570186</v>
      </c>
      <c r="C144" s="2" t="str">
        <f>"UNIMEDSJN"</f>
        <v>UNIMEDSJN</v>
      </c>
      <c r="D144" s="2" t="str">
        <f>"DH"</f>
        <v>DH</v>
      </c>
      <c r="E144" s="2" t="str">
        <f>"JESSYNARA FERREIRA DESSUPOIO"</f>
        <v>JESSYNARA FERREIRA DESSUPOIO</v>
      </c>
      <c r="F144" s="2" t="str">
        <f>"48570167-1/1"</f>
        <v>48570167-1/1</v>
      </c>
      <c r="G144" s="2" t="str">
        <f>"Carteira 21"</f>
        <v>Carteira 21</v>
      </c>
      <c r="H144" s="2">
        <v>23</v>
      </c>
      <c r="I144" s="3">
        <v>79</v>
      </c>
      <c r="J144" s="2" t="str">
        <f>"02/01/2020"</f>
        <v>02/01/2020</v>
      </c>
      <c r="K144" s="2" t="str">
        <f>"25/01/2020"</f>
        <v>25/01/2020</v>
      </c>
      <c r="L144" s="2" t="str">
        <f>"05/03/2020"</f>
        <v>05/03/2020</v>
      </c>
      <c r="M144" s="2" t="str">
        <f>"06/03/2020"</f>
        <v>06/03/2020</v>
      </c>
      <c r="N144" s="2">
        <v>75.66</v>
      </c>
      <c r="O144" s="2">
        <v>78.12</v>
      </c>
      <c r="P144" s="2">
        <v>5.9999999999988098E-2</v>
      </c>
    </row>
    <row r="145" spans="1:16" s="2" customFormat="1" x14ac:dyDescent="0.25">
      <c r="A145" s="2">
        <v>44964063</v>
      </c>
      <c r="B145" s="2">
        <v>44964076</v>
      </c>
      <c r="C145" s="2" t="str">
        <f>"UNIMEDSJN"</f>
        <v>UNIMEDSJN</v>
      </c>
      <c r="D145" s="2" t="str">
        <f>"DH"</f>
        <v>DH</v>
      </c>
      <c r="E145" s="2" t="str">
        <f>"JOANA DARC PEREIRA ALVES"</f>
        <v>JOANA DARC PEREIRA ALVES</v>
      </c>
      <c r="F145" s="2" t="str">
        <f>"44964063-1/1"</f>
        <v>44964063-1/1</v>
      </c>
      <c r="G145" s="2" t="str">
        <f>"Carteira 21"</f>
        <v>Carteira 21</v>
      </c>
      <c r="H145" s="2">
        <v>24</v>
      </c>
      <c r="I145" s="3">
        <v>201</v>
      </c>
      <c r="J145" s="2" t="str">
        <f>"01/09/2019"</f>
        <v>01/09/2019</v>
      </c>
      <c r="K145" s="2" t="str">
        <f>"25/09/2019"</f>
        <v>25/09/2019</v>
      </c>
      <c r="L145" s="2" t="str">
        <f>"25/09/2019"</f>
        <v>25/09/2019</v>
      </c>
      <c r="M145" s="2" t="str">
        <f>"29/08/2019"</f>
        <v>29/08/2019</v>
      </c>
      <c r="N145" s="2">
        <v>30</v>
      </c>
      <c r="O145" s="2">
        <v>30</v>
      </c>
      <c r="P145" s="2">
        <v>0</v>
      </c>
    </row>
    <row r="146" spans="1:16" s="2" customFormat="1" x14ac:dyDescent="0.25">
      <c r="A146" s="2">
        <v>45919672</v>
      </c>
      <c r="B146" s="2">
        <v>45919683</v>
      </c>
      <c r="C146" s="2" t="str">
        <f>"UNIMEDSJN"</f>
        <v>UNIMEDSJN</v>
      </c>
      <c r="D146" s="2" t="str">
        <f>"DH"</f>
        <v>DH</v>
      </c>
      <c r="E146" s="2" t="str">
        <f>"JOANA DARC PEREIRA ALVES"</f>
        <v>JOANA DARC PEREIRA ALVES</v>
      </c>
      <c r="F146" s="2" t="str">
        <f>"45919672-1/1"</f>
        <v>45919672-1/1</v>
      </c>
      <c r="G146" s="2" t="str">
        <f>"Carteira 21"</f>
        <v>Carteira 21</v>
      </c>
      <c r="H146" s="2">
        <v>24</v>
      </c>
      <c r="I146" s="3">
        <v>140</v>
      </c>
      <c r="J146" s="2" t="str">
        <f>"01/11/2019"</f>
        <v>01/11/2019</v>
      </c>
      <c r="K146" s="2" t="str">
        <f>"25/11/2019"</f>
        <v>25/11/2019</v>
      </c>
      <c r="L146" s="2" t="str">
        <f>"25/11/2019"</f>
        <v>25/11/2019</v>
      </c>
      <c r="M146" s="2" t="str">
        <f>"31/10/2019"</f>
        <v>31/10/2019</v>
      </c>
      <c r="N146" s="2">
        <v>30</v>
      </c>
      <c r="O146" s="2">
        <v>30</v>
      </c>
      <c r="P146" s="2">
        <v>0</v>
      </c>
    </row>
    <row r="147" spans="1:16" s="2" customFormat="1" x14ac:dyDescent="0.25">
      <c r="A147" s="2">
        <v>48570249</v>
      </c>
      <c r="B147" s="2">
        <v>48570270</v>
      </c>
      <c r="C147" s="2" t="str">
        <f>"UNIMEDSJN"</f>
        <v>UNIMEDSJN</v>
      </c>
      <c r="D147" s="2" t="str">
        <f>"DH"</f>
        <v>DH</v>
      </c>
      <c r="E147" s="2" t="str">
        <f>"JOANA DARC PINTO DANELON"</f>
        <v>JOANA DARC PINTO DANELON</v>
      </c>
      <c r="F147" s="2" t="str">
        <f>"48570249-1/1"</f>
        <v>48570249-1/1</v>
      </c>
      <c r="G147" s="2" t="str">
        <f>"Carteira 21"</f>
        <v>Carteira 21</v>
      </c>
      <c r="H147" s="2">
        <v>23</v>
      </c>
      <c r="I147" s="3">
        <v>79</v>
      </c>
      <c r="J147" s="2" t="str">
        <f>"02/01/2020"</f>
        <v>02/01/2020</v>
      </c>
      <c r="K147" s="2" t="str">
        <f>"25/01/2020"</f>
        <v>25/01/2020</v>
      </c>
      <c r="L147" s="2" t="str">
        <f>"16/03/2020"</f>
        <v>16/03/2020</v>
      </c>
      <c r="M147" s="2" t="str">
        <f>"17/03/2020"</f>
        <v>17/03/2020</v>
      </c>
      <c r="N147" s="2">
        <v>81.96</v>
      </c>
      <c r="O147" s="2">
        <v>84.92</v>
      </c>
      <c r="P147" s="2">
        <v>7.0000000000007404E-2</v>
      </c>
    </row>
    <row r="148" spans="1:16" s="2" customFormat="1" x14ac:dyDescent="0.25">
      <c r="A148" s="2">
        <v>48572431</v>
      </c>
      <c r="B148" s="2">
        <v>48572438</v>
      </c>
      <c r="C148" s="2" t="str">
        <f>"UNIMEDSJN"</f>
        <v>UNIMEDSJN</v>
      </c>
      <c r="D148" s="2" t="str">
        <f>"DH"</f>
        <v>DH</v>
      </c>
      <c r="E148" s="2" t="str">
        <f>"Joao Paulo de Souza Goncalves"</f>
        <v>Joao Paulo de Souza Goncalves</v>
      </c>
      <c r="F148" s="2" t="str">
        <f>"48572431-1/1"</f>
        <v>48572431-1/1</v>
      </c>
      <c r="G148" s="2" t="str">
        <f>"Carteira 21"</f>
        <v>Carteira 21</v>
      </c>
      <c r="H148" s="2">
        <v>23</v>
      </c>
      <c r="I148" s="3">
        <v>79</v>
      </c>
      <c r="J148" s="2" t="str">
        <f>"02/01/2020"</f>
        <v>02/01/2020</v>
      </c>
      <c r="K148" s="2" t="str">
        <f>"25/01/2020"</f>
        <v>25/01/2020</v>
      </c>
      <c r="L148" s="2" t="str">
        <f>"02/03/2020"</f>
        <v>02/03/2020</v>
      </c>
      <c r="M148" s="2" t="str">
        <f>"03/03/2020"</f>
        <v>03/03/2020</v>
      </c>
      <c r="N148" s="2">
        <v>30</v>
      </c>
      <c r="O148" s="2">
        <v>30.95</v>
      </c>
      <c r="P148" s="2">
        <v>1.9999999999999601E-2</v>
      </c>
    </row>
    <row r="149" spans="1:16" s="2" customFormat="1" x14ac:dyDescent="0.25">
      <c r="A149" s="2">
        <v>47498826</v>
      </c>
      <c r="B149" s="2">
        <v>47498840</v>
      </c>
      <c r="C149" s="2" t="str">
        <f>"UNIMEDSJN"</f>
        <v>UNIMEDSJN</v>
      </c>
      <c r="D149" s="2" t="str">
        <f>"DH"</f>
        <v>DH</v>
      </c>
      <c r="E149" s="2" t="str">
        <f>"Jocinara Candida da Silva Lopes"</f>
        <v>Jocinara Candida da Silva Lopes</v>
      </c>
      <c r="F149" s="2" t="str">
        <f>"47498826-1/1"</f>
        <v>47498826-1/1</v>
      </c>
      <c r="G149" s="2" t="str">
        <f>"Carteira 21"</f>
        <v>Carteira 21</v>
      </c>
      <c r="H149" s="2">
        <v>24</v>
      </c>
      <c r="I149" s="3">
        <v>110</v>
      </c>
      <c r="J149" s="2" t="str">
        <f>"01/12/2019"</f>
        <v>01/12/2019</v>
      </c>
      <c r="K149" s="2" t="str">
        <f>"25/12/2019"</f>
        <v>25/12/2019</v>
      </c>
      <c r="L149" s="2" t="str">
        <f>"25/12/2019"</f>
        <v>25/12/2019</v>
      </c>
      <c r="M149" s="2" t="str">
        <f>"28/11/2019"</f>
        <v>28/11/2019</v>
      </c>
      <c r="N149" s="2">
        <v>49.2</v>
      </c>
      <c r="O149" s="2">
        <v>49.2</v>
      </c>
      <c r="P149" s="2">
        <v>0</v>
      </c>
    </row>
    <row r="150" spans="1:16" s="2" customFormat="1" x14ac:dyDescent="0.25">
      <c r="A150" s="2">
        <v>47498306</v>
      </c>
      <c r="B150" s="2">
        <v>47498336</v>
      </c>
      <c r="C150" s="2" t="str">
        <f>"UNIMEDSJN"</f>
        <v>UNIMEDSJN</v>
      </c>
      <c r="D150" s="2" t="str">
        <f>"DH"</f>
        <v>DH</v>
      </c>
      <c r="E150" s="2" t="str">
        <f>"Jonatas Biano Villaca"</f>
        <v>Jonatas Biano Villaca</v>
      </c>
      <c r="F150" s="2" t="str">
        <f>"47498306-1/1"</f>
        <v>47498306-1/1</v>
      </c>
      <c r="G150" s="2" t="str">
        <f>"Carteira 21"</f>
        <v>Carteira 21</v>
      </c>
      <c r="H150" s="2">
        <v>24</v>
      </c>
      <c r="I150" s="3">
        <v>110</v>
      </c>
      <c r="J150" s="2" t="str">
        <f>"01/12/2019"</f>
        <v>01/12/2019</v>
      </c>
      <c r="K150" s="2" t="str">
        <f>"25/12/2019"</f>
        <v>25/12/2019</v>
      </c>
      <c r="L150" s="2" t="str">
        <f>"30/03/2020"</f>
        <v>30/03/2020</v>
      </c>
      <c r="M150" s="2" t="str">
        <f>"31/03/2020"</f>
        <v>31/03/2020</v>
      </c>
      <c r="N150" s="2">
        <v>139.35</v>
      </c>
      <c r="O150" s="2">
        <v>146.55000000000001</v>
      </c>
      <c r="P150" s="2">
        <v>4.9999999999982898E-2</v>
      </c>
    </row>
    <row r="151" spans="1:16" s="2" customFormat="1" x14ac:dyDescent="0.25">
      <c r="A151" s="2">
        <v>45921133</v>
      </c>
      <c r="B151" s="2">
        <v>45921149</v>
      </c>
      <c r="C151" s="2" t="str">
        <f>"UNIMEDSJN"</f>
        <v>UNIMEDSJN</v>
      </c>
      <c r="D151" s="2" t="str">
        <f>"DH"</f>
        <v>DH</v>
      </c>
      <c r="E151" s="2" t="str">
        <f>"Jose Adelson de Souza"</f>
        <v>Jose Adelson de Souza</v>
      </c>
      <c r="F151" s="2" t="str">
        <f>"45921133-1/1"</f>
        <v>45921133-1/1</v>
      </c>
      <c r="G151" s="2" t="str">
        <f>"Carteira 21"</f>
        <v>Carteira 21</v>
      </c>
      <c r="H151" s="2">
        <v>24</v>
      </c>
      <c r="I151" s="3">
        <v>140</v>
      </c>
      <c r="J151" s="2" t="str">
        <f>"01/11/2019"</f>
        <v>01/11/2019</v>
      </c>
      <c r="K151" s="2" t="str">
        <f>"25/11/2019"</f>
        <v>25/11/2019</v>
      </c>
      <c r="L151" s="2" t="str">
        <f>"13/02/2020"</f>
        <v>13/02/2020</v>
      </c>
      <c r="M151" s="2" t="str">
        <f>"14/02/2020"</f>
        <v>14/02/2020</v>
      </c>
      <c r="N151" s="2">
        <v>30</v>
      </c>
      <c r="O151" s="2">
        <v>31.39</v>
      </c>
      <c r="P151" s="2">
        <v>9.9999999999980105E-3</v>
      </c>
    </row>
    <row r="152" spans="1:16" s="2" customFormat="1" x14ac:dyDescent="0.25">
      <c r="A152" s="2">
        <v>48562109</v>
      </c>
      <c r="B152" s="2">
        <v>48562124</v>
      </c>
      <c r="C152" s="2" t="str">
        <f>"UNIMEDSJN"</f>
        <v>UNIMEDSJN</v>
      </c>
      <c r="D152" s="2" t="str">
        <f>"DH"</f>
        <v>DH</v>
      </c>
      <c r="E152" s="2" t="str">
        <f>"JOSE ANTONIO GALVAO DUARTE DE OLIVEIRA"</f>
        <v>JOSE ANTONIO GALVAO DUARTE DE OLIVEIRA</v>
      </c>
      <c r="F152" s="2" t="str">
        <f>"48562109-1/1"</f>
        <v>48562109-1/1</v>
      </c>
      <c r="G152" s="2" t="str">
        <f>"Carteira 21"</f>
        <v>Carteira 21</v>
      </c>
      <c r="H152" s="2">
        <v>16</v>
      </c>
      <c r="I152" s="3">
        <v>86</v>
      </c>
      <c r="J152" s="2" t="str">
        <f>"02/01/2020"</f>
        <v>02/01/2020</v>
      </c>
      <c r="K152" s="2" t="str">
        <f>"18/01/2020"</f>
        <v>18/01/2020</v>
      </c>
      <c r="L152" s="2" t="str">
        <f>"19/02/2020"</f>
        <v>19/02/2020</v>
      </c>
      <c r="M152" s="2" t="str">
        <f>"20/02/2020"</f>
        <v>20/02/2020</v>
      </c>
      <c r="N152" s="2">
        <v>30</v>
      </c>
      <c r="O152" s="2">
        <v>30.9</v>
      </c>
      <c r="P152" s="2">
        <v>1.9999999999996E-2</v>
      </c>
    </row>
    <row r="153" spans="1:16" s="2" customFormat="1" x14ac:dyDescent="0.25">
      <c r="A153" s="2">
        <v>45447432</v>
      </c>
      <c r="B153" s="2">
        <v>45447459</v>
      </c>
      <c r="C153" s="2" t="str">
        <f>"UNIMEDSJN"</f>
        <v>UNIMEDSJN</v>
      </c>
      <c r="D153" s="2" t="str">
        <f>"DH"</f>
        <v>DH</v>
      </c>
      <c r="E153" s="2" t="str">
        <f>"JOSE EDUARDO GRIBEL VIVAQUA"</f>
        <v>JOSE EDUARDO GRIBEL VIVAQUA</v>
      </c>
      <c r="F153" s="2" t="str">
        <f>"45447432-1/1"</f>
        <v>45447432-1/1</v>
      </c>
      <c r="G153" s="2" t="str">
        <f>"Carteira 21"</f>
        <v>Carteira 21</v>
      </c>
      <c r="H153" s="2">
        <v>24</v>
      </c>
      <c r="I153" s="3">
        <v>171</v>
      </c>
      <c r="J153" s="2" t="str">
        <f>"01/10/2019"</f>
        <v>01/10/2019</v>
      </c>
      <c r="K153" s="2" t="str">
        <f>"25/10/2019"</f>
        <v>25/10/2019</v>
      </c>
      <c r="L153" s="2" t="str">
        <f>"25/10/2019"</f>
        <v>25/10/2019</v>
      </c>
      <c r="M153" s="2" t="str">
        <f>"27/09/2019"</f>
        <v>27/09/2019</v>
      </c>
      <c r="N153" s="2">
        <v>30</v>
      </c>
      <c r="O153" s="2">
        <v>30</v>
      </c>
      <c r="P153" s="2">
        <v>0</v>
      </c>
    </row>
    <row r="154" spans="1:16" s="2" customFormat="1" x14ac:dyDescent="0.25">
      <c r="A154" s="2">
        <v>48573908</v>
      </c>
      <c r="B154" s="2">
        <v>48573919</v>
      </c>
      <c r="C154" s="2" t="str">
        <f>"UNIMEDSJN"</f>
        <v>UNIMEDSJN</v>
      </c>
      <c r="D154" s="2" t="str">
        <f>"DH"</f>
        <v>DH</v>
      </c>
      <c r="E154" s="2" t="str">
        <f>"JOSE GERALDO DO NASCIMENTO"</f>
        <v>JOSE GERALDO DO NASCIMENTO</v>
      </c>
      <c r="F154" s="2" t="str">
        <f>"48573908-1/1"</f>
        <v>48573908-1/1</v>
      </c>
      <c r="G154" s="2" t="str">
        <f>"Carteira 21"</f>
        <v>Carteira 21</v>
      </c>
      <c r="H154" s="2">
        <v>23</v>
      </c>
      <c r="I154" s="3">
        <v>79</v>
      </c>
      <c r="J154" s="2" t="str">
        <f>"02/01/2020"</f>
        <v>02/01/2020</v>
      </c>
      <c r="K154" s="2" t="str">
        <f>"25/01/2020"</f>
        <v>25/01/2020</v>
      </c>
      <c r="L154" s="2" t="str">
        <f>"23/03/2020"</f>
        <v>23/03/2020</v>
      </c>
      <c r="M154" s="2" t="str">
        <f>"24/03/2020"</f>
        <v>24/03/2020</v>
      </c>
      <c r="N154" s="2">
        <v>30</v>
      </c>
      <c r="O154" s="2">
        <v>31.15</v>
      </c>
      <c r="P154" s="2">
        <v>2.9999999999997602E-2</v>
      </c>
    </row>
    <row r="155" spans="1:16" x14ac:dyDescent="0.25">
      <c r="A155">
        <v>47513786</v>
      </c>
      <c r="B155">
        <v>47513813</v>
      </c>
      <c r="C155" t="str">
        <f>"UNIMEDSJN"</f>
        <v>UNIMEDSJN</v>
      </c>
      <c r="D155" t="str">
        <f>"DH"</f>
        <v>DH</v>
      </c>
      <c r="E155" t="str">
        <f>"JOSE LUIS DOMINGOS"</f>
        <v>JOSE LUIS DOMINGOS</v>
      </c>
      <c r="F155" t="str">
        <f>"47513786-1/1"</f>
        <v>47513786-1/1</v>
      </c>
      <c r="G155" t="str">
        <f>"Carteira 21"</f>
        <v>Carteira 21</v>
      </c>
      <c r="H155">
        <v>89</v>
      </c>
      <c r="I155" s="1">
        <v>45</v>
      </c>
      <c r="J155" t="str">
        <f>"01/12/2019"</f>
        <v>01/12/2019</v>
      </c>
      <c r="K155" t="str">
        <f>"28/02/2020"</f>
        <v>28/02/2020</v>
      </c>
      <c r="L155" t="str">
        <f>"28/02/2020"</f>
        <v>28/02/2020</v>
      </c>
      <c r="M155" t="str">
        <f>"30/03/2020"</f>
        <v>30/03/2020</v>
      </c>
      <c r="N155">
        <v>207.8</v>
      </c>
      <c r="O155">
        <v>207.8</v>
      </c>
      <c r="P155">
        <v>0</v>
      </c>
    </row>
    <row r="156" spans="1:16" s="2" customFormat="1" x14ac:dyDescent="0.25">
      <c r="A156" s="2">
        <v>45919301</v>
      </c>
      <c r="B156" s="2">
        <v>45919324</v>
      </c>
      <c r="C156" s="2" t="str">
        <f>"UNIMEDSJN"</f>
        <v>UNIMEDSJN</v>
      </c>
      <c r="D156" s="2" t="str">
        <f>"DH"</f>
        <v>DH</v>
      </c>
      <c r="E156" s="2" t="str">
        <f>"JOSE ROBERTO AMERICO CALEGARI"</f>
        <v>JOSE ROBERTO AMERICO CALEGARI</v>
      </c>
      <c r="F156" s="2" t="str">
        <f>"45919301-1/1"</f>
        <v>45919301-1/1</v>
      </c>
      <c r="G156" s="2" t="str">
        <f>"Carteira 21"</f>
        <v>Carteira 21</v>
      </c>
      <c r="H156" s="2">
        <v>50</v>
      </c>
      <c r="I156" s="3">
        <v>114</v>
      </c>
      <c r="J156" s="2" t="str">
        <f>"01/11/2019"</f>
        <v>01/11/2019</v>
      </c>
      <c r="K156" s="2" t="str">
        <f>"21/12/2019"</f>
        <v>21/12/2019</v>
      </c>
      <c r="L156" s="2" t="str">
        <f>"06/02/2020"</f>
        <v>06/02/2020</v>
      </c>
      <c r="M156" s="2" t="str">
        <f>"07/02/2020"</f>
        <v>07/02/2020</v>
      </c>
      <c r="N156" s="2">
        <v>43.1</v>
      </c>
      <c r="O156" s="2">
        <v>45.05</v>
      </c>
      <c r="P156" s="2">
        <v>-0.41000000000000397</v>
      </c>
    </row>
    <row r="157" spans="1:16" s="2" customFormat="1" x14ac:dyDescent="0.25">
      <c r="A157" s="2">
        <v>48567941</v>
      </c>
      <c r="B157" s="2">
        <v>48567965</v>
      </c>
      <c r="C157" s="2" t="str">
        <f>"UNIMEDSJN"</f>
        <v>UNIMEDSJN</v>
      </c>
      <c r="D157" s="2" t="str">
        <f>"DH"</f>
        <v>DH</v>
      </c>
      <c r="E157" s="2" t="str">
        <f>"JULIA BORGES DE SOUZA SHIMONO"</f>
        <v>JULIA BORGES DE SOUZA SHIMONO</v>
      </c>
      <c r="F157" s="2" t="str">
        <f>"48567941-1/1"</f>
        <v>48567941-1/1</v>
      </c>
      <c r="G157" s="2" t="str">
        <f>"Carteira 21"</f>
        <v>Carteira 21</v>
      </c>
      <c r="H157" s="2">
        <v>23</v>
      </c>
      <c r="I157" s="3">
        <v>79</v>
      </c>
      <c r="J157" s="2" t="str">
        <f>"02/01/2020"</f>
        <v>02/01/2020</v>
      </c>
      <c r="K157" s="2" t="str">
        <f>"25/01/2020"</f>
        <v>25/01/2020</v>
      </c>
      <c r="L157" s="2" t="str">
        <f>"11/02/2020"</f>
        <v>11/02/2020</v>
      </c>
      <c r="M157" s="2" t="str">
        <f>"12/02/2020"</f>
        <v>12/02/2020</v>
      </c>
      <c r="N157" s="2">
        <v>28.35</v>
      </c>
      <c r="O157" s="2">
        <v>29.06</v>
      </c>
      <c r="P157" s="2">
        <v>1.9999999999999601E-2</v>
      </c>
    </row>
    <row r="158" spans="1:16" s="2" customFormat="1" x14ac:dyDescent="0.25">
      <c r="A158" s="2">
        <v>48567865</v>
      </c>
      <c r="B158" s="2">
        <v>48568126</v>
      </c>
      <c r="C158" s="2" t="str">
        <f>"UNIMEDSJN"</f>
        <v>UNIMEDSJN</v>
      </c>
      <c r="D158" s="2" t="str">
        <f>"DH"</f>
        <v>DH</v>
      </c>
      <c r="E158" s="2" t="str">
        <f>"JULIA GUAZZI FONTENELLE"</f>
        <v>JULIA GUAZZI FONTENELLE</v>
      </c>
      <c r="F158" s="2" t="str">
        <f>"48567865-1/1"</f>
        <v>48567865-1/1</v>
      </c>
      <c r="G158" s="2" t="str">
        <f>"Carteira 21"</f>
        <v>Carteira 21</v>
      </c>
      <c r="H158" s="2">
        <v>23</v>
      </c>
      <c r="I158" s="3">
        <v>79</v>
      </c>
      <c r="J158" s="2" t="str">
        <f>"02/01/2020"</f>
        <v>02/01/2020</v>
      </c>
      <c r="K158" s="2" t="str">
        <f>"25/01/2020"</f>
        <v>25/01/2020</v>
      </c>
      <c r="L158" s="2" t="str">
        <f>"03/02/2020"</f>
        <v>03/02/2020</v>
      </c>
      <c r="M158" s="2" t="str">
        <f>"04/02/2020"</f>
        <v>04/02/2020</v>
      </c>
      <c r="N158" s="2">
        <v>30</v>
      </c>
      <c r="O158" s="2">
        <v>30.67</v>
      </c>
      <c r="P158" s="2">
        <v>1.9999999999999601E-2</v>
      </c>
    </row>
    <row r="159" spans="1:16" s="2" customFormat="1" x14ac:dyDescent="0.25">
      <c r="A159" s="2">
        <v>45460593</v>
      </c>
      <c r="B159" s="2">
        <v>45460607</v>
      </c>
      <c r="C159" s="2" t="str">
        <f>"UNIMEDSJN"</f>
        <v>UNIMEDSJN</v>
      </c>
      <c r="D159" s="2" t="str">
        <f>"DH"</f>
        <v>DH</v>
      </c>
      <c r="E159" s="2" t="str">
        <f>"Juliana Fernandes Neves"</f>
        <v>Juliana Fernandes Neves</v>
      </c>
      <c r="F159" s="2" t="str">
        <f>"45460593-1/1"</f>
        <v>45460593-1/1</v>
      </c>
      <c r="G159" s="2" t="str">
        <f>"Carteira 21"</f>
        <v>Carteira 21</v>
      </c>
      <c r="H159" s="2">
        <v>24</v>
      </c>
      <c r="I159" s="3">
        <v>171</v>
      </c>
      <c r="J159" s="2" t="str">
        <f>"01/10/2019"</f>
        <v>01/10/2019</v>
      </c>
      <c r="K159" s="2" t="str">
        <f>"25/10/2019"</f>
        <v>25/10/2019</v>
      </c>
      <c r="L159" s="2" t="str">
        <f>"06/02/2020"</f>
        <v>06/02/2020</v>
      </c>
      <c r="M159" s="2" t="str">
        <f>"07/02/2020"</f>
        <v>07/02/2020</v>
      </c>
      <c r="N159" s="2">
        <v>47.89</v>
      </c>
      <c r="O159" s="2">
        <v>50.49</v>
      </c>
      <c r="P159" s="2">
        <v>1.9999999999996E-2</v>
      </c>
    </row>
    <row r="160" spans="1:16" s="2" customFormat="1" x14ac:dyDescent="0.25">
      <c r="A160" s="2">
        <v>45923804</v>
      </c>
      <c r="B160" s="2">
        <v>45923813</v>
      </c>
      <c r="C160" s="2" t="str">
        <f>"UNIMEDSJN"</f>
        <v>UNIMEDSJN</v>
      </c>
      <c r="D160" s="2" t="str">
        <f>"DH"</f>
        <v>DH</v>
      </c>
      <c r="E160" s="2" t="str">
        <f>"Juliana Fernandes Neves"</f>
        <v>Juliana Fernandes Neves</v>
      </c>
      <c r="F160" s="2" t="str">
        <f>"45923804-1/1"</f>
        <v>45923804-1/1</v>
      </c>
      <c r="G160" s="2" t="str">
        <f>"Carteira 21"</f>
        <v>Carteira 21</v>
      </c>
      <c r="H160" s="2">
        <v>24</v>
      </c>
      <c r="I160" s="3">
        <v>140</v>
      </c>
      <c r="J160" s="2" t="str">
        <f>"01/11/2019"</f>
        <v>01/11/2019</v>
      </c>
      <c r="K160" s="2" t="str">
        <f>"25/11/2019"</f>
        <v>25/11/2019</v>
      </c>
      <c r="L160" s="2" t="str">
        <f>"06/02/2020"</f>
        <v>06/02/2020</v>
      </c>
      <c r="M160" s="2" t="str">
        <f>"07/02/2020"</f>
        <v>07/02/2020</v>
      </c>
      <c r="N160" s="2">
        <v>76.239999999999995</v>
      </c>
      <c r="O160" s="2">
        <v>79.599999999999994</v>
      </c>
      <c r="P160" s="2">
        <v>1.99999999999818E-2</v>
      </c>
    </row>
    <row r="161" spans="1:16" s="2" customFormat="1" x14ac:dyDescent="0.25">
      <c r="A161" s="2">
        <v>47503394</v>
      </c>
      <c r="B161" s="2">
        <v>47503419</v>
      </c>
      <c r="C161" s="2" t="str">
        <f>"UNIMEDSJN"</f>
        <v>UNIMEDSJN</v>
      </c>
      <c r="D161" s="2" t="str">
        <f>"DH"</f>
        <v>DH</v>
      </c>
      <c r="E161" s="2" t="str">
        <f>"Juliana Fernandes Neves"</f>
        <v>Juliana Fernandes Neves</v>
      </c>
      <c r="F161" s="2" t="str">
        <f>"47503394-1/1"</f>
        <v>47503394-1/1</v>
      </c>
      <c r="G161" s="2" t="str">
        <f>"Carteira 21"</f>
        <v>Carteira 21</v>
      </c>
      <c r="H161" s="2">
        <v>24</v>
      </c>
      <c r="I161" s="3">
        <v>110</v>
      </c>
      <c r="J161" s="2" t="str">
        <f>"01/12/2019"</f>
        <v>01/12/2019</v>
      </c>
      <c r="K161" s="2" t="str">
        <f>"25/12/2019"</f>
        <v>25/12/2019</v>
      </c>
      <c r="L161" s="2" t="str">
        <f>"06/02/2020"</f>
        <v>06/02/2020</v>
      </c>
      <c r="M161" s="2" t="str">
        <f>"07/02/2020"</f>
        <v>07/02/2020</v>
      </c>
      <c r="N161" s="2">
        <v>111.52</v>
      </c>
      <c r="O161" s="2">
        <v>115.33</v>
      </c>
      <c r="P161" s="2">
        <v>1.9999999999996E-2</v>
      </c>
    </row>
    <row r="162" spans="1:16" s="2" customFormat="1" x14ac:dyDescent="0.25">
      <c r="A162" s="2">
        <v>48577169</v>
      </c>
      <c r="B162" s="2">
        <v>48577195</v>
      </c>
      <c r="C162" s="2" t="str">
        <f>"UNIMEDSJN"</f>
        <v>UNIMEDSJN</v>
      </c>
      <c r="D162" s="2" t="str">
        <f>"DH"</f>
        <v>DH</v>
      </c>
      <c r="E162" s="2" t="str">
        <f>"Juliana Fernandes Neves"</f>
        <v>Juliana Fernandes Neves</v>
      </c>
      <c r="F162" s="2" t="str">
        <f>"48577169-1/1"</f>
        <v>48577169-1/1</v>
      </c>
      <c r="G162" s="2" t="str">
        <f>"Carteira 21"</f>
        <v>Carteira 21</v>
      </c>
      <c r="H162" s="2">
        <v>23</v>
      </c>
      <c r="I162" s="3">
        <v>79</v>
      </c>
      <c r="J162" s="2" t="str">
        <f>"02/01/2020"</f>
        <v>02/01/2020</v>
      </c>
      <c r="K162" s="2" t="str">
        <f>"25/01/2020"</f>
        <v>25/01/2020</v>
      </c>
      <c r="L162" s="2" t="str">
        <f>"06/02/2020"</f>
        <v>06/02/2020</v>
      </c>
      <c r="M162" s="2" t="str">
        <f>"07/02/2020"</f>
        <v>07/02/2020</v>
      </c>
      <c r="N162" s="2">
        <v>77.89</v>
      </c>
      <c r="O162" s="2">
        <v>79.7</v>
      </c>
      <c r="P162" s="2">
        <v>6.0000000000002301E-2</v>
      </c>
    </row>
    <row r="163" spans="1:16" s="2" customFormat="1" x14ac:dyDescent="0.25">
      <c r="A163" s="2">
        <v>47510305</v>
      </c>
      <c r="B163" s="2">
        <v>47510312</v>
      </c>
      <c r="C163" s="2" t="str">
        <f>"UNIMEDSJN"</f>
        <v>UNIMEDSJN</v>
      </c>
      <c r="D163" s="2" t="str">
        <f>"DH"</f>
        <v>DH</v>
      </c>
      <c r="E163" s="2" t="str">
        <f>"Julio Cezar Marchiori Nunes"</f>
        <v>Julio Cezar Marchiori Nunes</v>
      </c>
      <c r="F163" s="2" t="str">
        <f>"47510305-1/1"</f>
        <v>47510305-1/1</v>
      </c>
      <c r="G163" s="2" t="str">
        <f>"Carteira 21"</f>
        <v>Carteira 21</v>
      </c>
      <c r="H163" s="2">
        <v>51</v>
      </c>
      <c r="I163" s="3">
        <v>83</v>
      </c>
      <c r="J163" s="2" t="str">
        <f>"01/12/2019"</f>
        <v>01/12/2019</v>
      </c>
      <c r="K163" s="2" t="str">
        <f>"21/01/2020"</f>
        <v>21/01/2020</v>
      </c>
      <c r="L163" s="2" t="str">
        <f>"20/02/2020"</f>
        <v>20/02/2020</v>
      </c>
      <c r="M163" s="2" t="str">
        <f>"21/02/2020"</f>
        <v>21/02/2020</v>
      </c>
      <c r="N163" s="2">
        <v>30</v>
      </c>
      <c r="O163" s="2">
        <v>31.18</v>
      </c>
      <c r="P163" s="2">
        <v>-0.28000000000000103</v>
      </c>
    </row>
    <row r="164" spans="1:16" s="2" customFormat="1" x14ac:dyDescent="0.25">
      <c r="A164" s="2">
        <v>48563034</v>
      </c>
      <c r="B164" s="2">
        <v>48563049</v>
      </c>
      <c r="C164" s="2" t="str">
        <f>"UNIMEDSJN"</f>
        <v>UNIMEDSJN</v>
      </c>
      <c r="D164" s="2" t="str">
        <f>"DH"</f>
        <v>DH</v>
      </c>
      <c r="E164" s="2" t="str">
        <f>"Julio Cezar Marchiori Nunes"</f>
        <v>Julio Cezar Marchiori Nunes</v>
      </c>
      <c r="F164" s="2" t="str">
        <f>"48563034-1/1"</f>
        <v>48563034-1/1</v>
      </c>
      <c r="G164" s="2" t="str">
        <f>"Carteira 21"</f>
        <v>Carteira 21</v>
      </c>
      <c r="H164" s="2">
        <v>20</v>
      </c>
      <c r="I164" s="3">
        <v>82</v>
      </c>
      <c r="J164" s="2" t="str">
        <f>"02/01/2020"</f>
        <v>02/01/2020</v>
      </c>
      <c r="K164" s="2" t="str">
        <f>"22/01/2020"</f>
        <v>22/01/2020</v>
      </c>
      <c r="L164" s="2" t="str">
        <f>"18/03/2020"</f>
        <v>18/03/2020</v>
      </c>
      <c r="M164" s="2" t="str">
        <f>"19/03/2020"</f>
        <v>19/03/2020</v>
      </c>
      <c r="N164" s="2">
        <v>49.74</v>
      </c>
      <c r="O164" s="2">
        <v>51.65</v>
      </c>
      <c r="P164" s="2">
        <v>1.00000000000051E-2</v>
      </c>
    </row>
    <row r="165" spans="1:16" s="2" customFormat="1" x14ac:dyDescent="0.25">
      <c r="A165" s="2">
        <v>43994997</v>
      </c>
      <c r="B165" s="2">
        <v>43995016</v>
      </c>
      <c r="C165" s="2" t="str">
        <f>"UNIMEDSJN"</f>
        <v>UNIMEDSJN</v>
      </c>
      <c r="D165" s="2" t="str">
        <f>"DH"</f>
        <v>DH</v>
      </c>
      <c r="E165" s="2" t="str">
        <f>"Katia Vieira de Lima Matos Mendonca"</f>
        <v>Katia Vieira de Lima Matos Mendonca</v>
      </c>
      <c r="F165" s="2" t="str">
        <f>"43994997-1/1"</f>
        <v>43994997-1/1</v>
      </c>
      <c r="G165" s="2" t="str">
        <f>"Carteira 21"</f>
        <v>Carteira 21</v>
      </c>
      <c r="H165" s="2">
        <v>24</v>
      </c>
      <c r="I165" s="3">
        <v>263</v>
      </c>
      <c r="J165" s="2" t="str">
        <f>"01/07/2019"</f>
        <v>01/07/2019</v>
      </c>
      <c r="K165" s="2" t="str">
        <f>"25/07/2019"</f>
        <v>25/07/2019</v>
      </c>
      <c r="L165" s="2" t="str">
        <f>"25/07/2019"</f>
        <v>25/07/2019</v>
      </c>
      <c r="M165" s="2" t="str">
        <f>"01/07/2019"</f>
        <v>01/07/2019</v>
      </c>
      <c r="N165" s="2">
        <v>65.16</v>
      </c>
      <c r="O165" s="2">
        <v>65.16</v>
      </c>
      <c r="P165" s="2">
        <v>0</v>
      </c>
    </row>
    <row r="166" spans="1:16" s="2" customFormat="1" x14ac:dyDescent="0.25">
      <c r="A166" s="2">
        <v>43995035</v>
      </c>
      <c r="B166" s="2">
        <v>43995055</v>
      </c>
      <c r="C166" s="2" t="str">
        <f>"UNIMEDSJN"</f>
        <v>UNIMEDSJN</v>
      </c>
      <c r="D166" s="2" t="str">
        <f>"DH"</f>
        <v>DH</v>
      </c>
      <c r="E166" s="2" t="str">
        <f>"Katia Vieira de Lima Matos Mendonca"</f>
        <v>Katia Vieira de Lima Matos Mendonca</v>
      </c>
      <c r="F166" s="2" t="str">
        <f>"43995035-1/1"</f>
        <v>43995035-1/1</v>
      </c>
      <c r="G166" s="2" t="str">
        <f>"Carteira 21"</f>
        <v>Carteira 21</v>
      </c>
      <c r="H166" s="2">
        <v>24</v>
      </c>
      <c r="I166" s="3">
        <v>263</v>
      </c>
      <c r="J166" s="2" t="str">
        <f>"01/07/2019"</f>
        <v>01/07/2019</v>
      </c>
      <c r="K166" s="2" t="str">
        <f>"25/07/2019"</f>
        <v>25/07/2019</v>
      </c>
      <c r="L166" s="2" t="str">
        <f>"25/07/2019"</f>
        <v>25/07/2019</v>
      </c>
      <c r="M166" s="2" t="str">
        <f>"01/07/2019"</f>
        <v>01/07/2019</v>
      </c>
      <c r="N166" s="2">
        <v>40.380000000000003</v>
      </c>
      <c r="O166" s="2">
        <v>40.380000000000003</v>
      </c>
      <c r="P166" s="2">
        <v>0</v>
      </c>
    </row>
    <row r="167" spans="1:16" s="2" customFormat="1" x14ac:dyDescent="0.25">
      <c r="A167" s="2">
        <v>44328342</v>
      </c>
      <c r="B167" s="2">
        <v>44328356</v>
      </c>
      <c r="C167" s="2" t="str">
        <f>"UNIMEDSJN"</f>
        <v>UNIMEDSJN</v>
      </c>
      <c r="D167" s="2" t="str">
        <f>"DH"</f>
        <v>DH</v>
      </c>
      <c r="E167" s="2" t="str">
        <f>"Katia Vieira de Lima Matos Mendonca"</f>
        <v>Katia Vieira de Lima Matos Mendonca</v>
      </c>
      <c r="F167" s="2" t="str">
        <f>"44328342-1/1"</f>
        <v>44328342-1/1</v>
      </c>
      <c r="G167" s="2" t="str">
        <f>"Carteira 21"</f>
        <v>Carteira 21</v>
      </c>
      <c r="H167" s="2">
        <v>24</v>
      </c>
      <c r="I167" s="3">
        <v>232</v>
      </c>
      <c r="J167" s="2" t="str">
        <f>"01/08/2019"</f>
        <v>01/08/2019</v>
      </c>
      <c r="K167" s="2" t="str">
        <f>"25/08/2019"</f>
        <v>25/08/2019</v>
      </c>
      <c r="L167" s="2" t="str">
        <f>"26/08/2019"</f>
        <v>26/08/2019</v>
      </c>
      <c r="M167" s="2" t="str">
        <f>"31/07/2019"</f>
        <v>31/07/2019</v>
      </c>
      <c r="N167" s="2">
        <v>84.72</v>
      </c>
      <c r="O167" s="2">
        <v>84.72</v>
      </c>
      <c r="P167" s="2">
        <v>0</v>
      </c>
    </row>
    <row r="168" spans="1:16" s="2" customFormat="1" x14ac:dyDescent="0.25">
      <c r="A168" s="2">
        <v>44328381</v>
      </c>
      <c r="B168" s="2">
        <v>44328390</v>
      </c>
      <c r="C168" s="2" t="str">
        <f>"UNIMEDSJN"</f>
        <v>UNIMEDSJN</v>
      </c>
      <c r="D168" s="2" t="str">
        <f>"DH"</f>
        <v>DH</v>
      </c>
      <c r="E168" s="2" t="str">
        <f>"Katia Vieira de Lima Matos Mendonca"</f>
        <v>Katia Vieira de Lima Matos Mendonca</v>
      </c>
      <c r="F168" s="2" t="str">
        <f>"44328381-1/1"</f>
        <v>44328381-1/1</v>
      </c>
      <c r="G168" s="2" t="str">
        <f>"Carteira 21"</f>
        <v>Carteira 21</v>
      </c>
      <c r="H168" s="2">
        <v>24</v>
      </c>
      <c r="I168" s="3">
        <v>232</v>
      </c>
      <c r="J168" s="2" t="str">
        <f>"01/08/2019"</f>
        <v>01/08/2019</v>
      </c>
      <c r="K168" s="2" t="str">
        <f>"25/08/2019"</f>
        <v>25/08/2019</v>
      </c>
      <c r="L168" s="2" t="str">
        <f>"26/08/2019"</f>
        <v>26/08/2019</v>
      </c>
      <c r="M168" s="2" t="str">
        <f>"31/07/2019"</f>
        <v>31/07/2019</v>
      </c>
      <c r="N168" s="2">
        <v>30</v>
      </c>
      <c r="O168" s="2">
        <v>30</v>
      </c>
      <c r="P168" s="2">
        <v>0</v>
      </c>
    </row>
    <row r="169" spans="1:16" s="2" customFormat="1" x14ac:dyDescent="0.25">
      <c r="A169" s="2">
        <v>44971929</v>
      </c>
      <c r="B169" s="2">
        <v>44971962</v>
      </c>
      <c r="C169" s="2" t="str">
        <f>"UNIMEDSJN"</f>
        <v>UNIMEDSJN</v>
      </c>
      <c r="D169" s="2" t="str">
        <f>"DH"</f>
        <v>DH</v>
      </c>
      <c r="E169" s="2" t="str">
        <f>"Katia Vieira de Lima Matos Mendonca"</f>
        <v>Katia Vieira de Lima Matos Mendonca</v>
      </c>
      <c r="F169" s="2" t="str">
        <f>"44971929-1/1"</f>
        <v>44971929-1/1</v>
      </c>
      <c r="G169" s="2" t="str">
        <f>"Carteira 21"</f>
        <v>Carteira 21</v>
      </c>
      <c r="H169" s="2">
        <v>24</v>
      </c>
      <c r="I169" s="3">
        <v>201</v>
      </c>
      <c r="J169" s="2" t="str">
        <f>"01/09/2019"</f>
        <v>01/09/2019</v>
      </c>
      <c r="K169" s="2" t="str">
        <f>"25/09/2019"</f>
        <v>25/09/2019</v>
      </c>
      <c r="L169" s="2" t="str">
        <f>"25/09/2019"</f>
        <v>25/09/2019</v>
      </c>
      <c r="M169" s="2" t="str">
        <f>"29/08/2019"</f>
        <v>29/08/2019</v>
      </c>
      <c r="N169" s="2">
        <v>87.1</v>
      </c>
      <c r="O169" s="2">
        <v>87.1</v>
      </c>
      <c r="P169" s="2">
        <v>0</v>
      </c>
    </row>
    <row r="170" spans="1:16" s="2" customFormat="1" x14ac:dyDescent="0.25">
      <c r="A170" s="2">
        <v>45922994</v>
      </c>
      <c r="B170" s="2">
        <v>45923015</v>
      </c>
      <c r="C170" s="2" t="str">
        <f>"UNIMEDSJN"</f>
        <v>UNIMEDSJN</v>
      </c>
      <c r="D170" s="2" t="str">
        <f>"DH"</f>
        <v>DH</v>
      </c>
      <c r="E170" s="2" t="str">
        <f>"LARA MOREIRA DE PAULA"</f>
        <v>LARA MOREIRA DE PAULA</v>
      </c>
      <c r="F170" s="2" t="str">
        <f>"45922994-1/1"</f>
        <v>45922994-1/1</v>
      </c>
      <c r="G170" s="2" t="str">
        <f>"Carteira 21"</f>
        <v>Carteira 21</v>
      </c>
      <c r="H170" s="2">
        <v>24</v>
      </c>
      <c r="I170" s="3">
        <v>140</v>
      </c>
      <c r="J170" s="2" t="str">
        <f>"01/11/2019"</f>
        <v>01/11/2019</v>
      </c>
      <c r="K170" s="2" t="str">
        <f>"25/11/2019"</f>
        <v>25/11/2019</v>
      </c>
      <c r="L170" s="2" t="str">
        <f>"25/11/2019"</f>
        <v>25/11/2019</v>
      </c>
      <c r="M170" s="2" t="str">
        <f>"31/10/2019"</f>
        <v>31/10/2019</v>
      </c>
      <c r="N170" s="2">
        <v>30</v>
      </c>
      <c r="O170" s="2">
        <v>30</v>
      </c>
      <c r="P170" s="2">
        <v>0</v>
      </c>
    </row>
    <row r="171" spans="1:16" s="2" customFormat="1" x14ac:dyDescent="0.25">
      <c r="A171" s="2">
        <v>47498005</v>
      </c>
      <c r="B171" s="2">
        <v>47498022</v>
      </c>
      <c r="C171" s="2" t="str">
        <f>"UNIMEDSJN"</f>
        <v>UNIMEDSJN</v>
      </c>
      <c r="D171" s="2" t="str">
        <f>"DH"</f>
        <v>DH</v>
      </c>
      <c r="E171" s="2" t="str">
        <f>"LARA MOREIRA DE PAULA"</f>
        <v>LARA MOREIRA DE PAULA</v>
      </c>
      <c r="F171" s="2" t="str">
        <f>"47498005-1/1"</f>
        <v>47498005-1/1</v>
      </c>
      <c r="G171" s="2" t="str">
        <f>"Carteira 21"</f>
        <v>Carteira 21</v>
      </c>
      <c r="H171" s="2">
        <v>24</v>
      </c>
      <c r="I171" s="3">
        <v>110</v>
      </c>
      <c r="J171" s="2" t="str">
        <f>"01/12/2019"</f>
        <v>01/12/2019</v>
      </c>
      <c r="K171" s="2" t="str">
        <f>"25/12/2019"</f>
        <v>25/12/2019</v>
      </c>
      <c r="L171" s="2" t="str">
        <f>"25/12/2019"</f>
        <v>25/12/2019</v>
      </c>
      <c r="M171" s="2" t="str">
        <f>"28/11/2019"</f>
        <v>28/11/2019</v>
      </c>
      <c r="N171" s="2">
        <v>30</v>
      </c>
      <c r="O171" s="2">
        <v>30</v>
      </c>
      <c r="P171" s="2">
        <v>0</v>
      </c>
    </row>
    <row r="172" spans="1:16" s="2" customFormat="1" x14ac:dyDescent="0.25">
      <c r="A172" s="2">
        <v>45459712</v>
      </c>
      <c r="B172" s="2">
        <v>45459719</v>
      </c>
      <c r="C172" s="2" t="str">
        <f>"UNIMEDSJN"</f>
        <v>UNIMEDSJN</v>
      </c>
      <c r="D172" s="2" t="str">
        <f>"DH"</f>
        <v>DH</v>
      </c>
      <c r="E172" s="2" t="str">
        <f>"Larissa da Rocha Dutra"</f>
        <v>Larissa da Rocha Dutra</v>
      </c>
      <c r="F172" s="2" t="str">
        <f>"45459712-1/1"</f>
        <v>45459712-1/1</v>
      </c>
      <c r="G172" s="2" t="str">
        <f>"CARTEIRA PERDA"</f>
        <v>CARTEIRA PERDA</v>
      </c>
      <c r="H172" s="2">
        <v>14</v>
      </c>
      <c r="I172" s="3">
        <v>181</v>
      </c>
      <c r="J172" s="2" t="str">
        <f>"01/10/2019"</f>
        <v>01/10/2019</v>
      </c>
      <c r="K172" s="2" t="str">
        <f>"15/10/2019"</f>
        <v>15/10/2019</v>
      </c>
      <c r="L172" s="2" t="str">
        <f>"15/10/2019"</f>
        <v>15/10/2019</v>
      </c>
      <c r="M172" s="2" t="str">
        <f>"05/03/2020"</f>
        <v>05/03/2020</v>
      </c>
      <c r="N172" s="2">
        <v>60</v>
      </c>
      <c r="O172" s="2">
        <v>60</v>
      </c>
      <c r="P172" s="2">
        <v>0</v>
      </c>
    </row>
    <row r="173" spans="1:16" s="2" customFormat="1" x14ac:dyDescent="0.25">
      <c r="A173" s="2">
        <v>47503081</v>
      </c>
      <c r="B173" s="2">
        <v>47503097</v>
      </c>
      <c r="C173" s="2" t="str">
        <f>"UNIMEDSJN"</f>
        <v>UNIMEDSJN</v>
      </c>
      <c r="D173" s="2" t="str">
        <f>"DH"</f>
        <v>DH</v>
      </c>
      <c r="E173" s="2" t="str">
        <f>"Larissa da Rocha Dutra"</f>
        <v>Larissa da Rocha Dutra</v>
      </c>
      <c r="F173" s="2" t="str">
        <f>"47503081-1/1"</f>
        <v>47503081-1/1</v>
      </c>
      <c r="G173" s="2" t="str">
        <f>"CARTEIRA PERDA"</f>
        <v>CARTEIRA PERDA</v>
      </c>
      <c r="H173" s="2">
        <v>14</v>
      </c>
      <c r="I173" s="3">
        <v>120</v>
      </c>
      <c r="J173" s="2" t="str">
        <f>"01/12/2019"</f>
        <v>01/12/2019</v>
      </c>
      <c r="K173" s="2" t="str">
        <f>"15/12/2019"</f>
        <v>15/12/2019</v>
      </c>
      <c r="L173" s="2" t="str">
        <f>"16/12/2019"</f>
        <v>16/12/2019</v>
      </c>
      <c r="M173" s="2" t="str">
        <f>"05/03/2020"</f>
        <v>05/03/2020</v>
      </c>
      <c r="N173" s="2">
        <v>26.3</v>
      </c>
      <c r="O173" s="2">
        <v>26.3</v>
      </c>
      <c r="P173" s="2">
        <v>0</v>
      </c>
    </row>
    <row r="174" spans="1:16" s="2" customFormat="1" x14ac:dyDescent="0.25">
      <c r="A174" s="2">
        <v>47498522</v>
      </c>
      <c r="B174" s="2">
        <v>47498537</v>
      </c>
      <c r="C174" s="2" t="str">
        <f>"UNIMEDSJN"</f>
        <v>UNIMEDSJN</v>
      </c>
      <c r="D174" s="2" t="str">
        <f>"DH"</f>
        <v>DH</v>
      </c>
      <c r="E174" s="2" t="str">
        <f>"Larissa de Souza Rodrigues"</f>
        <v>Larissa de Souza Rodrigues</v>
      </c>
      <c r="F174" s="2" t="str">
        <f>"47498522-1/1"</f>
        <v>47498522-1/1</v>
      </c>
      <c r="G174" s="2" t="str">
        <f>"Carteira 21"</f>
        <v>Carteira 21</v>
      </c>
      <c r="H174" s="2">
        <v>24</v>
      </c>
      <c r="I174" s="3">
        <v>110</v>
      </c>
      <c r="J174" s="2" t="str">
        <f>"01/12/2019"</f>
        <v>01/12/2019</v>
      </c>
      <c r="K174" s="2" t="str">
        <f>"25/12/2019"</f>
        <v>25/12/2019</v>
      </c>
      <c r="L174" s="2" t="str">
        <f>"09/03/2020"</f>
        <v>09/03/2020</v>
      </c>
      <c r="M174" s="2" t="str">
        <f>"10/03/2020"</f>
        <v>10/03/2020</v>
      </c>
      <c r="N174" s="2">
        <v>28.35</v>
      </c>
      <c r="O174" s="2">
        <v>29.62</v>
      </c>
      <c r="P174" s="2">
        <v>1.00000000000016E-2</v>
      </c>
    </row>
    <row r="175" spans="1:16" s="2" customFormat="1" x14ac:dyDescent="0.25">
      <c r="A175" s="2">
        <v>48572104</v>
      </c>
      <c r="B175" s="2">
        <v>48572118</v>
      </c>
      <c r="C175" s="2" t="str">
        <f>"UNIMEDSJN"</f>
        <v>UNIMEDSJN</v>
      </c>
      <c r="D175" s="2" t="str">
        <f>"DH"</f>
        <v>DH</v>
      </c>
      <c r="E175" s="2" t="str">
        <f>"Larissa de Souza Rodrigues"</f>
        <v>Larissa de Souza Rodrigues</v>
      </c>
      <c r="F175" s="2" t="str">
        <f>"48572104-1/1"</f>
        <v>48572104-1/1</v>
      </c>
      <c r="G175" s="2" t="str">
        <f>"Carteira 21"</f>
        <v>Carteira 21</v>
      </c>
      <c r="H175" s="2">
        <v>23</v>
      </c>
      <c r="I175" s="3">
        <v>79</v>
      </c>
      <c r="J175" s="2" t="str">
        <f>"02/01/2020"</f>
        <v>02/01/2020</v>
      </c>
      <c r="K175" s="2" t="str">
        <f>"25/01/2020"</f>
        <v>25/01/2020</v>
      </c>
      <c r="L175" s="2" t="str">
        <f>"08/04/2020"</f>
        <v>08/04/2020</v>
      </c>
      <c r="M175" s="2" t="str">
        <f>"09/04/2020"</f>
        <v>09/04/2020</v>
      </c>
      <c r="N175" s="2">
        <v>28.35</v>
      </c>
      <c r="O175" s="2">
        <v>29.59</v>
      </c>
      <c r="P175" s="2">
        <v>3.0000000000001099E-2</v>
      </c>
    </row>
    <row r="176" spans="1:16" s="2" customFormat="1" x14ac:dyDescent="0.25">
      <c r="A176" s="2">
        <v>48569720</v>
      </c>
      <c r="B176" s="2">
        <v>48569740</v>
      </c>
      <c r="C176" s="2" t="str">
        <f>"UNIMEDSJN"</f>
        <v>UNIMEDSJN</v>
      </c>
      <c r="D176" s="2" t="str">
        <f>"DH"</f>
        <v>DH</v>
      </c>
      <c r="E176" s="2" t="str">
        <f>"Leidimar Aparecida Pires"</f>
        <v>Leidimar Aparecida Pires</v>
      </c>
      <c r="F176" s="2" t="str">
        <f>"48569720-1/1"</f>
        <v>48569720-1/1</v>
      </c>
      <c r="G176" s="2" t="str">
        <f>"Carteira 21"</f>
        <v>Carteira 21</v>
      </c>
      <c r="H176" s="2">
        <v>23</v>
      </c>
      <c r="I176" s="3">
        <v>79</v>
      </c>
      <c r="J176" s="2" t="str">
        <f>"02/01/2020"</f>
        <v>02/01/2020</v>
      </c>
      <c r="K176" s="2" t="str">
        <f>"25/01/2020"</f>
        <v>25/01/2020</v>
      </c>
      <c r="L176" s="2" t="str">
        <f>"27/01/2020"</f>
        <v>27/01/2020</v>
      </c>
      <c r="M176" s="2" t="str">
        <f>"27/12/2019"</f>
        <v>27/12/2019</v>
      </c>
      <c r="N176" s="2">
        <v>30</v>
      </c>
      <c r="O176" s="2">
        <v>30</v>
      </c>
      <c r="P176" s="2">
        <v>0</v>
      </c>
    </row>
    <row r="177" spans="1:16" s="2" customFormat="1" x14ac:dyDescent="0.25">
      <c r="A177" s="2">
        <v>48563076</v>
      </c>
      <c r="B177" s="2">
        <v>48563091</v>
      </c>
      <c r="C177" s="2" t="str">
        <f>"UNIMEDSJN"</f>
        <v>UNIMEDSJN</v>
      </c>
      <c r="D177" s="2" t="str">
        <f>"DH"</f>
        <v>DH</v>
      </c>
      <c r="E177" s="2" t="str">
        <f>"LEO MARCIO LOUZADA"</f>
        <v>LEO MARCIO LOUZADA</v>
      </c>
      <c r="F177" s="2" t="str">
        <f>"48563076-1/1"</f>
        <v>48563076-1/1</v>
      </c>
      <c r="G177" s="2" t="str">
        <f>"Carteira 21"</f>
        <v>Carteira 21</v>
      </c>
      <c r="H177" s="2">
        <v>23</v>
      </c>
      <c r="I177" s="3">
        <v>79</v>
      </c>
      <c r="J177" s="2" t="str">
        <f>"02/01/2020"</f>
        <v>02/01/2020</v>
      </c>
      <c r="K177" s="2" t="str">
        <f>"25/01/2020"</f>
        <v>25/01/2020</v>
      </c>
      <c r="L177" s="2" t="str">
        <f>"27/02/2020"</f>
        <v>27/02/2020</v>
      </c>
      <c r="M177" s="2" t="str">
        <f>"28/02/2020"</f>
        <v>28/02/2020</v>
      </c>
      <c r="N177" s="2">
        <v>60</v>
      </c>
      <c r="O177" s="2">
        <v>61.81</v>
      </c>
      <c r="P177" s="2">
        <v>4.9999999999997199E-2</v>
      </c>
    </row>
    <row r="178" spans="1:16" s="2" customFormat="1" x14ac:dyDescent="0.25">
      <c r="A178" s="2">
        <v>47495117</v>
      </c>
      <c r="B178" s="2">
        <v>47495377</v>
      </c>
      <c r="C178" s="2" t="str">
        <f>"UNIMEDSJN"</f>
        <v>UNIMEDSJN</v>
      </c>
      <c r="D178" s="2" t="str">
        <f>"DH"</f>
        <v>DH</v>
      </c>
      <c r="E178" s="2" t="str">
        <f>"Ligia Aparecida Alves Maciel"</f>
        <v>Ligia Aparecida Alves Maciel</v>
      </c>
      <c r="F178" s="2" t="str">
        <f>"47495117-1/1"</f>
        <v>47495117-1/1</v>
      </c>
      <c r="G178" s="2" t="str">
        <f>"Carteira 21"</f>
        <v>Carteira 21</v>
      </c>
      <c r="H178" s="2">
        <v>54</v>
      </c>
      <c r="I178" s="3">
        <v>80</v>
      </c>
      <c r="J178" s="2" t="str">
        <f>"01/12/2019"</f>
        <v>01/12/2019</v>
      </c>
      <c r="K178" s="2" t="str">
        <f>"24/01/2020"</f>
        <v>24/01/2020</v>
      </c>
      <c r="L178" s="2" t="str">
        <f>"17/02/2020"</f>
        <v>17/02/2020</v>
      </c>
      <c r="M178" s="2" t="str">
        <f>"18/02/2020"</f>
        <v>18/02/2020</v>
      </c>
      <c r="N178" s="2">
        <v>5.04</v>
      </c>
      <c r="O178" s="2">
        <v>5.23</v>
      </c>
      <c r="P178" s="2">
        <v>-5.0000000000000697E-2</v>
      </c>
    </row>
    <row r="179" spans="1:16" s="2" customFormat="1" x14ac:dyDescent="0.25">
      <c r="A179" s="2">
        <v>48577040</v>
      </c>
      <c r="B179" s="2">
        <v>48577050</v>
      </c>
      <c r="C179" s="2" t="str">
        <f>"UNIMEDSJN"</f>
        <v>UNIMEDSJN</v>
      </c>
      <c r="D179" s="2" t="str">
        <f>"DH"</f>
        <v>DH</v>
      </c>
      <c r="E179" s="2" t="str">
        <f>"Lilian Rodrigues"</f>
        <v>Lilian Rodrigues</v>
      </c>
      <c r="F179" s="2" t="str">
        <f>"48577040-1/1"</f>
        <v>48577040-1/1</v>
      </c>
      <c r="G179" s="2" t="str">
        <f>"Carteira 21"</f>
        <v>Carteira 21</v>
      </c>
      <c r="H179" s="2">
        <v>23</v>
      </c>
      <c r="I179" s="3">
        <v>79</v>
      </c>
      <c r="J179" s="2" t="str">
        <f>"02/01/2020"</f>
        <v>02/01/2020</v>
      </c>
      <c r="K179" s="2" t="str">
        <f>"25/01/2020"</f>
        <v>25/01/2020</v>
      </c>
      <c r="L179" s="2" t="str">
        <f>"06/02/2020"</f>
        <v>06/02/2020</v>
      </c>
      <c r="M179" s="2" t="str">
        <f>"07/02/2020"</f>
        <v>07/02/2020</v>
      </c>
      <c r="N179" s="2">
        <v>57.11</v>
      </c>
      <c r="O179" s="2">
        <v>58.44</v>
      </c>
      <c r="P179" s="2">
        <v>3.9999999999999099E-2</v>
      </c>
    </row>
    <row r="180" spans="1:16" s="2" customFormat="1" x14ac:dyDescent="0.25">
      <c r="A180" s="2">
        <v>47499512</v>
      </c>
      <c r="B180" s="2">
        <v>47499542</v>
      </c>
      <c r="C180" s="2" t="str">
        <f>"UNIMEDSJN"</f>
        <v>UNIMEDSJN</v>
      </c>
      <c r="D180" s="2" t="str">
        <f>"DH"</f>
        <v>DH</v>
      </c>
      <c r="E180" s="2" t="str">
        <f>"Liliane da Silva"</f>
        <v>Liliane da Silva</v>
      </c>
      <c r="F180" s="2" t="str">
        <f>"47499512-1/1"</f>
        <v>47499512-1/1</v>
      </c>
      <c r="G180" s="2" t="str">
        <f>"Carteira 21"</f>
        <v>Carteira 21</v>
      </c>
      <c r="H180" s="2">
        <v>24</v>
      </c>
      <c r="I180" s="3">
        <v>110</v>
      </c>
      <c r="J180" s="2" t="str">
        <f>"01/12/2019"</f>
        <v>01/12/2019</v>
      </c>
      <c r="K180" s="2" t="str">
        <f>"25/12/2019"</f>
        <v>25/12/2019</v>
      </c>
      <c r="L180" s="2" t="str">
        <f>"10/02/2020"</f>
        <v>10/02/2020</v>
      </c>
      <c r="M180" s="2" t="str">
        <f>"11/02/2020"</f>
        <v>11/02/2020</v>
      </c>
      <c r="N180" s="2">
        <v>100.62</v>
      </c>
      <c r="O180" s="2">
        <v>104.19</v>
      </c>
      <c r="P180" s="2">
        <v>2.0000000000010201E-2</v>
      </c>
    </row>
    <row r="181" spans="1:16" s="2" customFormat="1" x14ac:dyDescent="0.25">
      <c r="A181" s="2">
        <v>47499558</v>
      </c>
      <c r="B181" s="2">
        <v>47499583</v>
      </c>
      <c r="C181" s="2" t="str">
        <f>"UNIMEDSJN"</f>
        <v>UNIMEDSJN</v>
      </c>
      <c r="D181" s="2" t="str">
        <f>"DH"</f>
        <v>DH</v>
      </c>
      <c r="E181" s="2" t="str">
        <f>"Liliane da Silva"</f>
        <v>Liliane da Silva</v>
      </c>
      <c r="F181" s="2" t="str">
        <f>"47499558-1/1"</f>
        <v>47499558-1/1</v>
      </c>
      <c r="G181" s="2" t="str">
        <f>"Carteira 21"</f>
        <v>Carteira 21</v>
      </c>
      <c r="H181" s="2">
        <v>24</v>
      </c>
      <c r="I181" s="3">
        <v>110</v>
      </c>
      <c r="J181" s="2" t="str">
        <f>"01/12/2019"</f>
        <v>01/12/2019</v>
      </c>
      <c r="K181" s="2" t="str">
        <f>"25/12/2019"</f>
        <v>25/12/2019</v>
      </c>
      <c r="L181" s="2" t="str">
        <f>"10/02/2020"</f>
        <v>10/02/2020</v>
      </c>
      <c r="M181" s="2" t="str">
        <f>"11/02/2020"</f>
        <v>11/02/2020</v>
      </c>
      <c r="N181" s="2">
        <v>35.01</v>
      </c>
      <c r="O181" s="2">
        <v>36.25</v>
      </c>
      <c r="P181" s="2">
        <v>9.9999999999980105E-3</v>
      </c>
    </row>
    <row r="182" spans="1:16" s="2" customFormat="1" x14ac:dyDescent="0.25">
      <c r="A182" s="2">
        <v>48573940</v>
      </c>
      <c r="B182" s="2">
        <v>48573962</v>
      </c>
      <c r="C182" s="2" t="str">
        <f>"UNIMEDSJN"</f>
        <v>UNIMEDSJN</v>
      </c>
      <c r="D182" s="2" t="str">
        <f>"DH"</f>
        <v>DH</v>
      </c>
      <c r="E182" s="2" t="str">
        <f>"Liliane da Silva"</f>
        <v>Liliane da Silva</v>
      </c>
      <c r="F182" s="2" t="str">
        <f>"48573940-1/1"</f>
        <v>48573940-1/1</v>
      </c>
      <c r="G182" s="2" t="str">
        <f>"Carteira 21"</f>
        <v>Carteira 21</v>
      </c>
      <c r="H182" s="2">
        <v>23</v>
      </c>
      <c r="I182" s="3">
        <v>79</v>
      </c>
      <c r="J182" s="2" t="str">
        <f>"02/01/2020"</f>
        <v>02/01/2020</v>
      </c>
      <c r="K182" s="2" t="str">
        <f>"25/01/2020"</f>
        <v>25/01/2020</v>
      </c>
      <c r="L182" s="2" t="str">
        <f>"18/03/2020"</f>
        <v>18/03/2020</v>
      </c>
      <c r="M182" s="2" t="str">
        <f>"19/03/2020"</f>
        <v>19/03/2020</v>
      </c>
      <c r="N182" s="2">
        <v>114.51</v>
      </c>
      <c r="O182" s="2">
        <v>118.73</v>
      </c>
      <c r="P182" s="2">
        <v>9.0000000000003397E-2</v>
      </c>
    </row>
    <row r="183" spans="1:16" s="2" customFormat="1" x14ac:dyDescent="0.25">
      <c r="A183" s="2">
        <v>48568575</v>
      </c>
      <c r="B183" s="2">
        <v>48568583</v>
      </c>
      <c r="C183" s="2" t="str">
        <f>"UNIMEDSJN"</f>
        <v>UNIMEDSJN</v>
      </c>
      <c r="D183" s="2" t="str">
        <f>"DH"</f>
        <v>DH</v>
      </c>
      <c r="E183" s="2" t="str">
        <f>"LIVIANE APARECIDA DALA PAULA"</f>
        <v>LIVIANE APARECIDA DALA PAULA</v>
      </c>
      <c r="F183" s="2" t="str">
        <f>"48568575-1/1"</f>
        <v>48568575-1/1</v>
      </c>
      <c r="G183" s="2" t="str">
        <f>"Carteira 21"</f>
        <v>Carteira 21</v>
      </c>
      <c r="H183" s="2">
        <v>23</v>
      </c>
      <c r="I183" s="3">
        <v>79</v>
      </c>
      <c r="J183" s="2" t="str">
        <f>"02/01/2020"</f>
        <v>02/01/2020</v>
      </c>
      <c r="K183" s="2" t="str">
        <f>"25/01/2020"</f>
        <v>25/01/2020</v>
      </c>
      <c r="L183" s="2" t="str">
        <f>"12/03/2020"</f>
        <v>12/03/2020</v>
      </c>
      <c r="M183" s="2" t="str">
        <f>"13/03/2020"</f>
        <v>13/03/2020</v>
      </c>
      <c r="N183" s="2">
        <v>30</v>
      </c>
      <c r="O183" s="2">
        <v>31.05</v>
      </c>
      <c r="P183" s="2">
        <v>1.9999999999999601E-2</v>
      </c>
    </row>
    <row r="184" spans="1:16" s="2" customFormat="1" x14ac:dyDescent="0.25">
      <c r="A184" s="2">
        <v>48568951</v>
      </c>
      <c r="B184" s="2">
        <v>48568964</v>
      </c>
      <c r="C184" s="2" t="str">
        <f>"UNIMEDSJN"</f>
        <v>UNIMEDSJN</v>
      </c>
      <c r="D184" s="2" t="str">
        <f>"DH"</f>
        <v>DH</v>
      </c>
      <c r="E184" s="2" t="str">
        <f>"LUCAS BARBOSA DE SOUZA"</f>
        <v>LUCAS BARBOSA DE SOUZA</v>
      </c>
      <c r="F184" s="2" t="str">
        <f>"48568951-1/1"</f>
        <v>48568951-1/1</v>
      </c>
      <c r="G184" s="2" t="str">
        <f>"Carteira 21"</f>
        <v>Carteira 21</v>
      </c>
      <c r="H184" s="2">
        <v>23</v>
      </c>
      <c r="I184" s="3">
        <v>79</v>
      </c>
      <c r="J184" s="2" t="str">
        <f>"02/01/2020"</f>
        <v>02/01/2020</v>
      </c>
      <c r="K184" s="2" t="str">
        <f>"25/01/2020"</f>
        <v>25/01/2020</v>
      </c>
      <c r="L184" s="2" t="str">
        <f>"17/02/2020"</f>
        <v>17/02/2020</v>
      </c>
      <c r="M184" s="2" t="str">
        <f>"18/02/2020"</f>
        <v>18/02/2020</v>
      </c>
      <c r="N184" s="2">
        <v>30</v>
      </c>
      <c r="O184" s="2">
        <v>30.81</v>
      </c>
      <c r="P184" s="2">
        <v>1.9999999999996E-2</v>
      </c>
    </row>
    <row r="185" spans="1:16" s="2" customFormat="1" x14ac:dyDescent="0.25">
      <c r="A185" s="2">
        <v>48568207</v>
      </c>
      <c r="B185" s="2">
        <v>48568216</v>
      </c>
      <c r="C185" s="2" t="str">
        <f>"UNIMEDSJN"</f>
        <v>UNIMEDSJN</v>
      </c>
      <c r="D185" s="2" t="str">
        <f>"DH"</f>
        <v>DH</v>
      </c>
      <c r="E185" s="2" t="str">
        <f>"Lucia Almeida Filgueiras Rodrigues"</f>
        <v>Lucia Almeida Filgueiras Rodrigues</v>
      </c>
      <c r="F185" s="2" t="str">
        <f>"48568207-1/1"</f>
        <v>48568207-1/1</v>
      </c>
      <c r="G185" s="2" t="str">
        <f>"Carteira 21"</f>
        <v>Carteira 21</v>
      </c>
      <c r="H185" s="2">
        <v>20</v>
      </c>
      <c r="I185" s="3">
        <v>82</v>
      </c>
      <c r="J185" s="2" t="str">
        <f>"02/01/2020"</f>
        <v>02/01/2020</v>
      </c>
      <c r="K185" s="2" t="str">
        <f>"22/01/2020"</f>
        <v>22/01/2020</v>
      </c>
      <c r="L185" s="2" t="str">
        <f>"26/02/2020"</f>
        <v>26/02/2020</v>
      </c>
      <c r="M185" s="2" t="str">
        <f>"27/02/2020"</f>
        <v>27/02/2020</v>
      </c>
      <c r="N185" s="2">
        <v>30</v>
      </c>
      <c r="O185" s="2">
        <v>30.95</v>
      </c>
      <c r="P185" s="2">
        <v>0</v>
      </c>
    </row>
    <row r="186" spans="1:16" s="2" customFormat="1" x14ac:dyDescent="0.25">
      <c r="A186" s="2">
        <v>48566361</v>
      </c>
      <c r="B186" s="2">
        <v>48566634</v>
      </c>
      <c r="C186" s="2" t="str">
        <f>"UNIMEDSJN"</f>
        <v>UNIMEDSJN</v>
      </c>
      <c r="D186" s="2" t="str">
        <f>"DH"</f>
        <v>DH</v>
      </c>
      <c r="E186" s="2" t="str">
        <f>"LUCIANA DE CASTRO FURTADO"</f>
        <v>LUCIANA DE CASTRO FURTADO</v>
      </c>
      <c r="F186" s="2" t="str">
        <f>"48566361-1/1"</f>
        <v>48566361-1/1</v>
      </c>
      <c r="G186" s="2" t="str">
        <f>"Carteira 21"</f>
        <v>Carteira 21</v>
      </c>
      <c r="H186" s="2">
        <v>16</v>
      </c>
      <c r="I186" s="3">
        <v>86</v>
      </c>
      <c r="J186" s="2" t="str">
        <f>"02/01/2020"</f>
        <v>02/01/2020</v>
      </c>
      <c r="K186" s="2" t="str">
        <f>"18/01/2020"</f>
        <v>18/01/2020</v>
      </c>
      <c r="L186" s="2" t="str">
        <f>"27/02/2020"</f>
        <v>27/02/2020</v>
      </c>
      <c r="M186" s="2" t="str">
        <f>"28/02/2020"</f>
        <v>28/02/2020</v>
      </c>
      <c r="N186" s="2">
        <v>30</v>
      </c>
      <c r="O186" s="2">
        <v>30.98</v>
      </c>
      <c r="P186" s="2">
        <v>1.9999999999999601E-2</v>
      </c>
    </row>
    <row r="187" spans="1:16" s="2" customFormat="1" x14ac:dyDescent="0.25">
      <c r="A187" s="2">
        <v>48563392</v>
      </c>
      <c r="B187" s="2">
        <v>48563404</v>
      </c>
      <c r="C187" s="2" t="str">
        <f>"UNIMEDSJN"</f>
        <v>UNIMEDSJN</v>
      </c>
      <c r="D187" s="2" t="str">
        <f>"DH"</f>
        <v>DH</v>
      </c>
      <c r="E187" s="2" t="str">
        <f>"LUCIANA FERREIRA LOPES"</f>
        <v>LUCIANA FERREIRA LOPES</v>
      </c>
      <c r="F187" s="2" t="str">
        <f>"48563392-1/1"</f>
        <v>48563392-1/1</v>
      </c>
      <c r="G187" s="2" t="str">
        <f>"Carteira 21"</f>
        <v>Carteira 21</v>
      </c>
      <c r="H187" s="2">
        <v>23</v>
      </c>
      <c r="I187" s="3">
        <v>79</v>
      </c>
      <c r="J187" s="2" t="str">
        <f>"02/01/2020"</f>
        <v>02/01/2020</v>
      </c>
      <c r="K187" s="2" t="str">
        <f>"25/01/2020"</f>
        <v>25/01/2020</v>
      </c>
      <c r="L187" s="2" t="str">
        <f>"20/03/2020"</f>
        <v>20/03/2020</v>
      </c>
      <c r="M187" s="2" t="str">
        <f>"23/03/2020"</f>
        <v>23/03/2020</v>
      </c>
      <c r="N187" s="2">
        <v>56.7</v>
      </c>
      <c r="O187" s="2">
        <v>58.82</v>
      </c>
      <c r="P187" s="2">
        <v>5.0000000000004298E-2</v>
      </c>
    </row>
    <row r="188" spans="1:16" s="2" customFormat="1" x14ac:dyDescent="0.25">
      <c r="A188" s="2">
        <v>48570461</v>
      </c>
      <c r="B188" s="2">
        <v>48570479</v>
      </c>
      <c r="C188" s="2" t="str">
        <f>"UNIMEDSJN"</f>
        <v>UNIMEDSJN</v>
      </c>
      <c r="D188" s="2" t="str">
        <f>"DH"</f>
        <v>DH</v>
      </c>
      <c r="E188" s="2" t="str">
        <f>"Luciana Vidal Barrioli"</f>
        <v>Luciana Vidal Barrioli</v>
      </c>
      <c r="F188" s="2" t="str">
        <f>"48570461-1/1"</f>
        <v>48570461-1/1</v>
      </c>
      <c r="G188" s="2" t="str">
        <f>"Carteira 21"</f>
        <v>Carteira 21</v>
      </c>
      <c r="H188" s="2">
        <v>23</v>
      </c>
      <c r="I188" s="3">
        <v>79</v>
      </c>
      <c r="J188" s="2" t="str">
        <f>"02/01/2020"</f>
        <v>02/01/2020</v>
      </c>
      <c r="K188" s="2" t="str">
        <f>"25/01/2020"</f>
        <v>25/01/2020</v>
      </c>
      <c r="L188" s="2" t="str">
        <f>"14/02/2020"</f>
        <v>14/02/2020</v>
      </c>
      <c r="M188" s="2" t="str">
        <f>"17/02/2020"</f>
        <v>17/02/2020</v>
      </c>
      <c r="N188" s="2">
        <v>30</v>
      </c>
      <c r="O188" s="2">
        <v>30.78</v>
      </c>
      <c r="P188" s="2">
        <v>1.9999999999999601E-2</v>
      </c>
    </row>
    <row r="189" spans="1:16" s="2" customFormat="1" x14ac:dyDescent="0.25">
      <c r="A189" s="2">
        <v>48573917</v>
      </c>
      <c r="B189" s="2">
        <v>48573924</v>
      </c>
      <c r="C189" s="2" t="str">
        <f>"UNIMEDSJN"</f>
        <v>UNIMEDSJN</v>
      </c>
      <c r="D189" s="2" t="str">
        <f>"DH"</f>
        <v>DH</v>
      </c>
      <c r="E189" s="2" t="str">
        <f>"Luciane Aparecida Vieira Dutra"</f>
        <v>Luciane Aparecida Vieira Dutra</v>
      </c>
      <c r="F189" s="2" t="str">
        <f>"48573917-1/1"</f>
        <v>48573917-1/1</v>
      </c>
      <c r="G189" s="2" t="str">
        <f>"Carteira 21"</f>
        <v>Carteira 21</v>
      </c>
      <c r="H189" s="2">
        <v>23</v>
      </c>
      <c r="I189" s="3">
        <v>79</v>
      </c>
      <c r="J189" s="2" t="str">
        <f>"02/01/2020"</f>
        <v>02/01/2020</v>
      </c>
      <c r="K189" s="2" t="str">
        <f>"25/01/2020"</f>
        <v>25/01/2020</v>
      </c>
      <c r="L189" s="2" t="str">
        <f>"10/02/2020"</f>
        <v>10/02/2020</v>
      </c>
      <c r="M189" s="2" t="str">
        <f>"11/02/2020"</f>
        <v>11/02/2020</v>
      </c>
      <c r="N189" s="2">
        <v>10.55</v>
      </c>
      <c r="O189" s="2">
        <v>10.81</v>
      </c>
      <c r="P189" s="2">
        <v>9.9999999999997903E-3</v>
      </c>
    </row>
    <row r="190" spans="1:16" s="2" customFormat="1" x14ac:dyDescent="0.25">
      <c r="A190" s="2">
        <v>48575752</v>
      </c>
      <c r="B190" s="2">
        <v>48575768</v>
      </c>
      <c r="C190" s="2" t="str">
        <f>"UNIMEDSJN"</f>
        <v>UNIMEDSJN</v>
      </c>
      <c r="D190" s="2" t="str">
        <f>"DH"</f>
        <v>DH</v>
      </c>
      <c r="E190" s="2" t="str">
        <f>"Luciene dos Reis Braga"</f>
        <v>Luciene dos Reis Braga</v>
      </c>
      <c r="F190" s="2" t="str">
        <f>"48575752-1/1"</f>
        <v>48575752-1/1</v>
      </c>
      <c r="G190" s="2" t="str">
        <f>"Carteira 21"</f>
        <v>Carteira 21</v>
      </c>
      <c r="H190" s="2">
        <v>23</v>
      </c>
      <c r="I190" s="3">
        <v>79</v>
      </c>
      <c r="J190" s="2" t="str">
        <f>"02/01/2020"</f>
        <v>02/01/2020</v>
      </c>
      <c r="K190" s="2" t="str">
        <f>"25/01/2020"</f>
        <v>25/01/2020</v>
      </c>
      <c r="L190" s="2" t="str">
        <f>"11/02/2020"</f>
        <v>11/02/2020</v>
      </c>
      <c r="M190" s="2" t="str">
        <f>"12/02/2020"</f>
        <v>12/02/2020</v>
      </c>
      <c r="N190" s="2">
        <v>31.09</v>
      </c>
      <c r="O190" s="2">
        <v>31.87</v>
      </c>
      <c r="P190" s="2">
        <v>1.9999999999999601E-2</v>
      </c>
    </row>
    <row r="191" spans="1:16" s="2" customFormat="1" x14ac:dyDescent="0.25">
      <c r="A191" s="2">
        <v>44332855</v>
      </c>
      <c r="B191" s="2">
        <v>44332872</v>
      </c>
      <c r="C191" s="2" t="str">
        <f>"UNIMEDSJN"</f>
        <v>UNIMEDSJN</v>
      </c>
      <c r="D191" s="2" t="str">
        <f>"DH"</f>
        <v>DH</v>
      </c>
      <c r="E191" s="2" t="str">
        <f>"LUIS FELIPE FERRAZ MENDONCA"</f>
        <v>LUIS FELIPE FERRAZ MENDONCA</v>
      </c>
      <c r="F191" s="2" t="str">
        <f>"44332855-1/1"</f>
        <v>44332855-1/1</v>
      </c>
      <c r="G191" s="2" t="str">
        <f>"CARTEIRA PERDA"</f>
        <v>CARTEIRA PERDA</v>
      </c>
      <c r="H191" s="2">
        <v>24</v>
      </c>
      <c r="I191" s="3">
        <v>232</v>
      </c>
      <c r="J191" s="2" t="str">
        <f>"01/08/2019"</f>
        <v>01/08/2019</v>
      </c>
      <c r="K191" s="2" t="str">
        <f>"25/08/2019"</f>
        <v>25/08/2019</v>
      </c>
      <c r="L191" s="2" t="str">
        <f>"26/08/2019"</f>
        <v>26/08/2019</v>
      </c>
      <c r="M191" s="2" t="str">
        <f>"05/03/2020"</f>
        <v>05/03/2020</v>
      </c>
      <c r="N191" s="2">
        <v>34.659999999999997</v>
      </c>
      <c r="O191" s="2">
        <v>34.659999999999997</v>
      </c>
      <c r="P191" s="2">
        <v>0</v>
      </c>
    </row>
    <row r="192" spans="1:16" s="2" customFormat="1" x14ac:dyDescent="0.25">
      <c r="A192" s="2">
        <v>45458330</v>
      </c>
      <c r="B192" s="2">
        <v>45458351</v>
      </c>
      <c r="C192" s="2" t="str">
        <f>"UNIMEDSJN"</f>
        <v>UNIMEDSJN</v>
      </c>
      <c r="D192" s="2" t="str">
        <f>"DH"</f>
        <v>DH</v>
      </c>
      <c r="E192" s="2" t="str">
        <f>"LUIS FELIPE FERRAZ MENDONCA"</f>
        <v>LUIS FELIPE FERRAZ MENDONCA</v>
      </c>
      <c r="F192" s="2" t="str">
        <f>"45458330-1/1"</f>
        <v>45458330-1/1</v>
      </c>
      <c r="G192" s="2" t="str">
        <f>"CARTEIRA PERDA"</f>
        <v>CARTEIRA PERDA</v>
      </c>
      <c r="H192" s="2">
        <v>24</v>
      </c>
      <c r="I192" s="3">
        <v>171</v>
      </c>
      <c r="J192" s="2" t="str">
        <f>"01/10/2019"</f>
        <v>01/10/2019</v>
      </c>
      <c r="K192" s="2" t="str">
        <f>"25/10/2019"</f>
        <v>25/10/2019</v>
      </c>
      <c r="L192" s="2" t="str">
        <f>"25/10/2019"</f>
        <v>25/10/2019</v>
      </c>
      <c r="M192" s="2" t="str">
        <f>"05/03/2020"</f>
        <v>05/03/2020</v>
      </c>
      <c r="N192" s="2">
        <v>54.18</v>
      </c>
      <c r="O192" s="2">
        <v>54.18</v>
      </c>
      <c r="P192" s="2">
        <v>0</v>
      </c>
    </row>
    <row r="193" spans="1:16" s="2" customFormat="1" x14ac:dyDescent="0.25">
      <c r="A193" s="2">
        <v>45914529</v>
      </c>
      <c r="B193" s="2">
        <v>45914541</v>
      </c>
      <c r="C193" s="2" t="str">
        <f>"UNIMEDSJN"</f>
        <v>UNIMEDSJN</v>
      </c>
      <c r="D193" s="2" t="str">
        <f>"DH"</f>
        <v>DH</v>
      </c>
      <c r="E193" s="2" t="str">
        <f>"LUIS FELIPE FERRAZ MENDONCA"</f>
        <v>LUIS FELIPE FERRAZ MENDONCA</v>
      </c>
      <c r="F193" s="2" t="str">
        <f>"45914529-1/1"</f>
        <v>45914529-1/1</v>
      </c>
      <c r="G193" s="2" t="str">
        <f>"CARTEIRA PERDA"</f>
        <v>CARTEIRA PERDA</v>
      </c>
      <c r="H193" s="2">
        <v>24</v>
      </c>
      <c r="I193" s="3">
        <v>140</v>
      </c>
      <c r="J193" s="2" t="str">
        <f>"01/11/2019"</f>
        <v>01/11/2019</v>
      </c>
      <c r="K193" s="2" t="str">
        <f>"25/11/2019"</f>
        <v>25/11/2019</v>
      </c>
      <c r="L193" s="2" t="str">
        <f>"25/11/2019"</f>
        <v>25/11/2019</v>
      </c>
      <c r="M193" s="2" t="str">
        <f>"05/03/2020"</f>
        <v>05/03/2020</v>
      </c>
      <c r="N193" s="2">
        <v>46.55</v>
      </c>
      <c r="O193" s="2">
        <v>46.55</v>
      </c>
      <c r="P193" s="2">
        <v>0</v>
      </c>
    </row>
    <row r="194" spans="1:16" s="2" customFormat="1" x14ac:dyDescent="0.25">
      <c r="A194" s="2">
        <v>45921715</v>
      </c>
      <c r="B194" s="2">
        <v>45921728</v>
      </c>
      <c r="C194" s="2" t="str">
        <f>"UNIMEDSJN"</f>
        <v>UNIMEDSJN</v>
      </c>
      <c r="D194" s="2" t="str">
        <f>"DH"</f>
        <v>DH</v>
      </c>
      <c r="E194" s="2" t="str">
        <f>"LUISA MENDES HENRIQUES"</f>
        <v>LUISA MENDES HENRIQUES</v>
      </c>
      <c r="F194" s="2" t="str">
        <f>"45921715-1/1"</f>
        <v>45921715-1/1</v>
      </c>
      <c r="G194" s="2" t="str">
        <f>"Carteira 21"</f>
        <v>Carteira 21</v>
      </c>
      <c r="H194" s="2">
        <v>24</v>
      </c>
      <c r="I194" s="3">
        <v>140</v>
      </c>
      <c r="J194" s="2" t="str">
        <f>"01/11/2019"</f>
        <v>01/11/2019</v>
      </c>
      <c r="K194" s="2" t="str">
        <f>"25/11/2019"</f>
        <v>25/11/2019</v>
      </c>
      <c r="L194" s="2" t="str">
        <f>"21/02/2020"</f>
        <v>21/02/2020</v>
      </c>
      <c r="M194" s="2" t="str">
        <f>"24/02/2020"</f>
        <v>24/02/2020</v>
      </c>
      <c r="N194" s="2">
        <v>78.06</v>
      </c>
      <c r="O194" s="2">
        <v>81.89</v>
      </c>
      <c r="P194" s="2">
        <v>1.9999999999996E-2</v>
      </c>
    </row>
    <row r="195" spans="1:16" s="2" customFormat="1" x14ac:dyDescent="0.25">
      <c r="A195" s="2">
        <v>47500597</v>
      </c>
      <c r="B195" s="2">
        <v>47500611</v>
      </c>
      <c r="C195" s="2" t="str">
        <f>"UNIMEDSJN"</f>
        <v>UNIMEDSJN</v>
      </c>
      <c r="D195" s="2" t="str">
        <f>"DH"</f>
        <v>DH</v>
      </c>
      <c r="E195" s="2" t="str">
        <f>"LUISA MENDES HENRIQUES"</f>
        <v>LUISA MENDES HENRIQUES</v>
      </c>
      <c r="F195" s="2" t="str">
        <f>"47500597-1/1"</f>
        <v>47500597-1/1</v>
      </c>
      <c r="G195" s="2" t="str">
        <f>"Carteira 21"</f>
        <v>Carteira 21</v>
      </c>
      <c r="H195" s="2">
        <v>24</v>
      </c>
      <c r="I195" s="3">
        <v>110</v>
      </c>
      <c r="J195" s="2" t="str">
        <f>"01/12/2019"</f>
        <v>01/12/2019</v>
      </c>
      <c r="K195" s="2" t="str">
        <f>"25/12/2019"</f>
        <v>25/12/2019</v>
      </c>
      <c r="L195" s="2" t="str">
        <f>"25/12/2019"</f>
        <v>25/12/2019</v>
      </c>
      <c r="M195" s="2" t="str">
        <f>"28/11/2019"</f>
        <v>28/11/2019</v>
      </c>
      <c r="N195" s="2">
        <v>28.35</v>
      </c>
      <c r="O195" s="2">
        <v>28.35</v>
      </c>
      <c r="P195" s="2">
        <v>0</v>
      </c>
    </row>
    <row r="196" spans="1:16" s="2" customFormat="1" x14ac:dyDescent="0.25">
      <c r="A196" s="2">
        <v>48574242</v>
      </c>
      <c r="B196" s="2">
        <v>48574267</v>
      </c>
      <c r="C196" s="2" t="str">
        <f>"UNIMEDSJN"</f>
        <v>UNIMEDSJN</v>
      </c>
      <c r="D196" s="2" t="str">
        <f>"DH"</f>
        <v>DH</v>
      </c>
      <c r="E196" s="2" t="str">
        <f>"LUISA MENDES HENRIQUES"</f>
        <v>LUISA MENDES HENRIQUES</v>
      </c>
      <c r="F196" s="2" t="str">
        <f>"48574242-1/1"</f>
        <v>48574242-1/1</v>
      </c>
      <c r="G196" s="2" t="str">
        <f>"Carteira 21"</f>
        <v>Carteira 21</v>
      </c>
      <c r="H196" s="2">
        <v>23</v>
      </c>
      <c r="I196" s="3">
        <v>79</v>
      </c>
      <c r="J196" s="2" t="str">
        <f>"02/01/2020"</f>
        <v>02/01/2020</v>
      </c>
      <c r="K196" s="2" t="str">
        <f>"25/01/2020"</f>
        <v>25/01/2020</v>
      </c>
      <c r="L196" s="2" t="str">
        <f>"27/01/2020"</f>
        <v>27/01/2020</v>
      </c>
      <c r="M196" s="2" t="str">
        <f>"27/12/2019"</f>
        <v>27/12/2019</v>
      </c>
      <c r="N196" s="2">
        <v>23.3</v>
      </c>
      <c r="O196" s="2">
        <v>23.3</v>
      </c>
      <c r="P196" s="2">
        <v>0</v>
      </c>
    </row>
    <row r="197" spans="1:16" s="2" customFormat="1" x14ac:dyDescent="0.25">
      <c r="A197" s="2">
        <v>47512117</v>
      </c>
      <c r="B197" s="2">
        <v>47512136</v>
      </c>
      <c r="C197" s="2" t="str">
        <f>"UNIMEDSJN"</f>
        <v>UNIMEDSJN</v>
      </c>
      <c r="D197" s="2" t="str">
        <f>"DH"</f>
        <v>DH</v>
      </c>
      <c r="E197" s="2" t="str">
        <f>"LUIZA ALVES MAUAD"</f>
        <v>LUIZA ALVES MAUAD</v>
      </c>
      <c r="F197" s="2" t="str">
        <f>"47512117-1/1"</f>
        <v>47512117-1/1</v>
      </c>
      <c r="G197" s="2" t="str">
        <f>"Carteira 21"</f>
        <v>Carteira 21</v>
      </c>
      <c r="H197" s="2">
        <v>17</v>
      </c>
      <c r="I197" s="3">
        <v>117</v>
      </c>
      <c r="J197" s="2" t="str">
        <f>"01/12/2019"</f>
        <v>01/12/2019</v>
      </c>
      <c r="K197" s="2" t="str">
        <f>"18/12/2019"</f>
        <v>18/12/2019</v>
      </c>
      <c r="L197" s="2" t="str">
        <f>"12/02/2020"</f>
        <v>12/02/2020</v>
      </c>
      <c r="M197" s="2" t="str">
        <f>"13/02/2020"</f>
        <v>13/02/2020</v>
      </c>
      <c r="N197" s="2">
        <v>4.7</v>
      </c>
      <c r="O197" s="2">
        <v>4.88</v>
      </c>
      <c r="P197" s="2">
        <v>0</v>
      </c>
    </row>
    <row r="198" spans="1:16" s="2" customFormat="1" x14ac:dyDescent="0.25">
      <c r="A198" s="2">
        <v>48563121</v>
      </c>
      <c r="B198" s="2">
        <v>48563135</v>
      </c>
      <c r="C198" s="2" t="str">
        <f>"UNIMEDSJN"</f>
        <v>UNIMEDSJN</v>
      </c>
      <c r="D198" s="2" t="str">
        <f>"DH"</f>
        <v>DH</v>
      </c>
      <c r="E198" s="2" t="str">
        <f>"LUIZA ALVES MAUAD"</f>
        <v>LUIZA ALVES MAUAD</v>
      </c>
      <c r="F198" s="2" t="str">
        <f>"48563121-1/1"</f>
        <v>48563121-1/1</v>
      </c>
      <c r="G198" s="2" t="str">
        <f>"Carteira 21"</f>
        <v>Carteira 21</v>
      </c>
      <c r="H198" s="2">
        <v>16</v>
      </c>
      <c r="I198" s="3">
        <v>86</v>
      </c>
      <c r="J198" s="2" t="str">
        <f>"02/01/2020"</f>
        <v>02/01/2020</v>
      </c>
      <c r="K198" s="2" t="str">
        <f>"18/01/2020"</f>
        <v>18/01/2020</v>
      </c>
      <c r="L198" s="2" t="str">
        <f>"03/03/2020"</f>
        <v>03/03/2020</v>
      </c>
      <c r="M198" s="2" t="str">
        <f>"04/03/2020"</f>
        <v>04/03/2020</v>
      </c>
      <c r="N198" s="2">
        <v>98.12</v>
      </c>
      <c r="O198" s="2">
        <v>101.47</v>
      </c>
      <c r="P198" s="2">
        <v>8.0000000000012506E-2</v>
      </c>
    </row>
    <row r="199" spans="1:16" s="2" customFormat="1" x14ac:dyDescent="0.25">
      <c r="A199" s="2">
        <v>48567712</v>
      </c>
      <c r="B199" s="2">
        <v>48567735</v>
      </c>
      <c r="C199" s="2" t="str">
        <f>"UNIMEDSJN"</f>
        <v>UNIMEDSJN</v>
      </c>
      <c r="D199" s="2" t="str">
        <f>"DH"</f>
        <v>DH</v>
      </c>
      <c r="E199" s="2" t="str">
        <f>"LUIZA FURTADO SOBRINHO DUARTE"</f>
        <v>LUIZA FURTADO SOBRINHO DUARTE</v>
      </c>
      <c r="F199" s="2" t="str">
        <f>"48567712-1/1"</f>
        <v>48567712-1/1</v>
      </c>
      <c r="G199" s="2" t="str">
        <f>"Carteira 21"</f>
        <v>Carteira 21</v>
      </c>
      <c r="H199" s="2">
        <v>23</v>
      </c>
      <c r="I199" s="3">
        <v>79</v>
      </c>
      <c r="J199" s="2" t="str">
        <f>"02/01/2020"</f>
        <v>02/01/2020</v>
      </c>
      <c r="K199" s="2" t="str">
        <f>"25/01/2020"</f>
        <v>25/01/2020</v>
      </c>
      <c r="L199" s="2" t="str">
        <f>"14/02/2020"</f>
        <v>14/02/2020</v>
      </c>
      <c r="M199" s="2" t="str">
        <f>"17/02/2020"</f>
        <v>17/02/2020</v>
      </c>
      <c r="N199" s="2">
        <v>56.7</v>
      </c>
      <c r="O199" s="2">
        <v>58.17</v>
      </c>
      <c r="P199" s="2">
        <v>3.9999999999999099E-2</v>
      </c>
    </row>
    <row r="200" spans="1:16" s="2" customFormat="1" x14ac:dyDescent="0.25">
      <c r="A200" s="2">
        <v>47503237</v>
      </c>
      <c r="B200" s="2">
        <v>47503260</v>
      </c>
      <c r="C200" s="2" t="str">
        <f>"UNIMEDSJN"</f>
        <v>UNIMEDSJN</v>
      </c>
      <c r="D200" s="2" t="str">
        <f>"DH"</f>
        <v>DH</v>
      </c>
      <c r="E200" s="2" t="str">
        <f>"Maciel Almeida Barros"</f>
        <v>Maciel Almeida Barros</v>
      </c>
      <c r="F200" s="2" t="str">
        <f>"47503237-1/1"</f>
        <v>47503237-1/1</v>
      </c>
      <c r="G200" s="2" t="str">
        <f>"Carteira 21"</f>
        <v>Carteira 21</v>
      </c>
      <c r="H200" s="2">
        <v>24</v>
      </c>
      <c r="I200" s="3">
        <v>110</v>
      </c>
      <c r="J200" s="2" t="str">
        <f>"01/12/2019"</f>
        <v>01/12/2019</v>
      </c>
      <c r="K200" s="2" t="str">
        <f>"25/12/2019"</f>
        <v>25/12/2019</v>
      </c>
      <c r="L200" s="2" t="str">
        <f>"21/02/2020"</f>
        <v>21/02/2020</v>
      </c>
      <c r="M200" s="2" t="str">
        <f>"24/02/2020"</f>
        <v>24/02/2020</v>
      </c>
      <c r="N200" s="2">
        <v>128.49</v>
      </c>
      <c r="O200" s="2">
        <v>133.52000000000001</v>
      </c>
      <c r="P200" s="2">
        <v>2.0000000000010201E-2</v>
      </c>
    </row>
    <row r="201" spans="1:16" s="2" customFormat="1" x14ac:dyDescent="0.25">
      <c r="A201" s="2">
        <v>48577379</v>
      </c>
      <c r="B201" s="2">
        <v>48577406</v>
      </c>
      <c r="C201" s="2" t="str">
        <f>"UNIMEDSJN"</f>
        <v>UNIMEDSJN</v>
      </c>
      <c r="D201" s="2" t="str">
        <f>"DH"</f>
        <v>DH</v>
      </c>
      <c r="E201" s="2" t="str">
        <f>"Maciel Almeida Barros"</f>
        <v>Maciel Almeida Barros</v>
      </c>
      <c r="F201" s="2" t="str">
        <f>"48577379-1/1"</f>
        <v>48577379-1/1</v>
      </c>
      <c r="G201" s="2" t="str">
        <f>"Carteira 21"</f>
        <v>Carteira 21</v>
      </c>
      <c r="H201" s="2">
        <v>23</v>
      </c>
      <c r="I201" s="3">
        <v>79</v>
      </c>
      <c r="J201" s="2" t="str">
        <f>"02/01/2020"</f>
        <v>02/01/2020</v>
      </c>
      <c r="K201" s="2" t="str">
        <f>"25/01/2020"</f>
        <v>25/01/2020</v>
      </c>
      <c r="L201" s="2" t="str">
        <f>"04/02/2020"</f>
        <v>04/02/2020</v>
      </c>
      <c r="M201" s="2" t="str">
        <f>"05/02/2020"</f>
        <v>05/02/2020</v>
      </c>
      <c r="N201" s="2">
        <v>103.25</v>
      </c>
      <c r="O201" s="2">
        <v>105.59</v>
      </c>
      <c r="P201" s="2">
        <v>6.9999999999993207E-2</v>
      </c>
    </row>
    <row r="202" spans="1:16" s="2" customFormat="1" x14ac:dyDescent="0.25">
      <c r="A202" s="2">
        <v>45912351</v>
      </c>
      <c r="B202" s="2">
        <v>45912359</v>
      </c>
      <c r="C202" s="2" t="str">
        <f>"UNIMEDSJN"</f>
        <v>UNIMEDSJN</v>
      </c>
      <c r="D202" s="2" t="str">
        <f>"DH"</f>
        <v>DH</v>
      </c>
      <c r="E202" s="2" t="str">
        <f>"Magda Rodrigues de Moraes"</f>
        <v>Magda Rodrigues de Moraes</v>
      </c>
      <c r="F202" s="2" t="str">
        <f>"45912351-1/1"</f>
        <v>45912351-1/1</v>
      </c>
      <c r="G202" s="2" t="str">
        <f>"Carteira 21"</f>
        <v>Carteira 21</v>
      </c>
      <c r="H202" s="2">
        <v>24</v>
      </c>
      <c r="I202" s="3">
        <v>140</v>
      </c>
      <c r="J202" s="2" t="str">
        <f>"01/11/2019"</f>
        <v>01/11/2019</v>
      </c>
      <c r="K202" s="2" t="str">
        <f>"25/11/2019"</f>
        <v>25/11/2019</v>
      </c>
      <c r="L202" s="2" t="str">
        <f>"25/11/2019"</f>
        <v>25/11/2019</v>
      </c>
      <c r="M202" s="2" t="str">
        <f>"31/10/2019"</f>
        <v>31/10/2019</v>
      </c>
      <c r="N202" s="2">
        <v>30</v>
      </c>
      <c r="O202" s="2">
        <v>30</v>
      </c>
      <c r="P202" s="2">
        <v>0</v>
      </c>
    </row>
    <row r="203" spans="1:16" s="2" customFormat="1" x14ac:dyDescent="0.25">
      <c r="A203" s="2">
        <v>47495458</v>
      </c>
      <c r="B203" s="2">
        <v>47495471</v>
      </c>
      <c r="C203" s="2" t="str">
        <f>"UNIMEDSJN"</f>
        <v>UNIMEDSJN</v>
      </c>
      <c r="D203" s="2" t="str">
        <f>"DH"</f>
        <v>DH</v>
      </c>
      <c r="E203" s="2" t="str">
        <f>"Magda Rodrigues de Moraes"</f>
        <v>Magda Rodrigues de Moraes</v>
      </c>
      <c r="F203" s="2" t="str">
        <f>"47495458-1/1"</f>
        <v>47495458-1/1</v>
      </c>
      <c r="G203" s="2" t="str">
        <f>"Carteira 21"</f>
        <v>Carteira 21</v>
      </c>
      <c r="H203" s="2">
        <v>24</v>
      </c>
      <c r="I203" s="3">
        <v>110</v>
      </c>
      <c r="J203" s="2" t="str">
        <f>"01/12/2019"</f>
        <v>01/12/2019</v>
      </c>
      <c r="K203" s="2" t="str">
        <f>"25/12/2019"</f>
        <v>25/12/2019</v>
      </c>
      <c r="L203" s="2" t="str">
        <f>"25/12/2019"</f>
        <v>25/12/2019</v>
      </c>
      <c r="M203" s="2" t="str">
        <f>"28/11/2019"</f>
        <v>28/11/2019</v>
      </c>
      <c r="N203" s="2">
        <v>78.19</v>
      </c>
      <c r="O203" s="2">
        <v>78.19</v>
      </c>
      <c r="P203" s="2">
        <v>0</v>
      </c>
    </row>
    <row r="204" spans="1:16" s="2" customFormat="1" x14ac:dyDescent="0.25">
      <c r="A204" s="2">
        <v>48585516</v>
      </c>
      <c r="B204" s="2">
        <v>48585559</v>
      </c>
      <c r="C204" s="2" t="str">
        <f>"UNIMEDSJN"</f>
        <v>UNIMEDSJN</v>
      </c>
      <c r="D204" s="2" t="str">
        <f>"DH"</f>
        <v>DH</v>
      </c>
      <c r="E204" s="2" t="str">
        <f>"MAILA DE LIMA MACHADO"</f>
        <v>MAILA DE LIMA MACHADO</v>
      </c>
      <c r="F204" s="2" t="str">
        <f>"48585516-1/1"</f>
        <v>48585516-1/1</v>
      </c>
      <c r="G204" s="2" t="str">
        <f>"Carteira 21"</f>
        <v>Carteira 21</v>
      </c>
      <c r="H204" s="2">
        <v>28</v>
      </c>
      <c r="I204" s="3">
        <v>74</v>
      </c>
      <c r="J204" s="2" t="str">
        <f>"02/01/2020"</f>
        <v>02/01/2020</v>
      </c>
      <c r="K204" s="2" t="str">
        <f>"30/01/2020"</f>
        <v>30/01/2020</v>
      </c>
      <c r="L204" s="2" t="str">
        <f>"30/01/2020"</f>
        <v>30/01/2020</v>
      </c>
      <c r="M204" s="2" t="str">
        <f>"27/12/2019"</f>
        <v>27/12/2019</v>
      </c>
      <c r="N204" s="2">
        <v>78</v>
      </c>
      <c r="O204" s="2">
        <v>78</v>
      </c>
      <c r="P204" s="2">
        <v>0</v>
      </c>
    </row>
    <row r="205" spans="1:16" s="2" customFormat="1" x14ac:dyDescent="0.25">
      <c r="A205" s="2">
        <v>43559129</v>
      </c>
      <c r="B205" s="2">
        <v>43559137</v>
      </c>
      <c r="C205" s="2" t="str">
        <f>"UNIMEDSJN"</f>
        <v>UNIMEDSJN</v>
      </c>
      <c r="D205" s="2" t="str">
        <f>"DH"</f>
        <v>DH</v>
      </c>
      <c r="E205" s="2" t="str">
        <f>"Maira Izaltina da Cruz Silva"</f>
        <v>Maira Izaltina da Cruz Silva</v>
      </c>
      <c r="F205" s="2" t="str">
        <f>"43559129-1/1"</f>
        <v>43559129-1/1</v>
      </c>
      <c r="G205" s="2" t="str">
        <f>"CARTEIRA PERDA"</f>
        <v>CARTEIRA PERDA</v>
      </c>
      <c r="H205" s="2">
        <v>22</v>
      </c>
      <c r="I205" s="3">
        <v>293</v>
      </c>
      <c r="J205" s="2" t="str">
        <f>"03/06/2019"</f>
        <v>03/06/2019</v>
      </c>
      <c r="K205" s="2" t="str">
        <f>"25/06/2019"</f>
        <v>25/06/2019</v>
      </c>
      <c r="L205" s="2" t="str">
        <f>"25/06/2019"</f>
        <v>25/06/2019</v>
      </c>
      <c r="M205" s="2" t="str">
        <f>"05/03/2020"</f>
        <v>05/03/2020</v>
      </c>
      <c r="N205" s="2">
        <v>30</v>
      </c>
      <c r="O205" s="2">
        <v>30</v>
      </c>
      <c r="P205" s="2">
        <v>0</v>
      </c>
    </row>
    <row r="206" spans="1:16" s="2" customFormat="1" x14ac:dyDescent="0.25">
      <c r="A206" s="2">
        <v>43994233</v>
      </c>
      <c r="B206" s="2">
        <v>43994247</v>
      </c>
      <c r="C206" s="2" t="str">
        <f>"UNIMEDSJN"</f>
        <v>UNIMEDSJN</v>
      </c>
      <c r="D206" s="2" t="str">
        <f>"DH"</f>
        <v>DH</v>
      </c>
      <c r="E206" s="2" t="str">
        <f>"Maira Izaltina da Cruz Silva"</f>
        <v>Maira Izaltina da Cruz Silva</v>
      </c>
      <c r="F206" s="2" t="str">
        <f>"43994233-1/1"</f>
        <v>43994233-1/1</v>
      </c>
      <c r="G206" s="2" t="str">
        <f>"CARTEIRA PERDA"</f>
        <v>CARTEIRA PERDA</v>
      </c>
      <c r="H206" s="2">
        <v>24</v>
      </c>
      <c r="I206" s="3">
        <v>263</v>
      </c>
      <c r="J206" s="2" t="str">
        <f>"01/07/2019"</f>
        <v>01/07/2019</v>
      </c>
      <c r="K206" s="2" t="str">
        <f>"25/07/2019"</f>
        <v>25/07/2019</v>
      </c>
      <c r="L206" s="2" t="str">
        <f>"25/07/2019"</f>
        <v>25/07/2019</v>
      </c>
      <c r="M206" s="2" t="str">
        <f>"05/03/2020"</f>
        <v>05/03/2020</v>
      </c>
      <c r="N206" s="2">
        <v>95.78</v>
      </c>
      <c r="O206" s="2">
        <v>95.78</v>
      </c>
      <c r="P206" s="2">
        <v>0</v>
      </c>
    </row>
    <row r="207" spans="1:16" s="2" customFormat="1" x14ac:dyDescent="0.25">
      <c r="A207" s="2">
        <v>45930289</v>
      </c>
      <c r="B207" s="2">
        <v>45930300</v>
      </c>
      <c r="C207" s="2" t="str">
        <f>"UNIMEDSJN"</f>
        <v>UNIMEDSJN</v>
      </c>
      <c r="D207" s="2" t="str">
        <f>"DH"</f>
        <v>DH</v>
      </c>
      <c r="E207" s="2" t="str">
        <f>"Malizan Gomes Faria"</f>
        <v>Malizan Gomes Faria</v>
      </c>
      <c r="F207" s="2" t="str">
        <f>"45930289-1/1"</f>
        <v>45930289-1/1</v>
      </c>
      <c r="G207" s="2" t="str">
        <f>"Carteira 21"</f>
        <v>Carteira 21</v>
      </c>
      <c r="H207" s="2">
        <v>21</v>
      </c>
      <c r="I207" s="3">
        <v>143</v>
      </c>
      <c r="J207" s="2" t="str">
        <f>"01/11/2019"</f>
        <v>01/11/2019</v>
      </c>
      <c r="K207" s="2" t="str">
        <f>"22/11/2019"</f>
        <v>22/11/2019</v>
      </c>
      <c r="L207" s="2" t="str">
        <f>"12/02/2020"</f>
        <v>12/02/2020</v>
      </c>
      <c r="M207" s="2" t="str">
        <f>"13/02/2020"</f>
        <v>13/02/2020</v>
      </c>
      <c r="N207" s="2">
        <v>146.69999999999999</v>
      </c>
      <c r="O207" s="2">
        <v>153.6</v>
      </c>
      <c r="P207" s="2">
        <v>4.0000000000020498E-2</v>
      </c>
    </row>
    <row r="208" spans="1:16" s="2" customFormat="1" x14ac:dyDescent="0.25">
      <c r="A208" s="2">
        <v>47512280</v>
      </c>
      <c r="B208" s="2">
        <v>47512290</v>
      </c>
      <c r="C208" s="2" t="str">
        <f>"UNIMEDSJN"</f>
        <v>UNIMEDSJN</v>
      </c>
      <c r="D208" s="2" t="str">
        <f>"DH"</f>
        <v>DH</v>
      </c>
      <c r="E208" s="2" t="str">
        <f>"Malizan Gomes Faria"</f>
        <v>Malizan Gomes Faria</v>
      </c>
      <c r="F208" s="2" t="str">
        <f>"47512280-1/1"</f>
        <v>47512280-1/1</v>
      </c>
      <c r="G208" s="2" t="str">
        <f>"Carteira 21"</f>
        <v>Carteira 21</v>
      </c>
      <c r="H208" s="2">
        <v>21</v>
      </c>
      <c r="I208" s="3">
        <v>113</v>
      </c>
      <c r="J208" s="2" t="str">
        <f>"01/12/2019"</f>
        <v>01/12/2019</v>
      </c>
      <c r="K208" s="2" t="str">
        <f>"22/12/2019"</f>
        <v>22/12/2019</v>
      </c>
      <c r="L208" s="2" t="str">
        <f>"26/02/2020"</f>
        <v>26/02/2020</v>
      </c>
      <c r="M208" s="2" t="str">
        <f>"27/02/2020"</f>
        <v>27/02/2020</v>
      </c>
      <c r="N208" s="2">
        <v>30</v>
      </c>
      <c r="O208" s="2">
        <v>31.24</v>
      </c>
      <c r="P208" s="2">
        <v>1.9999999999999601E-2</v>
      </c>
    </row>
    <row r="209" spans="1:16" s="2" customFormat="1" x14ac:dyDescent="0.25">
      <c r="A209" s="2">
        <v>48575669</v>
      </c>
      <c r="B209" s="2">
        <v>48575693</v>
      </c>
      <c r="C209" s="2" t="str">
        <f>"UNIMEDSJN"</f>
        <v>UNIMEDSJN</v>
      </c>
      <c r="D209" s="2" t="str">
        <f>"DH"</f>
        <v>DH</v>
      </c>
      <c r="E209" s="2" t="str">
        <f>"Marcela Regina Nazare Pereira"</f>
        <v>Marcela Regina Nazare Pereira</v>
      </c>
      <c r="F209" s="2" t="str">
        <f>"48575669-1/1"</f>
        <v>48575669-1/1</v>
      </c>
      <c r="G209" s="2" t="str">
        <f>"Carteira 21"</f>
        <v>Carteira 21</v>
      </c>
      <c r="H209" s="2">
        <v>23</v>
      </c>
      <c r="I209" s="3">
        <v>79</v>
      </c>
      <c r="J209" s="2" t="str">
        <f>"02/01/2020"</f>
        <v>02/01/2020</v>
      </c>
      <c r="K209" s="2" t="str">
        <f>"25/01/2020"</f>
        <v>25/01/2020</v>
      </c>
      <c r="L209" s="2" t="str">
        <f>"21/02/2020"</f>
        <v>21/02/2020</v>
      </c>
      <c r="M209" s="2" t="str">
        <f>"24/02/2020"</f>
        <v>24/02/2020</v>
      </c>
      <c r="N209" s="2">
        <v>30</v>
      </c>
      <c r="O209" s="2">
        <v>30.85</v>
      </c>
      <c r="P209" s="2">
        <v>1.9999999999999601E-2</v>
      </c>
    </row>
    <row r="210" spans="1:16" s="2" customFormat="1" x14ac:dyDescent="0.25">
      <c r="A210" s="2">
        <v>48577093</v>
      </c>
      <c r="B210" s="2">
        <v>48577118</v>
      </c>
      <c r="C210" s="2" t="str">
        <f>"UNIMEDSJN"</f>
        <v>UNIMEDSJN</v>
      </c>
      <c r="D210" s="2" t="str">
        <f>"DH"</f>
        <v>DH</v>
      </c>
      <c r="E210" s="2" t="str">
        <f>"Marcella Gomes Vidal"</f>
        <v>Marcella Gomes Vidal</v>
      </c>
      <c r="F210" s="2" t="str">
        <f>"48577093-1/1"</f>
        <v>48577093-1/1</v>
      </c>
      <c r="G210" s="2" t="str">
        <f>"Carteira 21"</f>
        <v>Carteira 21</v>
      </c>
      <c r="H210" s="2">
        <v>23</v>
      </c>
      <c r="I210" s="3">
        <v>79</v>
      </c>
      <c r="J210" s="2" t="str">
        <f>"02/01/2020"</f>
        <v>02/01/2020</v>
      </c>
      <c r="K210" s="2" t="str">
        <f>"25/01/2020"</f>
        <v>25/01/2020</v>
      </c>
      <c r="L210" s="2" t="str">
        <f>"27/01/2020"</f>
        <v>27/01/2020</v>
      </c>
      <c r="M210" s="2" t="str">
        <f>"27/12/2019"</f>
        <v>27/12/2019</v>
      </c>
      <c r="N210" s="2">
        <v>39.75</v>
      </c>
      <c r="O210" s="2">
        <v>39.75</v>
      </c>
      <c r="P210" s="2">
        <v>0</v>
      </c>
    </row>
    <row r="211" spans="1:16" s="2" customFormat="1" x14ac:dyDescent="0.25">
      <c r="A211" s="2">
        <v>48570014</v>
      </c>
      <c r="B211" s="2">
        <v>48570029</v>
      </c>
      <c r="C211" s="2" t="str">
        <f>"UNIMEDSJN"</f>
        <v>UNIMEDSJN</v>
      </c>
      <c r="D211" s="2" t="str">
        <f>"DH"</f>
        <v>DH</v>
      </c>
      <c r="E211" s="2" t="str">
        <f>"Marcelo de Lima Goncalves"</f>
        <v>Marcelo de Lima Goncalves</v>
      </c>
      <c r="F211" s="2" t="str">
        <f>"48570014-1/1"</f>
        <v>48570014-1/1</v>
      </c>
      <c r="G211" s="2" t="str">
        <f>"Carteira 21"</f>
        <v>Carteira 21</v>
      </c>
      <c r="H211" s="2">
        <v>23</v>
      </c>
      <c r="I211" s="3">
        <v>79</v>
      </c>
      <c r="J211" s="2" t="str">
        <f>"02/01/2020"</f>
        <v>02/01/2020</v>
      </c>
      <c r="K211" s="2" t="str">
        <f>"25/01/2020"</f>
        <v>25/01/2020</v>
      </c>
      <c r="L211" s="2" t="str">
        <f>"19/02/2020"</f>
        <v>19/02/2020</v>
      </c>
      <c r="M211" s="2" t="str">
        <f>"20/02/2020"</f>
        <v>20/02/2020</v>
      </c>
      <c r="N211" s="2">
        <v>30</v>
      </c>
      <c r="O211" s="2">
        <v>30.83</v>
      </c>
      <c r="P211" s="2">
        <v>1.9999999999999601E-2</v>
      </c>
    </row>
    <row r="212" spans="1:16" s="2" customFormat="1" x14ac:dyDescent="0.25">
      <c r="A212" s="2">
        <v>48574137</v>
      </c>
      <c r="B212" s="2">
        <v>48574169</v>
      </c>
      <c r="C212" s="2" t="str">
        <f>"UNIMEDSJN"</f>
        <v>UNIMEDSJN</v>
      </c>
      <c r="D212" s="2" t="str">
        <f>"DH"</f>
        <v>DH</v>
      </c>
      <c r="E212" s="2" t="str">
        <f>"MARCELO MENDONCA GUIMARAES"</f>
        <v>MARCELO MENDONCA GUIMARAES</v>
      </c>
      <c r="F212" s="2" t="str">
        <f>"48574137-1/1"</f>
        <v>48574137-1/1</v>
      </c>
      <c r="G212" s="2" t="str">
        <f>"Carteira 21"</f>
        <v>Carteira 21</v>
      </c>
      <c r="H212" s="2">
        <v>23</v>
      </c>
      <c r="I212" s="3">
        <v>79</v>
      </c>
      <c r="J212" s="2" t="str">
        <f>"02/01/2020"</f>
        <v>02/01/2020</v>
      </c>
      <c r="K212" s="2" t="str">
        <f>"25/01/2020"</f>
        <v>25/01/2020</v>
      </c>
      <c r="L212" s="2" t="str">
        <f>"13/02/2020"</f>
        <v>13/02/2020</v>
      </c>
      <c r="M212" s="2" t="str">
        <f>"14/02/2020"</f>
        <v>14/02/2020</v>
      </c>
      <c r="N212" s="2">
        <v>93.63</v>
      </c>
      <c r="O212" s="2">
        <v>96.02</v>
      </c>
      <c r="P212" s="2">
        <v>6.9999999999993207E-2</v>
      </c>
    </row>
    <row r="213" spans="1:16" s="2" customFormat="1" x14ac:dyDescent="0.25">
      <c r="A213" s="2">
        <v>48576620</v>
      </c>
      <c r="B213" s="2">
        <v>48576879</v>
      </c>
      <c r="C213" s="2" t="str">
        <f>"UNIMEDSJN"</f>
        <v>UNIMEDSJN</v>
      </c>
      <c r="D213" s="2" t="str">
        <f>"DH"</f>
        <v>DH</v>
      </c>
      <c r="E213" s="2" t="str">
        <f>"Marcelo Vieira Ladeira"</f>
        <v>Marcelo Vieira Ladeira</v>
      </c>
      <c r="F213" s="2" t="str">
        <f>"48576620-1/1"</f>
        <v>48576620-1/1</v>
      </c>
      <c r="G213" s="2" t="str">
        <f>"Carteira 21"</f>
        <v>Carteira 21</v>
      </c>
      <c r="H213" s="2">
        <v>23</v>
      </c>
      <c r="I213" s="3">
        <v>79</v>
      </c>
      <c r="J213" s="2" t="str">
        <f>"02/01/2020"</f>
        <v>02/01/2020</v>
      </c>
      <c r="K213" s="2" t="str">
        <f>"25/01/2020"</f>
        <v>25/01/2020</v>
      </c>
      <c r="L213" s="2" t="str">
        <f>"27/02/2020"</f>
        <v>27/02/2020</v>
      </c>
      <c r="M213" s="2" t="str">
        <f>"28/02/2020"</f>
        <v>28/02/2020</v>
      </c>
      <c r="N213" s="2">
        <v>37.58</v>
      </c>
      <c r="O213" s="2">
        <v>38.71</v>
      </c>
      <c r="P213" s="2">
        <v>3.0000000000001099E-2</v>
      </c>
    </row>
    <row r="214" spans="1:16" s="2" customFormat="1" x14ac:dyDescent="0.25">
      <c r="A214" s="2">
        <v>48576897</v>
      </c>
      <c r="B214" s="2">
        <v>48576912</v>
      </c>
      <c r="C214" s="2" t="str">
        <f>"UNIMEDSJN"</f>
        <v>UNIMEDSJN</v>
      </c>
      <c r="D214" s="2" t="str">
        <f>"DH"</f>
        <v>DH</v>
      </c>
      <c r="E214" s="2" t="str">
        <f>"Marcelo Vieira Ladeira"</f>
        <v>Marcelo Vieira Ladeira</v>
      </c>
      <c r="F214" s="2" t="str">
        <f>"48576897-1/1"</f>
        <v>48576897-1/1</v>
      </c>
      <c r="G214" s="2" t="str">
        <f>"Carteira 21"</f>
        <v>Carteira 21</v>
      </c>
      <c r="H214" s="2">
        <v>23</v>
      </c>
      <c r="I214" s="3">
        <v>79</v>
      </c>
      <c r="J214" s="2" t="str">
        <f>"02/01/2020"</f>
        <v>02/01/2020</v>
      </c>
      <c r="K214" s="2" t="str">
        <f>"25/01/2020"</f>
        <v>25/01/2020</v>
      </c>
      <c r="L214" s="2" t="str">
        <f>"27/02/2020"</f>
        <v>27/02/2020</v>
      </c>
      <c r="M214" s="2" t="str">
        <f>"28/02/2020"</f>
        <v>28/02/2020</v>
      </c>
      <c r="N214" s="2">
        <v>37.58</v>
      </c>
      <c r="O214" s="2">
        <v>38.71</v>
      </c>
      <c r="P214" s="2">
        <v>3.0000000000001099E-2</v>
      </c>
    </row>
    <row r="215" spans="1:16" s="2" customFormat="1" x14ac:dyDescent="0.25">
      <c r="A215" s="2">
        <v>48576293</v>
      </c>
      <c r="B215" s="2">
        <v>48576314</v>
      </c>
      <c r="C215" s="2" t="str">
        <f>"UNIMEDSJN"</f>
        <v>UNIMEDSJN</v>
      </c>
      <c r="D215" s="2" t="str">
        <f>"DH"</f>
        <v>DH</v>
      </c>
      <c r="E215" s="2" t="str">
        <f>"Marcia Cristina Barbosa"</f>
        <v>Marcia Cristina Barbosa</v>
      </c>
      <c r="F215" s="2" t="str">
        <f>"48576293-1/1"</f>
        <v>48576293-1/1</v>
      </c>
      <c r="G215" s="2" t="str">
        <f>"Carteira 21"</f>
        <v>Carteira 21</v>
      </c>
      <c r="H215" s="2">
        <v>23</v>
      </c>
      <c r="I215" s="3">
        <v>79</v>
      </c>
      <c r="J215" s="2" t="str">
        <f>"02/01/2020"</f>
        <v>02/01/2020</v>
      </c>
      <c r="K215" s="2" t="str">
        <f>"25/01/2020"</f>
        <v>25/01/2020</v>
      </c>
      <c r="L215" s="2" t="str">
        <f>"27/01/2020"</f>
        <v>27/01/2020</v>
      </c>
      <c r="M215" s="2" t="str">
        <f>"07/02/2020"</f>
        <v>07/02/2020</v>
      </c>
      <c r="N215" s="2">
        <v>4419.09</v>
      </c>
      <c r="O215" s="2">
        <v>4431.88</v>
      </c>
      <c r="P215" s="2">
        <v>-12.79</v>
      </c>
    </row>
    <row r="216" spans="1:16" s="2" customFormat="1" x14ac:dyDescent="0.25">
      <c r="A216" s="2">
        <v>48768042</v>
      </c>
      <c r="B216" s="2">
        <v>48768073</v>
      </c>
      <c r="C216" s="2" t="str">
        <f>"UNIMEDSJN"</f>
        <v>UNIMEDSJN</v>
      </c>
      <c r="D216" s="2" t="str">
        <f>"DH"</f>
        <v>DH</v>
      </c>
      <c r="E216" s="2" t="str">
        <f>"Marcia Cristina Barbosa"</f>
        <v>Marcia Cristina Barbosa</v>
      </c>
      <c r="F216" s="2" t="str">
        <f>"48768042-1/1"</f>
        <v>48768042-1/1</v>
      </c>
      <c r="G216" s="2" t="str">
        <f>"Carteira 21"</f>
        <v>Carteira 21</v>
      </c>
      <c r="H216" s="2">
        <v>24</v>
      </c>
      <c r="I216" s="3">
        <v>79</v>
      </c>
      <c r="J216" s="2" t="str">
        <f>"01/01/2020"</f>
        <v>01/01/2020</v>
      </c>
      <c r="K216" s="2" t="str">
        <f>"25/01/2020"</f>
        <v>25/01/2020</v>
      </c>
      <c r="L216" s="2" t="str">
        <f>"27/01/2020"</f>
        <v>27/01/2020</v>
      </c>
      <c r="M216" s="2" t="str">
        <f>"07/02/2020"</f>
        <v>07/02/2020</v>
      </c>
      <c r="N216" s="2">
        <v>-4390.74</v>
      </c>
      <c r="O216" s="2">
        <v>-4390.74</v>
      </c>
      <c r="P216" s="2">
        <v>0</v>
      </c>
    </row>
    <row r="217" spans="1:16" s="2" customFormat="1" x14ac:dyDescent="0.25">
      <c r="A217" s="2">
        <v>48575912</v>
      </c>
      <c r="B217" s="2">
        <v>48575944</v>
      </c>
      <c r="C217" s="2" t="str">
        <f>"UNIMEDSJN"</f>
        <v>UNIMEDSJN</v>
      </c>
      <c r="D217" s="2" t="str">
        <f>"DH"</f>
        <v>DH</v>
      </c>
      <c r="E217" s="2" t="str">
        <f>"Marcia da Costa"</f>
        <v>Marcia da Costa</v>
      </c>
      <c r="F217" s="2" t="str">
        <f>"48575912-1/1"</f>
        <v>48575912-1/1</v>
      </c>
      <c r="G217" s="2" t="str">
        <f>"Carteira 21"</f>
        <v>Carteira 21</v>
      </c>
      <c r="H217" s="2">
        <v>13</v>
      </c>
      <c r="I217" s="3">
        <v>89</v>
      </c>
      <c r="J217" s="2" t="str">
        <f>"02/01/2020"</f>
        <v>02/01/2020</v>
      </c>
      <c r="K217" s="2" t="str">
        <f>"15/01/2020"</f>
        <v>15/01/2020</v>
      </c>
      <c r="L217" s="2" t="str">
        <f>"28/02/2020"</f>
        <v>28/02/2020</v>
      </c>
      <c r="M217" s="2" t="str">
        <f>"13/03/2020"</f>
        <v>13/03/2020</v>
      </c>
      <c r="N217" s="2">
        <v>197.77</v>
      </c>
      <c r="O217" s="2">
        <v>204.6</v>
      </c>
      <c r="P217" s="2">
        <v>3.0000000000001099E-2</v>
      </c>
    </row>
    <row r="218" spans="1:16" s="2" customFormat="1" x14ac:dyDescent="0.25">
      <c r="A218" s="2">
        <v>47493679</v>
      </c>
      <c r="B218" s="2">
        <v>47493697</v>
      </c>
      <c r="C218" s="2" t="str">
        <f>"UNIMEDSJN"</f>
        <v>UNIMEDSJN</v>
      </c>
      <c r="D218" s="2" t="str">
        <f>"DH"</f>
        <v>DH</v>
      </c>
      <c r="E218" s="2" t="str">
        <f>"Marco Antonio Baptista de Oliveira Junior"</f>
        <v>Marco Antonio Baptista de Oliveira Junior</v>
      </c>
      <c r="F218" s="2" t="str">
        <f>"47493679-1/1"</f>
        <v>47493679-1/1</v>
      </c>
      <c r="G218" s="2" t="str">
        <f>"Carteira 21"</f>
        <v>Carteira 21</v>
      </c>
      <c r="H218" s="2">
        <v>24</v>
      </c>
      <c r="I218" s="3">
        <v>110</v>
      </c>
      <c r="J218" s="2" t="str">
        <f>"01/12/2019"</f>
        <v>01/12/2019</v>
      </c>
      <c r="K218" s="2" t="str">
        <f>"25/12/2019"</f>
        <v>25/12/2019</v>
      </c>
      <c r="L218" s="2" t="str">
        <f>"26/02/2020"</f>
        <v>26/02/2020</v>
      </c>
      <c r="M218" s="2" t="str">
        <f>"27/02/2020"</f>
        <v>27/02/2020</v>
      </c>
      <c r="N218" s="2">
        <v>211.05</v>
      </c>
      <c r="O218" s="2">
        <v>219.66</v>
      </c>
      <c r="P218" s="2">
        <v>4.0000000000020498E-2</v>
      </c>
    </row>
    <row r="219" spans="1:16" s="2" customFormat="1" x14ac:dyDescent="0.25">
      <c r="A219" s="2">
        <v>48562539</v>
      </c>
      <c r="B219" s="2">
        <v>48562567</v>
      </c>
      <c r="C219" s="2" t="str">
        <f>"UNIMEDSJN"</f>
        <v>UNIMEDSJN</v>
      </c>
      <c r="D219" s="2" t="str">
        <f>"DH"</f>
        <v>DH</v>
      </c>
      <c r="E219" s="2" t="str">
        <f>"MARCO ANTONIO FURTADO SACHETTO"</f>
        <v>MARCO ANTONIO FURTADO SACHETTO</v>
      </c>
      <c r="F219" s="2" t="str">
        <f>"48562539-1/1"</f>
        <v>48562539-1/1</v>
      </c>
      <c r="G219" s="2" t="str">
        <f>"Carteira 21"</f>
        <v>Carteira 21</v>
      </c>
      <c r="H219" s="2">
        <v>13</v>
      </c>
      <c r="I219" s="3">
        <v>89</v>
      </c>
      <c r="J219" s="2" t="str">
        <f>"02/01/2020"</f>
        <v>02/01/2020</v>
      </c>
      <c r="K219" s="2" t="str">
        <f>"15/01/2020"</f>
        <v>15/01/2020</v>
      </c>
      <c r="L219" s="2" t="str">
        <f>"16/03/2020"</f>
        <v>16/03/2020</v>
      </c>
      <c r="M219" s="2" t="str">
        <f>"17/03/2020"</f>
        <v>17/03/2020</v>
      </c>
      <c r="N219" s="2">
        <v>97.8</v>
      </c>
      <c r="O219" s="2">
        <v>101.73</v>
      </c>
      <c r="P219" s="2">
        <v>1.9999999999996E-2</v>
      </c>
    </row>
    <row r="220" spans="1:16" s="2" customFormat="1" x14ac:dyDescent="0.25">
      <c r="A220" s="2">
        <v>47510840</v>
      </c>
      <c r="B220" s="2">
        <v>47510863</v>
      </c>
      <c r="C220" s="2" t="str">
        <f>"UNIMEDSJN"</f>
        <v>UNIMEDSJN</v>
      </c>
      <c r="D220" s="2" t="str">
        <f>"DH"</f>
        <v>DH</v>
      </c>
      <c r="E220" s="2" t="str">
        <f>"MARIA ANTONIA CALGARO MENDONCA"</f>
        <v>MARIA ANTONIA CALGARO MENDONCA</v>
      </c>
      <c r="F220" s="2" t="str">
        <f>"47510840-1/1"</f>
        <v>47510840-1/1</v>
      </c>
      <c r="G220" s="2" t="str">
        <f>"Carteira 21"</f>
        <v>Carteira 21</v>
      </c>
      <c r="H220" s="2">
        <v>21</v>
      </c>
      <c r="I220" s="3">
        <v>113</v>
      </c>
      <c r="J220" s="2" t="str">
        <f>"01/12/2019"</f>
        <v>01/12/2019</v>
      </c>
      <c r="K220" s="2" t="str">
        <f>"22/12/2019"</f>
        <v>22/12/2019</v>
      </c>
      <c r="L220" s="2" t="str">
        <f>"10/02/2020"</f>
        <v>10/02/2020</v>
      </c>
      <c r="M220" s="2" t="str">
        <f>"11/02/2020"</f>
        <v>11/02/2020</v>
      </c>
      <c r="N220" s="2">
        <v>28.35</v>
      </c>
      <c r="O220" s="2">
        <v>29.38</v>
      </c>
      <c r="P220" s="2">
        <v>1.00000000000016E-2</v>
      </c>
    </row>
    <row r="221" spans="1:16" s="2" customFormat="1" x14ac:dyDescent="0.25">
      <c r="A221" s="2">
        <v>48576279</v>
      </c>
      <c r="B221" s="2">
        <v>48576297</v>
      </c>
      <c r="C221" s="2" t="str">
        <f>"UNIMEDSJN"</f>
        <v>UNIMEDSJN</v>
      </c>
      <c r="D221" s="2" t="str">
        <f>"DH"</f>
        <v>DH</v>
      </c>
      <c r="E221" s="2" t="str">
        <f>"MARIA CLARA ITABORAHY GUIMARAES"</f>
        <v>MARIA CLARA ITABORAHY GUIMARAES</v>
      </c>
      <c r="F221" s="2" t="str">
        <f>"48576279-1/1"</f>
        <v>48576279-1/1</v>
      </c>
      <c r="G221" s="2" t="str">
        <f>"Carteira 21"</f>
        <v>Carteira 21</v>
      </c>
      <c r="H221" s="2">
        <v>23</v>
      </c>
      <c r="I221" s="3">
        <v>79</v>
      </c>
      <c r="J221" s="2" t="str">
        <f>"02/01/2020"</f>
        <v>02/01/2020</v>
      </c>
      <c r="K221" s="2" t="str">
        <f>"25/01/2020"</f>
        <v>25/01/2020</v>
      </c>
      <c r="L221" s="2" t="str">
        <f>"12/02/2020"</f>
        <v>12/02/2020</v>
      </c>
      <c r="M221" s="2" t="str">
        <f>"13/02/2020"</f>
        <v>13/02/2020</v>
      </c>
      <c r="N221" s="2">
        <v>30</v>
      </c>
      <c r="O221" s="2">
        <v>30.76</v>
      </c>
      <c r="P221" s="2">
        <v>1.9999999999999601E-2</v>
      </c>
    </row>
    <row r="222" spans="1:16" s="2" customFormat="1" x14ac:dyDescent="0.25">
      <c r="A222" s="2">
        <v>48567786</v>
      </c>
      <c r="B222" s="2">
        <v>48567805</v>
      </c>
      <c r="C222" s="2" t="str">
        <f>"UNIMEDSJN"</f>
        <v>UNIMEDSJN</v>
      </c>
      <c r="D222" s="2" t="str">
        <f>"DH"</f>
        <v>DH</v>
      </c>
      <c r="E222" s="2" t="str">
        <f>"MARIA CLARA SILVA DELECRODE DE SOUZA"</f>
        <v>MARIA CLARA SILVA DELECRODE DE SOUZA</v>
      </c>
      <c r="F222" s="2" t="str">
        <f>"48567786-1/1"</f>
        <v>48567786-1/1</v>
      </c>
      <c r="G222" s="2" t="str">
        <f>"Carteira 21"</f>
        <v>Carteira 21</v>
      </c>
      <c r="H222" s="2">
        <v>23</v>
      </c>
      <c r="I222" s="3">
        <v>79</v>
      </c>
      <c r="J222" s="2" t="str">
        <f>"02/01/2020"</f>
        <v>02/01/2020</v>
      </c>
      <c r="K222" s="2" t="str">
        <f>"25/01/2020"</f>
        <v>25/01/2020</v>
      </c>
      <c r="L222" s="2" t="str">
        <f>"27/01/2020"</f>
        <v>27/01/2020</v>
      </c>
      <c r="M222" s="2" t="str">
        <f>"27/12/2019"</f>
        <v>27/12/2019</v>
      </c>
      <c r="N222" s="2">
        <v>92.52</v>
      </c>
      <c r="O222" s="2">
        <v>92.52</v>
      </c>
      <c r="P222" s="2">
        <v>0</v>
      </c>
    </row>
    <row r="223" spans="1:16" s="2" customFormat="1" x14ac:dyDescent="0.25">
      <c r="A223" s="2">
        <v>48563155</v>
      </c>
      <c r="B223" s="2">
        <v>48563172</v>
      </c>
      <c r="C223" s="2" t="str">
        <f>"UNIMEDSJN"</f>
        <v>UNIMEDSJN</v>
      </c>
      <c r="D223" s="2" t="str">
        <f>"DH"</f>
        <v>DH</v>
      </c>
      <c r="E223" s="2" t="str">
        <f>"MARIA CLOTILDES VILELA MENEZES"</f>
        <v>MARIA CLOTILDES VILELA MENEZES</v>
      </c>
      <c r="F223" s="2" t="str">
        <f>"48563155-1/1"</f>
        <v>48563155-1/1</v>
      </c>
      <c r="G223" s="2" t="str">
        <f>"Carteira 21"</f>
        <v>Carteira 21</v>
      </c>
      <c r="H223" s="2">
        <v>23</v>
      </c>
      <c r="I223" s="3">
        <v>79</v>
      </c>
      <c r="J223" s="2" t="str">
        <f>"02/01/2020"</f>
        <v>02/01/2020</v>
      </c>
      <c r="K223" s="2" t="str">
        <f>"25/01/2020"</f>
        <v>25/01/2020</v>
      </c>
      <c r="L223" s="2" t="str">
        <f>"03/02/2020"</f>
        <v>03/02/2020</v>
      </c>
      <c r="M223" s="2" t="str">
        <f>"04/02/2020"</f>
        <v>04/02/2020</v>
      </c>
      <c r="N223" s="2">
        <v>155.77000000000001</v>
      </c>
      <c r="O223" s="2">
        <v>159.25</v>
      </c>
      <c r="P223" s="2">
        <v>0.110000000000014</v>
      </c>
    </row>
    <row r="224" spans="1:16" s="2" customFormat="1" x14ac:dyDescent="0.25">
      <c r="A224" s="2">
        <v>48569069</v>
      </c>
      <c r="B224" s="2">
        <v>48569088</v>
      </c>
      <c r="C224" s="2" t="str">
        <f>"UNIMEDSJN"</f>
        <v>UNIMEDSJN</v>
      </c>
      <c r="D224" s="2" t="str">
        <f>"DH"</f>
        <v>DH</v>
      </c>
      <c r="E224" s="2" t="str">
        <f>"MARIA CONSUELO DUTRA DA SILVA"</f>
        <v>MARIA CONSUELO DUTRA DA SILVA</v>
      </c>
      <c r="F224" s="2" t="str">
        <f>"48569069-1/1"</f>
        <v>48569069-1/1</v>
      </c>
      <c r="G224" s="2" t="str">
        <f>"Carteira 21"</f>
        <v>Carteira 21</v>
      </c>
      <c r="H224" s="2">
        <v>23</v>
      </c>
      <c r="I224" s="3">
        <v>79</v>
      </c>
      <c r="J224" s="2" t="str">
        <f>"02/01/2020"</f>
        <v>02/01/2020</v>
      </c>
      <c r="K224" s="2" t="str">
        <f>"25/01/2020"</f>
        <v>25/01/2020</v>
      </c>
      <c r="L224" s="2" t="str">
        <f>"31/03/2020"</f>
        <v>31/03/2020</v>
      </c>
      <c r="M224" s="2" t="str">
        <f>"03/04/2020"</f>
        <v>03/04/2020</v>
      </c>
      <c r="N224" s="2">
        <v>77.89</v>
      </c>
      <c r="O224" s="2">
        <v>81.09</v>
      </c>
      <c r="P224" s="2">
        <v>6.9999999999993207E-2</v>
      </c>
    </row>
    <row r="225" spans="1:16" s="2" customFormat="1" x14ac:dyDescent="0.25">
      <c r="A225" s="2">
        <v>48568233</v>
      </c>
      <c r="B225" s="2">
        <v>48568244</v>
      </c>
      <c r="C225" s="2" t="str">
        <f>"UNIMEDSJN"</f>
        <v>UNIMEDSJN</v>
      </c>
      <c r="D225" s="2" t="str">
        <f>"DH"</f>
        <v>DH</v>
      </c>
      <c r="E225" s="2" t="str">
        <f>"Maria de Lourdes Ferreira Horta"</f>
        <v>Maria de Lourdes Ferreira Horta</v>
      </c>
      <c r="F225" s="2" t="str">
        <f>"48568233-1/1"</f>
        <v>48568233-1/1</v>
      </c>
      <c r="G225" s="2" t="str">
        <f>"Carteira 21"</f>
        <v>Carteira 21</v>
      </c>
      <c r="H225" s="2">
        <v>23</v>
      </c>
      <c r="I225" s="3">
        <v>79</v>
      </c>
      <c r="J225" s="2" t="str">
        <f>"02/01/2020"</f>
        <v>02/01/2020</v>
      </c>
      <c r="K225" s="2" t="str">
        <f>"25/01/2020"</f>
        <v>25/01/2020</v>
      </c>
      <c r="L225" s="2" t="str">
        <f>"05/02/2020"</f>
        <v>05/02/2020</v>
      </c>
      <c r="M225" s="2" t="str">
        <f>"06/02/2020"</f>
        <v>06/02/2020</v>
      </c>
      <c r="N225" s="2">
        <v>90</v>
      </c>
      <c r="O225" s="2">
        <v>92.07</v>
      </c>
      <c r="P225" s="2">
        <v>5.9999999999988098E-2</v>
      </c>
    </row>
    <row r="226" spans="1:16" s="2" customFormat="1" x14ac:dyDescent="0.25">
      <c r="A226" s="2">
        <v>47495031</v>
      </c>
      <c r="B226" s="2">
        <v>47495053</v>
      </c>
      <c r="C226" s="2" t="str">
        <f>"UNIMEDSJN"</f>
        <v>UNIMEDSJN</v>
      </c>
      <c r="D226" s="2" t="str">
        <f>"DH"</f>
        <v>DH</v>
      </c>
      <c r="E226" s="2" t="str">
        <f>"Maria Eduarda Salles Matosinho"</f>
        <v>Maria Eduarda Salles Matosinho</v>
      </c>
      <c r="F226" s="2" t="str">
        <f>"47495031-1/1"</f>
        <v>47495031-1/1</v>
      </c>
      <c r="G226" s="2" t="str">
        <f>"Carteira 21"</f>
        <v>Carteira 21</v>
      </c>
      <c r="H226" s="2">
        <v>24</v>
      </c>
      <c r="I226" s="3">
        <v>110</v>
      </c>
      <c r="J226" s="2" t="str">
        <f>"01/12/2019"</f>
        <v>01/12/2019</v>
      </c>
      <c r="K226" s="2" t="str">
        <f>"25/12/2019"</f>
        <v>25/12/2019</v>
      </c>
      <c r="L226" s="2" t="str">
        <f>"25/12/2019"</f>
        <v>25/12/2019</v>
      </c>
      <c r="M226" s="2" t="str">
        <f>"28/11/2019"</f>
        <v>28/11/2019</v>
      </c>
      <c r="N226" s="2">
        <v>30</v>
      </c>
      <c r="O226" s="2">
        <v>30</v>
      </c>
      <c r="P226" s="2">
        <v>0</v>
      </c>
    </row>
    <row r="227" spans="1:16" s="2" customFormat="1" x14ac:dyDescent="0.25">
      <c r="A227" s="2">
        <v>48572385</v>
      </c>
      <c r="B227" s="2">
        <v>48572399</v>
      </c>
      <c r="C227" s="2" t="str">
        <f>"UNIMEDSJN"</f>
        <v>UNIMEDSJN</v>
      </c>
      <c r="D227" s="2" t="str">
        <f>"DH"</f>
        <v>DH</v>
      </c>
      <c r="E227" s="2" t="str">
        <f>"Maria Eduarda Vogel Romano"</f>
        <v>Maria Eduarda Vogel Romano</v>
      </c>
      <c r="F227" s="2" t="str">
        <f>"48572385-1/1"</f>
        <v>48572385-1/1</v>
      </c>
      <c r="G227" s="2" t="str">
        <f>"Carteira 21"</f>
        <v>Carteira 21</v>
      </c>
      <c r="H227" s="2">
        <v>23</v>
      </c>
      <c r="I227" s="3">
        <v>79</v>
      </c>
      <c r="J227" s="2" t="str">
        <f>"02/01/2020"</f>
        <v>02/01/2020</v>
      </c>
      <c r="K227" s="2" t="str">
        <f>"25/01/2020"</f>
        <v>25/01/2020</v>
      </c>
      <c r="L227" s="2" t="str">
        <f>"06/03/2020"</f>
        <v>06/03/2020</v>
      </c>
      <c r="M227" s="2" t="str">
        <f>"09/03/2020"</f>
        <v>09/03/2020</v>
      </c>
      <c r="N227" s="2">
        <v>28.35</v>
      </c>
      <c r="O227" s="2">
        <v>29.29</v>
      </c>
      <c r="P227" s="2">
        <v>2.0000000000003099E-2</v>
      </c>
    </row>
    <row r="228" spans="1:16" s="2" customFormat="1" x14ac:dyDescent="0.25">
      <c r="A228" s="2">
        <v>45918362</v>
      </c>
      <c r="B228" s="2">
        <v>45918633</v>
      </c>
      <c r="C228" s="2" t="str">
        <f>"UNIMEDSJN"</f>
        <v>UNIMEDSJN</v>
      </c>
      <c r="D228" s="2" t="str">
        <f>"DH"</f>
        <v>DH</v>
      </c>
      <c r="E228" s="2" t="str">
        <f>"Maria Jose Mendes Dornellas"</f>
        <v>Maria Jose Mendes Dornellas</v>
      </c>
      <c r="F228" s="2" t="str">
        <f>"45918362-1/1"</f>
        <v>45918362-1/1</v>
      </c>
      <c r="G228" s="2" t="str">
        <f>"Carteira 21"</f>
        <v>Carteira 21</v>
      </c>
      <c r="H228" s="2">
        <v>14</v>
      </c>
      <c r="I228" s="3">
        <v>150</v>
      </c>
      <c r="J228" s="2" t="str">
        <f>"01/11/2019"</f>
        <v>01/11/2019</v>
      </c>
      <c r="K228" s="2" t="str">
        <f>"15/11/2019"</f>
        <v>15/11/2019</v>
      </c>
      <c r="L228" s="2" t="str">
        <f>"10/02/2020"</f>
        <v>10/02/2020</v>
      </c>
      <c r="M228" s="2" t="str">
        <f>"11/02/2020"</f>
        <v>11/02/2020</v>
      </c>
      <c r="N228" s="2">
        <v>28.35</v>
      </c>
      <c r="O228" s="2">
        <v>29.73</v>
      </c>
      <c r="P228" s="2">
        <v>1.00000000000016E-2</v>
      </c>
    </row>
    <row r="229" spans="1:16" s="2" customFormat="1" x14ac:dyDescent="0.25">
      <c r="A229" s="2">
        <v>47494585</v>
      </c>
      <c r="B229" s="2">
        <v>47494602</v>
      </c>
      <c r="C229" s="2" t="str">
        <f>"UNIMEDSJN"</f>
        <v>UNIMEDSJN</v>
      </c>
      <c r="D229" s="2" t="str">
        <f>"DH"</f>
        <v>DH</v>
      </c>
      <c r="E229" s="2" t="str">
        <f>"Maria Jose Mendes Dornellas"</f>
        <v>Maria Jose Mendes Dornellas</v>
      </c>
      <c r="F229" s="2" t="str">
        <f>"47494585-1/1"</f>
        <v>47494585-1/1</v>
      </c>
      <c r="G229" s="2" t="str">
        <f>"Carteira 21"</f>
        <v>Carteira 21</v>
      </c>
      <c r="H229" s="2">
        <v>44</v>
      </c>
      <c r="I229" s="3">
        <v>90</v>
      </c>
      <c r="J229" s="2" t="str">
        <f>"01/12/2019"</f>
        <v>01/12/2019</v>
      </c>
      <c r="K229" s="2" t="str">
        <f>"14/01/2020"</f>
        <v>14/01/2020</v>
      </c>
      <c r="L229" s="2" t="str">
        <f>"27/02/2020"</f>
        <v>27/02/2020</v>
      </c>
      <c r="M229" s="2" t="str">
        <f>"28/02/2020"</f>
        <v>28/02/2020</v>
      </c>
      <c r="N229" s="2">
        <v>66.260000000000005</v>
      </c>
      <c r="O229" s="2">
        <v>69.180000000000007</v>
      </c>
      <c r="P229" s="2">
        <v>-0.62000000000000499</v>
      </c>
    </row>
    <row r="230" spans="1:16" s="2" customFormat="1" x14ac:dyDescent="0.25">
      <c r="A230" s="2">
        <v>48568932</v>
      </c>
      <c r="B230" s="2">
        <v>48568949</v>
      </c>
      <c r="C230" s="2" t="str">
        <f>"UNIMEDSJN"</f>
        <v>UNIMEDSJN</v>
      </c>
      <c r="D230" s="2" t="str">
        <f>"DH"</f>
        <v>DH</v>
      </c>
      <c r="E230" s="2" t="str">
        <f>"Maria Jose Mendes Dornellas"</f>
        <v>Maria Jose Mendes Dornellas</v>
      </c>
      <c r="F230" s="2" t="str">
        <f>"48568932-1/1"</f>
        <v>48568932-1/1</v>
      </c>
      <c r="G230" s="2" t="str">
        <f>"Carteira 21"</f>
        <v>Carteira 21</v>
      </c>
      <c r="H230" s="2">
        <v>13</v>
      </c>
      <c r="I230" s="3">
        <v>89</v>
      </c>
      <c r="J230" s="2" t="str">
        <f>"02/01/2020"</f>
        <v>02/01/2020</v>
      </c>
      <c r="K230" s="2" t="str">
        <f>"15/01/2020"</f>
        <v>15/01/2020</v>
      </c>
      <c r="L230" s="2" t="str">
        <f>"24/03/2020"</f>
        <v>24/03/2020</v>
      </c>
      <c r="M230" s="2" t="str">
        <f>"25/03/2020"</f>
        <v>25/03/2020</v>
      </c>
      <c r="N230" s="2">
        <v>122.39</v>
      </c>
      <c r="O230" s="2">
        <v>127.62</v>
      </c>
      <c r="P230" s="2">
        <v>3.0000000000001099E-2</v>
      </c>
    </row>
    <row r="231" spans="1:16" s="2" customFormat="1" x14ac:dyDescent="0.25">
      <c r="A231" s="2">
        <v>48566349</v>
      </c>
      <c r="B231" s="2">
        <v>48566356</v>
      </c>
      <c r="C231" s="2" t="str">
        <f>"UNIMEDSJN"</f>
        <v>UNIMEDSJN</v>
      </c>
      <c r="D231" s="2" t="str">
        <f>"DH"</f>
        <v>DH</v>
      </c>
      <c r="E231" s="2" t="str">
        <f>"MARIA JOSE RABELO DE OLIVEIRA"</f>
        <v>MARIA JOSE RABELO DE OLIVEIRA</v>
      </c>
      <c r="F231" s="2" t="str">
        <f>"48566349-1/1"</f>
        <v>48566349-1/1</v>
      </c>
      <c r="G231" s="2" t="str">
        <f>"Carteira 21"</f>
        <v>Carteira 21</v>
      </c>
      <c r="H231" s="2">
        <v>23</v>
      </c>
      <c r="I231" s="3">
        <v>79</v>
      </c>
      <c r="J231" s="2" t="str">
        <f>"02/01/2020"</f>
        <v>02/01/2020</v>
      </c>
      <c r="K231" s="2" t="str">
        <f>"25/01/2020"</f>
        <v>25/01/2020</v>
      </c>
      <c r="L231" s="2" t="str">
        <f>"12/02/2020"</f>
        <v>12/02/2020</v>
      </c>
      <c r="M231" s="2" t="str">
        <f>"13/02/2020"</f>
        <v>13/02/2020</v>
      </c>
      <c r="N231" s="2">
        <v>28.35</v>
      </c>
      <c r="O231" s="2">
        <v>29.07</v>
      </c>
      <c r="P231" s="2">
        <v>1.9999999999999601E-2</v>
      </c>
    </row>
    <row r="232" spans="1:16" s="2" customFormat="1" x14ac:dyDescent="0.25">
      <c r="A232" s="2">
        <v>48571318</v>
      </c>
      <c r="B232" s="2">
        <v>48571331</v>
      </c>
      <c r="C232" s="2" t="str">
        <f>"UNIMEDSJN"</f>
        <v>UNIMEDSJN</v>
      </c>
      <c r="D232" s="2" t="str">
        <f>"DH"</f>
        <v>DH</v>
      </c>
      <c r="E232" s="2" t="str">
        <f>"MARIA LUIZA MAUAD"</f>
        <v>MARIA LUIZA MAUAD</v>
      </c>
      <c r="F232" s="2" t="str">
        <f>"48571318-1/1"</f>
        <v>48571318-1/1</v>
      </c>
      <c r="G232" s="2" t="str">
        <f>"Carteira 21"</f>
        <v>Carteira 21</v>
      </c>
      <c r="H232" s="2">
        <v>23</v>
      </c>
      <c r="I232" s="3">
        <v>79</v>
      </c>
      <c r="J232" s="2" t="str">
        <f>"02/01/2020"</f>
        <v>02/01/2020</v>
      </c>
      <c r="K232" s="2" t="str">
        <f>"25/01/2020"</f>
        <v>25/01/2020</v>
      </c>
      <c r="L232" s="2" t="str">
        <f>"11/03/2020"</f>
        <v>11/03/2020</v>
      </c>
      <c r="M232" s="2" t="str">
        <f>"12/03/2020"</f>
        <v>12/03/2020</v>
      </c>
      <c r="N232" s="2">
        <v>47.89</v>
      </c>
      <c r="O232" s="2">
        <v>49.54</v>
      </c>
      <c r="P232" s="2">
        <v>3.9999999999999099E-2</v>
      </c>
    </row>
    <row r="233" spans="1:16" s="2" customFormat="1" x14ac:dyDescent="0.25">
      <c r="A233" s="2">
        <v>47500545</v>
      </c>
      <c r="B233" s="2">
        <v>47500557</v>
      </c>
      <c r="C233" s="2" t="str">
        <f>"UNIMEDSJN"</f>
        <v>UNIMEDSJN</v>
      </c>
      <c r="D233" s="2" t="str">
        <f>"DH"</f>
        <v>DH</v>
      </c>
      <c r="E233" s="2" t="str">
        <f>"MARIA PAULA NICODEMOS"</f>
        <v>MARIA PAULA NICODEMOS</v>
      </c>
      <c r="F233" s="2" t="str">
        <f>"47500545-1/1"</f>
        <v>47500545-1/1</v>
      </c>
      <c r="G233" s="2" t="str">
        <f>"Carteira 21"</f>
        <v>Carteira 21</v>
      </c>
      <c r="H233" s="2">
        <v>21</v>
      </c>
      <c r="I233" s="3">
        <v>113</v>
      </c>
      <c r="J233" s="2" t="str">
        <f>"01/12/2019"</f>
        <v>01/12/2019</v>
      </c>
      <c r="K233" s="2" t="str">
        <f>"22/12/2019"</f>
        <v>22/12/2019</v>
      </c>
      <c r="L233" s="2" t="str">
        <f>"17/02/2020"</f>
        <v>17/02/2020</v>
      </c>
      <c r="M233" s="2" t="str">
        <f>"18/02/2020"</f>
        <v>18/02/2020</v>
      </c>
      <c r="N233" s="2">
        <v>58.35</v>
      </c>
      <c r="O233" s="2">
        <v>60.6</v>
      </c>
      <c r="P233" s="2">
        <v>3.0000000000001099E-2</v>
      </c>
    </row>
    <row r="234" spans="1:16" s="2" customFormat="1" x14ac:dyDescent="0.25">
      <c r="A234" s="2">
        <v>48572958</v>
      </c>
      <c r="B234" s="2">
        <v>48572965</v>
      </c>
      <c r="C234" s="2" t="str">
        <f>"UNIMEDSJN"</f>
        <v>UNIMEDSJN</v>
      </c>
      <c r="D234" s="2" t="str">
        <f>"DH"</f>
        <v>DH</v>
      </c>
      <c r="E234" s="2" t="str">
        <f>"Mariangela Christovam Dias da Costa Torres"</f>
        <v>Mariangela Christovam Dias da Costa Torres</v>
      </c>
      <c r="F234" s="2" t="str">
        <f>"48572958-1/1"</f>
        <v>48572958-1/1</v>
      </c>
      <c r="G234" s="2" t="str">
        <f>"Carteira 21"</f>
        <v>Carteira 21</v>
      </c>
      <c r="H234" s="2">
        <v>13</v>
      </c>
      <c r="I234" s="3">
        <v>89</v>
      </c>
      <c r="J234" s="2" t="str">
        <f>"02/01/2020"</f>
        <v>02/01/2020</v>
      </c>
      <c r="K234" s="2" t="str">
        <f>"15/01/2020"</f>
        <v>15/01/2020</v>
      </c>
      <c r="L234" s="2" t="str">
        <f>"04/02/2020"</f>
        <v>04/02/2020</v>
      </c>
      <c r="M234" s="2" t="str">
        <f>"05/02/2020"</f>
        <v>05/02/2020</v>
      </c>
      <c r="N234" s="2">
        <v>28.35</v>
      </c>
      <c r="O234" s="2">
        <v>29.11</v>
      </c>
      <c r="P234" s="4">
        <v>3.5527136788005001E-15</v>
      </c>
    </row>
    <row r="235" spans="1:16" s="2" customFormat="1" x14ac:dyDescent="0.25">
      <c r="A235" s="2">
        <v>48570102</v>
      </c>
      <c r="B235" s="2">
        <v>48570116</v>
      </c>
      <c r="C235" s="2" t="str">
        <f>"UNIMEDSJN"</f>
        <v>UNIMEDSJN</v>
      </c>
      <c r="D235" s="2" t="str">
        <f>"DH"</f>
        <v>DH</v>
      </c>
      <c r="E235" s="2" t="str">
        <f>"MARINA LEIVA SANTIAGO SILVEIRA"</f>
        <v>MARINA LEIVA SANTIAGO SILVEIRA</v>
      </c>
      <c r="F235" s="2" t="str">
        <f>"48570102-1/1"</f>
        <v>48570102-1/1</v>
      </c>
      <c r="G235" s="2" t="str">
        <f>"Carteira 21"</f>
        <v>Carteira 21</v>
      </c>
      <c r="H235" s="2">
        <v>23</v>
      </c>
      <c r="I235" s="3">
        <v>79</v>
      </c>
      <c r="J235" s="2" t="str">
        <f>"02/01/2020"</f>
        <v>02/01/2020</v>
      </c>
      <c r="K235" s="2" t="str">
        <f>"25/01/2020"</f>
        <v>25/01/2020</v>
      </c>
      <c r="L235" s="2" t="str">
        <f>"11/02/2020"</f>
        <v>11/02/2020</v>
      </c>
      <c r="M235" s="2" t="str">
        <f>"12/02/2020"</f>
        <v>12/02/2020</v>
      </c>
      <c r="N235" s="2">
        <v>115.05</v>
      </c>
      <c r="O235" s="2">
        <v>117.92</v>
      </c>
      <c r="P235" s="2">
        <v>7.9999999999998295E-2</v>
      </c>
    </row>
    <row r="236" spans="1:16" s="2" customFormat="1" x14ac:dyDescent="0.25">
      <c r="A236" s="2">
        <v>48570880</v>
      </c>
      <c r="B236" s="2">
        <v>48570906</v>
      </c>
      <c r="C236" s="2" t="str">
        <f>"UNIMEDSJN"</f>
        <v>UNIMEDSJN</v>
      </c>
      <c r="D236" s="2" t="str">
        <f>"DH"</f>
        <v>DH</v>
      </c>
      <c r="E236" s="2" t="str">
        <f>"MARIO AUGUSTO DE CARVALHO MAGALHAES"</f>
        <v>MARIO AUGUSTO DE CARVALHO MAGALHAES</v>
      </c>
      <c r="F236" s="2" t="str">
        <f>"48570880-1/1"</f>
        <v>48570880-1/1</v>
      </c>
      <c r="G236" s="2" t="str">
        <f>"Carteira 21"</f>
        <v>Carteira 21</v>
      </c>
      <c r="H236" s="2">
        <v>23</v>
      </c>
      <c r="I236" s="3">
        <v>79</v>
      </c>
      <c r="J236" s="2" t="str">
        <f>"02/01/2020"</f>
        <v>02/01/2020</v>
      </c>
      <c r="K236" s="2" t="str">
        <f>"25/01/2020"</f>
        <v>25/01/2020</v>
      </c>
      <c r="L236" s="2" t="str">
        <f>"18/02/2020"</f>
        <v>18/02/2020</v>
      </c>
      <c r="M236" s="2" t="str">
        <f>"19/02/2020"</f>
        <v>19/02/2020</v>
      </c>
      <c r="N236" s="2">
        <v>432.24</v>
      </c>
      <c r="O236" s="2">
        <v>444.02</v>
      </c>
      <c r="P236" s="2">
        <v>0.32000000000005002</v>
      </c>
    </row>
    <row r="237" spans="1:16" s="2" customFormat="1" x14ac:dyDescent="0.25">
      <c r="A237" s="2">
        <v>45914490</v>
      </c>
      <c r="B237" s="2">
        <v>45914505</v>
      </c>
      <c r="C237" s="2" t="str">
        <f>"UNIMEDSJN"</f>
        <v>UNIMEDSJN</v>
      </c>
      <c r="D237" s="2" t="str">
        <f>"DH"</f>
        <v>DH</v>
      </c>
      <c r="E237" s="2" t="str">
        <f>"Matheus Miranda da Silva"</f>
        <v>Matheus Miranda da Silva</v>
      </c>
      <c r="F237" s="2" t="str">
        <f>"45914490-1/1"</f>
        <v>45914490-1/1</v>
      </c>
      <c r="G237" s="2" t="str">
        <f>"Carteira 21"</f>
        <v>Carteira 21</v>
      </c>
      <c r="H237" s="2">
        <v>24</v>
      </c>
      <c r="I237" s="3">
        <v>140</v>
      </c>
      <c r="J237" s="2" t="str">
        <f>"01/11/2019"</f>
        <v>01/11/2019</v>
      </c>
      <c r="K237" s="2" t="str">
        <f>"25/11/2019"</f>
        <v>25/11/2019</v>
      </c>
      <c r="L237" s="2" t="str">
        <f>"25/11/2019"</f>
        <v>25/11/2019</v>
      </c>
      <c r="M237" s="2" t="str">
        <f>"31/10/2019"</f>
        <v>31/10/2019</v>
      </c>
      <c r="N237" s="2">
        <v>28.35</v>
      </c>
      <c r="O237" s="2">
        <v>28.35</v>
      </c>
      <c r="P237" s="2">
        <v>0</v>
      </c>
    </row>
    <row r="238" spans="1:16" s="2" customFormat="1" x14ac:dyDescent="0.25">
      <c r="A238" s="2">
        <v>47499974</v>
      </c>
      <c r="B238" s="2">
        <v>47500001</v>
      </c>
      <c r="C238" s="2" t="str">
        <f>"UNIMEDSJN"</f>
        <v>UNIMEDSJN</v>
      </c>
      <c r="D238" s="2" t="str">
        <f>"DH"</f>
        <v>DH</v>
      </c>
      <c r="E238" s="2" t="str">
        <f>"Matheus Miranda da Silva"</f>
        <v>Matheus Miranda da Silva</v>
      </c>
      <c r="F238" s="2" t="str">
        <f>"47499974-1/1"</f>
        <v>47499974-1/1</v>
      </c>
      <c r="G238" s="2" t="str">
        <f>"Carteira 21"</f>
        <v>Carteira 21</v>
      </c>
      <c r="H238" s="2">
        <v>24</v>
      </c>
      <c r="I238" s="3">
        <v>110</v>
      </c>
      <c r="J238" s="2" t="str">
        <f>"01/12/2019"</f>
        <v>01/12/2019</v>
      </c>
      <c r="K238" s="2" t="str">
        <f>"25/12/2019"</f>
        <v>25/12/2019</v>
      </c>
      <c r="L238" s="2" t="str">
        <f>"25/12/2019"</f>
        <v>25/12/2019</v>
      </c>
      <c r="M238" s="2" t="str">
        <f>"28/11/2019"</f>
        <v>28/11/2019</v>
      </c>
      <c r="N238" s="2">
        <v>61.98</v>
      </c>
      <c r="O238" s="2">
        <v>61.98</v>
      </c>
      <c r="P238" s="2">
        <v>0</v>
      </c>
    </row>
    <row r="239" spans="1:16" s="2" customFormat="1" x14ac:dyDescent="0.25">
      <c r="A239" s="2">
        <v>44977572</v>
      </c>
      <c r="B239" s="2">
        <v>44977579</v>
      </c>
      <c r="C239" s="2" t="str">
        <f>"UNIMEDSJN"</f>
        <v>UNIMEDSJN</v>
      </c>
      <c r="D239" s="2" t="str">
        <f>"DH"</f>
        <v>DH</v>
      </c>
      <c r="E239" s="2" t="str">
        <f>"MATHEUS MIRANDA PINHEIRO ROCHA"</f>
        <v>MATHEUS MIRANDA PINHEIRO ROCHA</v>
      </c>
      <c r="F239" s="2" t="str">
        <f>"44977572-1/1"</f>
        <v>44977572-1/1</v>
      </c>
      <c r="G239" s="2" t="str">
        <f>"Carteira 21"</f>
        <v>Carteira 21</v>
      </c>
      <c r="H239" s="2">
        <v>24</v>
      </c>
      <c r="I239" s="3">
        <v>201</v>
      </c>
      <c r="J239" s="2" t="str">
        <f>"01/09/2019"</f>
        <v>01/09/2019</v>
      </c>
      <c r="K239" s="2" t="str">
        <f>"25/09/2019"</f>
        <v>25/09/2019</v>
      </c>
      <c r="L239" s="2" t="str">
        <f>"25/09/2019"</f>
        <v>25/09/2019</v>
      </c>
      <c r="M239" s="2" t="str">
        <f>"29/08/2019"</f>
        <v>29/08/2019</v>
      </c>
      <c r="N239" s="2">
        <v>30</v>
      </c>
      <c r="O239" s="2">
        <v>30</v>
      </c>
      <c r="P239" s="2">
        <v>0</v>
      </c>
    </row>
    <row r="240" spans="1:16" s="2" customFormat="1" x14ac:dyDescent="0.25">
      <c r="A240" s="2">
        <v>47498949</v>
      </c>
      <c r="B240" s="2">
        <v>47498962</v>
      </c>
      <c r="C240" s="2" t="str">
        <f>"UNIMEDSJN"</f>
        <v>UNIMEDSJN</v>
      </c>
      <c r="D240" s="2" t="str">
        <f>"DH"</f>
        <v>DH</v>
      </c>
      <c r="E240" s="2" t="str">
        <f>"Mayra Yvel Silva Dias"</f>
        <v>Mayra Yvel Silva Dias</v>
      </c>
      <c r="F240" s="2" t="str">
        <f>"47498949-1/1"</f>
        <v>47498949-1/1</v>
      </c>
      <c r="G240" s="2" t="str">
        <f>"Carteira 21"</f>
        <v>Carteira 21</v>
      </c>
      <c r="H240" s="2">
        <v>24</v>
      </c>
      <c r="I240" s="3">
        <v>110</v>
      </c>
      <c r="J240" s="2" t="str">
        <f>"01/12/2019"</f>
        <v>01/12/2019</v>
      </c>
      <c r="K240" s="2" t="str">
        <f>"25/12/2019"</f>
        <v>25/12/2019</v>
      </c>
      <c r="L240" s="2" t="str">
        <f>"19/03/2020"</f>
        <v>19/03/2020</v>
      </c>
      <c r="M240" s="2" t="str">
        <f>"20/03/2020"</f>
        <v>20/03/2020</v>
      </c>
      <c r="N240" s="2">
        <v>50.64</v>
      </c>
      <c r="O240" s="2">
        <v>53.06</v>
      </c>
      <c r="P240" s="2">
        <v>1.9999999999996E-2</v>
      </c>
    </row>
    <row r="241" spans="1:16" s="2" customFormat="1" x14ac:dyDescent="0.25">
      <c r="A241" s="2">
        <v>48572597</v>
      </c>
      <c r="B241" s="2">
        <v>48572608</v>
      </c>
      <c r="C241" s="2" t="str">
        <f>"UNIMEDSJN"</f>
        <v>UNIMEDSJN</v>
      </c>
      <c r="D241" s="2" t="str">
        <f>"DH"</f>
        <v>DH</v>
      </c>
      <c r="E241" s="2" t="str">
        <f>"Mayra Yvel Silva Dias"</f>
        <v>Mayra Yvel Silva Dias</v>
      </c>
      <c r="F241" s="2" t="str">
        <f>"48572597-1/1"</f>
        <v>48572597-1/1</v>
      </c>
      <c r="G241" s="2" t="str">
        <f>"Carteira 21"</f>
        <v>Carteira 21</v>
      </c>
      <c r="H241" s="2">
        <v>23</v>
      </c>
      <c r="I241" s="3">
        <v>79</v>
      </c>
      <c r="J241" s="2" t="str">
        <f>"02/01/2020"</f>
        <v>02/01/2020</v>
      </c>
      <c r="K241" s="2" t="str">
        <f>"25/01/2020"</f>
        <v>25/01/2020</v>
      </c>
      <c r="L241" s="2" t="str">
        <f>"19/03/2020"</f>
        <v>19/03/2020</v>
      </c>
      <c r="M241" s="2" t="str">
        <f>"20/03/2020"</f>
        <v>20/03/2020</v>
      </c>
      <c r="N241" s="2">
        <v>30</v>
      </c>
      <c r="O241" s="2">
        <v>31.11</v>
      </c>
      <c r="P241" s="2">
        <v>3.0000000000001099E-2</v>
      </c>
    </row>
    <row r="242" spans="1:16" x14ac:dyDescent="0.25">
      <c r="A242">
        <v>45496733</v>
      </c>
      <c r="B242">
        <v>46933301</v>
      </c>
      <c r="C242" t="str">
        <f>"UNIMEDSJN"</f>
        <v>UNIMEDSJN</v>
      </c>
      <c r="D242" t="str">
        <f>"DH"</f>
        <v>DH</v>
      </c>
      <c r="E242" t="str">
        <f>"MELINA DE SOUZA DUTRA"</f>
        <v>MELINA DE SOUZA DUTRA</v>
      </c>
      <c r="F242" t="str">
        <f>"45496733-1/1"</f>
        <v>45496733-1/1</v>
      </c>
      <c r="G242" t="str">
        <f>"Carteira 21"</f>
        <v>Carteira 21</v>
      </c>
      <c r="H242">
        <v>161</v>
      </c>
      <c r="I242" s="1">
        <v>34</v>
      </c>
      <c r="J242" t="str">
        <f>"01/10/2019"</f>
        <v>01/10/2019</v>
      </c>
      <c r="K242" t="str">
        <f>"10/03/2020"</f>
        <v>10/03/2020</v>
      </c>
      <c r="L242" t="str">
        <f>"10/03/2020"</f>
        <v>10/03/2020</v>
      </c>
      <c r="M242" t="str">
        <f>"31/03/2020"</f>
        <v>31/03/2020</v>
      </c>
      <c r="N242">
        <v>138.4</v>
      </c>
      <c r="O242">
        <v>138.4</v>
      </c>
      <c r="P242">
        <v>0</v>
      </c>
    </row>
    <row r="243" spans="1:16" s="2" customFormat="1" x14ac:dyDescent="0.25">
      <c r="A243" s="2">
        <v>48573329</v>
      </c>
      <c r="B243" s="2">
        <v>48573345</v>
      </c>
      <c r="C243" s="2" t="str">
        <f>"UNIMEDSJN"</f>
        <v>UNIMEDSJN</v>
      </c>
      <c r="D243" s="2" t="str">
        <f>"DH"</f>
        <v>DH</v>
      </c>
      <c r="E243" s="2" t="str">
        <f>"Monique Morais Lopes Louzada"</f>
        <v>Monique Morais Lopes Louzada</v>
      </c>
      <c r="F243" s="2" t="str">
        <f>"48573329-1/1"</f>
        <v>48573329-1/1</v>
      </c>
      <c r="G243" s="2" t="str">
        <f>"Carteira 21"</f>
        <v>Carteira 21</v>
      </c>
      <c r="H243" s="2">
        <v>23</v>
      </c>
      <c r="I243" s="3">
        <v>79</v>
      </c>
      <c r="J243" s="2" t="str">
        <f>"02/01/2020"</f>
        <v>02/01/2020</v>
      </c>
      <c r="K243" s="2" t="str">
        <f>"25/01/2020"</f>
        <v>25/01/2020</v>
      </c>
      <c r="L243" s="2" t="str">
        <f>"27/01/2020"</f>
        <v>27/01/2020</v>
      </c>
      <c r="M243" s="2" t="str">
        <f>"27/12/2019"</f>
        <v>27/12/2019</v>
      </c>
      <c r="N243" s="2">
        <v>33.659999999999997</v>
      </c>
      <c r="O243" s="2">
        <v>33.659999999999997</v>
      </c>
      <c r="P243" s="2">
        <v>0</v>
      </c>
    </row>
    <row r="244" spans="1:16" s="2" customFormat="1" x14ac:dyDescent="0.25">
      <c r="A244" s="2">
        <v>47498898</v>
      </c>
      <c r="B244" s="2">
        <v>47498923</v>
      </c>
      <c r="C244" s="2" t="str">
        <f>"UNIMEDSJN"</f>
        <v>UNIMEDSJN</v>
      </c>
      <c r="D244" s="2" t="str">
        <f>"DH"</f>
        <v>DH</v>
      </c>
      <c r="E244" s="2" t="str">
        <f>"Natalia Helena de Souza Paiva"</f>
        <v>Natalia Helena de Souza Paiva</v>
      </c>
      <c r="F244" s="2" t="str">
        <f>"47498898-1/1"</f>
        <v>47498898-1/1</v>
      </c>
      <c r="G244" s="2" t="str">
        <f>"Carteira 21"</f>
        <v>Carteira 21</v>
      </c>
      <c r="H244" s="2">
        <v>44</v>
      </c>
      <c r="I244" s="3">
        <v>90</v>
      </c>
      <c r="J244" s="2" t="str">
        <f>"01/12/2019"</f>
        <v>01/12/2019</v>
      </c>
      <c r="K244" s="2" t="str">
        <f>"14/01/2020"</f>
        <v>14/01/2020</v>
      </c>
      <c r="L244" s="2" t="str">
        <f>"27/02/2020"</f>
        <v>27/02/2020</v>
      </c>
      <c r="M244" s="2" t="str">
        <f>"28/02/2020"</f>
        <v>28/02/2020</v>
      </c>
      <c r="N244" s="2">
        <v>60</v>
      </c>
      <c r="O244" s="2">
        <v>62.65</v>
      </c>
      <c r="P244" s="2">
        <v>-0.56999999999999995</v>
      </c>
    </row>
    <row r="245" spans="1:16" s="2" customFormat="1" x14ac:dyDescent="0.25">
      <c r="A245" s="2">
        <v>48575231</v>
      </c>
      <c r="B245" s="2">
        <v>48575247</v>
      </c>
      <c r="C245" s="2" t="str">
        <f>"UNIMEDSJN"</f>
        <v>UNIMEDSJN</v>
      </c>
      <c r="D245" s="2" t="str">
        <f>"DH"</f>
        <v>DH</v>
      </c>
      <c r="E245" s="2" t="str">
        <f>"Natalia Helena de Souza Paiva"</f>
        <v>Natalia Helena de Souza Paiva</v>
      </c>
      <c r="F245" s="2" t="str">
        <f>"48575231-1/1"</f>
        <v>48575231-1/1</v>
      </c>
      <c r="G245" s="2" t="str">
        <f>"Carteira 21"</f>
        <v>Carteira 21</v>
      </c>
      <c r="H245" s="2">
        <v>13</v>
      </c>
      <c r="I245" s="3">
        <v>89</v>
      </c>
      <c r="J245" s="2" t="str">
        <f>"02/01/2020"</f>
        <v>02/01/2020</v>
      </c>
      <c r="K245" s="2" t="str">
        <f>"15/01/2020"</f>
        <v>15/01/2020</v>
      </c>
      <c r="L245" s="2" t="str">
        <f>"15/01/2020"</f>
        <v>15/01/2020</v>
      </c>
      <c r="M245" s="2" t="str">
        <f>"27/12/2019"</f>
        <v>27/12/2019</v>
      </c>
      <c r="N245" s="2">
        <v>61.98</v>
      </c>
      <c r="O245" s="2">
        <v>61.98</v>
      </c>
      <c r="P245" s="2">
        <v>0</v>
      </c>
    </row>
    <row r="246" spans="1:16" s="2" customFormat="1" x14ac:dyDescent="0.25">
      <c r="A246" s="2">
        <v>45920104</v>
      </c>
      <c r="B246" s="2">
        <v>47460949</v>
      </c>
      <c r="C246" s="2" t="str">
        <f>"UNIMEDSJN"</f>
        <v>UNIMEDSJN</v>
      </c>
      <c r="D246" s="2" t="str">
        <f>"DH"</f>
        <v>DH</v>
      </c>
      <c r="E246" s="2" t="str">
        <f>"NATALIA OLIVEIRA MATTOS"</f>
        <v>NATALIA OLIVEIRA MATTOS</v>
      </c>
      <c r="F246" s="2" t="str">
        <f>"45920104-1/1"</f>
        <v>45920104-1/1</v>
      </c>
      <c r="G246" s="2" t="str">
        <f>"Carteira 21"</f>
        <v>Carteira 21</v>
      </c>
      <c r="H246" s="2">
        <v>85</v>
      </c>
      <c r="I246" s="3">
        <v>79</v>
      </c>
      <c r="J246" s="2" t="str">
        <f>"01/11/2019"</f>
        <v>01/11/2019</v>
      </c>
      <c r="K246" s="2" t="str">
        <f>"25/01/2020"</f>
        <v>25/01/2020</v>
      </c>
      <c r="L246" s="2" t="str">
        <f>"27/01/2020"</f>
        <v>27/01/2020</v>
      </c>
      <c r="M246" s="2" t="str">
        <f>"14/02/2020"</f>
        <v>14/02/2020</v>
      </c>
      <c r="N246" s="2">
        <v>114.57</v>
      </c>
      <c r="O246" s="2">
        <v>117.43</v>
      </c>
      <c r="P246" s="2">
        <v>-2.86</v>
      </c>
    </row>
    <row r="247" spans="1:16" s="2" customFormat="1" x14ac:dyDescent="0.25">
      <c r="A247" s="2">
        <v>48571064</v>
      </c>
      <c r="B247" s="2">
        <v>48571085</v>
      </c>
      <c r="C247" s="2" t="str">
        <f>"UNIMEDSJN"</f>
        <v>UNIMEDSJN</v>
      </c>
      <c r="D247" s="2" t="str">
        <f>"DH"</f>
        <v>DH</v>
      </c>
      <c r="E247" s="2" t="str">
        <f>"NATALIA OLIVEIRA MATTOS"</f>
        <v>NATALIA OLIVEIRA MATTOS</v>
      </c>
      <c r="F247" s="2" t="str">
        <f>"48571064-1/1"</f>
        <v>48571064-1/1</v>
      </c>
      <c r="G247" s="2" t="str">
        <f>"Carteira 21"</f>
        <v>Carteira 21</v>
      </c>
      <c r="H247" s="2">
        <v>23</v>
      </c>
      <c r="I247" s="3">
        <v>79</v>
      </c>
      <c r="J247" s="2" t="str">
        <f>"02/01/2020"</f>
        <v>02/01/2020</v>
      </c>
      <c r="K247" s="2" t="str">
        <f>"25/01/2020"</f>
        <v>25/01/2020</v>
      </c>
      <c r="L247" s="2" t="str">
        <f>"13/02/2020"</f>
        <v>13/02/2020</v>
      </c>
      <c r="M247" s="2" t="str">
        <f>"14/02/2020"</f>
        <v>14/02/2020</v>
      </c>
      <c r="N247" s="2">
        <v>134.31</v>
      </c>
      <c r="O247" s="2">
        <v>137.75</v>
      </c>
      <c r="P247" s="2">
        <v>9.9999999999994302E-2</v>
      </c>
    </row>
    <row r="248" spans="1:16" s="2" customFormat="1" x14ac:dyDescent="0.25">
      <c r="A248" s="2">
        <v>48572661</v>
      </c>
      <c r="B248" s="2">
        <v>48572680</v>
      </c>
      <c r="C248" s="2" t="str">
        <f>"UNIMEDSJN"</f>
        <v>UNIMEDSJN</v>
      </c>
      <c r="D248" s="2" t="str">
        <f>"DH"</f>
        <v>DH</v>
      </c>
      <c r="E248" s="2" t="str">
        <f>"Natanne de Paula Rezende"</f>
        <v>Natanne de Paula Rezende</v>
      </c>
      <c r="F248" s="2" t="str">
        <f>"48572661-1/1"</f>
        <v>48572661-1/1</v>
      </c>
      <c r="G248" s="2" t="str">
        <f>"Carteira 21"</f>
        <v>Carteira 21</v>
      </c>
      <c r="H248" s="2">
        <v>16</v>
      </c>
      <c r="I248" s="3">
        <v>86</v>
      </c>
      <c r="J248" s="2" t="str">
        <f>"02/01/2020"</f>
        <v>02/01/2020</v>
      </c>
      <c r="K248" s="2" t="str">
        <f>"18/01/2020"</f>
        <v>18/01/2020</v>
      </c>
      <c r="L248" s="2" t="str">
        <f>"07/02/2020"</f>
        <v>07/02/2020</v>
      </c>
      <c r="M248" s="2" t="str">
        <f>"10/02/2020"</f>
        <v>10/02/2020</v>
      </c>
      <c r="N248" s="2">
        <v>30</v>
      </c>
      <c r="O248" s="2">
        <v>30.78</v>
      </c>
      <c r="P248" s="2">
        <v>1.9999999999999601E-2</v>
      </c>
    </row>
    <row r="249" spans="1:16" s="2" customFormat="1" x14ac:dyDescent="0.25">
      <c r="A249" s="2">
        <v>47496385</v>
      </c>
      <c r="B249" s="2">
        <v>47496412</v>
      </c>
      <c r="C249" s="2" t="str">
        <f>"UNIMEDSJN"</f>
        <v>UNIMEDSJN</v>
      </c>
      <c r="D249" s="2" t="str">
        <f>"DH"</f>
        <v>DH</v>
      </c>
      <c r="E249" s="2" t="str">
        <f>"NEI CARLOS LOPES DA PENHA"</f>
        <v>NEI CARLOS LOPES DA PENHA</v>
      </c>
      <c r="F249" s="2" t="str">
        <f>"47496385-1/1"</f>
        <v>47496385-1/1</v>
      </c>
      <c r="G249" s="2" t="str">
        <f>"Carteira 21"</f>
        <v>Carteira 21</v>
      </c>
      <c r="H249" s="2">
        <v>24</v>
      </c>
      <c r="I249" s="3">
        <v>110</v>
      </c>
      <c r="J249" s="2" t="str">
        <f>"01/12/2019"</f>
        <v>01/12/2019</v>
      </c>
      <c r="K249" s="2" t="str">
        <f>"25/12/2019"</f>
        <v>25/12/2019</v>
      </c>
      <c r="L249" s="2" t="str">
        <f>"13/02/2020"</f>
        <v>13/02/2020</v>
      </c>
      <c r="M249" s="2" t="str">
        <f>"14/02/2020"</f>
        <v>14/02/2020</v>
      </c>
      <c r="N249" s="2">
        <v>34.659999999999997</v>
      </c>
      <c r="O249" s="2">
        <v>35.92</v>
      </c>
      <c r="P249" s="2">
        <v>1.00000000000051E-2</v>
      </c>
    </row>
    <row r="250" spans="1:16" s="2" customFormat="1" x14ac:dyDescent="0.25">
      <c r="A250" s="2">
        <v>48571683</v>
      </c>
      <c r="B250" s="2">
        <v>48571699</v>
      </c>
      <c r="C250" s="2" t="str">
        <f>"UNIMEDSJN"</f>
        <v>UNIMEDSJN</v>
      </c>
      <c r="D250" s="2" t="str">
        <f>"DH"</f>
        <v>DH</v>
      </c>
      <c r="E250" s="2" t="str">
        <f>"NEI CARLOS LOPES DA PENHA"</f>
        <v>NEI CARLOS LOPES DA PENHA</v>
      </c>
      <c r="F250" s="2" t="str">
        <f>"48571683-1/1"</f>
        <v>48571683-1/1</v>
      </c>
      <c r="G250" s="2" t="str">
        <f>"Carteira 21"</f>
        <v>Carteira 21</v>
      </c>
      <c r="H250" s="2">
        <v>23</v>
      </c>
      <c r="I250" s="3">
        <v>79</v>
      </c>
      <c r="J250" s="2" t="str">
        <f>"02/01/2020"</f>
        <v>02/01/2020</v>
      </c>
      <c r="K250" s="2" t="str">
        <f>"25/01/2020"</f>
        <v>25/01/2020</v>
      </c>
      <c r="L250" s="2" t="str">
        <f>"13/03/2020"</f>
        <v>13/03/2020</v>
      </c>
      <c r="M250" s="2" t="str">
        <f>"16/03/2020"</f>
        <v>16/03/2020</v>
      </c>
      <c r="N250" s="2">
        <v>31.71</v>
      </c>
      <c r="O250" s="2">
        <v>32.82</v>
      </c>
      <c r="P250" s="2">
        <v>3.0000000000001099E-2</v>
      </c>
    </row>
    <row r="251" spans="1:16" s="2" customFormat="1" x14ac:dyDescent="0.25">
      <c r="A251" s="2">
        <v>48568731</v>
      </c>
      <c r="B251" s="2">
        <v>48568742</v>
      </c>
      <c r="C251" s="2" t="str">
        <f>"UNIMEDSJN"</f>
        <v>UNIMEDSJN</v>
      </c>
      <c r="D251" s="2" t="str">
        <f>"DH"</f>
        <v>DH</v>
      </c>
      <c r="E251" s="2" t="str">
        <f>"NEILA MARA ALVES MELO NOGUEIRA"</f>
        <v>NEILA MARA ALVES MELO NOGUEIRA</v>
      </c>
      <c r="F251" s="2" t="str">
        <f>"48568731-1/1"</f>
        <v>48568731-1/1</v>
      </c>
      <c r="G251" s="2" t="str">
        <f>"Carteira 21"</f>
        <v>Carteira 21</v>
      </c>
      <c r="H251" s="2">
        <v>23</v>
      </c>
      <c r="I251" s="3">
        <v>79</v>
      </c>
      <c r="J251" s="2" t="str">
        <f>"02/01/2020"</f>
        <v>02/01/2020</v>
      </c>
      <c r="K251" s="2" t="str">
        <f>"25/01/2020"</f>
        <v>25/01/2020</v>
      </c>
      <c r="L251" s="2" t="str">
        <f>"03/02/2020"</f>
        <v>03/02/2020</v>
      </c>
      <c r="M251" s="2" t="str">
        <f>"04/02/2020"</f>
        <v>04/02/2020</v>
      </c>
      <c r="N251" s="2">
        <v>76.55</v>
      </c>
      <c r="O251" s="2">
        <v>78.260000000000005</v>
      </c>
      <c r="P251" s="2">
        <v>4.9999999999997199E-2</v>
      </c>
    </row>
    <row r="252" spans="1:16" s="2" customFormat="1" x14ac:dyDescent="0.25">
      <c r="A252" s="2">
        <v>48577317</v>
      </c>
      <c r="B252" s="2">
        <v>48577333</v>
      </c>
      <c r="C252" s="2" t="str">
        <f>"UNIMEDSJN"</f>
        <v>UNIMEDSJN</v>
      </c>
      <c r="D252" s="2" t="str">
        <f>"DH"</f>
        <v>DH</v>
      </c>
      <c r="E252" s="2" t="str">
        <f>"Nestora da Costa Diana"</f>
        <v>Nestora da Costa Diana</v>
      </c>
      <c r="F252" s="2" t="str">
        <f>"48577317-1/1"</f>
        <v>48577317-1/1</v>
      </c>
      <c r="G252" s="2" t="str">
        <f>"Carteira 21"</f>
        <v>Carteira 21</v>
      </c>
      <c r="H252" s="2">
        <v>23</v>
      </c>
      <c r="I252" s="3">
        <v>79</v>
      </c>
      <c r="J252" s="2" t="str">
        <f>"02/01/2020"</f>
        <v>02/01/2020</v>
      </c>
      <c r="K252" s="2" t="str">
        <f>"25/01/2020"</f>
        <v>25/01/2020</v>
      </c>
      <c r="L252" s="2" t="str">
        <f>"11/02/2020"</f>
        <v>11/02/2020</v>
      </c>
      <c r="M252" s="2" t="str">
        <f>"12/02/2020"</f>
        <v>12/02/2020</v>
      </c>
      <c r="N252" s="2">
        <v>48.96</v>
      </c>
      <c r="O252" s="2">
        <v>50.18</v>
      </c>
      <c r="P252" s="2">
        <v>3.9999999999999099E-2</v>
      </c>
    </row>
    <row r="253" spans="1:16" s="2" customFormat="1" x14ac:dyDescent="0.25">
      <c r="A253" s="2">
        <v>45914442</v>
      </c>
      <c r="B253" s="2">
        <v>45914456</v>
      </c>
      <c r="C253" s="2" t="str">
        <f>"UNIMEDSJN"</f>
        <v>UNIMEDSJN</v>
      </c>
      <c r="D253" s="2" t="str">
        <f>"DH"</f>
        <v>DH</v>
      </c>
      <c r="E253" s="2" t="str">
        <f>"NIVALDO GUIMARAES DE CARVALHO"</f>
        <v>NIVALDO GUIMARAES DE CARVALHO</v>
      </c>
      <c r="F253" s="2" t="str">
        <f>"45914442-1/1"</f>
        <v>45914442-1/1</v>
      </c>
      <c r="G253" s="2" t="str">
        <f>"Carteira 21"</f>
        <v>Carteira 21</v>
      </c>
      <c r="H253" s="2">
        <v>24</v>
      </c>
      <c r="I253" s="3">
        <v>140</v>
      </c>
      <c r="J253" s="2" t="str">
        <f>"01/11/2019"</f>
        <v>01/11/2019</v>
      </c>
      <c r="K253" s="2" t="str">
        <f>"25/11/2019"</f>
        <v>25/11/2019</v>
      </c>
      <c r="L253" s="2" t="str">
        <f>"25/11/2019"</f>
        <v>25/11/2019</v>
      </c>
      <c r="M253" s="2" t="str">
        <f>"31/10/2019"</f>
        <v>31/10/2019</v>
      </c>
      <c r="N253" s="2">
        <v>54.82</v>
      </c>
      <c r="O253" s="2">
        <v>54.82</v>
      </c>
      <c r="P253" s="2">
        <v>0</v>
      </c>
    </row>
    <row r="254" spans="1:16" s="2" customFormat="1" x14ac:dyDescent="0.25">
      <c r="A254" s="2">
        <v>45915897</v>
      </c>
      <c r="B254" s="2">
        <v>45915902</v>
      </c>
      <c r="C254" s="2" t="str">
        <f>"UNIMEDSJN"</f>
        <v>UNIMEDSJN</v>
      </c>
      <c r="D254" s="2" t="str">
        <f>"DH"</f>
        <v>DH</v>
      </c>
      <c r="E254" s="2" t="str">
        <f>"Octavio Pontes de Carvalho Candido"</f>
        <v>Octavio Pontes de Carvalho Candido</v>
      </c>
      <c r="F254" s="2" t="str">
        <f>"45915897-1/1"</f>
        <v>45915897-1/1</v>
      </c>
      <c r="G254" s="2" t="str">
        <f>"Carteira 21"</f>
        <v>Carteira 21</v>
      </c>
      <c r="H254" s="2">
        <v>14</v>
      </c>
      <c r="I254" s="3">
        <v>150</v>
      </c>
      <c r="J254" s="2" t="str">
        <f>"01/11/2019"</f>
        <v>01/11/2019</v>
      </c>
      <c r="K254" s="2" t="str">
        <f>"15/11/2019"</f>
        <v>15/11/2019</v>
      </c>
      <c r="L254" s="2" t="str">
        <f>"05/02/2020"</f>
        <v>05/02/2020</v>
      </c>
      <c r="M254" s="2" t="str">
        <f>"06/02/2020"</f>
        <v>06/02/2020</v>
      </c>
      <c r="N254" s="2">
        <v>52.17</v>
      </c>
      <c r="O254" s="2">
        <v>54.62</v>
      </c>
      <c r="P254" s="2">
        <v>1.9999999999996E-2</v>
      </c>
    </row>
    <row r="255" spans="1:16" s="2" customFormat="1" x14ac:dyDescent="0.25">
      <c r="A255" s="2">
        <v>47502370</v>
      </c>
      <c r="B255" s="2">
        <v>47502632</v>
      </c>
      <c r="C255" s="2" t="str">
        <f>"UNIMEDSJN"</f>
        <v>UNIMEDSJN</v>
      </c>
      <c r="D255" s="2" t="str">
        <f>"DH"</f>
        <v>DH</v>
      </c>
      <c r="E255" s="2" t="str">
        <f>"Octavio Pontes de Carvalho Candido"</f>
        <v>Octavio Pontes de Carvalho Candido</v>
      </c>
      <c r="F255" s="2" t="str">
        <f>"47502370-1/1"</f>
        <v>47502370-1/1</v>
      </c>
      <c r="G255" s="2" t="str">
        <f>"Carteira 21"</f>
        <v>Carteira 21</v>
      </c>
      <c r="H255" s="2">
        <v>14</v>
      </c>
      <c r="I255" s="3">
        <v>120</v>
      </c>
      <c r="J255" s="2" t="str">
        <f>"01/12/2019"</f>
        <v>01/12/2019</v>
      </c>
      <c r="K255" s="2" t="str">
        <f>"15/12/2019"</f>
        <v>15/12/2019</v>
      </c>
      <c r="L255" s="2" t="str">
        <f>"18/02/2020"</f>
        <v>18/02/2020</v>
      </c>
      <c r="M255" s="2" t="str">
        <f>"19/02/2020"</f>
        <v>19/02/2020</v>
      </c>
      <c r="N255" s="2">
        <v>28.35</v>
      </c>
      <c r="O255" s="2">
        <v>29.51</v>
      </c>
      <c r="P255" s="2">
        <v>1.9999999999999601E-2</v>
      </c>
    </row>
    <row r="256" spans="1:16" s="2" customFormat="1" x14ac:dyDescent="0.25">
      <c r="A256" s="2">
        <v>47495157</v>
      </c>
      <c r="B256" s="2">
        <v>47495169</v>
      </c>
      <c r="C256" s="2" t="str">
        <f>"UNIMEDSJN"</f>
        <v>UNIMEDSJN</v>
      </c>
      <c r="D256" s="2" t="str">
        <f>"DH"</f>
        <v>DH</v>
      </c>
      <c r="E256" s="2" t="str">
        <f>"OLGA DA ASSUNCAO PIRES MARTINS"</f>
        <v>OLGA DA ASSUNCAO PIRES MARTINS</v>
      </c>
      <c r="F256" s="2" t="str">
        <f>"47495157-1/1"</f>
        <v>47495157-1/1</v>
      </c>
      <c r="G256" s="2" t="str">
        <f>"Carteira 21"</f>
        <v>Carteira 21</v>
      </c>
      <c r="H256" s="2">
        <v>24</v>
      </c>
      <c r="I256" s="3">
        <v>110</v>
      </c>
      <c r="J256" s="2" t="str">
        <f>"01/12/2019"</f>
        <v>01/12/2019</v>
      </c>
      <c r="K256" s="2" t="str">
        <f>"25/12/2019"</f>
        <v>25/12/2019</v>
      </c>
      <c r="L256" s="2" t="str">
        <f>"05/02/2020"</f>
        <v>05/02/2020</v>
      </c>
      <c r="M256" s="2" t="str">
        <f>"06/02/2020"</f>
        <v>06/02/2020</v>
      </c>
      <c r="N256" s="2">
        <v>47.89</v>
      </c>
      <c r="O256" s="2">
        <v>49.52</v>
      </c>
      <c r="P256" s="2">
        <v>0</v>
      </c>
    </row>
    <row r="257" spans="1:16" s="2" customFormat="1" x14ac:dyDescent="0.25">
      <c r="A257" s="2">
        <v>48569213</v>
      </c>
      <c r="B257" s="2">
        <v>48569228</v>
      </c>
      <c r="C257" s="2" t="str">
        <f>"UNIMEDSJN"</f>
        <v>UNIMEDSJN</v>
      </c>
      <c r="D257" s="2" t="str">
        <f>"DH"</f>
        <v>DH</v>
      </c>
      <c r="E257" s="2" t="str">
        <f>"OLGA DA ASSUNCAO PIRES MARTINS"</f>
        <v>OLGA DA ASSUNCAO PIRES MARTINS</v>
      </c>
      <c r="F257" s="2" t="str">
        <f>"48569213-1/1"</f>
        <v>48569213-1/1</v>
      </c>
      <c r="G257" s="2" t="str">
        <f>"Carteira 21"</f>
        <v>Carteira 21</v>
      </c>
      <c r="H257" s="2">
        <v>23</v>
      </c>
      <c r="I257" s="3">
        <v>79</v>
      </c>
      <c r="J257" s="2" t="str">
        <f>"02/01/2020"</f>
        <v>02/01/2020</v>
      </c>
      <c r="K257" s="2" t="str">
        <f>"25/01/2020"</f>
        <v>25/01/2020</v>
      </c>
      <c r="L257" s="2" t="str">
        <f>"05/02/2020"</f>
        <v>05/02/2020</v>
      </c>
      <c r="M257" s="2" t="str">
        <f>"06/02/2020"</f>
        <v>06/02/2020</v>
      </c>
      <c r="N257" s="2">
        <v>47.89</v>
      </c>
      <c r="O257" s="2">
        <v>49</v>
      </c>
      <c r="P257" s="2">
        <v>3.0000000000001099E-2</v>
      </c>
    </row>
    <row r="258" spans="1:16" s="2" customFormat="1" x14ac:dyDescent="0.25">
      <c r="A258" s="2">
        <v>48575445</v>
      </c>
      <c r="B258" s="2">
        <v>48575470</v>
      </c>
      <c r="C258" s="2" t="str">
        <f>"UNIMEDSJN"</f>
        <v>UNIMEDSJN</v>
      </c>
      <c r="D258" s="2" t="str">
        <f>"DH"</f>
        <v>DH</v>
      </c>
      <c r="E258" s="2" t="str">
        <f>"OSVALDO JOSE ALMEIDA DE CASTRO"</f>
        <v>OSVALDO JOSE ALMEIDA DE CASTRO</v>
      </c>
      <c r="F258" s="2" t="str">
        <f>"48575445-1/1"</f>
        <v>48575445-1/1</v>
      </c>
      <c r="G258" s="2" t="str">
        <f>"Carteira 21"</f>
        <v>Carteira 21</v>
      </c>
      <c r="H258" s="2">
        <v>16</v>
      </c>
      <c r="I258" s="3">
        <v>86</v>
      </c>
      <c r="J258" s="2" t="str">
        <f>"02/01/2020"</f>
        <v>02/01/2020</v>
      </c>
      <c r="K258" s="2" t="str">
        <f>"18/01/2020"</f>
        <v>18/01/2020</v>
      </c>
      <c r="L258" s="2" t="str">
        <f>"03/02/2020"</f>
        <v>03/02/2020</v>
      </c>
      <c r="M258" s="2" t="str">
        <f>"04/02/2020"</f>
        <v>04/02/2020</v>
      </c>
      <c r="N258" s="2">
        <v>132.22</v>
      </c>
      <c r="O258" s="2">
        <v>135.47999999999999</v>
      </c>
      <c r="P258" s="2">
        <v>9.0000000000003397E-2</v>
      </c>
    </row>
    <row r="259" spans="1:16" s="2" customFormat="1" x14ac:dyDescent="0.25">
      <c r="A259" s="2">
        <v>48576598</v>
      </c>
      <c r="B259" s="2">
        <v>48576877</v>
      </c>
      <c r="C259" s="2" t="str">
        <f>"UNIMEDSJN"</f>
        <v>UNIMEDSJN</v>
      </c>
      <c r="D259" s="2" t="str">
        <f>"DH"</f>
        <v>DH</v>
      </c>
      <c r="E259" s="2" t="str">
        <f>"Othon Ponciano da Cruz"</f>
        <v>Othon Ponciano da Cruz</v>
      </c>
      <c r="F259" s="2" t="str">
        <f>"48576598-1/1"</f>
        <v>48576598-1/1</v>
      </c>
      <c r="G259" s="2" t="str">
        <f>"Carteira 21"</f>
        <v>Carteira 21</v>
      </c>
      <c r="H259" s="2">
        <v>23</v>
      </c>
      <c r="I259" s="3">
        <v>79</v>
      </c>
      <c r="J259" s="2" t="str">
        <f>"02/01/2020"</f>
        <v>02/01/2020</v>
      </c>
      <c r="K259" s="2" t="str">
        <f>"25/01/2020"</f>
        <v>25/01/2020</v>
      </c>
      <c r="L259" s="2" t="str">
        <f>"05/02/2020"</f>
        <v>05/02/2020</v>
      </c>
      <c r="M259" s="2" t="str">
        <f>"06/02/2020"</f>
        <v>06/02/2020</v>
      </c>
      <c r="N259" s="2">
        <v>123.96</v>
      </c>
      <c r="O259" s="2">
        <v>126.81</v>
      </c>
      <c r="P259" s="2">
        <v>8.0000000000012506E-2</v>
      </c>
    </row>
    <row r="260" spans="1:16" s="2" customFormat="1" x14ac:dyDescent="0.25">
      <c r="A260" s="2">
        <v>48577501</v>
      </c>
      <c r="B260" s="2">
        <v>48577510</v>
      </c>
      <c r="C260" s="2" t="str">
        <f>"UNIMEDSJN"</f>
        <v>UNIMEDSJN</v>
      </c>
      <c r="D260" s="2" t="str">
        <f>"DH"</f>
        <v>DH</v>
      </c>
      <c r="E260" s="2" t="str">
        <f>"Patricia Araujo Martins"</f>
        <v>Patricia Araujo Martins</v>
      </c>
      <c r="F260" s="2" t="str">
        <f>"48577501-1/1"</f>
        <v>48577501-1/1</v>
      </c>
      <c r="G260" s="2" t="str">
        <f>"Carteira 21"</f>
        <v>Carteira 21</v>
      </c>
      <c r="H260" s="2">
        <v>23</v>
      </c>
      <c r="I260" s="3">
        <v>79</v>
      </c>
      <c r="J260" s="2" t="str">
        <f>"02/01/2020"</f>
        <v>02/01/2020</v>
      </c>
      <c r="K260" s="2" t="str">
        <f>"25/01/2020"</f>
        <v>25/01/2020</v>
      </c>
      <c r="L260" s="2" t="str">
        <f>"11/02/2020"</f>
        <v>11/02/2020</v>
      </c>
      <c r="M260" s="2" t="str">
        <f>"12/02/2020"</f>
        <v>12/02/2020</v>
      </c>
      <c r="N260" s="2">
        <v>129.35</v>
      </c>
      <c r="O260" s="2">
        <v>132.58000000000001</v>
      </c>
      <c r="P260" s="2">
        <v>8.9999999999975003E-2</v>
      </c>
    </row>
    <row r="261" spans="1:16" s="2" customFormat="1" x14ac:dyDescent="0.25">
      <c r="A261" s="2">
        <v>48571301</v>
      </c>
      <c r="B261" s="2">
        <v>48571314</v>
      </c>
      <c r="C261" s="2" t="str">
        <f>"UNIMEDSJN"</f>
        <v>UNIMEDSJN</v>
      </c>
      <c r="D261" s="2" t="str">
        <f>"DH"</f>
        <v>DH</v>
      </c>
      <c r="E261" s="2" t="str">
        <f>"PATRICIA MARIA COELHO DE PAIVA"</f>
        <v>PATRICIA MARIA COELHO DE PAIVA</v>
      </c>
      <c r="F261" s="2" t="str">
        <f>"48571301-1/1"</f>
        <v>48571301-1/1</v>
      </c>
      <c r="G261" s="2" t="str">
        <f>"Carteira 21"</f>
        <v>Carteira 21</v>
      </c>
      <c r="H261" s="2">
        <v>23</v>
      </c>
      <c r="I261" s="3">
        <v>79</v>
      </c>
      <c r="J261" s="2" t="str">
        <f>"02/01/2020"</f>
        <v>02/01/2020</v>
      </c>
      <c r="K261" s="2" t="str">
        <f>"25/01/2020"</f>
        <v>25/01/2020</v>
      </c>
      <c r="L261" s="2" t="str">
        <f>"03/02/2020"</f>
        <v>03/02/2020</v>
      </c>
      <c r="M261" s="2" t="str">
        <f>"04/02/2020"</f>
        <v>04/02/2020</v>
      </c>
      <c r="N261" s="2">
        <v>30</v>
      </c>
      <c r="O261" s="2">
        <v>30.67</v>
      </c>
      <c r="P261" s="2">
        <v>1.9999999999999601E-2</v>
      </c>
    </row>
    <row r="262" spans="1:16" s="2" customFormat="1" x14ac:dyDescent="0.25">
      <c r="A262" s="2">
        <v>48569817</v>
      </c>
      <c r="B262" s="2">
        <v>48569831</v>
      </c>
      <c r="C262" s="2" t="str">
        <f>"UNIMEDSJN"</f>
        <v>UNIMEDSJN</v>
      </c>
      <c r="D262" s="2" t="str">
        <f>"DH"</f>
        <v>DH</v>
      </c>
      <c r="E262" s="2" t="str">
        <f>"PATRICIA NUNES VIEIRA"</f>
        <v>PATRICIA NUNES VIEIRA</v>
      </c>
      <c r="F262" s="2" t="str">
        <f>"48569817-1/1"</f>
        <v>48569817-1/1</v>
      </c>
      <c r="G262" s="2" t="str">
        <f>"Carteira 21"</f>
        <v>Carteira 21</v>
      </c>
      <c r="H262" s="2">
        <v>23</v>
      </c>
      <c r="I262" s="3">
        <v>79</v>
      </c>
      <c r="J262" s="2" t="str">
        <f>"02/01/2020"</f>
        <v>02/01/2020</v>
      </c>
      <c r="K262" s="2" t="str">
        <f>"25/01/2020"</f>
        <v>25/01/2020</v>
      </c>
      <c r="L262" s="2" t="str">
        <f>"20/03/2020"</f>
        <v>20/03/2020</v>
      </c>
      <c r="M262" s="2" t="str">
        <f>"23/03/2020"</f>
        <v>23/03/2020</v>
      </c>
      <c r="N262" s="2">
        <v>47.25</v>
      </c>
      <c r="O262" s="2">
        <v>49.03</v>
      </c>
      <c r="P262" s="2">
        <v>3.9999999999999099E-2</v>
      </c>
    </row>
    <row r="263" spans="1:16" s="2" customFormat="1" x14ac:dyDescent="0.25">
      <c r="A263" s="2">
        <v>45454214</v>
      </c>
      <c r="B263" s="2">
        <v>45454231</v>
      </c>
      <c r="C263" s="2" t="str">
        <f>"UNIMEDSJN"</f>
        <v>UNIMEDSJN</v>
      </c>
      <c r="D263" s="2" t="str">
        <f>"DH"</f>
        <v>DH</v>
      </c>
      <c r="E263" s="2" t="str">
        <f>"Patricia Paula Vieira da Silva"</f>
        <v>Patricia Paula Vieira da Silva</v>
      </c>
      <c r="F263" s="2" t="str">
        <f>"45454214-1/1"</f>
        <v>45454214-1/1</v>
      </c>
      <c r="G263" s="2" t="str">
        <f>"Carteira 21"</f>
        <v>Carteira 21</v>
      </c>
      <c r="H263" s="2">
        <v>24</v>
      </c>
      <c r="I263" s="3">
        <v>171</v>
      </c>
      <c r="J263" s="2" t="str">
        <f>"01/10/2019"</f>
        <v>01/10/2019</v>
      </c>
      <c r="K263" s="2" t="str">
        <f>"25/10/2019"</f>
        <v>25/10/2019</v>
      </c>
      <c r="L263" s="2" t="str">
        <f>"25/10/2019"</f>
        <v>25/10/2019</v>
      </c>
      <c r="M263" s="2" t="str">
        <f>"27/09/2019"</f>
        <v>27/09/2019</v>
      </c>
      <c r="N263" s="2">
        <v>44.1</v>
      </c>
      <c r="O263" s="2">
        <v>44.1</v>
      </c>
      <c r="P263" s="2">
        <v>0</v>
      </c>
    </row>
    <row r="264" spans="1:16" s="2" customFormat="1" x14ac:dyDescent="0.25">
      <c r="A264" s="2">
        <v>45922218</v>
      </c>
      <c r="B264" s="2">
        <v>45922235</v>
      </c>
      <c r="C264" s="2" t="str">
        <f>"UNIMEDSJN"</f>
        <v>UNIMEDSJN</v>
      </c>
      <c r="D264" s="2" t="str">
        <f>"DH"</f>
        <v>DH</v>
      </c>
      <c r="E264" s="2" t="str">
        <f>"Patricia Paula Vieira da Silva"</f>
        <v>Patricia Paula Vieira da Silva</v>
      </c>
      <c r="F264" s="2" t="str">
        <f>"45922218-1/1"</f>
        <v>45922218-1/1</v>
      </c>
      <c r="G264" s="2" t="str">
        <f>"Carteira 21"</f>
        <v>Carteira 21</v>
      </c>
      <c r="H264" s="2">
        <v>24</v>
      </c>
      <c r="I264" s="3">
        <v>140</v>
      </c>
      <c r="J264" s="2" t="str">
        <f>"01/11/2019"</f>
        <v>01/11/2019</v>
      </c>
      <c r="K264" s="2" t="str">
        <f>"25/11/2019"</f>
        <v>25/11/2019</v>
      </c>
      <c r="L264" s="2" t="str">
        <f>"25/11/2019"</f>
        <v>25/11/2019</v>
      </c>
      <c r="M264" s="2" t="str">
        <f>"31/10/2019"</f>
        <v>31/10/2019</v>
      </c>
      <c r="N264" s="2">
        <v>36</v>
      </c>
      <c r="O264" s="2">
        <v>36</v>
      </c>
      <c r="P264" s="2">
        <v>0</v>
      </c>
    </row>
    <row r="265" spans="1:16" s="2" customFormat="1" x14ac:dyDescent="0.25">
      <c r="A265" s="2">
        <v>45921095</v>
      </c>
      <c r="B265" s="2">
        <v>45921102</v>
      </c>
      <c r="C265" s="2" t="str">
        <f>"UNIMEDSJN"</f>
        <v>UNIMEDSJN</v>
      </c>
      <c r="D265" s="2" t="str">
        <f>"DH"</f>
        <v>DH</v>
      </c>
      <c r="E265" s="2" t="str">
        <f>"Patricia Souza Castro"</f>
        <v>Patricia Souza Castro</v>
      </c>
      <c r="F265" s="2" t="str">
        <f>"45921095-1/1"</f>
        <v>45921095-1/1</v>
      </c>
      <c r="G265" s="2" t="str">
        <f>"Carteira 21"</f>
        <v>Carteira 21</v>
      </c>
      <c r="H265" s="2">
        <v>24</v>
      </c>
      <c r="I265" s="3">
        <v>140</v>
      </c>
      <c r="J265" s="2" t="str">
        <f>"01/11/2019"</f>
        <v>01/11/2019</v>
      </c>
      <c r="K265" s="2" t="str">
        <f>"25/11/2019"</f>
        <v>25/11/2019</v>
      </c>
      <c r="L265" s="2" t="str">
        <f>"25/11/2019"</f>
        <v>25/11/2019</v>
      </c>
      <c r="M265" s="2" t="str">
        <f>"31/10/2019"</f>
        <v>31/10/2019</v>
      </c>
      <c r="N265" s="2">
        <v>85.05</v>
      </c>
      <c r="O265" s="2">
        <v>85.05</v>
      </c>
      <c r="P265" s="2">
        <v>0</v>
      </c>
    </row>
    <row r="266" spans="1:16" s="2" customFormat="1" x14ac:dyDescent="0.25">
      <c r="A266" s="2">
        <v>48573030</v>
      </c>
      <c r="B266" s="2">
        <v>48573041</v>
      </c>
      <c r="C266" s="2" t="str">
        <f>"UNIMEDSJN"</f>
        <v>UNIMEDSJN</v>
      </c>
      <c r="D266" s="2" t="str">
        <f>"DH"</f>
        <v>DH</v>
      </c>
      <c r="E266" s="2" t="str">
        <f>"Patricia Souza Castro"</f>
        <v>Patricia Souza Castro</v>
      </c>
      <c r="F266" s="2" t="str">
        <f>"48573030-1/1"</f>
        <v>48573030-1/1</v>
      </c>
      <c r="G266" s="2" t="str">
        <f>"Carteira 21"</f>
        <v>Carteira 21</v>
      </c>
      <c r="H266" s="2">
        <v>23</v>
      </c>
      <c r="I266" s="3">
        <v>79</v>
      </c>
      <c r="J266" s="2" t="str">
        <f>"02/01/2020"</f>
        <v>02/01/2020</v>
      </c>
      <c r="K266" s="2" t="str">
        <f>"25/01/2020"</f>
        <v>25/01/2020</v>
      </c>
      <c r="L266" s="2" t="str">
        <f>"27/01/2020"</f>
        <v>27/01/2020</v>
      </c>
      <c r="M266" s="2" t="str">
        <f>"27/12/2019"</f>
        <v>27/12/2019</v>
      </c>
      <c r="N266" s="2">
        <v>56.7</v>
      </c>
      <c r="O266" s="2">
        <v>56.7</v>
      </c>
      <c r="P266" s="2">
        <v>0</v>
      </c>
    </row>
    <row r="267" spans="1:16" s="2" customFormat="1" x14ac:dyDescent="0.25">
      <c r="A267" s="2">
        <v>47494207</v>
      </c>
      <c r="B267" s="2">
        <v>47494221</v>
      </c>
      <c r="C267" s="2" t="str">
        <f>"UNIMEDSJN"</f>
        <v>UNIMEDSJN</v>
      </c>
      <c r="D267" s="2" t="str">
        <f>"DH"</f>
        <v>DH</v>
      </c>
      <c r="E267" s="2" t="str">
        <f>"PAULA COSTA MONFARDINI"</f>
        <v>PAULA COSTA MONFARDINI</v>
      </c>
      <c r="F267" s="2" t="str">
        <f>"47494207-1/1"</f>
        <v>47494207-1/1</v>
      </c>
      <c r="G267" s="2" t="str">
        <f>"Carteira 21"</f>
        <v>Carteira 21</v>
      </c>
      <c r="H267" s="2">
        <v>24</v>
      </c>
      <c r="I267" s="3">
        <v>110</v>
      </c>
      <c r="J267" s="2" t="str">
        <f>"01/12/2019"</f>
        <v>01/12/2019</v>
      </c>
      <c r="K267" s="2" t="str">
        <f>"25/12/2019"</f>
        <v>25/12/2019</v>
      </c>
      <c r="L267" s="2" t="str">
        <f>"14/02/2020"</f>
        <v>14/02/2020</v>
      </c>
      <c r="M267" s="2" t="str">
        <f>"17/02/2020"</f>
        <v>17/02/2020</v>
      </c>
      <c r="N267" s="2">
        <v>30</v>
      </c>
      <c r="O267" s="2">
        <v>31.1</v>
      </c>
      <c r="P267" s="2">
        <v>9.9999999999980105E-3</v>
      </c>
    </row>
    <row r="268" spans="1:16" s="2" customFormat="1" x14ac:dyDescent="0.25">
      <c r="A268" s="2">
        <v>48568694</v>
      </c>
      <c r="B268" s="2">
        <v>48568706</v>
      </c>
      <c r="C268" s="2" t="str">
        <f>"UNIMEDSJN"</f>
        <v>UNIMEDSJN</v>
      </c>
      <c r="D268" s="2" t="str">
        <f>"DH"</f>
        <v>DH</v>
      </c>
      <c r="E268" s="2" t="str">
        <f>"PAULA COSTA MONFARDINI"</f>
        <v>PAULA COSTA MONFARDINI</v>
      </c>
      <c r="F268" s="2" t="str">
        <f>"48568694-1/1"</f>
        <v>48568694-1/1</v>
      </c>
      <c r="G268" s="2" t="str">
        <f>"Carteira 21"</f>
        <v>Carteira 21</v>
      </c>
      <c r="H268" s="2">
        <v>23</v>
      </c>
      <c r="I268" s="3">
        <v>79</v>
      </c>
      <c r="J268" s="2" t="str">
        <f>"02/01/2020"</f>
        <v>02/01/2020</v>
      </c>
      <c r="K268" s="2" t="str">
        <f>"25/01/2020"</f>
        <v>25/01/2020</v>
      </c>
      <c r="L268" s="2" t="str">
        <f>"06/03/2020"</f>
        <v>06/03/2020</v>
      </c>
      <c r="M268" s="2" t="str">
        <f>"09/03/2020"</f>
        <v>09/03/2020</v>
      </c>
      <c r="N268" s="2">
        <v>30</v>
      </c>
      <c r="O268" s="2">
        <v>30.99</v>
      </c>
      <c r="P268" s="2">
        <v>1.9999999999999601E-2</v>
      </c>
    </row>
    <row r="269" spans="1:16" s="2" customFormat="1" x14ac:dyDescent="0.25">
      <c r="A269" s="2">
        <v>44324296</v>
      </c>
      <c r="B269" s="2">
        <v>44324309</v>
      </c>
      <c r="C269" s="2" t="str">
        <f>"UNIMEDSJN"</f>
        <v>UNIMEDSJN</v>
      </c>
      <c r="D269" s="2" t="str">
        <f>"DH"</f>
        <v>DH</v>
      </c>
      <c r="E269" s="2" t="str">
        <f>"Paula Graciele de Jesus Lima"</f>
        <v>Paula Graciele de Jesus Lima</v>
      </c>
      <c r="F269" s="2" t="str">
        <f>"44324296-1/1"</f>
        <v>44324296-1/1</v>
      </c>
      <c r="G269" s="2" t="str">
        <f>"CARTEIRA PERDA"</f>
        <v>CARTEIRA PERDA</v>
      </c>
      <c r="H269" s="2">
        <v>14</v>
      </c>
      <c r="I269" s="3">
        <v>242</v>
      </c>
      <c r="J269" s="2" t="str">
        <f>"01/08/2019"</f>
        <v>01/08/2019</v>
      </c>
      <c r="K269" s="2" t="str">
        <f>"15/08/2019"</f>
        <v>15/08/2019</v>
      </c>
      <c r="L269" s="2" t="str">
        <f>"15/08/2019"</f>
        <v>15/08/2019</v>
      </c>
      <c r="M269" s="2" t="str">
        <f>"05/03/2020"</f>
        <v>05/03/2020</v>
      </c>
      <c r="N269" s="2">
        <v>30</v>
      </c>
      <c r="O269" s="2">
        <v>30</v>
      </c>
      <c r="P269" s="2">
        <v>0</v>
      </c>
    </row>
    <row r="270" spans="1:16" s="2" customFormat="1" x14ac:dyDescent="0.25">
      <c r="A270" s="2">
        <v>44968503</v>
      </c>
      <c r="B270" s="2">
        <v>44968526</v>
      </c>
      <c r="C270" s="2" t="str">
        <f>"UNIMEDSJN"</f>
        <v>UNIMEDSJN</v>
      </c>
      <c r="D270" s="2" t="str">
        <f>"DH"</f>
        <v>DH</v>
      </c>
      <c r="E270" s="2" t="str">
        <f>"Paula Graciele de Jesus Lima"</f>
        <v>Paula Graciele de Jesus Lima</v>
      </c>
      <c r="F270" s="2" t="str">
        <f>"44968503-1/1"</f>
        <v>44968503-1/1</v>
      </c>
      <c r="G270" s="2" t="str">
        <f>"CARTEIRA PERDA"</f>
        <v>CARTEIRA PERDA</v>
      </c>
      <c r="H270" s="2">
        <v>14</v>
      </c>
      <c r="I270" s="3">
        <v>211</v>
      </c>
      <c r="J270" s="2" t="str">
        <f>"01/09/2019"</f>
        <v>01/09/2019</v>
      </c>
      <c r="K270" s="2" t="str">
        <f>"15/09/2019"</f>
        <v>15/09/2019</v>
      </c>
      <c r="L270" s="2" t="str">
        <f>"16/09/2019"</f>
        <v>16/09/2019</v>
      </c>
      <c r="M270" s="2" t="str">
        <f>"05/03/2020"</f>
        <v>05/03/2020</v>
      </c>
      <c r="N270" s="2">
        <v>47.89</v>
      </c>
      <c r="O270" s="2">
        <v>47.89</v>
      </c>
      <c r="P270" s="2">
        <v>0</v>
      </c>
    </row>
    <row r="271" spans="1:16" s="2" customFormat="1" x14ac:dyDescent="0.25">
      <c r="A271" s="2">
        <v>45462023</v>
      </c>
      <c r="B271" s="2">
        <v>45462049</v>
      </c>
      <c r="C271" s="2" t="str">
        <f>"UNIMEDSJN"</f>
        <v>UNIMEDSJN</v>
      </c>
      <c r="D271" s="2" t="str">
        <f>"DH"</f>
        <v>DH</v>
      </c>
      <c r="E271" s="2" t="str">
        <f>"Paula Mendonca Furiatti"</f>
        <v>Paula Mendonca Furiatti</v>
      </c>
      <c r="F271" s="2" t="str">
        <f>"45462023-1/1"</f>
        <v>45462023-1/1</v>
      </c>
      <c r="G271" s="2" t="str">
        <f>"Carteira 21"</f>
        <v>Carteira 21</v>
      </c>
      <c r="H271" s="2">
        <v>24</v>
      </c>
      <c r="I271" s="3">
        <v>171</v>
      </c>
      <c r="J271" s="2" t="str">
        <f>"01/10/2019"</f>
        <v>01/10/2019</v>
      </c>
      <c r="K271" s="2" t="str">
        <f>"25/10/2019"</f>
        <v>25/10/2019</v>
      </c>
      <c r="L271" s="2" t="str">
        <f>"25/10/2019"</f>
        <v>25/10/2019</v>
      </c>
      <c r="M271" s="2" t="str">
        <f>"27/09/2019"</f>
        <v>27/09/2019</v>
      </c>
      <c r="N271" s="2">
        <v>74.64</v>
      </c>
      <c r="O271" s="2">
        <v>74.64</v>
      </c>
      <c r="P271" s="2">
        <v>0</v>
      </c>
    </row>
    <row r="272" spans="1:16" s="2" customFormat="1" x14ac:dyDescent="0.25">
      <c r="A272" s="2">
        <v>45923867</v>
      </c>
      <c r="B272" s="2">
        <v>45924124</v>
      </c>
      <c r="C272" s="2" t="str">
        <f>"UNIMEDSJN"</f>
        <v>UNIMEDSJN</v>
      </c>
      <c r="D272" s="2" t="str">
        <f>"DH"</f>
        <v>DH</v>
      </c>
      <c r="E272" s="2" t="str">
        <f>"Paula Mendonca Furiatti"</f>
        <v>Paula Mendonca Furiatti</v>
      </c>
      <c r="F272" s="2" t="str">
        <f>"45923867-1/1"</f>
        <v>45923867-1/1</v>
      </c>
      <c r="G272" s="2" t="str">
        <f>"Carteira 21"</f>
        <v>Carteira 21</v>
      </c>
      <c r="H272" s="2">
        <v>24</v>
      </c>
      <c r="I272" s="3">
        <v>140</v>
      </c>
      <c r="J272" s="2" t="str">
        <f>"01/11/2019"</f>
        <v>01/11/2019</v>
      </c>
      <c r="K272" s="2" t="str">
        <f>"25/11/2019"</f>
        <v>25/11/2019</v>
      </c>
      <c r="L272" s="2" t="str">
        <f>"25/11/2019"</f>
        <v>25/11/2019</v>
      </c>
      <c r="M272" s="2" t="str">
        <f>"31/10/2019"</f>
        <v>31/10/2019</v>
      </c>
      <c r="N272" s="2">
        <v>28.35</v>
      </c>
      <c r="O272" s="2">
        <v>28.35</v>
      </c>
      <c r="P272" s="2">
        <v>0</v>
      </c>
    </row>
    <row r="273" spans="1:16" s="2" customFormat="1" x14ac:dyDescent="0.25">
      <c r="A273" s="2">
        <v>47491953</v>
      </c>
      <c r="B273" s="2">
        <v>47491972</v>
      </c>
      <c r="C273" s="2" t="str">
        <f>"UNIMEDSJN"</f>
        <v>UNIMEDSJN</v>
      </c>
      <c r="D273" s="2" t="str">
        <f>"DH"</f>
        <v>DH</v>
      </c>
      <c r="E273" s="2" t="str">
        <f>"PAULO CESAR ABREU DE VIRGILIO"</f>
        <v>PAULO CESAR ABREU DE VIRGILIO</v>
      </c>
      <c r="F273" s="2" t="str">
        <f>"47491953-1/1"</f>
        <v>47491953-1/1</v>
      </c>
      <c r="G273" s="2" t="str">
        <f>"Carteira 21"</f>
        <v>Carteira 21</v>
      </c>
      <c r="H273" s="2">
        <v>54</v>
      </c>
      <c r="I273" s="3">
        <v>80</v>
      </c>
      <c r="J273" s="2" t="str">
        <f>"01/12/2019"</f>
        <v>01/12/2019</v>
      </c>
      <c r="K273" s="2" t="str">
        <f>"24/01/2020"</f>
        <v>24/01/2020</v>
      </c>
      <c r="L273" s="2" t="str">
        <f>"04/03/2020"</f>
        <v>04/03/2020</v>
      </c>
      <c r="M273" s="2" t="str">
        <f>"05/03/2020"</f>
        <v>05/03/2020</v>
      </c>
      <c r="N273" s="2">
        <v>57.75</v>
      </c>
      <c r="O273" s="2">
        <v>60.24</v>
      </c>
      <c r="P273" s="2">
        <v>-0.56000000000000205</v>
      </c>
    </row>
    <row r="274" spans="1:16" s="2" customFormat="1" x14ac:dyDescent="0.25">
      <c r="A274" s="2">
        <v>48566592</v>
      </c>
      <c r="B274" s="2">
        <v>48566617</v>
      </c>
      <c r="C274" s="2" t="str">
        <f>"UNIMEDSJN"</f>
        <v>UNIMEDSJN</v>
      </c>
      <c r="D274" s="2" t="str">
        <f>"DH"</f>
        <v>DH</v>
      </c>
      <c r="E274" s="2" t="str">
        <f>"PAULO CESAR ABREU DE VIRGILIO"</f>
        <v>PAULO CESAR ABREU DE VIRGILIO</v>
      </c>
      <c r="F274" s="2" t="str">
        <f>"48566592-1/1"</f>
        <v>48566592-1/1</v>
      </c>
      <c r="G274" s="2" t="str">
        <f>"Carteira 21"</f>
        <v>Carteira 21</v>
      </c>
      <c r="H274" s="2">
        <v>23</v>
      </c>
      <c r="I274" s="3">
        <v>79</v>
      </c>
      <c r="J274" s="2" t="str">
        <f>"02/01/2020"</f>
        <v>02/01/2020</v>
      </c>
      <c r="K274" s="2" t="str">
        <f>"25/01/2020"</f>
        <v>25/01/2020</v>
      </c>
      <c r="L274" s="2" t="str">
        <f>"27/01/2020"</f>
        <v>27/01/2020</v>
      </c>
      <c r="M274" s="2" t="str">
        <f>"27/12/2019"</f>
        <v>27/12/2019</v>
      </c>
      <c r="N274" s="2">
        <v>173.18</v>
      </c>
      <c r="O274" s="2">
        <v>173.18</v>
      </c>
      <c r="P274" s="2">
        <v>0</v>
      </c>
    </row>
    <row r="275" spans="1:16" s="2" customFormat="1" x14ac:dyDescent="0.25">
      <c r="A275" s="2">
        <v>47494519</v>
      </c>
      <c r="B275" s="2">
        <v>47494530</v>
      </c>
      <c r="C275" s="2" t="str">
        <f>"UNIMEDSJN"</f>
        <v>UNIMEDSJN</v>
      </c>
      <c r="D275" s="2" t="str">
        <f>"DH"</f>
        <v>DH</v>
      </c>
      <c r="E275" s="2" t="str">
        <f>"Paulo Sergio Barreiros Vieira"</f>
        <v>Paulo Sergio Barreiros Vieira</v>
      </c>
      <c r="F275" s="2" t="str">
        <f>"47494519-1/1"</f>
        <v>47494519-1/1</v>
      </c>
      <c r="G275" s="2" t="str">
        <f>"Carteira 21"</f>
        <v>Carteira 21</v>
      </c>
      <c r="H275" s="2">
        <v>14</v>
      </c>
      <c r="I275" s="3">
        <v>120</v>
      </c>
      <c r="J275" s="2" t="str">
        <f>"01/12/2019"</f>
        <v>01/12/2019</v>
      </c>
      <c r="K275" s="2" t="str">
        <f>"15/12/2019"</f>
        <v>15/12/2019</v>
      </c>
      <c r="L275" s="2" t="str">
        <f>"03/02/2020"</f>
        <v>03/02/2020</v>
      </c>
      <c r="M275" s="2" t="str">
        <f>"04/02/2020"</f>
        <v>04/02/2020</v>
      </c>
      <c r="N275" s="2">
        <v>10.92</v>
      </c>
      <c r="O275" s="2">
        <v>11.31</v>
      </c>
      <c r="P275" s="2">
        <v>9.9999999999997903E-3</v>
      </c>
    </row>
    <row r="276" spans="1:16" s="2" customFormat="1" x14ac:dyDescent="0.25">
      <c r="A276" s="2">
        <v>48569515</v>
      </c>
      <c r="B276" s="2">
        <v>48569541</v>
      </c>
      <c r="C276" s="2" t="str">
        <f>"UNIMEDSJN"</f>
        <v>UNIMEDSJN</v>
      </c>
      <c r="D276" s="2" t="str">
        <f>"DH"</f>
        <v>DH</v>
      </c>
      <c r="E276" s="2" t="str">
        <f>"Paulo Sergio Barreiros Vieira"</f>
        <v>Paulo Sergio Barreiros Vieira</v>
      </c>
      <c r="F276" s="2" t="str">
        <f>"48569515-1/1"</f>
        <v>48569515-1/1</v>
      </c>
      <c r="G276" s="2" t="str">
        <f>"Carteira 21"</f>
        <v>Carteira 21</v>
      </c>
      <c r="H276" s="2">
        <v>13</v>
      </c>
      <c r="I276" s="3">
        <v>89</v>
      </c>
      <c r="J276" s="2" t="str">
        <f>"02/01/2020"</f>
        <v>02/01/2020</v>
      </c>
      <c r="K276" s="2" t="str">
        <f>"15/01/2020"</f>
        <v>15/01/2020</v>
      </c>
      <c r="L276" s="2" t="str">
        <f>"04/03/2020"</f>
        <v>04/03/2020</v>
      </c>
      <c r="M276" s="2" t="str">
        <f>"05/03/2020"</f>
        <v>05/03/2020</v>
      </c>
      <c r="N276" s="2">
        <v>65.55</v>
      </c>
      <c r="O276" s="2">
        <v>67.92</v>
      </c>
      <c r="P276" s="2">
        <v>9.9999999999909103E-3</v>
      </c>
    </row>
    <row r="277" spans="1:16" s="2" customFormat="1" x14ac:dyDescent="0.25">
      <c r="A277" s="2">
        <v>48576860</v>
      </c>
      <c r="B277" s="2">
        <v>48577126</v>
      </c>
      <c r="C277" s="2" t="str">
        <f>"UNIMEDSJN"</f>
        <v>UNIMEDSJN</v>
      </c>
      <c r="D277" s="2" t="str">
        <f>"DH"</f>
        <v>DH</v>
      </c>
      <c r="E277" s="2" t="str">
        <f>"Pedro Andrade de Lima"</f>
        <v>Pedro Andrade de Lima</v>
      </c>
      <c r="F277" s="2" t="str">
        <f>"48576860-1/1"</f>
        <v>48576860-1/1</v>
      </c>
      <c r="G277" s="2" t="str">
        <f>"Carteira 21"</f>
        <v>Carteira 21</v>
      </c>
      <c r="H277" s="2">
        <v>23</v>
      </c>
      <c r="I277" s="3">
        <v>79</v>
      </c>
      <c r="J277" s="2" t="str">
        <f>"02/01/2020"</f>
        <v>02/01/2020</v>
      </c>
      <c r="K277" s="2" t="str">
        <f>"25/01/2020"</f>
        <v>25/01/2020</v>
      </c>
      <c r="L277" s="2" t="str">
        <f>"17/02/2020"</f>
        <v>17/02/2020</v>
      </c>
      <c r="M277" s="2" t="str">
        <f>"18/02/2020"</f>
        <v>18/02/2020</v>
      </c>
      <c r="N277" s="2">
        <v>83.76</v>
      </c>
      <c r="O277" s="2">
        <v>86.01</v>
      </c>
      <c r="P277" s="2">
        <v>6.9999999999993207E-2</v>
      </c>
    </row>
    <row r="278" spans="1:16" s="2" customFormat="1" x14ac:dyDescent="0.25">
      <c r="A278" s="2">
        <v>48576074</v>
      </c>
      <c r="B278" s="2">
        <v>48576086</v>
      </c>
      <c r="C278" s="2" t="str">
        <f>"UNIMEDSJN"</f>
        <v>UNIMEDSJN</v>
      </c>
      <c r="D278" s="2" t="str">
        <f>"DH"</f>
        <v>DH</v>
      </c>
      <c r="E278" s="2" t="str">
        <f>"Pedro Henrique Duarte Ferreira Filho"</f>
        <v>Pedro Henrique Duarte Ferreira Filho</v>
      </c>
      <c r="F278" s="2" t="str">
        <f>"48576074-1/1"</f>
        <v>48576074-1/1</v>
      </c>
      <c r="G278" s="2" t="str">
        <f>"Carteira 21"</f>
        <v>Carteira 21</v>
      </c>
      <c r="H278" s="2">
        <v>23</v>
      </c>
      <c r="I278" s="3">
        <v>79</v>
      </c>
      <c r="J278" s="2" t="str">
        <f>"02/01/2020"</f>
        <v>02/01/2020</v>
      </c>
      <c r="K278" s="2" t="str">
        <f>"25/01/2020"</f>
        <v>25/01/2020</v>
      </c>
      <c r="L278" s="2" t="str">
        <f>"05/03/2020"</f>
        <v>05/03/2020</v>
      </c>
      <c r="M278" s="2" t="str">
        <f>"06/03/2020"</f>
        <v>06/03/2020</v>
      </c>
      <c r="N278" s="2">
        <v>91.36</v>
      </c>
      <c r="O278" s="2">
        <v>94.34</v>
      </c>
      <c r="P278" s="2">
        <v>6.9999999999993207E-2</v>
      </c>
    </row>
    <row r="279" spans="1:16" s="2" customFormat="1" x14ac:dyDescent="0.25">
      <c r="A279" s="2">
        <v>48577298</v>
      </c>
      <c r="B279" s="2">
        <v>48577303</v>
      </c>
      <c r="C279" s="2" t="str">
        <f>"UNIMEDSJN"</f>
        <v>UNIMEDSJN</v>
      </c>
      <c r="D279" s="2" t="str">
        <f>"DH"</f>
        <v>DH</v>
      </c>
      <c r="E279" s="2" t="str">
        <f>"Pollyana das Chagas Ferreira"</f>
        <v>Pollyana das Chagas Ferreira</v>
      </c>
      <c r="F279" s="2" t="str">
        <f>"48577298-1/1"</f>
        <v>48577298-1/1</v>
      </c>
      <c r="G279" s="2" t="str">
        <f>"Carteira 21"</f>
        <v>Carteira 21</v>
      </c>
      <c r="H279" s="2">
        <v>23</v>
      </c>
      <c r="I279" s="3">
        <v>79</v>
      </c>
      <c r="J279" s="2" t="str">
        <f>"02/01/2020"</f>
        <v>02/01/2020</v>
      </c>
      <c r="K279" s="2" t="str">
        <f>"25/01/2020"</f>
        <v>25/01/2020</v>
      </c>
      <c r="L279" s="2" t="str">
        <f>"27/02/2020"</f>
        <v>27/02/2020</v>
      </c>
      <c r="M279" s="2" t="str">
        <f>"28/02/2020"</f>
        <v>28/02/2020</v>
      </c>
      <c r="N279" s="2">
        <v>28.35</v>
      </c>
      <c r="O279" s="2">
        <v>29.21</v>
      </c>
      <c r="P279" s="2">
        <v>1.9999999999999601E-2</v>
      </c>
    </row>
    <row r="280" spans="1:16" s="2" customFormat="1" x14ac:dyDescent="0.25">
      <c r="A280" s="2">
        <v>48576511</v>
      </c>
      <c r="B280" s="2">
        <v>48576522</v>
      </c>
      <c r="C280" s="2" t="str">
        <f>"UNIMEDSJN"</f>
        <v>UNIMEDSJN</v>
      </c>
      <c r="D280" s="2" t="str">
        <f>"DH"</f>
        <v>DH</v>
      </c>
      <c r="E280" s="2" t="str">
        <f>"Rafaela Dornelas"</f>
        <v>Rafaela Dornelas</v>
      </c>
      <c r="F280" s="2" t="str">
        <f>"48576511-1/1"</f>
        <v>48576511-1/1</v>
      </c>
      <c r="G280" s="2" t="str">
        <f>"Carteira 21"</f>
        <v>Carteira 21</v>
      </c>
      <c r="H280" s="2">
        <v>23</v>
      </c>
      <c r="I280" s="3">
        <v>79</v>
      </c>
      <c r="J280" s="2" t="str">
        <f>"02/01/2020"</f>
        <v>02/01/2020</v>
      </c>
      <c r="K280" s="2" t="str">
        <f>"25/01/2020"</f>
        <v>25/01/2020</v>
      </c>
      <c r="L280" s="2" t="str">
        <f>"07/02/2020"</f>
        <v>07/02/2020</v>
      </c>
      <c r="M280" s="2" t="str">
        <f>"10/02/2020"</f>
        <v>10/02/2020</v>
      </c>
      <c r="N280" s="2">
        <v>28.35</v>
      </c>
      <c r="O280" s="2">
        <v>29.02</v>
      </c>
      <c r="P280" s="2">
        <v>2.0000000000003099E-2</v>
      </c>
    </row>
    <row r="281" spans="1:16" s="2" customFormat="1" x14ac:dyDescent="0.25">
      <c r="A281" s="2">
        <v>47497290</v>
      </c>
      <c r="B281" s="2">
        <v>47497307</v>
      </c>
      <c r="C281" s="2" t="str">
        <f>"UNIMEDSJN"</f>
        <v>UNIMEDSJN</v>
      </c>
      <c r="D281" s="2" t="str">
        <f>"DH"</f>
        <v>DH</v>
      </c>
      <c r="E281" s="2" t="str">
        <f>"RAQUEL COSTA MARQUES"</f>
        <v>RAQUEL COSTA MARQUES</v>
      </c>
      <c r="F281" s="2" t="str">
        <f>"47497290-1/1"</f>
        <v>47497290-1/1</v>
      </c>
      <c r="G281" s="2" t="str">
        <f>"Carteira 21"</f>
        <v>Carteira 21</v>
      </c>
      <c r="H281" s="2">
        <v>24</v>
      </c>
      <c r="I281" s="3">
        <v>110</v>
      </c>
      <c r="J281" s="2" t="str">
        <f>"01/12/2019"</f>
        <v>01/12/2019</v>
      </c>
      <c r="K281" s="2" t="str">
        <f>"25/12/2019"</f>
        <v>25/12/2019</v>
      </c>
      <c r="L281" s="2" t="str">
        <f>"04/02/2020"</f>
        <v>04/02/2020</v>
      </c>
      <c r="M281" s="2" t="str">
        <f>"05/02/2020"</f>
        <v>05/02/2020</v>
      </c>
      <c r="N281" s="2">
        <v>88.92</v>
      </c>
      <c r="O281" s="2">
        <v>91.91</v>
      </c>
      <c r="P281" s="2">
        <v>1.00000000000051E-2</v>
      </c>
    </row>
    <row r="282" spans="1:16" s="2" customFormat="1" x14ac:dyDescent="0.25">
      <c r="A282" s="2">
        <v>48570654</v>
      </c>
      <c r="B282" s="2">
        <v>48570670</v>
      </c>
      <c r="C282" s="2" t="str">
        <f>"UNIMEDSJN"</f>
        <v>UNIMEDSJN</v>
      </c>
      <c r="D282" s="2" t="str">
        <f>"DH"</f>
        <v>DH</v>
      </c>
      <c r="E282" s="2" t="str">
        <f>"RAQUEL COSTA MARQUES"</f>
        <v>RAQUEL COSTA MARQUES</v>
      </c>
      <c r="F282" s="2" t="str">
        <f>"48570654-1/1"</f>
        <v>48570654-1/1</v>
      </c>
      <c r="G282" s="2" t="str">
        <f>"Carteira 21"</f>
        <v>Carteira 21</v>
      </c>
      <c r="H282" s="2">
        <v>23</v>
      </c>
      <c r="I282" s="3">
        <v>79</v>
      </c>
      <c r="J282" s="2" t="str">
        <f>"02/01/2020"</f>
        <v>02/01/2020</v>
      </c>
      <c r="K282" s="2" t="str">
        <f>"25/01/2020"</f>
        <v>25/01/2020</v>
      </c>
      <c r="L282" s="2" t="str">
        <f>"11/02/2020"</f>
        <v>11/02/2020</v>
      </c>
      <c r="M282" s="2" t="str">
        <f>"12/02/2020"</f>
        <v>12/02/2020</v>
      </c>
      <c r="N282" s="2">
        <v>50.71</v>
      </c>
      <c r="O282" s="2">
        <v>51.97</v>
      </c>
      <c r="P282" s="2">
        <v>3.9999999999999099E-2</v>
      </c>
    </row>
    <row r="283" spans="1:16" s="2" customFormat="1" x14ac:dyDescent="0.25">
      <c r="A283" s="2">
        <v>48578131</v>
      </c>
      <c r="B283" s="2">
        <v>48578143</v>
      </c>
      <c r="C283" s="2" t="str">
        <f>"UNIMEDSJN"</f>
        <v>UNIMEDSJN</v>
      </c>
      <c r="D283" s="2" t="str">
        <f>"DH"</f>
        <v>DH</v>
      </c>
      <c r="E283" s="2" t="str">
        <f>"Renata Dutra da Silva"</f>
        <v>Renata Dutra da Silva</v>
      </c>
      <c r="F283" s="2" t="str">
        <f>"48578131-1/1"</f>
        <v>48578131-1/1</v>
      </c>
      <c r="G283" s="2" t="str">
        <f>"Carteira 21"</f>
        <v>Carteira 21</v>
      </c>
      <c r="H283" s="2">
        <v>13</v>
      </c>
      <c r="I283" s="3">
        <v>89</v>
      </c>
      <c r="J283" s="2" t="str">
        <f>"02/01/2020"</f>
        <v>02/01/2020</v>
      </c>
      <c r="K283" s="2" t="str">
        <f>"15/01/2020"</f>
        <v>15/01/2020</v>
      </c>
      <c r="L283" s="2" t="str">
        <f>"15/01/2020"</f>
        <v>15/01/2020</v>
      </c>
      <c r="M283" s="2" t="str">
        <f>"27/12/2019"</f>
        <v>27/12/2019</v>
      </c>
      <c r="N283" s="2">
        <v>28.35</v>
      </c>
      <c r="O283" s="2">
        <v>28.35</v>
      </c>
      <c r="P283" s="2">
        <v>0</v>
      </c>
    </row>
    <row r="284" spans="1:16" s="2" customFormat="1" x14ac:dyDescent="0.25">
      <c r="A284" s="2">
        <v>48570333</v>
      </c>
      <c r="B284" s="2">
        <v>48570360</v>
      </c>
      <c r="C284" s="2" t="str">
        <f>"UNIMEDSJN"</f>
        <v>UNIMEDSJN</v>
      </c>
      <c r="D284" s="2" t="str">
        <f>"DH"</f>
        <v>DH</v>
      </c>
      <c r="E284" s="2" t="str">
        <f>"Renata Sporch Filgueiras"</f>
        <v>Renata Sporch Filgueiras</v>
      </c>
      <c r="F284" s="2" t="str">
        <f>"48570333-1/1"</f>
        <v>48570333-1/1</v>
      </c>
      <c r="G284" s="2" t="str">
        <f>"Carteira 21"</f>
        <v>Carteira 21</v>
      </c>
      <c r="H284" s="2">
        <v>23</v>
      </c>
      <c r="I284" s="3">
        <v>79</v>
      </c>
      <c r="J284" s="2" t="str">
        <f>"02/01/2020"</f>
        <v>02/01/2020</v>
      </c>
      <c r="K284" s="2" t="str">
        <f>"25/01/2020"</f>
        <v>25/01/2020</v>
      </c>
      <c r="L284" s="2" t="str">
        <f>"04/03/2020"</f>
        <v>04/03/2020</v>
      </c>
      <c r="M284" s="2" t="str">
        <f>"05/03/2020"</f>
        <v>05/03/2020</v>
      </c>
      <c r="N284" s="2">
        <v>71.680000000000007</v>
      </c>
      <c r="O284" s="2">
        <v>73.989999999999995</v>
      </c>
      <c r="P284" s="2">
        <v>5.0000000000011403E-2</v>
      </c>
    </row>
    <row r="285" spans="1:16" s="2" customFormat="1" x14ac:dyDescent="0.25">
      <c r="A285" s="2">
        <v>47501052</v>
      </c>
      <c r="B285" s="2">
        <v>47501073</v>
      </c>
      <c r="C285" s="2" t="str">
        <f>"UNIMEDSJN"</f>
        <v>UNIMEDSJN</v>
      </c>
      <c r="D285" s="2" t="str">
        <f>"DH"</f>
        <v>DH</v>
      </c>
      <c r="E285" s="2" t="str">
        <f>"RHUAN HENRIQUE LAMBERT MORAIS"</f>
        <v>RHUAN HENRIQUE LAMBERT MORAIS</v>
      </c>
      <c r="F285" s="2" t="str">
        <f>"47501052-1/1"</f>
        <v>47501052-1/1</v>
      </c>
      <c r="G285" s="2" t="str">
        <f>"Carteira 21"</f>
        <v>Carteira 21</v>
      </c>
      <c r="H285" s="2">
        <v>53</v>
      </c>
      <c r="I285" s="3">
        <v>81</v>
      </c>
      <c r="J285" s="2" t="str">
        <f>"01/12/2019"</f>
        <v>01/12/2019</v>
      </c>
      <c r="K285" s="2" t="str">
        <f>"23/01/2020"</f>
        <v>23/01/2020</v>
      </c>
      <c r="L285" s="2" t="str">
        <f>"27/02/2020"</f>
        <v>27/02/2020</v>
      </c>
      <c r="M285" s="2" t="str">
        <f>"28/02/2020"</f>
        <v>28/02/2020</v>
      </c>
      <c r="N285" s="2">
        <v>47.89</v>
      </c>
      <c r="O285" s="2">
        <v>49.86</v>
      </c>
      <c r="P285" s="2">
        <v>-0.44999999999999601</v>
      </c>
    </row>
    <row r="286" spans="1:16" s="2" customFormat="1" x14ac:dyDescent="0.25">
      <c r="A286" s="2">
        <v>48571050</v>
      </c>
      <c r="B286" s="2">
        <v>48571067</v>
      </c>
      <c r="C286" s="2" t="str">
        <f>"UNIMEDSJN"</f>
        <v>UNIMEDSJN</v>
      </c>
      <c r="D286" s="2" t="str">
        <f>"DH"</f>
        <v>DH</v>
      </c>
      <c r="E286" s="2" t="str">
        <f>"ROBERTA FULCO CALZAVARA"</f>
        <v>ROBERTA FULCO CALZAVARA</v>
      </c>
      <c r="F286" s="2" t="str">
        <f>"48571050-1/1"</f>
        <v>48571050-1/1</v>
      </c>
      <c r="G286" s="2" t="str">
        <f>"Carteira 21"</f>
        <v>Carteira 21</v>
      </c>
      <c r="H286" s="2">
        <v>23</v>
      </c>
      <c r="I286" s="3">
        <v>79</v>
      </c>
      <c r="J286" s="2" t="str">
        <f>"02/01/2020"</f>
        <v>02/01/2020</v>
      </c>
      <c r="K286" s="2" t="str">
        <f>"25/01/2020"</f>
        <v>25/01/2020</v>
      </c>
      <c r="L286" s="2" t="str">
        <f>"05/02/2020"</f>
        <v>05/02/2020</v>
      </c>
      <c r="M286" s="2" t="str">
        <f>"06/02/2020"</f>
        <v>06/02/2020</v>
      </c>
      <c r="N286" s="2">
        <v>51.93</v>
      </c>
      <c r="O286" s="2">
        <v>53.13</v>
      </c>
      <c r="P286" s="2">
        <v>2.9999999999994E-2</v>
      </c>
    </row>
    <row r="287" spans="1:16" s="2" customFormat="1" x14ac:dyDescent="0.25">
      <c r="A287" s="2">
        <v>48572060</v>
      </c>
      <c r="B287" s="2">
        <v>48572081</v>
      </c>
      <c r="C287" s="2" t="str">
        <f>"UNIMEDSJN"</f>
        <v>UNIMEDSJN</v>
      </c>
      <c r="D287" s="2" t="str">
        <f>"DH"</f>
        <v>DH</v>
      </c>
      <c r="E287" s="2" t="str">
        <f>"RONALDO NEVES DA SILVA"</f>
        <v>RONALDO NEVES DA SILVA</v>
      </c>
      <c r="F287" s="2" t="str">
        <f>"48572060-1/1"</f>
        <v>48572060-1/1</v>
      </c>
      <c r="G287" s="2" t="str">
        <f>"Carteira 21"</f>
        <v>Carteira 21</v>
      </c>
      <c r="H287" s="2">
        <v>23</v>
      </c>
      <c r="I287" s="3">
        <v>79</v>
      </c>
      <c r="J287" s="2" t="str">
        <f>"02/01/2020"</f>
        <v>02/01/2020</v>
      </c>
      <c r="K287" s="2" t="str">
        <f>"25/01/2020"</f>
        <v>25/01/2020</v>
      </c>
      <c r="L287" s="2" t="str">
        <f>"10/02/2020"</f>
        <v>10/02/2020</v>
      </c>
      <c r="M287" s="2" t="str">
        <f>"11/02/2020"</f>
        <v>11/02/2020</v>
      </c>
      <c r="N287" s="2">
        <v>30</v>
      </c>
      <c r="O287" s="2">
        <v>30.74</v>
      </c>
      <c r="P287" s="2">
        <v>1.9999999999999601E-2</v>
      </c>
    </row>
    <row r="288" spans="1:16" s="2" customFormat="1" x14ac:dyDescent="0.25">
      <c r="A288" s="2">
        <v>43559312</v>
      </c>
      <c r="B288" s="2">
        <v>43559336</v>
      </c>
      <c r="C288" s="2" t="str">
        <f>"UNIMEDSJN"</f>
        <v>UNIMEDSJN</v>
      </c>
      <c r="D288" s="2" t="str">
        <f>"DH"</f>
        <v>DH</v>
      </c>
      <c r="E288" s="2" t="str">
        <f>"ROSALVA SOUZA ANDRADE"</f>
        <v>ROSALVA SOUZA ANDRADE</v>
      </c>
      <c r="F288" s="2" t="str">
        <f>"43559312-1/1"</f>
        <v>43559312-1/1</v>
      </c>
      <c r="G288" s="2" t="str">
        <f>"Carteira 21"</f>
        <v>Carteira 21</v>
      </c>
      <c r="H288" s="2">
        <v>22</v>
      </c>
      <c r="I288" s="3">
        <v>293</v>
      </c>
      <c r="J288" s="2" t="str">
        <f>"03/06/2019"</f>
        <v>03/06/2019</v>
      </c>
      <c r="K288" s="2" t="str">
        <f>"25/06/2019"</f>
        <v>25/06/2019</v>
      </c>
      <c r="L288" s="2" t="str">
        <f>"25/06/2019"</f>
        <v>25/06/2019</v>
      </c>
      <c r="M288" s="2" t="str">
        <f>"03/06/2019"</f>
        <v>03/06/2019</v>
      </c>
      <c r="N288" s="2">
        <v>205.36</v>
      </c>
      <c r="O288" s="2">
        <v>205.36</v>
      </c>
      <c r="P288" s="2">
        <v>0</v>
      </c>
    </row>
    <row r="289" spans="1:16" s="2" customFormat="1" x14ac:dyDescent="0.25">
      <c r="A289" s="2">
        <v>47493873</v>
      </c>
      <c r="B289" s="2">
        <v>47493890</v>
      </c>
      <c r="C289" s="2" t="str">
        <f>"UNIMEDSJN"</f>
        <v>UNIMEDSJN</v>
      </c>
      <c r="D289" s="2" t="str">
        <f>"DH"</f>
        <v>DH</v>
      </c>
      <c r="E289" s="2" t="str">
        <f>"ROSANGELA DE CASSIA SOUZA VASCONCELOS"</f>
        <v>ROSANGELA DE CASSIA SOUZA VASCONCELOS</v>
      </c>
      <c r="F289" s="2" t="str">
        <f>"47493873-1/1"</f>
        <v>47493873-1/1</v>
      </c>
      <c r="G289" s="2" t="str">
        <f>"Carteira 21"</f>
        <v>Carteira 21</v>
      </c>
      <c r="H289" s="2">
        <v>24</v>
      </c>
      <c r="I289" s="3">
        <v>110</v>
      </c>
      <c r="J289" s="2" t="str">
        <f>"01/12/2019"</f>
        <v>01/12/2019</v>
      </c>
      <c r="K289" s="2" t="str">
        <f>"25/12/2019"</f>
        <v>25/12/2019</v>
      </c>
      <c r="L289" s="2" t="str">
        <f>"17/02/2020"</f>
        <v>17/02/2020</v>
      </c>
      <c r="M289" s="2" t="str">
        <f>"18/02/2020"</f>
        <v>18/02/2020</v>
      </c>
      <c r="N289" s="2">
        <v>49.2</v>
      </c>
      <c r="O289" s="2">
        <v>51.06</v>
      </c>
      <c r="P289" s="2">
        <v>9.9999999999980105E-3</v>
      </c>
    </row>
    <row r="290" spans="1:16" s="2" customFormat="1" x14ac:dyDescent="0.25">
      <c r="A290" s="2">
        <v>48568293</v>
      </c>
      <c r="B290" s="2">
        <v>48568304</v>
      </c>
      <c r="C290" s="2" t="str">
        <f>"UNIMEDSJN"</f>
        <v>UNIMEDSJN</v>
      </c>
      <c r="D290" s="2" t="str">
        <f>"DH"</f>
        <v>DH</v>
      </c>
      <c r="E290" s="2" t="str">
        <f>"ROSANGELA DE CASSIA SOUZA VASCONCELOS"</f>
        <v>ROSANGELA DE CASSIA SOUZA VASCONCELOS</v>
      </c>
      <c r="F290" s="2" t="str">
        <f>"48568293-1/1"</f>
        <v>48568293-1/1</v>
      </c>
      <c r="G290" s="2" t="str">
        <f>"Carteira 21"</f>
        <v>Carteira 21</v>
      </c>
      <c r="H290" s="2">
        <v>23</v>
      </c>
      <c r="I290" s="3">
        <v>79</v>
      </c>
      <c r="J290" s="2" t="str">
        <f>"02/01/2020"</f>
        <v>02/01/2020</v>
      </c>
      <c r="K290" s="2" t="str">
        <f>"25/01/2020"</f>
        <v>25/01/2020</v>
      </c>
      <c r="L290" s="2" t="str">
        <f>"11/03/2020"</f>
        <v>11/03/2020</v>
      </c>
      <c r="M290" s="2" t="str">
        <f>"12/03/2020"</f>
        <v>12/03/2020</v>
      </c>
      <c r="N290" s="2">
        <v>27.48</v>
      </c>
      <c r="O290" s="2">
        <v>28.43</v>
      </c>
      <c r="P290" s="2">
        <v>1.9999999999999601E-2</v>
      </c>
    </row>
    <row r="291" spans="1:16" s="2" customFormat="1" x14ac:dyDescent="0.25">
      <c r="A291" s="2">
        <v>48570206</v>
      </c>
      <c r="B291" s="2">
        <v>48570227</v>
      </c>
      <c r="C291" s="2" t="str">
        <f>"UNIMEDSJN"</f>
        <v>UNIMEDSJN</v>
      </c>
      <c r="D291" s="2" t="str">
        <f>"DH"</f>
        <v>DH</v>
      </c>
      <c r="E291" s="2" t="str">
        <f>"ROSANGELA DE CASSIA SOUZA VASCONCELOS"</f>
        <v>ROSANGELA DE CASSIA SOUZA VASCONCELOS</v>
      </c>
      <c r="F291" s="2" t="str">
        <f>"48570206-1/1"</f>
        <v>48570206-1/1</v>
      </c>
      <c r="G291" s="2" t="str">
        <f>"Carteira 21"</f>
        <v>Carteira 21</v>
      </c>
      <c r="H291" s="2">
        <v>23</v>
      </c>
      <c r="I291" s="3">
        <v>79</v>
      </c>
      <c r="J291" s="2" t="str">
        <f>"02/01/2020"</f>
        <v>02/01/2020</v>
      </c>
      <c r="K291" s="2" t="str">
        <f>"25/01/2020"</f>
        <v>25/01/2020</v>
      </c>
      <c r="L291" s="2" t="str">
        <f>"11/03/2020"</f>
        <v>11/03/2020</v>
      </c>
      <c r="M291" s="2" t="str">
        <f>"12/03/2020"</f>
        <v>12/03/2020</v>
      </c>
      <c r="N291" s="2">
        <v>77.78</v>
      </c>
      <c r="O291" s="2">
        <v>80.47</v>
      </c>
      <c r="P291" s="2">
        <v>6.0000000000002301E-2</v>
      </c>
    </row>
    <row r="292" spans="1:16" s="2" customFormat="1" x14ac:dyDescent="0.25">
      <c r="A292" s="2">
        <v>48563202</v>
      </c>
      <c r="B292" s="2">
        <v>48563214</v>
      </c>
      <c r="C292" s="2" t="str">
        <f>"UNIMEDSJN"</f>
        <v>UNIMEDSJN</v>
      </c>
      <c r="D292" s="2" t="str">
        <f>"DH"</f>
        <v>DH</v>
      </c>
      <c r="E292" s="2" t="str">
        <f>"ROSANNE TEREZA SCHETTINI LONGO NASCENTES"</f>
        <v>ROSANNE TEREZA SCHETTINI LONGO NASCENTES</v>
      </c>
      <c r="F292" s="2" t="str">
        <f>"48563202-1/1"</f>
        <v>48563202-1/1</v>
      </c>
      <c r="G292" s="2" t="str">
        <f>"Carteira 21"</f>
        <v>Carteira 21</v>
      </c>
      <c r="H292" s="2">
        <v>23</v>
      </c>
      <c r="I292" s="3">
        <v>79</v>
      </c>
      <c r="J292" s="2" t="str">
        <f>"02/01/2020"</f>
        <v>02/01/2020</v>
      </c>
      <c r="K292" s="2" t="str">
        <f>"25/01/2020"</f>
        <v>25/01/2020</v>
      </c>
      <c r="L292" s="2" t="str">
        <f>"11/03/2020"</f>
        <v>11/03/2020</v>
      </c>
      <c r="M292" s="2" t="str">
        <f>"12/03/2020"</f>
        <v>12/03/2020</v>
      </c>
      <c r="N292" s="2">
        <v>38.700000000000003</v>
      </c>
      <c r="O292" s="2">
        <v>40.03</v>
      </c>
      <c r="P292" s="2">
        <v>3.0000000000001099E-2</v>
      </c>
    </row>
    <row r="293" spans="1:16" s="2" customFormat="1" x14ac:dyDescent="0.25">
      <c r="A293" s="2">
        <v>48569961</v>
      </c>
      <c r="B293" s="2">
        <v>48569973</v>
      </c>
      <c r="C293" s="2" t="str">
        <f>"UNIMEDSJN"</f>
        <v>UNIMEDSJN</v>
      </c>
      <c r="D293" s="2" t="str">
        <f>"DH"</f>
        <v>DH</v>
      </c>
      <c r="E293" s="2" t="str">
        <f>"Rosely Sacramento Freitas"</f>
        <v>Rosely Sacramento Freitas</v>
      </c>
      <c r="F293" s="2" t="str">
        <f>"48569961-1/1"</f>
        <v>48569961-1/1</v>
      </c>
      <c r="G293" s="2" t="str">
        <f>"Carteira 21"</f>
        <v>Carteira 21</v>
      </c>
      <c r="H293" s="2">
        <v>23</v>
      </c>
      <c r="I293" s="3">
        <v>79</v>
      </c>
      <c r="J293" s="2" t="str">
        <f>"02/01/2020"</f>
        <v>02/01/2020</v>
      </c>
      <c r="K293" s="2" t="str">
        <f>"25/01/2020"</f>
        <v>25/01/2020</v>
      </c>
      <c r="L293" s="2" t="str">
        <f>"10/02/2020"</f>
        <v>10/02/2020</v>
      </c>
      <c r="M293" s="2" t="str">
        <f>"11/02/2020"</f>
        <v>11/02/2020</v>
      </c>
      <c r="N293" s="2">
        <v>47.89</v>
      </c>
      <c r="O293" s="2">
        <v>49.07</v>
      </c>
      <c r="P293" s="2">
        <v>3.9999999999999099E-2</v>
      </c>
    </row>
    <row r="294" spans="1:16" s="2" customFormat="1" x14ac:dyDescent="0.25">
      <c r="A294" s="2">
        <v>45457932</v>
      </c>
      <c r="B294" s="2">
        <v>45457948</v>
      </c>
      <c r="C294" s="2" t="str">
        <f>"UNIMEDSJN"</f>
        <v>UNIMEDSJN</v>
      </c>
      <c r="D294" s="2" t="str">
        <f>"DH"</f>
        <v>DH</v>
      </c>
      <c r="E294" s="2" t="str">
        <f>"Rosemere Ferreira"</f>
        <v>Rosemere Ferreira</v>
      </c>
      <c r="F294" s="2" t="str">
        <f>"45457932-1/1"</f>
        <v>45457932-1/1</v>
      </c>
      <c r="G294" s="2" t="str">
        <f>"Carteira 21"</f>
        <v>Carteira 21</v>
      </c>
      <c r="H294" s="2">
        <v>24</v>
      </c>
      <c r="I294" s="3">
        <v>171</v>
      </c>
      <c r="J294" s="2" t="str">
        <f>"01/10/2019"</f>
        <v>01/10/2019</v>
      </c>
      <c r="K294" s="2" t="str">
        <f>"25/10/2019"</f>
        <v>25/10/2019</v>
      </c>
      <c r="L294" s="2" t="str">
        <f>"25/10/2019"</f>
        <v>25/10/2019</v>
      </c>
      <c r="M294" s="2" t="str">
        <f>"27/09/2019"</f>
        <v>27/09/2019</v>
      </c>
      <c r="N294" s="2">
        <v>30</v>
      </c>
      <c r="O294" s="2">
        <v>30</v>
      </c>
      <c r="P294" s="2">
        <v>0</v>
      </c>
    </row>
    <row r="295" spans="1:16" s="2" customFormat="1" x14ac:dyDescent="0.25">
      <c r="A295" s="2">
        <v>48578815</v>
      </c>
      <c r="B295" s="2">
        <v>48578827</v>
      </c>
      <c r="C295" s="2" t="str">
        <f>"UNIMEDSJN"</f>
        <v>UNIMEDSJN</v>
      </c>
      <c r="D295" s="2" t="str">
        <f>"DH"</f>
        <v>DH</v>
      </c>
      <c r="E295" s="2" t="str">
        <f>"Rosiane Rodrigues de Oliveira"</f>
        <v>Rosiane Rodrigues de Oliveira</v>
      </c>
      <c r="F295" s="2" t="str">
        <f>"48578815-1/1"</f>
        <v>48578815-1/1</v>
      </c>
      <c r="G295" s="2" t="str">
        <f>"Carteira 21"</f>
        <v>Carteira 21</v>
      </c>
      <c r="H295" s="2">
        <v>23</v>
      </c>
      <c r="I295" s="3">
        <v>79</v>
      </c>
      <c r="J295" s="2" t="str">
        <f>"02/01/2020"</f>
        <v>02/01/2020</v>
      </c>
      <c r="K295" s="2" t="str">
        <f>"25/01/2020"</f>
        <v>25/01/2020</v>
      </c>
      <c r="L295" s="2" t="str">
        <f>"03/02/2020"</f>
        <v>03/02/2020</v>
      </c>
      <c r="M295" s="2" t="str">
        <f>"04/02/2020"</f>
        <v>04/02/2020</v>
      </c>
      <c r="N295" s="2">
        <v>28.35</v>
      </c>
      <c r="O295" s="2">
        <v>28.99</v>
      </c>
      <c r="P295" s="2">
        <v>1.9999999999999601E-2</v>
      </c>
    </row>
    <row r="296" spans="1:16" s="2" customFormat="1" x14ac:dyDescent="0.25">
      <c r="A296" s="2">
        <v>48574747</v>
      </c>
      <c r="B296" s="2">
        <v>48574775</v>
      </c>
      <c r="C296" s="2" t="str">
        <f>"UNIMEDSJN"</f>
        <v>UNIMEDSJN</v>
      </c>
      <c r="D296" s="2" t="str">
        <f>"DH"</f>
        <v>DH</v>
      </c>
      <c r="E296" s="2" t="str">
        <f>"SARAH CRISTINA MATIAS ANASTACIO"</f>
        <v>SARAH CRISTINA MATIAS ANASTACIO</v>
      </c>
      <c r="F296" s="2" t="str">
        <f>"48574747-1/1"</f>
        <v>48574747-1/1</v>
      </c>
      <c r="G296" s="2" t="str">
        <f>"Carteira 21"</f>
        <v>Carteira 21</v>
      </c>
      <c r="H296" s="2">
        <v>23</v>
      </c>
      <c r="I296" s="3">
        <v>79</v>
      </c>
      <c r="J296" s="2" t="str">
        <f>"02/01/2020"</f>
        <v>02/01/2020</v>
      </c>
      <c r="K296" s="2" t="str">
        <f>"25/01/2020"</f>
        <v>25/01/2020</v>
      </c>
      <c r="L296" s="2" t="str">
        <f>"09/03/2020"</f>
        <v>09/03/2020</v>
      </c>
      <c r="M296" s="2" t="str">
        <f>"10/03/2020"</f>
        <v>10/03/2020</v>
      </c>
      <c r="N296" s="2">
        <v>244.49</v>
      </c>
      <c r="O296" s="2">
        <v>252.77</v>
      </c>
      <c r="P296" s="2">
        <v>0.19999999999998899</v>
      </c>
    </row>
    <row r="297" spans="1:16" s="2" customFormat="1" x14ac:dyDescent="0.25">
      <c r="A297" s="2">
        <v>45453228</v>
      </c>
      <c r="B297" s="2">
        <v>45453243</v>
      </c>
      <c r="C297" s="2" t="str">
        <f>"UNIMEDSJN"</f>
        <v>UNIMEDSJN</v>
      </c>
      <c r="D297" s="2" t="str">
        <f>"DH"</f>
        <v>DH</v>
      </c>
      <c r="E297" s="2" t="str">
        <f>"SAVIO MOREIRA CESTARO"</f>
        <v>SAVIO MOREIRA CESTARO</v>
      </c>
      <c r="F297" s="2" t="str">
        <f>"45453228-1/1"</f>
        <v>45453228-1/1</v>
      </c>
      <c r="G297" s="2" t="str">
        <f>"Carteira 21"</f>
        <v>Carteira 21</v>
      </c>
      <c r="H297" s="2">
        <v>24</v>
      </c>
      <c r="I297" s="3">
        <v>171</v>
      </c>
      <c r="J297" s="2" t="str">
        <f>"01/10/2019"</f>
        <v>01/10/2019</v>
      </c>
      <c r="K297" s="2" t="str">
        <f>"25/10/2019"</f>
        <v>25/10/2019</v>
      </c>
      <c r="L297" s="2" t="str">
        <f>"25/10/2019"</f>
        <v>25/10/2019</v>
      </c>
      <c r="M297" s="2" t="str">
        <f>"27/09/2019"</f>
        <v>27/09/2019</v>
      </c>
      <c r="N297" s="2">
        <v>49.8</v>
      </c>
      <c r="O297" s="2">
        <v>49.8</v>
      </c>
      <c r="P297" s="2">
        <v>0</v>
      </c>
    </row>
    <row r="298" spans="1:16" s="2" customFormat="1" x14ac:dyDescent="0.25">
      <c r="A298" s="2">
        <v>45920462</v>
      </c>
      <c r="B298" s="2">
        <v>45920472</v>
      </c>
      <c r="C298" s="2" t="str">
        <f>"UNIMEDSJN"</f>
        <v>UNIMEDSJN</v>
      </c>
      <c r="D298" s="2" t="str">
        <f>"DH"</f>
        <v>DH</v>
      </c>
      <c r="E298" s="2" t="str">
        <f>"SAVIO MOREIRA CESTARO"</f>
        <v>SAVIO MOREIRA CESTARO</v>
      </c>
      <c r="F298" s="2" t="str">
        <f>"45920462-1/1"</f>
        <v>45920462-1/1</v>
      </c>
      <c r="G298" s="2" t="str">
        <f>"Carteira 21"</f>
        <v>Carteira 21</v>
      </c>
      <c r="H298" s="2">
        <v>24</v>
      </c>
      <c r="I298" s="3">
        <v>140</v>
      </c>
      <c r="J298" s="2" t="str">
        <f>"01/11/2019"</f>
        <v>01/11/2019</v>
      </c>
      <c r="K298" s="2" t="str">
        <f>"25/11/2019"</f>
        <v>25/11/2019</v>
      </c>
      <c r="L298" s="2" t="str">
        <f>"25/11/2019"</f>
        <v>25/11/2019</v>
      </c>
      <c r="M298" s="2" t="str">
        <f>"31/10/2019"</f>
        <v>31/10/2019</v>
      </c>
      <c r="N298" s="2">
        <v>30</v>
      </c>
      <c r="O298" s="2">
        <v>30</v>
      </c>
      <c r="P298" s="2">
        <v>0</v>
      </c>
    </row>
    <row r="299" spans="1:16" s="2" customFormat="1" x14ac:dyDescent="0.25">
      <c r="A299" s="2">
        <v>48578746</v>
      </c>
      <c r="B299" s="2">
        <v>48578753</v>
      </c>
      <c r="C299" s="2" t="str">
        <f>"UNIMEDSJN"</f>
        <v>UNIMEDSJN</v>
      </c>
      <c r="D299" s="2" t="str">
        <f>"DH"</f>
        <v>DH</v>
      </c>
      <c r="E299" s="2" t="str">
        <f>"Sebastiao Cesar Badaro dos Reis"</f>
        <v>Sebastiao Cesar Badaro dos Reis</v>
      </c>
      <c r="F299" s="2" t="str">
        <f>"48578746-1/1"</f>
        <v>48578746-1/1</v>
      </c>
      <c r="G299" s="2" t="str">
        <f>"Carteira 21"</f>
        <v>Carteira 21</v>
      </c>
      <c r="H299" s="2">
        <v>23</v>
      </c>
      <c r="I299" s="3">
        <v>79</v>
      </c>
      <c r="J299" s="2" t="str">
        <f>"02/01/2020"</f>
        <v>02/01/2020</v>
      </c>
      <c r="K299" s="2" t="str">
        <f>"25/01/2020"</f>
        <v>25/01/2020</v>
      </c>
      <c r="L299" s="2" t="str">
        <f>"13/02/2020"</f>
        <v>13/02/2020</v>
      </c>
      <c r="M299" s="2" t="str">
        <f>"14/02/2020"</f>
        <v>14/02/2020</v>
      </c>
      <c r="N299" s="2">
        <v>30</v>
      </c>
      <c r="O299" s="2">
        <v>30.77</v>
      </c>
      <c r="P299" s="2">
        <v>1.9999999999999601E-2</v>
      </c>
    </row>
    <row r="300" spans="1:16" s="2" customFormat="1" x14ac:dyDescent="0.25">
      <c r="A300" s="2">
        <v>47493933</v>
      </c>
      <c r="B300" s="2">
        <v>47493963</v>
      </c>
      <c r="C300" s="2" t="str">
        <f>"UNIMEDSJN"</f>
        <v>UNIMEDSJN</v>
      </c>
      <c r="D300" s="2" t="str">
        <f>"DH"</f>
        <v>DH</v>
      </c>
      <c r="E300" s="2" t="str">
        <f>"SEBASTIAO DE ALMEIDA SALES"</f>
        <v>SEBASTIAO DE ALMEIDA SALES</v>
      </c>
      <c r="F300" s="2" t="str">
        <f>"47493933-1/1"</f>
        <v>47493933-1/1</v>
      </c>
      <c r="G300" s="2" t="str">
        <f>"Carteira 21"</f>
        <v>Carteira 21</v>
      </c>
      <c r="H300" s="2">
        <v>24</v>
      </c>
      <c r="I300" s="3">
        <v>110</v>
      </c>
      <c r="J300" s="2" t="str">
        <f>"01/12/2019"</f>
        <v>01/12/2019</v>
      </c>
      <c r="K300" s="2" t="str">
        <f>"25/12/2019"</f>
        <v>25/12/2019</v>
      </c>
      <c r="L300" s="2" t="str">
        <f>"12/03/2020"</f>
        <v>12/03/2020</v>
      </c>
      <c r="M300" s="2" t="str">
        <f>"13/03/2020"</f>
        <v>13/03/2020</v>
      </c>
      <c r="N300" s="2">
        <v>310.45999999999998</v>
      </c>
      <c r="O300" s="2">
        <v>324.66000000000003</v>
      </c>
      <c r="P300" s="2">
        <v>7.9999999999984098E-2</v>
      </c>
    </row>
    <row r="301" spans="1:16" s="2" customFormat="1" x14ac:dyDescent="0.25">
      <c r="A301" s="2">
        <v>48568366</v>
      </c>
      <c r="B301" s="2">
        <v>48568637</v>
      </c>
      <c r="C301" s="2" t="str">
        <f>"UNIMEDSJN"</f>
        <v>UNIMEDSJN</v>
      </c>
      <c r="D301" s="2" t="str">
        <f>"DH"</f>
        <v>DH</v>
      </c>
      <c r="E301" s="2" t="str">
        <f>"SEBASTIAO DE ALMEIDA SALES"</f>
        <v>SEBASTIAO DE ALMEIDA SALES</v>
      </c>
      <c r="F301" s="2" t="str">
        <f>"48568366-1/1"</f>
        <v>48568366-1/1</v>
      </c>
      <c r="G301" s="2" t="str">
        <f>"Carteira 21"</f>
        <v>Carteira 21</v>
      </c>
      <c r="H301" s="2">
        <v>23</v>
      </c>
      <c r="I301" s="3">
        <v>79</v>
      </c>
      <c r="J301" s="2" t="str">
        <f>"02/01/2020"</f>
        <v>02/01/2020</v>
      </c>
      <c r="K301" s="2" t="str">
        <f>"25/01/2020"</f>
        <v>25/01/2020</v>
      </c>
      <c r="L301" s="2" t="str">
        <f>"13/03/2020"</f>
        <v>13/03/2020</v>
      </c>
      <c r="M301" s="2" t="str">
        <f>"16/03/2020"</f>
        <v>16/03/2020</v>
      </c>
      <c r="N301" s="2">
        <v>159.01</v>
      </c>
      <c r="O301" s="2">
        <v>164.6</v>
      </c>
      <c r="P301" s="2">
        <v>0.12999999999999501</v>
      </c>
    </row>
    <row r="302" spans="1:16" s="2" customFormat="1" x14ac:dyDescent="0.25">
      <c r="A302" s="2">
        <v>44968774</v>
      </c>
      <c r="B302" s="2">
        <v>44968795</v>
      </c>
      <c r="C302" s="2" t="str">
        <f>"UNIMEDSJN"</f>
        <v>UNIMEDSJN</v>
      </c>
      <c r="D302" s="2" t="str">
        <f>"DH"</f>
        <v>DH</v>
      </c>
      <c r="E302" s="2" t="str">
        <f>"Sebastiao Resende da Costa"</f>
        <v>Sebastiao Resende da Costa</v>
      </c>
      <c r="F302" s="2" t="str">
        <f>"44968774-1/1"</f>
        <v>44968774-1/1</v>
      </c>
      <c r="G302" s="2" t="str">
        <f>"Carteira 21"</f>
        <v>Carteira 21</v>
      </c>
      <c r="H302" s="2">
        <v>24</v>
      </c>
      <c r="I302" s="3">
        <v>201</v>
      </c>
      <c r="J302" s="2" t="str">
        <f>"01/09/2019"</f>
        <v>01/09/2019</v>
      </c>
      <c r="K302" s="2" t="str">
        <f>"25/09/2019"</f>
        <v>25/09/2019</v>
      </c>
      <c r="L302" s="2" t="str">
        <f>"28/02/2020"</f>
        <v>28/02/2020</v>
      </c>
      <c r="M302" s="2" t="str">
        <f>"13/03/2020"</f>
        <v>13/03/2020</v>
      </c>
      <c r="N302" s="2">
        <v>35.04</v>
      </c>
      <c r="O302" s="2">
        <v>37.54</v>
      </c>
      <c r="P302" s="2">
        <v>2.0000000000003099E-2</v>
      </c>
    </row>
    <row r="303" spans="1:16" s="2" customFormat="1" x14ac:dyDescent="0.25">
      <c r="A303" s="2">
        <v>48571452</v>
      </c>
      <c r="B303" s="2">
        <v>48571460</v>
      </c>
      <c r="C303" s="2" t="str">
        <f>"UNIMEDSJN"</f>
        <v>UNIMEDSJN</v>
      </c>
      <c r="D303" s="2" t="str">
        <f>"DH"</f>
        <v>DH</v>
      </c>
      <c r="E303" s="2" t="str">
        <f>"SHEILA CRISTINA MOUTI"</f>
        <v>SHEILA CRISTINA MOUTI</v>
      </c>
      <c r="F303" s="2" t="str">
        <f>"48571452-1/1"</f>
        <v>48571452-1/1</v>
      </c>
      <c r="G303" s="2" t="str">
        <f>"Carteira 21"</f>
        <v>Carteira 21</v>
      </c>
      <c r="H303" s="2">
        <v>23</v>
      </c>
      <c r="I303" s="3">
        <v>79</v>
      </c>
      <c r="J303" s="2" t="str">
        <f>"02/01/2020"</f>
        <v>02/01/2020</v>
      </c>
      <c r="K303" s="2" t="str">
        <f>"25/01/2020"</f>
        <v>25/01/2020</v>
      </c>
      <c r="L303" s="2" t="str">
        <f>"26/02/2020"</f>
        <v>26/02/2020</v>
      </c>
      <c r="M303" s="2" t="str">
        <f>"27/02/2020"</f>
        <v>27/02/2020</v>
      </c>
      <c r="N303" s="2">
        <v>28.35</v>
      </c>
      <c r="O303" s="2">
        <v>29.2</v>
      </c>
      <c r="P303" s="2">
        <v>2.0000000000003099E-2</v>
      </c>
    </row>
    <row r="304" spans="1:16" s="2" customFormat="1" x14ac:dyDescent="0.25">
      <c r="A304" s="2">
        <v>48574061</v>
      </c>
      <c r="B304" s="2">
        <v>48574075</v>
      </c>
      <c r="C304" s="2" t="str">
        <f>"UNIMEDSJN"</f>
        <v>UNIMEDSJN</v>
      </c>
      <c r="D304" s="2" t="str">
        <f>"DH"</f>
        <v>DH</v>
      </c>
      <c r="E304" s="2" t="str">
        <f>"Silmara Aparecida dos Reis Barbosa"</f>
        <v>Silmara Aparecida dos Reis Barbosa</v>
      </c>
      <c r="F304" s="2" t="str">
        <f>"48574061-1/1"</f>
        <v>48574061-1/1</v>
      </c>
      <c r="G304" s="2" t="str">
        <f>"Carteira 21"</f>
        <v>Carteira 21</v>
      </c>
      <c r="H304" s="2">
        <v>23</v>
      </c>
      <c r="I304" s="3">
        <v>79</v>
      </c>
      <c r="J304" s="2" t="str">
        <f>"02/01/2020"</f>
        <v>02/01/2020</v>
      </c>
      <c r="K304" s="2" t="str">
        <f>"25/01/2020"</f>
        <v>25/01/2020</v>
      </c>
      <c r="L304" s="2" t="str">
        <f>"05/02/2020"</f>
        <v>05/02/2020</v>
      </c>
      <c r="M304" s="2" t="str">
        <f>"06/02/2020"</f>
        <v>06/02/2020</v>
      </c>
      <c r="N304" s="2">
        <v>59.67</v>
      </c>
      <c r="O304" s="2">
        <v>61.04</v>
      </c>
      <c r="P304" s="2">
        <v>3.9999999999999099E-2</v>
      </c>
    </row>
    <row r="305" spans="1:16" s="2" customFormat="1" x14ac:dyDescent="0.25">
      <c r="A305" s="2">
        <v>45915565</v>
      </c>
      <c r="B305" s="2">
        <v>45915583</v>
      </c>
      <c r="C305" s="2" t="str">
        <f>"UNIMEDSJN"</f>
        <v>UNIMEDSJN</v>
      </c>
      <c r="D305" s="2" t="str">
        <f>"DH"</f>
        <v>DH</v>
      </c>
      <c r="E305" s="2" t="str">
        <f>"Silvia Elena Matos de Almeida"</f>
        <v>Silvia Elena Matos de Almeida</v>
      </c>
      <c r="F305" s="2" t="str">
        <f>"45915565-1/1"</f>
        <v>45915565-1/1</v>
      </c>
      <c r="G305" s="2" t="str">
        <f>"Carteira 21"</f>
        <v>Carteira 21</v>
      </c>
      <c r="H305" s="2">
        <v>24</v>
      </c>
      <c r="I305" s="3">
        <v>140</v>
      </c>
      <c r="J305" s="2" t="str">
        <f>"01/11/2019"</f>
        <v>01/11/2019</v>
      </c>
      <c r="K305" s="2" t="str">
        <f>"25/11/2019"</f>
        <v>25/11/2019</v>
      </c>
      <c r="L305" s="2" t="str">
        <f>"13/02/2020"</f>
        <v>13/02/2020</v>
      </c>
      <c r="M305" s="2" t="str">
        <f>"14/02/2020"</f>
        <v>14/02/2020</v>
      </c>
      <c r="N305" s="2">
        <v>65.73</v>
      </c>
      <c r="O305" s="2">
        <v>68.77</v>
      </c>
      <c r="P305" s="2">
        <v>2.0000000000010201E-2</v>
      </c>
    </row>
    <row r="306" spans="1:16" s="2" customFormat="1" x14ac:dyDescent="0.25">
      <c r="A306" s="2">
        <v>47501872</v>
      </c>
      <c r="B306" s="2">
        <v>47502135</v>
      </c>
      <c r="C306" s="2" t="str">
        <f>"UNIMEDSJN"</f>
        <v>UNIMEDSJN</v>
      </c>
      <c r="D306" s="2" t="str">
        <f>"DH"</f>
        <v>DH</v>
      </c>
      <c r="E306" s="2" t="str">
        <f>"Silvia Elena Matos de Almeida"</f>
        <v>Silvia Elena Matos de Almeida</v>
      </c>
      <c r="F306" s="2" t="str">
        <f>"47501872-1/1"</f>
        <v>47501872-1/1</v>
      </c>
      <c r="G306" s="2" t="str">
        <f>"Carteira 21"</f>
        <v>Carteira 21</v>
      </c>
      <c r="H306" s="2">
        <v>24</v>
      </c>
      <c r="I306" s="3">
        <v>110</v>
      </c>
      <c r="J306" s="2" t="str">
        <f>"01/12/2019"</f>
        <v>01/12/2019</v>
      </c>
      <c r="K306" s="2" t="str">
        <f>"25/12/2019"</f>
        <v>25/12/2019</v>
      </c>
      <c r="L306" s="2" t="str">
        <f>"27/02/2020"</f>
        <v>27/02/2020</v>
      </c>
      <c r="M306" s="2" t="str">
        <f>"28/02/2020"</f>
        <v>28/02/2020</v>
      </c>
      <c r="N306" s="2">
        <v>76.540000000000006</v>
      </c>
      <c r="O306" s="2">
        <v>79.680000000000007</v>
      </c>
      <c r="P306" s="2">
        <v>1.9999999999996E-2</v>
      </c>
    </row>
    <row r="307" spans="1:16" s="2" customFormat="1" x14ac:dyDescent="0.25">
      <c r="A307" s="2">
        <v>48570153</v>
      </c>
      <c r="B307" s="2">
        <v>48570188</v>
      </c>
      <c r="C307" s="2" t="str">
        <f>"UNIMEDSJN"</f>
        <v>UNIMEDSJN</v>
      </c>
      <c r="D307" s="2" t="str">
        <f>"DH"</f>
        <v>DH</v>
      </c>
      <c r="E307" s="2" t="str">
        <f>"SIMONE BARBOSA DE OLIVEIRA"</f>
        <v>SIMONE BARBOSA DE OLIVEIRA</v>
      </c>
      <c r="F307" s="2" t="str">
        <f>"48570153-1/1"</f>
        <v>48570153-1/1</v>
      </c>
      <c r="G307" s="2" t="str">
        <f>"Carteira 21"</f>
        <v>Carteira 21</v>
      </c>
      <c r="H307" s="2">
        <v>23</v>
      </c>
      <c r="I307" s="3">
        <v>79</v>
      </c>
      <c r="J307" s="2" t="str">
        <f>"02/01/2020"</f>
        <v>02/01/2020</v>
      </c>
      <c r="K307" s="2" t="str">
        <f>"25/01/2020"</f>
        <v>25/01/2020</v>
      </c>
      <c r="L307" s="2" t="str">
        <f>"18/02/2020"</f>
        <v>18/02/2020</v>
      </c>
      <c r="M307" s="2" t="str">
        <f>"19/02/2020"</f>
        <v>19/02/2020</v>
      </c>
      <c r="N307" s="2">
        <v>129.88999999999999</v>
      </c>
      <c r="O307" s="2">
        <v>133.43</v>
      </c>
      <c r="P307" s="2">
        <v>9.9999999999994302E-2</v>
      </c>
    </row>
    <row r="308" spans="1:16" s="2" customFormat="1" x14ac:dyDescent="0.25">
      <c r="A308" s="2">
        <v>45925136</v>
      </c>
      <c r="B308" s="2">
        <v>45925163</v>
      </c>
      <c r="C308" s="2" t="str">
        <f>"UNIMEDSJN"</f>
        <v>UNIMEDSJN</v>
      </c>
      <c r="D308" s="2" t="str">
        <f>"DH"</f>
        <v>DH</v>
      </c>
      <c r="E308" s="2" t="str">
        <f>"Simone Carvalho de Rezende Bissoli"</f>
        <v>Simone Carvalho de Rezende Bissoli</v>
      </c>
      <c r="F308" s="2" t="str">
        <f>"45925136-1/1"</f>
        <v>45925136-1/1</v>
      </c>
      <c r="G308" s="2" t="str">
        <f>"Carteira 21"</f>
        <v>Carteira 21</v>
      </c>
      <c r="H308" s="2">
        <v>54</v>
      </c>
      <c r="I308" s="3">
        <v>110</v>
      </c>
      <c r="J308" s="2" t="str">
        <f>"01/11/2019"</f>
        <v>01/11/2019</v>
      </c>
      <c r="K308" s="2" t="str">
        <f>"25/12/2019"</f>
        <v>25/12/2019</v>
      </c>
      <c r="L308" s="2" t="str">
        <f>"21/02/2020"</f>
        <v>21/02/2020</v>
      </c>
      <c r="M308" s="2" t="str">
        <f>"24/02/2020"</f>
        <v>24/02/2020</v>
      </c>
      <c r="N308" s="2">
        <v>62.25</v>
      </c>
      <c r="O308" s="2">
        <v>65.3</v>
      </c>
      <c r="P308" s="2">
        <v>-0.59999999999999398</v>
      </c>
    </row>
    <row r="309" spans="1:16" s="2" customFormat="1" x14ac:dyDescent="0.25">
      <c r="A309" s="2">
        <v>47502873</v>
      </c>
      <c r="B309" s="2">
        <v>47502894</v>
      </c>
      <c r="C309" s="2" t="str">
        <f>"UNIMEDSJN"</f>
        <v>UNIMEDSJN</v>
      </c>
      <c r="D309" s="2" t="str">
        <f>"DH"</f>
        <v>DH</v>
      </c>
      <c r="E309" s="2" t="str">
        <f>"Simone Carvalho de Rezende Bissoli"</f>
        <v>Simone Carvalho de Rezende Bissoli</v>
      </c>
      <c r="F309" s="2" t="str">
        <f>"47502873-1/1"</f>
        <v>47502873-1/1</v>
      </c>
      <c r="G309" s="2" t="str">
        <f>"Carteira 21"</f>
        <v>Carteira 21</v>
      </c>
      <c r="H309" s="2">
        <v>54</v>
      </c>
      <c r="I309" s="3">
        <v>80</v>
      </c>
      <c r="J309" s="2" t="str">
        <f>"01/12/2019"</f>
        <v>01/12/2019</v>
      </c>
      <c r="K309" s="2" t="str">
        <f>"24/01/2020"</f>
        <v>24/01/2020</v>
      </c>
      <c r="L309" s="2" t="str">
        <f>"05/03/2020"</f>
        <v>05/03/2020</v>
      </c>
      <c r="M309" s="2" t="str">
        <f>"06/03/2020"</f>
        <v>06/03/2020</v>
      </c>
      <c r="N309" s="2">
        <v>47.04</v>
      </c>
      <c r="O309" s="2">
        <v>49.08</v>
      </c>
      <c r="P309" s="2">
        <v>-0.46000000000000102</v>
      </c>
    </row>
    <row r="310" spans="1:16" x14ac:dyDescent="0.25">
      <c r="A310">
        <v>48576097</v>
      </c>
      <c r="B310">
        <v>48576115</v>
      </c>
      <c r="C310" t="str">
        <f>"UNIMEDSJN"</f>
        <v>UNIMEDSJN</v>
      </c>
      <c r="D310" t="str">
        <f>"DH"</f>
        <v>DH</v>
      </c>
      <c r="E310" t="str">
        <f>"Simone Carvalho de Rezende Bissoli"</f>
        <v>Simone Carvalho de Rezende Bissoli</v>
      </c>
      <c r="F310" t="str">
        <f>"48576097-1/1"</f>
        <v>48576097-1/1</v>
      </c>
      <c r="G310" t="str">
        <f>"Carteira 21"</f>
        <v>Carteira 21</v>
      </c>
      <c r="H310">
        <v>53</v>
      </c>
      <c r="I310" s="1">
        <v>49</v>
      </c>
      <c r="J310" t="str">
        <f>"02/01/2020"</f>
        <v>02/01/2020</v>
      </c>
      <c r="K310" t="str">
        <f>"24/02/2020"</f>
        <v>24/02/2020</v>
      </c>
      <c r="L310" t="str">
        <f>"07/04/2020"</f>
        <v>07/04/2020</v>
      </c>
      <c r="M310" t="str">
        <f>"08/04/2020"</f>
        <v>08/04/2020</v>
      </c>
      <c r="N310">
        <v>33.9</v>
      </c>
      <c r="O310">
        <v>35.380000000000003</v>
      </c>
      <c r="P310">
        <v>-0.310000000000002</v>
      </c>
    </row>
    <row r="311" spans="1:16" s="2" customFormat="1" x14ac:dyDescent="0.25">
      <c r="A311" s="2">
        <v>47491563</v>
      </c>
      <c r="B311" s="2">
        <v>47491577</v>
      </c>
      <c r="C311" s="2" t="str">
        <f>"UNIMEDSJN"</f>
        <v>UNIMEDSJN</v>
      </c>
      <c r="D311" s="2" t="str">
        <f>"DH"</f>
        <v>DH</v>
      </c>
      <c r="E311" s="2" t="str">
        <f>"SIMONE LADEIRA TOSTES CUNHA"</f>
        <v>SIMONE LADEIRA TOSTES CUNHA</v>
      </c>
      <c r="F311" s="2" t="str">
        <f>"47491563-1/1"</f>
        <v>47491563-1/1</v>
      </c>
      <c r="G311" s="2" t="str">
        <f>"Carteira 21"</f>
        <v>Carteira 21</v>
      </c>
      <c r="H311" s="2">
        <v>14</v>
      </c>
      <c r="I311" s="3">
        <v>120</v>
      </c>
      <c r="J311" s="2" t="str">
        <f>"01/12/2019"</f>
        <v>01/12/2019</v>
      </c>
      <c r="K311" s="2" t="str">
        <f>"15/12/2019"</f>
        <v>15/12/2019</v>
      </c>
      <c r="L311" s="2" t="str">
        <f>"02/03/2020"</f>
        <v>02/03/2020</v>
      </c>
      <c r="M311" s="2" t="str">
        <f>"03/03/2020"</f>
        <v>03/03/2020</v>
      </c>
      <c r="N311" s="2">
        <v>24.18</v>
      </c>
      <c r="O311" s="2">
        <v>25.28</v>
      </c>
      <c r="P311" s="2">
        <v>9.9999999999980105E-3</v>
      </c>
    </row>
    <row r="312" spans="1:16" s="2" customFormat="1" x14ac:dyDescent="0.25">
      <c r="A312" s="2">
        <v>48566319</v>
      </c>
      <c r="B312" s="2">
        <v>48566345</v>
      </c>
      <c r="C312" s="2" t="str">
        <f>"UNIMEDSJN"</f>
        <v>UNIMEDSJN</v>
      </c>
      <c r="D312" s="2" t="str">
        <f>"DH"</f>
        <v>DH</v>
      </c>
      <c r="E312" s="2" t="str">
        <f>"SIMONE LADEIRA TOSTES CUNHA"</f>
        <v>SIMONE LADEIRA TOSTES CUNHA</v>
      </c>
      <c r="F312" s="2" t="str">
        <f>"48566319-1/1"</f>
        <v>48566319-1/1</v>
      </c>
      <c r="G312" s="2" t="str">
        <f>"Carteira 21"</f>
        <v>Carteira 21</v>
      </c>
      <c r="H312" s="2">
        <v>23</v>
      </c>
      <c r="I312" s="3">
        <v>79</v>
      </c>
      <c r="J312" s="2" t="str">
        <f>"02/01/2020"</f>
        <v>02/01/2020</v>
      </c>
      <c r="K312" s="2" t="str">
        <f>"25/01/2020"</f>
        <v>25/01/2020</v>
      </c>
      <c r="L312" s="2" t="str">
        <f>"02/03/2020"</f>
        <v>02/03/2020</v>
      </c>
      <c r="M312" s="2" t="str">
        <f>"03/03/2020"</f>
        <v>03/03/2020</v>
      </c>
      <c r="N312" s="2">
        <v>28.35</v>
      </c>
      <c r="O312" s="2">
        <v>29.25</v>
      </c>
      <c r="P312" s="2">
        <v>2.0000000000003099E-2</v>
      </c>
    </row>
    <row r="313" spans="1:16" s="2" customFormat="1" x14ac:dyDescent="0.25">
      <c r="A313" s="2">
        <v>48563341</v>
      </c>
      <c r="B313" s="2">
        <v>48563351</v>
      </c>
      <c r="C313" s="2" t="str">
        <f>"UNIMEDSJN"</f>
        <v>UNIMEDSJN</v>
      </c>
      <c r="D313" s="2" t="str">
        <f>"DH"</f>
        <v>DH</v>
      </c>
      <c r="E313" s="2" t="str">
        <f>"SOLANGE APARECIDA DA SILVA"</f>
        <v>SOLANGE APARECIDA DA SILVA</v>
      </c>
      <c r="F313" s="2" t="str">
        <f>"48563341-1/1"</f>
        <v>48563341-1/1</v>
      </c>
      <c r="G313" s="2" t="str">
        <f>"Carteira 21"</f>
        <v>Carteira 21</v>
      </c>
      <c r="H313" s="2">
        <v>23</v>
      </c>
      <c r="I313" s="3">
        <v>79</v>
      </c>
      <c r="J313" s="2" t="str">
        <f>"02/01/2020"</f>
        <v>02/01/2020</v>
      </c>
      <c r="K313" s="2" t="str">
        <f>"25/01/2020"</f>
        <v>25/01/2020</v>
      </c>
      <c r="L313" s="2" t="str">
        <f>"17/02/2020"</f>
        <v>17/02/2020</v>
      </c>
      <c r="M313" s="2" t="str">
        <f>"18/02/2020"</f>
        <v>18/02/2020</v>
      </c>
      <c r="N313" s="2">
        <v>28.35</v>
      </c>
      <c r="O313" s="2">
        <v>29.12</v>
      </c>
      <c r="P313" s="2">
        <v>1.9999999999999601E-2</v>
      </c>
    </row>
    <row r="314" spans="1:16" s="2" customFormat="1" x14ac:dyDescent="0.25">
      <c r="A314" s="2">
        <v>48567555</v>
      </c>
      <c r="B314" s="2">
        <v>48567565</v>
      </c>
      <c r="C314" s="2" t="str">
        <f>"UNIMEDSJN"</f>
        <v>UNIMEDSJN</v>
      </c>
      <c r="D314" s="2" t="str">
        <f>"DH"</f>
        <v>DH</v>
      </c>
      <c r="E314" s="2" t="str">
        <f>"SONIA MARIA TEIXEIRA GONCALVES"</f>
        <v>SONIA MARIA TEIXEIRA GONCALVES</v>
      </c>
      <c r="F314" s="2" t="str">
        <f>"48567555-1/1"</f>
        <v>48567555-1/1</v>
      </c>
      <c r="G314" s="2" t="str">
        <f>"Carteira 21"</f>
        <v>Carteira 21</v>
      </c>
      <c r="H314" s="2">
        <v>23</v>
      </c>
      <c r="I314" s="3">
        <v>79</v>
      </c>
      <c r="J314" s="2" t="str">
        <f>"02/01/2020"</f>
        <v>02/01/2020</v>
      </c>
      <c r="K314" s="2" t="str">
        <f>"25/01/2020"</f>
        <v>25/01/2020</v>
      </c>
      <c r="L314" s="2" t="str">
        <f>"01/04/2020"</f>
        <v>01/04/2020</v>
      </c>
      <c r="M314" s="2" t="str">
        <f>"02/04/2020"</f>
        <v>02/04/2020</v>
      </c>
      <c r="N314" s="2">
        <v>28.35</v>
      </c>
      <c r="O314" s="2">
        <v>29.52</v>
      </c>
      <c r="P314" s="2">
        <v>3.0000000000001099E-2</v>
      </c>
    </row>
    <row r="315" spans="1:16" s="2" customFormat="1" x14ac:dyDescent="0.25">
      <c r="A315" s="2">
        <v>48575214</v>
      </c>
      <c r="B315" s="2">
        <v>48575229</v>
      </c>
      <c r="C315" s="2" t="str">
        <f>"UNIMEDSJN"</f>
        <v>UNIMEDSJN</v>
      </c>
      <c r="D315" s="2" t="str">
        <f>"DH"</f>
        <v>DH</v>
      </c>
      <c r="E315" s="2" t="str">
        <f>"Sonimar Aparecida Dutra Rabello"</f>
        <v>Sonimar Aparecida Dutra Rabello</v>
      </c>
      <c r="F315" s="2" t="str">
        <f>"48575214-1/1"</f>
        <v>48575214-1/1</v>
      </c>
      <c r="G315" s="2" t="str">
        <f>"Carteira 21"</f>
        <v>Carteira 21</v>
      </c>
      <c r="H315" s="2">
        <v>23</v>
      </c>
      <c r="I315" s="3">
        <v>79</v>
      </c>
      <c r="J315" s="2" t="str">
        <f>"02/01/2020"</f>
        <v>02/01/2020</v>
      </c>
      <c r="K315" s="2" t="str">
        <f>"25/01/2020"</f>
        <v>25/01/2020</v>
      </c>
      <c r="L315" s="2" t="str">
        <f>"10/02/2020"</f>
        <v>10/02/2020</v>
      </c>
      <c r="M315" s="2" t="str">
        <f>"11/02/2020"</f>
        <v>11/02/2020</v>
      </c>
      <c r="N315" s="2">
        <v>36</v>
      </c>
      <c r="O315" s="2">
        <v>36.880000000000003</v>
      </c>
      <c r="P315" s="2">
        <v>2.9999999999994E-2</v>
      </c>
    </row>
    <row r="316" spans="1:16" s="2" customFormat="1" x14ac:dyDescent="0.25">
      <c r="A316" s="2">
        <v>48577052</v>
      </c>
      <c r="B316" s="2">
        <v>48577066</v>
      </c>
      <c r="C316" s="2" t="str">
        <f>"UNIMEDSJN"</f>
        <v>UNIMEDSJN</v>
      </c>
      <c r="D316" s="2" t="str">
        <f>"DH"</f>
        <v>DH</v>
      </c>
      <c r="E316" s="2" t="str">
        <f>"Soraia Poliero Garcia de Souza"</f>
        <v>Soraia Poliero Garcia de Souza</v>
      </c>
      <c r="F316" s="2" t="str">
        <f>"48577052-1/1"</f>
        <v>48577052-1/1</v>
      </c>
      <c r="G316" s="2" t="str">
        <f>"Carteira 21"</f>
        <v>Carteira 21</v>
      </c>
      <c r="H316" s="2">
        <v>20</v>
      </c>
      <c r="I316" s="3">
        <v>82</v>
      </c>
      <c r="J316" s="2" t="str">
        <f>"02/01/2020"</f>
        <v>02/01/2020</v>
      </c>
      <c r="K316" s="2" t="str">
        <f>"22/01/2020"</f>
        <v>22/01/2020</v>
      </c>
      <c r="L316" s="2" t="str">
        <f>"05/02/2020"</f>
        <v>05/02/2020</v>
      </c>
      <c r="M316" s="2" t="str">
        <f>"06/02/2020"</f>
        <v>06/02/2020</v>
      </c>
      <c r="N316" s="2">
        <v>28.35</v>
      </c>
      <c r="O316" s="2">
        <v>29.05</v>
      </c>
      <c r="P316" s="2">
        <v>0</v>
      </c>
    </row>
    <row r="317" spans="1:16" s="2" customFormat="1" x14ac:dyDescent="0.25">
      <c r="A317" s="2">
        <v>44975872</v>
      </c>
      <c r="B317" s="2">
        <v>44975886</v>
      </c>
      <c r="C317" s="2" t="str">
        <f>"UNIMEDSJN"</f>
        <v>UNIMEDSJN</v>
      </c>
      <c r="D317" s="2" t="str">
        <f>"DH"</f>
        <v>DH</v>
      </c>
      <c r="E317" s="2" t="str">
        <f>"Tamara Cristina Pereira da Silva"</f>
        <v>Tamara Cristina Pereira da Silva</v>
      </c>
      <c r="F317" s="2" t="str">
        <f>"44975872-1/1"</f>
        <v>44975872-1/1</v>
      </c>
      <c r="G317" s="2" t="str">
        <f>"CARTEIRA PERDA"</f>
        <v>CARTEIRA PERDA</v>
      </c>
      <c r="H317" s="2">
        <v>24</v>
      </c>
      <c r="I317" s="3">
        <v>201</v>
      </c>
      <c r="J317" s="2" t="str">
        <f>"01/09/2019"</f>
        <v>01/09/2019</v>
      </c>
      <c r="K317" s="2" t="str">
        <f>"25/09/2019"</f>
        <v>25/09/2019</v>
      </c>
      <c r="L317" s="2" t="str">
        <f>"25/09/2019"</f>
        <v>25/09/2019</v>
      </c>
      <c r="M317" s="2" t="str">
        <f>"05/03/2020"</f>
        <v>05/03/2020</v>
      </c>
      <c r="N317" s="2">
        <v>47.89</v>
      </c>
      <c r="O317" s="2">
        <v>47.89</v>
      </c>
      <c r="P317" s="2">
        <v>0</v>
      </c>
    </row>
    <row r="318" spans="1:16" s="2" customFormat="1" x14ac:dyDescent="0.25">
      <c r="A318" s="2">
        <v>45461083</v>
      </c>
      <c r="B318" s="2">
        <v>45461093</v>
      </c>
      <c r="C318" s="2" t="str">
        <f>"UNIMEDSJN"</f>
        <v>UNIMEDSJN</v>
      </c>
      <c r="D318" s="2" t="str">
        <f>"DH"</f>
        <v>DH</v>
      </c>
      <c r="E318" s="2" t="str">
        <f>"Tamara Cristina Pereira da Silva"</f>
        <v>Tamara Cristina Pereira da Silva</v>
      </c>
      <c r="F318" s="2" t="str">
        <f>"45461083-1/1"</f>
        <v>45461083-1/1</v>
      </c>
      <c r="G318" s="2" t="str">
        <f>"CARTEIRA PERDA"</f>
        <v>CARTEIRA PERDA</v>
      </c>
      <c r="H318" s="2">
        <v>24</v>
      </c>
      <c r="I318" s="3">
        <v>171</v>
      </c>
      <c r="J318" s="2" t="str">
        <f>"01/10/2019"</f>
        <v>01/10/2019</v>
      </c>
      <c r="K318" s="2" t="str">
        <f>"25/10/2019"</f>
        <v>25/10/2019</v>
      </c>
      <c r="L318" s="2" t="str">
        <f>"25/10/2019"</f>
        <v>25/10/2019</v>
      </c>
      <c r="M318" s="2" t="str">
        <f>"05/03/2020"</f>
        <v>05/03/2020</v>
      </c>
      <c r="N318" s="2">
        <v>31.44</v>
      </c>
      <c r="O318" s="2">
        <v>31.44</v>
      </c>
      <c r="P318" s="2">
        <v>0</v>
      </c>
    </row>
    <row r="319" spans="1:16" s="2" customFormat="1" x14ac:dyDescent="0.25">
      <c r="A319" s="2">
        <v>48568425</v>
      </c>
      <c r="B319" s="2">
        <v>48568444</v>
      </c>
      <c r="C319" s="2" t="str">
        <f>"UNIMEDSJN"</f>
        <v>UNIMEDSJN</v>
      </c>
      <c r="D319" s="2" t="str">
        <f>"DH"</f>
        <v>DH</v>
      </c>
      <c r="E319" s="2" t="str">
        <f>"TAMIRIS BRAGA MENDONCA"</f>
        <v>TAMIRIS BRAGA MENDONCA</v>
      </c>
      <c r="F319" s="2" t="str">
        <f>"48568425-1/1"</f>
        <v>48568425-1/1</v>
      </c>
      <c r="G319" s="2" t="str">
        <f>"Carteira 21"</f>
        <v>Carteira 21</v>
      </c>
      <c r="H319" s="2">
        <v>23</v>
      </c>
      <c r="I319" s="3">
        <v>79</v>
      </c>
      <c r="J319" s="2" t="str">
        <f>"02/01/2020"</f>
        <v>02/01/2020</v>
      </c>
      <c r="K319" s="2" t="str">
        <f>"25/01/2020"</f>
        <v>25/01/2020</v>
      </c>
      <c r="L319" s="2" t="str">
        <f>"10/02/2020"</f>
        <v>10/02/2020</v>
      </c>
      <c r="M319" s="2" t="str">
        <f>"11/02/2020"</f>
        <v>11/02/2020</v>
      </c>
      <c r="N319" s="2">
        <v>30</v>
      </c>
      <c r="O319" s="2">
        <v>30.74</v>
      </c>
      <c r="P319" s="2">
        <v>1.9999999999999601E-2</v>
      </c>
    </row>
    <row r="320" spans="1:16" s="2" customFormat="1" x14ac:dyDescent="0.25">
      <c r="A320" s="2">
        <v>45918436</v>
      </c>
      <c r="B320" s="2">
        <v>45918450</v>
      </c>
      <c r="C320" s="2" t="str">
        <f>"UNIMEDSJN"</f>
        <v>UNIMEDSJN</v>
      </c>
      <c r="D320" s="2" t="str">
        <f>"DH"</f>
        <v>DH</v>
      </c>
      <c r="E320" s="2" t="str">
        <f>"TARCILA RIGOLON MENDONCA"</f>
        <v>TARCILA RIGOLON MENDONCA</v>
      </c>
      <c r="F320" s="2" t="str">
        <f>"45918436-1/1"</f>
        <v>45918436-1/1</v>
      </c>
      <c r="G320" s="2" t="str">
        <f>"Carteira 21"</f>
        <v>Carteira 21</v>
      </c>
      <c r="H320" s="2">
        <v>84</v>
      </c>
      <c r="I320" s="3">
        <v>80</v>
      </c>
      <c r="J320" s="2" t="str">
        <f>"01/11/2019"</f>
        <v>01/11/2019</v>
      </c>
      <c r="K320" s="2" t="str">
        <f>"24/01/2020"</f>
        <v>24/01/2020</v>
      </c>
      <c r="L320" s="2" t="str">
        <f>"13/03/2020"</f>
        <v>13/03/2020</v>
      </c>
      <c r="M320" s="2" t="str">
        <f>"16/03/2020"</f>
        <v>16/03/2020</v>
      </c>
      <c r="N320" s="2">
        <v>78.19</v>
      </c>
      <c r="O320" s="2">
        <v>82.57</v>
      </c>
      <c r="P320" s="2">
        <v>-1.54000000000001</v>
      </c>
    </row>
    <row r="321" spans="1:16" s="2" customFormat="1" x14ac:dyDescent="0.25">
      <c r="A321" s="2">
        <v>47493298</v>
      </c>
      <c r="B321" s="2">
        <v>47493305</v>
      </c>
      <c r="C321" s="2" t="str">
        <f>"UNIMEDSJN"</f>
        <v>UNIMEDSJN</v>
      </c>
      <c r="D321" s="2" t="str">
        <f>"DH"</f>
        <v>DH</v>
      </c>
      <c r="E321" s="2" t="str">
        <f>"TARCILA RIGOLON MENDONCA"</f>
        <v>TARCILA RIGOLON MENDONCA</v>
      </c>
      <c r="F321" s="2" t="str">
        <f>"47493298-1/1"</f>
        <v>47493298-1/1</v>
      </c>
      <c r="G321" s="2" t="str">
        <f>"Carteira 21"</f>
        <v>Carteira 21</v>
      </c>
      <c r="H321" s="2">
        <v>54</v>
      </c>
      <c r="I321" s="3">
        <v>80</v>
      </c>
      <c r="J321" s="2" t="str">
        <f>"01/12/2019"</f>
        <v>01/12/2019</v>
      </c>
      <c r="K321" s="2" t="str">
        <f>"24/01/2020"</f>
        <v>24/01/2020</v>
      </c>
      <c r="L321" s="2" t="str">
        <f>"13/03/2020"</f>
        <v>13/03/2020</v>
      </c>
      <c r="M321" s="2" t="str">
        <f>"16/03/2020"</f>
        <v>16/03/2020</v>
      </c>
      <c r="N321" s="2">
        <v>30</v>
      </c>
      <c r="O321" s="2">
        <v>31.38</v>
      </c>
      <c r="P321" s="2">
        <v>-0.28999999999999898</v>
      </c>
    </row>
    <row r="322" spans="1:16" s="2" customFormat="1" x14ac:dyDescent="0.25">
      <c r="A322" s="2">
        <v>48571212</v>
      </c>
      <c r="B322" s="2">
        <v>48571233</v>
      </c>
      <c r="C322" s="2" t="str">
        <f>"UNIMEDSJN"</f>
        <v>UNIMEDSJN</v>
      </c>
      <c r="D322" s="2" t="str">
        <f>"DH"</f>
        <v>DH</v>
      </c>
      <c r="E322" s="2" t="str">
        <f>"TATIANE MARTINS DE MENDONCA"</f>
        <v>TATIANE MARTINS DE MENDONCA</v>
      </c>
      <c r="F322" s="2" t="str">
        <f>"48571212-1/1"</f>
        <v>48571212-1/1</v>
      </c>
      <c r="G322" s="2" t="str">
        <f>"Carteira 21"</f>
        <v>Carteira 21</v>
      </c>
      <c r="H322" s="2">
        <v>23</v>
      </c>
      <c r="I322" s="3">
        <v>79</v>
      </c>
      <c r="J322" s="2" t="str">
        <f>"02/01/2020"</f>
        <v>02/01/2020</v>
      </c>
      <c r="K322" s="2" t="str">
        <f>"25/01/2020"</f>
        <v>25/01/2020</v>
      </c>
      <c r="L322" s="2" t="str">
        <f>"17/02/2020"</f>
        <v>17/02/2020</v>
      </c>
      <c r="M322" s="2" t="str">
        <f>"18/02/2020"</f>
        <v>18/02/2020</v>
      </c>
      <c r="N322" s="2">
        <v>156.37</v>
      </c>
      <c r="O322" s="2">
        <v>160.58000000000001</v>
      </c>
      <c r="P322" s="2">
        <v>0.12000000000000501</v>
      </c>
    </row>
    <row r="323" spans="1:16" s="2" customFormat="1" x14ac:dyDescent="0.25">
      <c r="A323" s="2">
        <v>48566308</v>
      </c>
      <c r="B323" s="2">
        <v>49088865</v>
      </c>
      <c r="C323" s="2" t="str">
        <f>"UNIMEDSJN"</f>
        <v>UNIMEDSJN</v>
      </c>
      <c r="D323" s="2" t="str">
        <f>"DH"</f>
        <v>DH</v>
      </c>
      <c r="E323" s="2" t="str">
        <f>"TEREZA MARIA DE SOUZA REZENDE"</f>
        <v>TEREZA MARIA DE SOUZA REZENDE</v>
      </c>
      <c r="F323" s="2" t="str">
        <f>"48566308-1/1"</f>
        <v>48566308-1/1</v>
      </c>
      <c r="G323" s="2" t="str">
        <f>"Carteira 21"</f>
        <v>Carteira 21</v>
      </c>
      <c r="H323" s="2">
        <v>23</v>
      </c>
      <c r="I323" s="3">
        <v>79</v>
      </c>
      <c r="J323" s="2" t="str">
        <f>"02/01/2020"</f>
        <v>02/01/2020</v>
      </c>
      <c r="K323" s="2" t="str">
        <f>"25/01/2020"</f>
        <v>25/01/2020</v>
      </c>
      <c r="L323" s="2" t="str">
        <f>"27/01/2020"</f>
        <v>27/01/2020</v>
      </c>
      <c r="M323" s="2" t="str">
        <f>"11/02/2020"</f>
        <v>11/02/2020</v>
      </c>
      <c r="N323" s="2">
        <v>174.89</v>
      </c>
      <c r="O323" s="2">
        <v>174.87</v>
      </c>
      <c r="P323" s="2">
        <v>2.0000000000010201E-2</v>
      </c>
    </row>
    <row r="324" spans="1:16" x14ac:dyDescent="0.25">
      <c r="A324">
        <v>48566308</v>
      </c>
      <c r="B324">
        <v>49088847</v>
      </c>
      <c r="C324" t="str">
        <f>"UNIMEDSJN"</f>
        <v>UNIMEDSJN</v>
      </c>
      <c r="D324" t="str">
        <f>"DH"</f>
        <v>DH</v>
      </c>
      <c r="E324" t="str">
        <f>"TEREZA MARIA DE SOUZA REZENDE"</f>
        <v>TEREZA MARIA DE SOUZA REZENDE</v>
      </c>
      <c r="F324" t="str">
        <f>"48566308-1/1"</f>
        <v>48566308-1/1</v>
      </c>
      <c r="G324" t="str">
        <f>"Carteira 21"</f>
        <v>Carteira 21</v>
      </c>
      <c r="H324">
        <v>53</v>
      </c>
      <c r="I324" s="1">
        <v>49</v>
      </c>
      <c r="J324" t="str">
        <f>"02/01/2020"</f>
        <v>02/01/2020</v>
      </c>
      <c r="K324" t="str">
        <f>"24/02/2020"</f>
        <v>24/02/2020</v>
      </c>
      <c r="L324" t="str">
        <f>"24/02/2020"</f>
        <v>24/02/2020</v>
      </c>
      <c r="M324" t="str">
        <f>"11/03/2020"</f>
        <v>11/03/2020</v>
      </c>
      <c r="N324">
        <v>1025.95</v>
      </c>
      <c r="O324">
        <v>1025.95</v>
      </c>
      <c r="P324">
        <v>0</v>
      </c>
    </row>
    <row r="325" spans="1:16" x14ac:dyDescent="0.25">
      <c r="A325">
        <v>48566308</v>
      </c>
      <c r="B325">
        <v>49088855</v>
      </c>
      <c r="C325" t="str">
        <f>"UNIMEDSJN"</f>
        <v>UNIMEDSJN</v>
      </c>
      <c r="D325" t="str">
        <f>"DH"</f>
        <v>DH</v>
      </c>
      <c r="E325" t="str">
        <f>"TEREZA MARIA DE SOUZA REZENDE"</f>
        <v>TEREZA MARIA DE SOUZA REZENDE</v>
      </c>
      <c r="F325" t="str">
        <f>"48566308-1/1"</f>
        <v>48566308-1/1</v>
      </c>
      <c r="G325" t="str">
        <f>"Carteira 21"</f>
        <v>Carteira 21</v>
      </c>
      <c r="H325">
        <v>83</v>
      </c>
      <c r="I325" s="1">
        <v>19</v>
      </c>
      <c r="J325" t="str">
        <f>"02/01/2020"</f>
        <v>02/01/2020</v>
      </c>
      <c r="K325" t="str">
        <f>"25/03/2020"</f>
        <v>25/03/2020</v>
      </c>
      <c r="L325" t="str">
        <f>"25/03/2020"</f>
        <v>25/03/2020</v>
      </c>
      <c r="M325" t="str">
        <f>"11/03/2020"</f>
        <v>11/03/2020</v>
      </c>
      <c r="N325">
        <v>1025.95</v>
      </c>
      <c r="O325">
        <v>1025.95</v>
      </c>
      <c r="P325">
        <v>0</v>
      </c>
    </row>
    <row r="326" spans="1:16" x14ac:dyDescent="0.25">
      <c r="A326">
        <v>48566308</v>
      </c>
      <c r="B326">
        <v>49088860</v>
      </c>
      <c r="C326" t="str">
        <f>"UNIMEDSJN"</f>
        <v>UNIMEDSJN</v>
      </c>
      <c r="D326" t="str">
        <f>"DH"</f>
        <v>DH</v>
      </c>
      <c r="E326" t="str">
        <f>"TEREZA MARIA DE SOUZA REZENDE"</f>
        <v>TEREZA MARIA DE SOUZA REZENDE</v>
      </c>
      <c r="F326" t="str">
        <f>"48566308-1/1"</f>
        <v>48566308-1/1</v>
      </c>
      <c r="G326" t="str">
        <f>"Carteira 21"</f>
        <v>Carteira 21</v>
      </c>
      <c r="H326">
        <v>83</v>
      </c>
      <c r="I326" s="1">
        <v>19</v>
      </c>
      <c r="J326" t="str">
        <f>"02/01/2020"</f>
        <v>02/01/2020</v>
      </c>
      <c r="K326" t="str">
        <f>"25/03/2020"</f>
        <v>25/03/2020</v>
      </c>
      <c r="L326" t="str">
        <f>"25/03/2020"</f>
        <v>25/03/2020</v>
      </c>
      <c r="M326" t="str">
        <f>"11/03/2020"</f>
        <v>11/03/2020</v>
      </c>
      <c r="N326">
        <v>1025.95</v>
      </c>
      <c r="O326">
        <v>1025.95</v>
      </c>
      <c r="P326">
        <v>0</v>
      </c>
    </row>
    <row r="327" spans="1:16" x14ac:dyDescent="0.25">
      <c r="A327">
        <v>48566308</v>
      </c>
      <c r="B327">
        <v>48566327</v>
      </c>
      <c r="C327" t="str">
        <f>"UNIMEDSJN"</f>
        <v>UNIMEDSJN</v>
      </c>
      <c r="D327" t="str">
        <f>"DH"</f>
        <v>DH</v>
      </c>
      <c r="E327" t="str">
        <f>"TEREZA MARIA DE SOUZA REZENDE"</f>
        <v>TEREZA MARIA DE SOUZA REZENDE</v>
      </c>
      <c r="F327" t="str">
        <f>"48566308-1/1"</f>
        <v>48566308-1/1</v>
      </c>
      <c r="G327" t="str">
        <f>"Carteira 21"</f>
        <v>Carteira 21</v>
      </c>
      <c r="H327">
        <v>83</v>
      </c>
      <c r="I327" s="1">
        <v>19</v>
      </c>
      <c r="J327" t="str">
        <f>"02/01/2020"</f>
        <v>02/01/2020</v>
      </c>
      <c r="K327" t="str">
        <f>"25/03/2020"</f>
        <v>25/03/2020</v>
      </c>
      <c r="L327" t="str">
        <f>"25/03/2020"</f>
        <v>25/03/2020</v>
      </c>
      <c r="M327" t="str">
        <f>"11/03/2020"</f>
        <v>11/03/2020</v>
      </c>
      <c r="N327">
        <v>1025.95</v>
      </c>
      <c r="O327">
        <v>1025.95</v>
      </c>
      <c r="P327">
        <v>0</v>
      </c>
    </row>
    <row r="328" spans="1:16" s="2" customFormat="1" x14ac:dyDescent="0.25">
      <c r="A328" s="2">
        <v>48575770</v>
      </c>
      <c r="B328" s="2">
        <v>48575782</v>
      </c>
      <c r="C328" s="2" t="str">
        <f>"UNIMEDSJN"</f>
        <v>UNIMEDSJN</v>
      </c>
      <c r="D328" s="2" t="str">
        <f>"DH"</f>
        <v>DH</v>
      </c>
      <c r="E328" s="2" t="str">
        <f>"TEREZINHA DE JESUS PACHECO"</f>
        <v>TEREZINHA DE JESUS PACHECO</v>
      </c>
      <c r="F328" s="2" t="str">
        <f>"48575770-1/1"</f>
        <v>48575770-1/1</v>
      </c>
      <c r="G328" s="2" t="str">
        <f>"Carteira 21"</f>
        <v>Carteira 21</v>
      </c>
      <c r="H328" s="2">
        <v>23</v>
      </c>
      <c r="I328" s="3">
        <v>79</v>
      </c>
      <c r="J328" s="2" t="str">
        <f>"02/01/2020"</f>
        <v>02/01/2020</v>
      </c>
      <c r="K328" s="2" t="str">
        <f>"25/01/2020"</f>
        <v>25/01/2020</v>
      </c>
      <c r="L328" s="2" t="str">
        <f>"03/04/2020"</f>
        <v>03/04/2020</v>
      </c>
      <c r="M328" s="2" t="str">
        <f>"06/04/2020"</f>
        <v>06/04/2020</v>
      </c>
      <c r="N328" s="2">
        <v>30</v>
      </c>
      <c r="O328" s="2">
        <v>31.26</v>
      </c>
      <c r="P328" s="2">
        <v>2.9999999999997602E-2</v>
      </c>
    </row>
    <row r="329" spans="1:16" s="2" customFormat="1" x14ac:dyDescent="0.25">
      <c r="A329" s="2">
        <v>48571805</v>
      </c>
      <c r="B329" s="2">
        <v>48571824</v>
      </c>
      <c r="C329" s="2" t="str">
        <f>"UNIMEDSJN"</f>
        <v>UNIMEDSJN</v>
      </c>
      <c r="D329" s="2" t="str">
        <f>"DH"</f>
        <v>DH</v>
      </c>
      <c r="E329" s="2" t="str">
        <f>"THAIS MENDONCA MAGALHAES"</f>
        <v>THAIS MENDONCA MAGALHAES</v>
      </c>
      <c r="F329" s="2" t="str">
        <f>"48571805-1/1"</f>
        <v>48571805-1/1</v>
      </c>
      <c r="G329" s="2" t="str">
        <f>"Carteira 21"</f>
        <v>Carteira 21</v>
      </c>
      <c r="H329" s="2">
        <v>23</v>
      </c>
      <c r="I329" s="3">
        <v>79</v>
      </c>
      <c r="J329" s="2" t="str">
        <f>"02/01/2020"</f>
        <v>02/01/2020</v>
      </c>
      <c r="K329" s="2" t="str">
        <f>"25/01/2020"</f>
        <v>25/01/2020</v>
      </c>
      <c r="L329" s="2" t="str">
        <f>"05/03/2020"</f>
        <v>05/03/2020</v>
      </c>
      <c r="M329" s="2" t="str">
        <f>"06/03/2020"</f>
        <v>06/03/2020</v>
      </c>
      <c r="N329" s="2">
        <v>30</v>
      </c>
      <c r="O329" s="2">
        <v>30.98</v>
      </c>
      <c r="P329" s="2">
        <v>1.9999999999999601E-2</v>
      </c>
    </row>
    <row r="330" spans="1:16" s="2" customFormat="1" x14ac:dyDescent="0.25">
      <c r="A330" s="2">
        <v>45923454</v>
      </c>
      <c r="B330" s="2">
        <v>45923461</v>
      </c>
      <c r="C330" s="2" t="str">
        <f>"UNIMEDSJN"</f>
        <v>UNIMEDSJN</v>
      </c>
      <c r="D330" s="2" t="str">
        <f>"DH"</f>
        <v>DH</v>
      </c>
      <c r="E330" s="2" t="str">
        <f>"Thais Noemia de Souza Ricci"</f>
        <v>Thais Noemia de Souza Ricci</v>
      </c>
      <c r="F330" s="2" t="str">
        <f>"45923454-1/1"</f>
        <v>45923454-1/1</v>
      </c>
      <c r="G330" s="2" t="str">
        <f>"Carteira 21"</f>
        <v>Carteira 21</v>
      </c>
      <c r="H330" s="2">
        <v>24</v>
      </c>
      <c r="I330" s="3">
        <v>140</v>
      </c>
      <c r="J330" s="2" t="str">
        <f>"01/11/2019"</f>
        <v>01/11/2019</v>
      </c>
      <c r="K330" s="2" t="str">
        <f>"25/11/2019"</f>
        <v>25/11/2019</v>
      </c>
      <c r="L330" s="2" t="str">
        <f>"25/11/2019"</f>
        <v>25/11/2019</v>
      </c>
      <c r="M330" s="2" t="str">
        <f>"31/10/2019"</f>
        <v>31/10/2019</v>
      </c>
      <c r="N330" s="2">
        <v>28.35</v>
      </c>
      <c r="O330" s="2">
        <v>28.35</v>
      </c>
      <c r="P330" s="2">
        <v>0</v>
      </c>
    </row>
    <row r="331" spans="1:16" s="2" customFormat="1" x14ac:dyDescent="0.25">
      <c r="A331" s="2">
        <v>48569778</v>
      </c>
      <c r="B331" s="2">
        <v>48569785</v>
      </c>
      <c r="C331" s="2" t="str">
        <f>"UNIMEDSJN"</f>
        <v>UNIMEDSJN</v>
      </c>
      <c r="D331" s="2" t="str">
        <f>"DH"</f>
        <v>DH</v>
      </c>
      <c r="E331" s="2" t="str">
        <f>"Thamires Andiara Fernandes da Silva"</f>
        <v>Thamires Andiara Fernandes da Silva</v>
      </c>
      <c r="F331" s="2" t="str">
        <f>"48569778-1/1"</f>
        <v>48569778-1/1</v>
      </c>
      <c r="G331" s="2" t="str">
        <f>"Carteira 21"</f>
        <v>Carteira 21</v>
      </c>
      <c r="H331" s="2">
        <v>13</v>
      </c>
      <c r="I331" s="3">
        <v>89</v>
      </c>
      <c r="J331" s="2" t="str">
        <f>"02/01/2020"</f>
        <v>02/01/2020</v>
      </c>
      <c r="K331" s="2" t="str">
        <f>"15/01/2020"</f>
        <v>15/01/2020</v>
      </c>
      <c r="L331" s="2" t="str">
        <f>"10/02/2020"</f>
        <v>10/02/2020</v>
      </c>
      <c r="M331" s="2" t="str">
        <f>"11/02/2020"</f>
        <v>11/02/2020</v>
      </c>
      <c r="N331" s="2">
        <v>30</v>
      </c>
      <c r="O331" s="2">
        <v>30.86</v>
      </c>
      <c r="P331" s="2">
        <v>0</v>
      </c>
    </row>
    <row r="332" spans="1:16" s="2" customFormat="1" x14ac:dyDescent="0.25">
      <c r="A332" s="2">
        <v>47503899</v>
      </c>
      <c r="B332" s="2">
        <v>47503906</v>
      </c>
      <c r="C332" s="2" t="str">
        <f>"UNIMEDSJN"</f>
        <v>UNIMEDSJN</v>
      </c>
      <c r="D332" s="2" t="str">
        <f>"DH"</f>
        <v>DH</v>
      </c>
      <c r="E332" s="2" t="str">
        <f>"Thayze Cristina Pereira de Morais"</f>
        <v>Thayze Cristina Pereira de Morais</v>
      </c>
      <c r="F332" s="2" t="str">
        <f>"47503899-1/1"</f>
        <v>47503899-1/1</v>
      </c>
      <c r="G332" s="2" t="str">
        <f>"Carteira 21"</f>
        <v>Carteira 21</v>
      </c>
      <c r="H332" s="2">
        <v>24</v>
      </c>
      <c r="I332" s="3">
        <v>110</v>
      </c>
      <c r="J332" s="2" t="str">
        <f>"01/12/2019"</f>
        <v>01/12/2019</v>
      </c>
      <c r="K332" s="2" t="str">
        <f>"25/12/2019"</f>
        <v>25/12/2019</v>
      </c>
      <c r="L332" s="2" t="str">
        <f>"13/03/2020"</f>
        <v>13/03/2020</v>
      </c>
      <c r="M332" s="2" t="str">
        <f>"16/03/2020"</f>
        <v>16/03/2020</v>
      </c>
      <c r="N332" s="2">
        <v>47.89</v>
      </c>
      <c r="O332" s="2">
        <v>50.1</v>
      </c>
      <c r="P332" s="2">
        <v>9.9999999999980105E-3</v>
      </c>
    </row>
    <row r="333" spans="1:16" s="2" customFormat="1" x14ac:dyDescent="0.25">
      <c r="A333" s="2">
        <v>48578762</v>
      </c>
      <c r="B333" s="2">
        <v>48578778</v>
      </c>
      <c r="C333" s="2" t="str">
        <f>"UNIMEDSJN"</f>
        <v>UNIMEDSJN</v>
      </c>
      <c r="D333" s="2" t="str">
        <f>"DH"</f>
        <v>DH</v>
      </c>
      <c r="E333" s="2" t="str">
        <f>"Vanessa Cacador dos Santos"</f>
        <v>Vanessa Cacador dos Santos</v>
      </c>
      <c r="F333" s="2" t="str">
        <f>"48578762-1/1"</f>
        <v>48578762-1/1</v>
      </c>
      <c r="G333" s="2" t="str">
        <f>"Carteira 21"</f>
        <v>Carteira 21</v>
      </c>
      <c r="H333" s="2">
        <v>23</v>
      </c>
      <c r="I333" s="3">
        <v>79</v>
      </c>
      <c r="J333" s="2" t="str">
        <f>"02/01/2020"</f>
        <v>02/01/2020</v>
      </c>
      <c r="K333" s="2" t="str">
        <f>"25/01/2020"</f>
        <v>25/01/2020</v>
      </c>
      <c r="L333" s="2" t="str">
        <f>"27/01/2020"</f>
        <v>27/01/2020</v>
      </c>
      <c r="M333" s="2" t="str">
        <f>"27/12/2019"</f>
        <v>27/12/2019</v>
      </c>
      <c r="N333" s="2">
        <v>98.81</v>
      </c>
      <c r="O333" s="2">
        <v>98.81</v>
      </c>
      <c r="P333" s="2">
        <v>0</v>
      </c>
    </row>
    <row r="334" spans="1:16" s="2" customFormat="1" x14ac:dyDescent="0.25">
      <c r="A334" s="2">
        <v>47491889</v>
      </c>
      <c r="B334" s="2">
        <v>47491901</v>
      </c>
      <c r="C334" s="2" t="str">
        <f>"UNIMEDSJN"</f>
        <v>UNIMEDSJN</v>
      </c>
      <c r="D334" s="2" t="str">
        <f>"DH"</f>
        <v>DH</v>
      </c>
      <c r="E334" s="2" t="str">
        <f>"VICENTE DE PAULA DESSUPOIO"</f>
        <v>VICENTE DE PAULA DESSUPOIO</v>
      </c>
      <c r="F334" s="2" t="str">
        <f>"47491889-1/1"</f>
        <v>47491889-1/1</v>
      </c>
      <c r="G334" s="2" t="str">
        <f>"Carteira 21"</f>
        <v>Carteira 21</v>
      </c>
      <c r="H334" s="2">
        <v>17</v>
      </c>
      <c r="I334" s="3">
        <v>117</v>
      </c>
      <c r="J334" s="2" t="str">
        <f>"01/12/2019"</f>
        <v>01/12/2019</v>
      </c>
      <c r="K334" s="2" t="str">
        <f>"18/12/2019"</f>
        <v>18/12/2019</v>
      </c>
      <c r="L334" s="2" t="str">
        <f>"18/02/2020"</f>
        <v>18/02/2020</v>
      </c>
      <c r="M334" s="2" t="str">
        <f>"19/02/2020"</f>
        <v>19/02/2020</v>
      </c>
      <c r="N334" s="2">
        <v>30</v>
      </c>
      <c r="O334" s="2">
        <v>31.21</v>
      </c>
      <c r="P334" s="2">
        <v>9.9999999999980105E-3</v>
      </c>
    </row>
    <row r="335" spans="1:16" s="2" customFormat="1" x14ac:dyDescent="0.25">
      <c r="A335" s="2">
        <v>48566569</v>
      </c>
      <c r="B335" s="2">
        <v>48566590</v>
      </c>
      <c r="C335" s="2" t="str">
        <f>"UNIMEDSJN"</f>
        <v>UNIMEDSJN</v>
      </c>
      <c r="D335" s="2" t="str">
        <f>"DH"</f>
        <v>DH</v>
      </c>
      <c r="E335" s="2" t="str">
        <f>"VICENTE DE PAULA DESSUPOIO"</f>
        <v>VICENTE DE PAULA DESSUPOIO</v>
      </c>
      <c r="F335" s="2" t="str">
        <f>"48566569-1/1"</f>
        <v>48566569-1/1</v>
      </c>
      <c r="G335" s="2" t="str">
        <f>"Carteira 21"</f>
        <v>Carteira 21</v>
      </c>
      <c r="H335" s="2">
        <v>16</v>
      </c>
      <c r="I335" s="3">
        <v>86</v>
      </c>
      <c r="J335" s="2" t="str">
        <f>"02/01/2020"</f>
        <v>02/01/2020</v>
      </c>
      <c r="K335" s="2" t="str">
        <f>"18/01/2020"</f>
        <v>18/01/2020</v>
      </c>
      <c r="L335" s="2" t="str">
        <f>"19/03/2020"</f>
        <v>19/03/2020</v>
      </c>
      <c r="M335" s="2" t="str">
        <f>"20/03/2020"</f>
        <v>20/03/2020</v>
      </c>
      <c r="N335" s="2">
        <v>66.27</v>
      </c>
      <c r="O335" s="2">
        <v>68.89</v>
      </c>
      <c r="P335" s="2">
        <v>6.0000000000002301E-2</v>
      </c>
    </row>
    <row r="336" spans="1:16" s="2" customFormat="1" x14ac:dyDescent="0.25">
      <c r="A336" s="2">
        <v>48573926</v>
      </c>
      <c r="B336" s="2">
        <v>48573938</v>
      </c>
      <c r="C336" s="2" t="str">
        <f>"UNIMEDSJN"</f>
        <v>UNIMEDSJN</v>
      </c>
      <c r="D336" s="2" t="str">
        <f>"DH"</f>
        <v>DH</v>
      </c>
      <c r="E336" s="2" t="str">
        <f>"VILMARA LOPES MATEUS"</f>
        <v>VILMARA LOPES MATEUS</v>
      </c>
      <c r="F336" s="2" t="str">
        <f>"48573926-1/1"</f>
        <v>48573926-1/1</v>
      </c>
      <c r="G336" s="2" t="str">
        <f>"Carteira 21"</f>
        <v>Carteira 21</v>
      </c>
      <c r="H336" s="2">
        <v>23</v>
      </c>
      <c r="I336" s="3">
        <v>79</v>
      </c>
      <c r="J336" s="2" t="str">
        <f>"02/01/2020"</f>
        <v>02/01/2020</v>
      </c>
      <c r="K336" s="2" t="str">
        <f>"25/01/2020"</f>
        <v>25/01/2020</v>
      </c>
      <c r="L336" s="2" t="str">
        <f>"12/02/2020"</f>
        <v>12/02/2020</v>
      </c>
      <c r="M336" s="2" t="str">
        <f>"13/02/2020"</f>
        <v>13/02/2020</v>
      </c>
      <c r="N336" s="2">
        <v>28.35</v>
      </c>
      <c r="O336" s="2">
        <v>29.07</v>
      </c>
      <c r="P336" s="2">
        <v>1.9999999999999601E-2</v>
      </c>
    </row>
    <row r="337" spans="1:16" s="2" customFormat="1" x14ac:dyDescent="0.25">
      <c r="A337" s="2">
        <v>47503108</v>
      </c>
      <c r="B337" s="2">
        <v>47503390</v>
      </c>
      <c r="C337" s="2" t="str">
        <f>"UNIMEDSJN"</f>
        <v>UNIMEDSJN</v>
      </c>
      <c r="D337" s="2" t="str">
        <f>"DH"</f>
        <v>DH</v>
      </c>
      <c r="E337" s="2" t="str">
        <f>"Viviane Martins Silverio"</f>
        <v>Viviane Martins Silverio</v>
      </c>
      <c r="F337" s="2" t="str">
        <f>"47503108-1/1"</f>
        <v>47503108-1/1</v>
      </c>
      <c r="G337" s="2" t="str">
        <f>"Carteira 21"</f>
        <v>Carteira 21</v>
      </c>
      <c r="H337" s="2">
        <v>24</v>
      </c>
      <c r="I337" s="3">
        <v>110</v>
      </c>
      <c r="J337" s="2" t="str">
        <f>"01/12/2019"</f>
        <v>01/12/2019</v>
      </c>
      <c r="K337" s="2" t="str">
        <f>"25/12/2019"</f>
        <v>25/12/2019</v>
      </c>
      <c r="L337" s="2" t="str">
        <f>"04/02/2020"</f>
        <v>04/02/2020</v>
      </c>
      <c r="M337" s="2" t="str">
        <f>"05/02/2020"</f>
        <v>05/02/2020</v>
      </c>
      <c r="N337" s="2">
        <v>47.34</v>
      </c>
      <c r="O337" s="2">
        <v>48.93</v>
      </c>
      <c r="P337" s="2">
        <v>1.00000000000051E-2</v>
      </c>
    </row>
    <row r="338" spans="1:16" s="2" customFormat="1" x14ac:dyDescent="0.25">
      <c r="A338" s="2">
        <v>48578713</v>
      </c>
      <c r="B338" s="2">
        <v>48578727</v>
      </c>
      <c r="C338" s="2" t="str">
        <f>"UNIMEDSJN"</f>
        <v>UNIMEDSJN</v>
      </c>
      <c r="D338" s="2" t="str">
        <f>"DH"</f>
        <v>DH</v>
      </c>
      <c r="E338" s="2" t="str">
        <f>"Viviane Martins Silverio"</f>
        <v>Viviane Martins Silverio</v>
      </c>
      <c r="F338" s="2" t="str">
        <f>"48578713-1/1"</f>
        <v>48578713-1/1</v>
      </c>
      <c r="G338" s="2" t="str">
        <f>"Carteira 21"</f>
        <v>Carteira 21</v>
      </c>
      <c r="H338" s="2">
        <v>23</v>
      </c>
      <c r="I338" s="3">
        <v>79</v>
      </c>
      <c r="J338" s="2" t="str">
        <f>"02/01/2020"</f>
        <v>02/01/2020</v>
      </c>
      <c r="K338" s="2" t="str">
        <f>"25/01/2020"</f>
        <v>25/01/2020</v>
      </c>
      <c r="L338" s="2" t="str">
        <f>"11/02/2020"</f>
        <v>11/02/2020</v>
      </c>
      <c r="M338" s="2" t="str">
        <f>"12/02/2020"</f>
        <v>12/02/2020</v>
      </c>
      <c r="N338" s="2">
        <v>30</v>
      </c>
      <c r="O338" s="2">
        <v>30.75</v>
      </c>
      <c r="P338" s="2">
        <v>1.9999999999999601E-2</v>
      </c>
    </row>
    <row r="339" spans="1:16" s="2" customFormat="1" x14ac:dyDescent="0.25">
      <c r="A339" s="2">
        <v>45924116</v>
      </c>
      <c r="B339" s="2">
        <v>45924627</v>
      </c>
      <c r="C339" s="2" t="str">
        <f>"UNIMEDSJN"</f>
        <v>UNIMEDSJN</v>
      </c>
      <c r="D339" s="2" t="str">
        <f>"DH"</f>
        <v>DH</v>
      </c>
      <c r="E339" s="2" t="str">
        <f>"Waldeck Rabello Henriques Junior"</f>
        <v>Waldeck Rabello Henriques Junior</v>
      </c>
      <c r="F339" s="2" t="str">
        <f>"45924116-1/1"</f>
        <v>45924116-1/1</v>
      </c>
      <c r="G339" s="2" t="str">
        <f>"Carteira 21"</f>
        <v>Carteira 21</v>
      </c>
      <c r="H339" s="2">
        <v>24</v>
      </c>
      <c r="I339" s="3">
        <v>140</v>
      </c>
      <c r="J339" s="2" t="str">
        <f>"01/11/2019"</f>
        <v>01/11/2019</v>
      </c>
      <c r="K339" s="2" t="str">
        <f>"25/11/2019"</f>
        <v>25/11/2019</v>
      </c>
      <c r="L339" s="2" t="str">
        <f>"25/11/2019"</f>
        <v>25/11/2019</v>
      </c>
      <c r="M339" s="2" t="str">
        <f>"31/10/2019"</f>
        <v>31/10/2019</v>
      </c>
      <c r="N339" s="2">
        <v>30</v>
      </c>
      <c r="O339" s="2">
        <v>30</v>
      </c>
      <c r="P339" s="2">
        <v>0</v>
      </c>
    </row>
    <row r="340" spans="1:16" s="2" customFormat="1" x14ac:dyDescent="0.25">
      <c r="A340" s="2">
        <v>47498565</v>
      </c>
      <c r="B340" s="2">
        <v>47498581</v>
      </c>
      <c r="C340" s="2" t="str">
        <f>"UNIMEDSJN"</f>
        <v>UNIMEDSJN</v>
      </c>
      <c r="D340" s="2" t="str">
        <f>"DH"</f>
        <v>DH</v>
      </c>
      <c r="E340" s="2" t="str">
        <f>"Waldeck Rabello Henriques Junior"</f>
        <v>Waldeck Rabello Henriques Junior</v>
      </c>
      <c r="F340" s="2" t="str">
        <f>"47498565-1/1"</f>
        <v>47498565-1/1</v>
      </c>
      <c r="G340" s="2" t="str">
        <f>"Carteira 21"</f>
        <v>Carteira 21</v>
      </c>
      <c r="H340" s="2">
        <v>24</v>
      </c>
      <c r="I340" s="3">
        <v>110</v>
      </c>
      <c r="J340" s="2" t="str">
        <f>"01/12/2019"</f>
        <v>01/12/2019</v>
      </c>
      <c r="K340" s="2" t="str">
        <f>"25/12/2019"</f>
        <v>25/12/2019</v>
      </c>
      <c r="L340" s="2" t="str">
        <f>"25/12/2019"</f>
        <v>25/12/2019</v>
      </c>
      <c r="M340" s="2" t="str">
        <f>"28/11/2019"</f>
        <v>28/11/2019</v>
      </c>
      <c r="N340" s="2">
        <v>85.76</v>
      </c>
      <c r="O340" s="2">
        <v>85.76</v>
      </c>
      <c r="P340" s="2">
        <v>0</v>
      </c>
    </row>
    <row r="341" spans="1:16" s="2" customFormat="1" x14ac:dyDescent="0.25">
      <c r="A341" s="2">
        <v>48572543</v>
      </c>
      <c r="B341" s="2">
        <v>48572551</v>
      </c>
      <c r="C341" s="2" t="str">
        <f>"UNIMEDSJN"</f>
        <v>UNIMEDSJN</v>
      </c>
      <c r="D341" s="2" t="str">
        <f>"DH"</f>
        <v>DH</v>
      </c>
      <c r="E341" s="2" t="str">
        <f>"Waldeck Rabello Henriques Junior"</f>
        <v>Waldeck Rabello Henriques Junior</v>
      </c>
      <c r="F341" s="2" t="str">
        <f>"48572543-1/1"</f>
        <v>48572543-1/1</v>
      </c>
      <c r="G341" s="2" t="str">
        <f>"Carteira 21"</f>
        <v>Carteira 21</v>
      </c>
      <c r="H341" s="2">
        <v>23</v>
      </c>
      <c r="I341" s="3">
        <v>79</v>
      </c>
      <c r="J341" s="2" t="str">
        <f>"02/01/2020"</f>
        <v>02/01/2020</v>
      </c>
      <c r="K341" s="2" t="str">
        <f>"25/01/2020"</f>
        <v>25/01/2020</v>
      </c>
      <c r="L341" s="2" t="str">
        <f>"27/01/2020"</f>
        <v>27/01/2020</v>
      </c>
      <c r="M341" s="2" t="str">
        <f>"27/12/2019"</f>
        <v>27/12/2019</v>
      </c>
      <c r="N341" s="2">
        <v>28.35</v>
      </c>
      <c r="O341" s="2">
        <v>28.35</v>
      </c>
      <c r="P341" s="2">
        <v>0</v>
      </c>
    </row>
    <row r="342" spans="1:16" s="2" customFormat="1" x14ac:dyDescent="0.25">
      <c r="A342" s="2">
        <v>48575171</v>
      </c>
      <c r="B342" s="2">
        <v>48575194</v>
      </c>
      <c r="C342" s="2" t="str">
        <f>"UNIMEDSJN"</f>
        <v>UNIMEDSJN</v>
      </c>
      <c r="D342" s="2" t="str">
        <f>"DH"</f>
        <v>DH</v>
      </c>
      <c r="E342" s="2" t="str">
        <f>"Welerson Braga"</f>
        <v>Welerson Braga</v>
      </c>
      <c r="F342" s="2" t="str">
        <f>"48575171-1/1"</f>
        <v>48575171-1/1</v>
      </c>
      <c r="G342" s="2" t="str">
        <f>"Carteira 21"</f>
        <v>Carteira 21</v>
      </c>
      <c r="H342" s="2">
        <v>23</v>
      </c>
      <c r="I342" s="3">
        <v>79</v>
      </c>
      <c r="J342" s="2" t="str">
        <f>"02/01/2020"</f>
        <v>02/01/2020</v>
      </c>
      <c r="K342" s="2" t="str">
        <f>"25/01/2020"</f>
        <v>25/01/2020</v>
      </c>
      <c r="L342" s="2" t="str">
        <f>"10/02/2020"</f>
        <v>10/02/2020</v>
      </c>
      <c r="M342" s="2" t="str">
        <f>"11/02/2020"</f>
        <v>11/02/2020</v>
      </c>
      <c r="N342" s="2">
        <v>91.91</v>
      </c>
      <c r="O342" s="2">
        <v>94.17</v>
      </c>
      <c r="P342" s="2">
        <v>6.9999999999993207E-2</v>
      </c>
    </row>
    <row r="343" spans="1:16" s="2" customFormat="1" x14ac:dyDescent="0.25">
      <c r="A343" s="2">
        <v>48563158</v>
      </c>
      <c r="B343" s="2">
        <v>48563176</v>
      </c>
      <c r="C343" s="2" t="str">
        <f>"UNIMEDSJN"</f>
        <v>UNIMEDSJN</v>
      </c>
      <c r="D343" s="2" t="str">
        <f>"DH"</f>
        <v>DH</v>
      </c>
      <c r="E343" s="2" t="str">
        <f>"WILLIAM ALVES DOLAVALE"</f>
        <v>WILLIAM ALVES DOLAVALE</v>
      </c>
      <c r="F343" s="2" t="str">
        <f>"48563158-1/1"</f>
        <v>48563158-1/1</v>
      </c>
      <c r="G343" s="2" t="str">
        <f>"Carteira 21"</f>
        <v>Carteira 21</v>
      </c>
      <c r="H343" s="2">
        <v>23</v>
      </c>
      <c r="I343" s="3">
        <v>79</v>
      </c>
      <c r="J343" s="2" t="str">
        <f>"02/01/2020"</f>
        <v>02/01/2020</v>
      </c>
      <c r="K343" s="2" t="str">
        <f>"25/01/2020"</f>
        <v>25/01/2020</v>
      </c>
      <c r="L343" s="2" t="str">
        <f>"06/02/2020"</f>
        <v>06/02/2020</v>
      </c>
      <c r="M343" s="2" t="str">
        <f>"07/02/2020"</f>
        <v>07/02/2020</v>
      </c>
      <c r="N343" s="2">
        <v>48.24</v>
      </c>
      <c r="O343" s="2">
        <v>49.36</v>
      </c>
      <c r="P343" s="2">
        <v>3.0000000000001099E-2</v>
      </c>
    </row>
    <row r="344" spans="1:16" s="2" customFormat="1" x14ac:dyDescent="0.25">
      <c r="A344" s="2">
        <v>48569980</v>
      </c>
      <c r="B344" s="2">
        <v>48570000</v>
      </c>
      <c r="C344" s="2" t="str">
        <f>"UNIMEDSJN"</f>
        <v>UNIMEDSJN</v>
      </c>
      <c r="D344" s="2" t="str">
        <f>"DH"</f>
        <v>DH</v>
      </c>
      <c r="E344" s="2" t="str">
        <f>"Wilson Ribeiro Junior"</f>
        <v>Wilson Ribeiro Junior</v>
      </c>
      <c r="F344" s="2" t="str">
        <f>"48569980-1/1"</f>
        <v>48569980-1/1</v>
      </c>
      <c r="G344" s="2" t="str">
        <f>"Carteira 21"</f>
        <v>Carteira 21</v>
      </c>
      <c r="H344" s="2">
        <v>13</v>
      </c>
      <c r="I344" s="3">
        <v>89</v>
      </c>
      <c r="J344" s="2" t="str">
        <f>"02/01/2020"</f>
        <v>02/01/2020</v>
      </c>
      <c r="K344" s="2" t="str">
        <f>"15/01/2020"</f>
        <v>15/01/2020</v>
      </c>
      <c r="L344" s="2" t="str">
        <f>"17/02/2020"</f>
        <v>17/02/2020</v>
      </c>
      <c r="M344" s="2" t="str">
        <f>"18/02/2020"</f>
        <v>18/02/2020</v>
      </c>
      <c r="N344" s="2">
        <v>92.81</v>
      </c>
      <c r="O344" s="2">
        <v>95.68</v>
      </c>
      <c r="P344" s="2">
        <v>9.9999999999909103E-3</v>
      </c>
    </row>
    <row r="345" spans="1:16" s="2" customFormat="1" x14ac:dyDescent="0.25">
      <c r="A345" s="2">
        <v>47502848</v>
      </c>
      <c r="B345" s="2">
        <v>47502855</v>
      </c>
      <c r="C345" s="2" t="str">
        <f>"UNIMEDSJN"</f>
        <v>UNIMEDSJN</v>
      </c>
      <c r="D345" s="2" t="str">
        <f>"DH"</f>
        <v>DH</v>
      </c>
      <c r="E345" s="2" t="str">
        <f>"Yagor Matos Ferreira"</f>
        <v>Yagor Matos Ferreira</v>
      </c>
      <c r="F345" s="2" t="str">
        <f>"47502848-1/1"</f>
        <v>47502848-1/1</v>
      </c>
      <c r="G345" s="2" t="str">
        <f>"Carteira 21"</f>
        <v>Carteira 21</v>
      </c>
      <c r="H345" s="2">
        <v>24</v>
      </c>
      <c r="I345" s="3">
        <v>110</v>
      </c>
      <c r="J345" s="2" t="str">
        <f>"01/12/2019"</f>
        <v>01/12/2019</v>
      </c>
      <c r="K345" s="2" t="str">
        <f>"25/12/2019"</f>
        <v>25/12/2019</v>
      </c>
      <c r="L345" s="2" t="str">
        <f>"07/02/2020"</f>
        <v>07/02/2020</v>
      </c>
      <c r="M345" s="2" t="str">
        <f>"10/02/2020"</f>
        <v>10/02/2020</v>
      </c>
      <c r="N345" s="2">
        <v>28.35</v>
      </c>
      <c r="O345" s="2">
        <v>29.34</v>
      </c>
      <c r="P345" s="2">
        <v>0</v>
      </c>
    </row>
    <row r="347" spans="1:16" s="2" customFormat="1" x14ac:dyDescent="0.25">
      <c r="I347" s="3"/>
    </row>
    <row r="348" spans="1:16" s="2" customFormat="1" x14ac:dyDescent="0.25">
      <c r="I348" s="3"/>
    </row>
    <row r="349" spans="1:16" s="2" customFormat="1" x14ac:dyDescent="0.25">
      <c r="I349" s="3"/>
    </row>
    <row r="350" spans="1:16" s="2" customFormat="1" x14ac:dyDescent="0.25">
      <c r="I350" s="3"/>
    </row>
    <row r="351" spans="1:16" s="2" customFormat="1" x14ac:dyDescent="0.25">
      <c r="I351" s="3"/>
    </row>
    <row r="352" spans="1:16" s="2" customFormat="1" x14ac:dyDescent="0.25">
      <c r="I352" s="3"/>
    </row>
    <row r="353" spans="9:9" s="2" customFormat="1" x14ac:dyDescent="0.25">
      <c r="I353" s="3"/>
    </row>
    <row r="354" spans="9:9" s="2" customFormat="1" x14ac:dyDescent="0.25">
      <c r="I354" s="3"/>
    </row>
    <row r="355" spans="9:9" s="2" customFormat="1" x14ac:dyDescent="0.25">
      <c r="I355" s="3"/>
    </row>
    <row r="356" spans="9:9" s="2" customFormat="1" x14ac:dyDescent="0.25">
      <c r="I356" s="3"/>
    </row>
    <row r="357" spans="9:9" s="2" customFormat="1" x14ac:dyDescent="0.25">
      <c r="I357" s="3"/>
    </row>
    <row r="358" spans="9:9" s="2" customFormat="1" x14ac:dyDescent="0.25">
      <c r="I358" s="3"/>
    </row>
    <row r="359" spans="9:9" s="2" customFormat="1" x14ac:dyDescent="0.25">
      <c r="I359" s="3"/>
    </row>
    <row r="360" spans="9:9" s="2" customFormat="1" x14ac:dyDescent="0.25">
      <c r="I360" s="3"/>
    </row>
    <row r="361" spans="9:9" s="2" customFormat="1" x14ac:dyDescent="0.25">
      <c r="I361" s="3"/>
    </row>
    <row r="362" spans="9:9" s="2" customFormat="1" x14ac:dyDescent="0.25">
      <c r="I362" s="3"/>
    </row>
    <row r="363" spans="9:9" s="2" customFormat="1" x14ac:dyDescent="0.25">
      <c r="I363" s="3"/>
    </row>
    <row r="364" spans="9:9" s="2" customFormat="1" x14ac:dyDescent="0.25">
      <c r="I364" s="3"/>
    </row>
    <row r="365" spans="9:9" s="2" customFormat="1" x14ac:dyDescent="0.25">
      <c r="I365" s="3"/>
    </row>
    <row r="366" spans="9:9" s="2" customFormat="1" x14ac:dyDescent="0.25">
      <c r="I366" s="3"/>
    </row>
    <row r="367" spans="9:9" s="2" customFormat="1" x14ac:dyDescent="0.25">
      <c r="I367" s="3"/>
    </row>
    <row r="368" spans="9:9" s="2" customFormat="1" x14ac:dyDescent="0.25">
      <c r="I368" s="3"/>
    </row>
    <row r="369" spans="9:9" s="2" customFormat="1" x14ac:dyDescent="0.25">
      <c r="I369" s="3"/>
    </row>
    <row r="370" spans="9:9" s="2" customFormat="1" x14ac:dyDescent="0.25">
      <c r="I370" s="3"/>
    </row>
    <row r="371" spans="9:9" s="2" customFormat="1" x14ac:dyDescent="0.25">
      <c r="I371" s="3"/>
    </row>
    <row r="372" spans="9:9" s="2" customFormat="1" x14ac:dyDescent="0.25">
      <c r="I372" s="3"/>
    </row>
    <row r="373" spans="9:9" s="2" customFormat="1" x14ac:dyDescent="0.25">
      <c r="I373" s="3"/>
    </row>
    <row r="374" spans="9:9" s="2" customFormat="1" x14ac:dyDescent="0.25">
      <c r="I374" s="3"/>
    </row>
    <row r="375" spans="9:9" s="2" customFormat="1" x14ac:dyDescent="0.25">
      <c r="I375" s="3"/>
    </row>
    <row r="376" spans="9:9" s="2" customFormat="1" x14ac:dyDescent="0.25">
      <c r="I376" s="3"/>
    </row>
    <row r="377" spans="9:9" s="2" customFormat="1" x14ac:dyDescent="0.25">
      <c r="I377" s="3"/>
    </row>
    <row r="378" spans="9:9" s="2" customFormat="1" x14ac:dyDescent="0.25">
      <c r="I378" s="3"/>
    </row>
    <row r="379" spans="9:9" s="2" customFormat="1" x14ac:dyDescent="0.25">
      <c r="I379" s="3"/>
    </row>
    <row r="380" spans="9:9" s="2" customFormat="1" x14ac:dyDescent="0.25">
      <c r="I380" s="3"/>
    </row>
    <row r="381" spans="9:9" s="2" customFormat="1" x14ac:dyDescent="0.25">
      <c r="I381" s="3"/>
    </row>
    <row r="382" spans="9:9" s="2" customFormat="1" x14ac:dyDescent="0.25">
      <c r="I382" s="3"/>
    </row>
    <row r="383" spans="9:9" s="2" customFormat="1" x14ac:dyDescent="0.25">
      <c r="I383" s="3"/>
    </row>
    <row r="384" spans="9:9" s="2" customFormat="1" x14ac:dyDescent="0.25">
      <c r="I384" s="3"/>
    </row>
    <row r="385" spans="9:9" s="2" customFormat="1" x14ac:dyDescent="0.25">
      <c r="I385" s="3"/>
    </row>
    <row r="386" spans="9:9" s="2" customFormat="1" x14ac:dyDescent="0.25">
      <c r="I386" s="3"/>
    </row>
    <row r="387" spans="9:9" s="2" customFormat="1" x14ac:dyDescent="0.25">
      <c r="I387" s="3"/>
    </row>
    <row r="388" spans="9:9" s="2" customFormat="1" x14ac:dyDescent="0.25">
      <c r="I388" s="3"/>
    </row>
    <row r="389" spans="9:9" s="2" customFormat="1" x14ac:dyDescent="0.25">
      <c r="I389" s="3"/>
    </row>
    <row r="390" spans="9:9" s="2" customFormat="1" x14ac:dyDescent="0.25">
      <c r="I390" s="3"/>
    </row>
    <row r="391" spans="9:9" s="2" customFormat="1" x14ac:dyDescent="0.25">
      <c r="I391" s="3"/>
    </row>
    <row r="392" spans="9:9" s="2" customFormat="1" x14ac:dyDescent="0.25">
      <c r="I392" s="3"/>
    </row>
    <row r="393" spans="9:9" s="2" customFormat="1" x14ac:dyDescent="0.25">
      <c r="I393" s="3"/>
    </row>
    <row r="394" spans="9:9" s="2" customFormat="1" x14ac:dyDescent="0.25">
      <c r="I394" s="3"/>
    </row>
    <row r="395" spans="9:9" s="2" customFormat="1" x14ac:dyDescent="0.25">
      <c r="I395" s="3"/>
    </row>
    <row r="396" spans="9:9" s="2" customFormat="1" x14ac:dyDescent="0.25">
      <c r="I396" s="3"/>
    </row>
    <row r="397" spans="9:9" s="2" customFormat="1" x14ac:dyDescent="0.25">
      <c r="I397" s="3"/>
    </row>
    <row r="398" spans="9:9" s="2" customFormat="1" x14ac:dyDescent="0.25">
      <c r="I398" s="3"/>
    </row>
    <row r="399" spans="9:9" s="2" customFormat="1" x14ac:dyDescent="0.25">
      <c r="I399" s="3"/>
    </row>
    <row r="400" spans="9:9" s="2" customFormat="1" x14ac:dyDescent="0.25">
      <c r="I400" s="3"/>
    </row>
    <row r="401" spans="9:9" s="2" customFormat="1" x14ac:dyDescent="0.25">
      <c r="I401" s="3"/>
    </row>
    <row r="402" spans="9:9" s="2" customFormat="1" x14ac:dyDescent="0.25">
      <c r="I402" s="3"/>
    </row>
    <row r="403" spans="9:9" s="2" customFormat="1" x14ac:dyDescent="0.25">
      <c r="I403" s="3"/>
    </row>
    <row r="404" spans="9:9" s="2" customFormat="1" x14ac:dyDescent="0.25">
      <c r="I404" s="3"/>
    </row>
    <row r="405" spans="9:9" s="2" customFormat="1" x14ac:dyDescent="0.25">
      <c r="I405" s="3"/>
    </row>
    <row r="406" spans="9:9" s="2" customFormat="1" x14ac:dyDescent="0.25">
      <c r="I406" s="3"/>
    </row>
    <row r="407" spans="9:9" s="2" customFormat="1" x14ac:dyDescent="0.25">
      <c r="I407" s="3"/>
    </row>
    <row r="408" spans="9:9" s="2" customFormat="1" x14ac:dyDescent="0.25">
      <c r="I408" s="3"/>
    </row>
    <row r="409" spans="9:9" s="2" customFormat="1" x14ac:dyDescent="0.25">
      <c r="I409" s="3"/>
    </row>
    <row r="410" spans="9:9" s="2" customFormat="1" x14ac:dyDescent="0.25">
      <c r="I410" s="3"/>
    </row>
    <row r="411" spans="9:9" s="2" customFormat="1" x14ac:dyDescent="0.25">
      <c r="I411" s="3"/>
    </row>
    <row r="412" spans="9:9" s="2" customFormat="1" x14ac:dyDescent="0.25">
      <c r="I412" s="3"/>
    </row>
    <row r="413" spans="9:9" s="2" customFormat="1" x14ac:dyDescent="0.25">
      <c r="I413" s="3"/>
    </row>
    <row r="414" spans="9:9" s="2" customFormat="1" x14ac:dyDescent="0.25">
      <c r="I414" s="3"/>
    </row>
    <row r="415" spans="9:9" s="2" customFormat="1" x14ac:dyDescent="0.25">
      <c r="I415" s="3"/>
    </row>
    <row r="416" spans="9:9" s="2" customFormat="1" x14ac:dyDescent="0.25">
      <c r="I416" s="3"/>
    </row>
    <row r="417" spans="9:9" s="2" customFormat="1" x14ac:dyDescent="0.25">
      <c r="I417" s="3"/>
    </row>
    <row r="418" spans="9:9" s="2" customFormat="1" x14ac:dyDescent="0.25">
      <c r="I418" s="3"/>
    </row>
    <row r="419" spans="9:9" s="2" customFormat="1" x14ac:dyDescent="0.25">
      <c r="I419" s="3"/>
    </row>
    <row r="420" spans="9:9" s="2" customFormat="1" x14ac:dyDescent="0.25">
      <c r="I420" s="3"/>
    </row>
    <row r="421" spans="9:9" s="2" customFormat="1" x14ac:dyDescent="0.25">
      <c r="I421" s="3"/>
    </row>
  </sheetData>
  <autoFilter ref="I1:I346"/>
  <sortState ref="A3:P345">
    <sortCondition ref="E1"/>
  </sortState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8" sqref="K1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Titulos por Data Base - Coopart</vt:lpstr>
      <vt:lpstr>- 60 dias</vt:lpstr>
      <vt:lpstr>+ 60 dias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modified xsi:type="dcterms:W3CDTF">2020-04-14T13:54:13Z</dcterms:modified>
</cp:coreProperties>
</file>