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Titulos por Data Base - Coopart" sheetId="1" r:id="rId1"/>
    <sheet name="- 90 dias" sheetId="2" r:id="rId2"/>
    <sheet name="+ 90 dias" sheetId="3" r:id="rId3"/>
  </sheets>
  <definedNames>
    <definedName name="_xlnm._FilterDatabase" localSheetId="0" hidden="1">'Titulos por Data Base - Coopart'!$I$2:$I$39</definedName>
  </definedNames>
  <calcPr calcId="0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J2" i="1"/>
  <c r="K2" i="1"/>
  <c r="L2" i="1"/>
  <c r="M2" i="1"/>
  <c r="C19" i="1"/>
  <c r="D19" i="1"/>
  <c r="E19" i="1"/>
  <c r="F19" i="1"/>
  <c r="G19" i="1"/>
  <c r="J19" i="1"/>
  <c r="K19" i="1"/>
  <c r="L19" i="1"/>
  <c r="M19" i="1"/>
  <c r="C13" i="1"/>
  <c r="D13" i="1"/>
  <c r="E13" i="1"/>
  <c r="F13" i="1"/>
  <c r="G13" i="1"/>
  <c r="J13" i="1"/>
  <c r="K13" i="1"/>
  <c r="L13" i="1"/>
  <c r="M13" i="1"/>
  <c r="C35" i="1"/>
  <c r="D35" i="1"/>
  <c r="E35" i="1"/>
  <c r="F35" i="1"/>
  <c r="G35" i="1"/>
  <c r="J35" i="1"/>
  <c r="K35" i="1"/>
  <c r="L35" i="1"/>
  <c r="M35" i="1"/>
  <c r="C24" i="1"/>
  <c r="D24" i="1"/>
  <c r="E24" i="1"/>
  <c r="F24" i="1"/>
  <c r="G24" i="1"/>
  <c r="J24" i="1"/>
  <c r="K24" i="1"/>
  <c r="L24" i="1"/>
  <c r="M24" i="1"/>
  <c r="C28" i="1"/>
  <c r="D28" i="1"/>
  <c r="E28" i="1"/>
  <c r="F28" i="1"/>
  <c r="G28" i="1"/>
  <c r="J28" i="1"/>
  <c r="K28" i="1"/>
  <c r="L28" i="1"/>
  <c r="M28" i="1"/>
  <c r="C30" i="1"/>
  <c r="D30" i="1"/>
  <c r="E30" i="1"/>
  <c r="F30" i="1"/>
  <c r="G30" i="1"/>
  <c r="J30" i="1"/>
  <c r="K30" i="1"/>
  <c r="L30" i="1"/>
  <c r="M30" i="1"/>
  <c r="C3" i="1"/>
  <c r="D3" i="1"/>
  <c r="E3" i="1"/>
  <c r="F3" i="1"/>
  <c r="G3" i="1"/>
  <c r="J3" i="1"/>
  <c r="K3" i="1"/>
  <c r="L3" i="1"/>
  <c r="M3" i="1"/>
  <c r="C22" i="1"/>
  <c r="D22" i="1"/>
  <c r="E22" i="1"/>
  <c r="F22" i="1"/>
  <c r="G22" i="1"/>
  <c r="J22" i="1"/>
  <c r="K22" i="1"/>
  <c r="L22" i="1"/>
  <c r="M22" i="1"/>
  <c r="C20" i="1"/>
  <c r="D20" i="1"/>
  <c r="E20" i="1"/>
  <c r="F20" i="1"/>
  <c r="G20" i="1"/>
  <c r="J20" i="1"/>
  <c r="K20" i="1"/>
  <c r="L20" i="1"/>
  <c r="M20" i="1"/>
  <c r="C17" i="1"/>
  <c r="D17" i="1"/>
  <c r="E17" i="1"/>
  <c r="F17" i="1"/>
  <c r="G17" i="1"/>
  <c r="J17" i="1"/>
  <c r="K17" i="1"/>
  <c r="L17" i="1"/>
  <c r="M17" i="1"/>
  <c r="C26" i="1"/>
  <c r="D26" i="1"/>
  <c r="E26" i="1"/>
  <c r="F26" i="1"/>
  <c r="G26" i="1"/>
  <c r="J26" i="1"/>
  <c r="K26" i="1"/>
  <c r="L26" i="1"/>
  <c r="M26" i="1"/>
  <c r="C38" i="1"/>
  <c r="D38" i="1"/>
  <c r="E38" i="1"/>
  <c r="F38" i="1"/>
  <c r="G38" i="1"/>
  <c r="J38" i="1"/>
  <c r="K38" i="1"/>
  <c r="L38" i="1"/>
  <c r="M38" i="1"/>
  <c r="C14" i="1"/>
  <c r="D14" i="1"/>
  <c r="E14" i="1"/>
  <c r="F14" i="1"/>
  <c r="G14" i="1"/>
  <c r="J14" i="1"/>
  <c r="K14" i="1"/>
  <c r="L14" i="1"/>
  <c r="M14" i="1"/>
  <c r="C36" i="1"/>
  <c r="D36" i="1"/>
  <c r="E36" i="1"/>
  <c r="F36" i="1"/>
  <c r="G36" i="1"/>
  <c r="J36" i="1"/>
  <c r="K36" i="1"/>
  <c r="L36" i="1"/>
  <c r="M36" i="1"/>
  <c r="C25" i="1"/>
  <c r="D25" i="1"/>
  <c r="E25" i="1"/>
  <c r="F25" i="1"/>
  <c r="G25" i="1"/>
  <c r="J25" i="1"/>
  <c r="K25" i="1"/>
  <c r="L25" i="1"/>
  <c r="M25" i="1"/>
  <c r="C12" i="1"/>
  <c r="D12" i="1"/>
  <c r="E12" i="1"/>
  <c r="F12" i="1"/>
  <c r="G12" i="1"/>
  <c r="J12" i="1"/>
  <c r="K12" i="1"/>
  <c r="L12" i="1"/>
  <c r="M12" i="1"/>
  <c r="C9" i="1"/>
  <c r="D9" i="1"/>
  <c r="E9" i="1"/>
  <c r="F9" i="1"/>
  <c r="G9" i="1"/>
  <c r="J9" i="1"/>
  <c r="K9" i="1"/>
  <c r="L9" i="1"/>
  <c r="M9" i="1"/>
  <c r="C6" i="1"/>
  <c r="D6" i="1"/>
  <c r="E6" i="1"/>
  <c r="F6" i="1"/>
  <c r="G6" i="1"/>
  <c r="J6" i="1"/>
  <c r="K6" i="1"/>
  <c r="L6" i="1"/>
  <c r="M6" i="1"/>
  <c r="C23" i="1"/>
  <c r="D23" i="1"/>
  <c r="E23" i="1"/>
  <c r="F23" i="1"/>
  <c r="G23" i="1"/>
  <c r="J23" i="1"/>
  <c r="K23" i="1"/>
  <c r="L23" i="1"/>
  <c r="M23" i="1"/>
  <c r="C8" i="1"/>
  <c r="D8" i="1"/>
  <c r="E8" i="1"/>
  <c r="F8" i="1"/>
  <c r="G8" i="1"/>
  <c r="J8" i="1"/>
  <c r="K8" i="1"/>
  <c r="L8" i="1"/>
  <c r="M8" i="1"/>
  <c r="C4" i="1"/>
  <c r="D4" i="1"/>
  <c r="E4" i="1"/>
  <c r="F4" i="1"/>
  <c r="G4" i="1"/>
  <c r="J4" i="1"/>
  <c r="K4" i="1"/>
  <c r="L4" i="1"/>
  <c r="M4" i="1"/>
  <c r="C5" i="1"/>
  <c r="D5" i="1"/>
  <c r="E5" i="1"/>
  <c r="F5" i="1"/>
  <c r="G5" i="1"/>
  <c r="J5" i="1"/>
  <c r="K5" i="1"/>
  <c r="L5" i="1"/>
  <c r="M5" i="1"/>
  <c r="C29" i="1"/>
  <c r="D29" i="1"/>
  <c r="E29" i="1"/>
  <c r="F29" i="1"/>
  <c r="G29" i="1"/>
  <c r="J29" i="1"/>
  <c r="K29" i="1"/>
  <c r="L29" i="1"/>
  <c r="M29" i="1"/>
  <c r="C39" i="1"/>
  <c r="D39" i="1"/>
  <c r="E39" i="1"/>
  <c r="F39" i="1"/>
  <c r="G39" i="1"/>
  <c r="J39" i="1"/>
  <c r="K39" i="1"/>
  <c r="L39" i="1"/>
  <c r="M39" i="1"/>
  <c r="C27" i="1"/>
  <c r="D27" i="1"/>
  <c r="E27" i="1"/>
  <c r="F27" i="1"/>
  <c r="G27" i="1"/>
  <c r="J27" i="1"/>
  <c r="K27" i="1"/>
  <c r="L27" i="1"/>
  <c r="M27" i="1"/>
  <c r="C31" i="1"/>
  <c r="D31" i="1"/>
  <c r="E31" i="1"/>
  <c r="F31" i="1"/>
  <c r="G31" i="1"/>
  <c r="J31" i="1"/>
  <c r="K31" i="1"/>
  <c r="L31" i="1"/>
  <c r="M31" i="1"/>
  <c r="C18" i="1"/>
  <c r="D18" i="1"/>
  <c r="E18" i="1"/>
  <c r="F18" i="1"/>
  <c r="G18" i="1"/>
  <c r="J18" i="1"/>
  <c r="K18" i="1"/>
  <c r="L18" i="1"/>
  <c r="M18" i="1"/>
  <c r="C33" i="1"/>
  <c r="D33" i="1"/>
  <c r="E33" i="1"/>
  <c r="F33" i="1"/>
  <c r="G33" i="1"/>
  <c r="J33" i="1"/>
  <c r="K33" i="1"/>
  <c r="L33" i="1"/>
  <c r="M33" i="1"/>
  <c r="C15" i="1"/>
  <c r="D15" i="1"/>
  <c r="E15" i="1"/>
  <c r="F15" i="1"/>
  <c r="G15" i="1"/>
  <c r="J15" i="1"/>
  <c r="K15" i="1"/>
  <c r="L15" i="1"/>
  <c r="M15" i="1"/>
  <c r="C21" i="1"/>
  <c r="D21" i="1"/>
  <c r="E21" i="1"/>
  <c r="F21" i="1"/>
  <c r="G21" i="1"/>
  <c r="J21" i="1"/>
  <c r="K21" i="1"/>
  <c r="L21" i="1"/>
  <c r="M21" i="1"/>
  <c r="C16" i="1"/>
  <c r="D16" i="1"/>
  <c r="E16" i="1"/>
  <c r="F16" i="1"/>
  <c r="G16" i="1"/>
  <c r="J16" i="1"/>
  <c r="K16" i="1"/>
  <c r="L16" i="1"/>
  <c r="M16" i="1"/>
  <c r="C34" i="1"/>
  <c r="D34" i="1"/>
  <c r="E34" i="1"/>
  <c r="F34" i="1"/>
  <c r="G34" i="1"/>
  <c r="J34" i="1"/>
  <c r="K34" i="1"/>
  <c r="L34" i="1"/>
  <c r="M34" i="1"/>
  <c r="C11" i="1"/>
  <c r="D11" i="1"/>
  <c r="E11" i="1"/>
  <c r="F11" i="1"/>
  <c r="G11" i="1"/>
  <c r="J11" i="1"/>
  <c r="K11" i="1"/>
  <c r="L11" i="1"/>
  <c r="M11" i="1"/>
  <c r="C7" i="1"/>
  <c r="D7" i="1"/>
  <c r="E7" i="1"/>
  <c r="F7" i="1"/>
  <c r="G7" i="1"/>
  <c r="J7" i="1"/>
  <c r="K7" i="1"/>
  <c r="L7" i="1"/>
  <c r="M7" i="1"/>
  <c r="C10" i="1"/>
  <c r="D10" i="1"/>
  <c r="E10" i="1"/>
  <c r="F10" i="1"/>
  <c r="G10" i="1"/>
  <c r="J10" i="1"/>
  <c r="K10" i="1"/>
  <c r="L10" i="1"/>
  <c r="M10" i="1"/>
  <c r="C32" i="1"/>
  <c r="D32" i="1"/>
  <c r="E32" i="1"/>
  <c r="F32" i="1"/>
  <c r="G32" i="1"/>
  <c r="J32" i="1"/>
  <c r="K32" i="1"/>
  <c r="L32" i="1"/>
  <c r="M32" i="1"/>
  <c r="C37" i="1"/>
  <c r="D37" i="1"/>
  <c r="E37" i="1"/>
  <c r="F37" i="1"/>
  <c r="G37" i="1"/>
  <c r="J37" i="1"/>
  <c r="K37" i="1"/>
  <c r="L37" i="1"/>
  <c r="M37" i="1"/>
</calcChain>
</file>

<file path=xl/sharedStrings.xml><?xml version="1.0" encoding="utf-8"?>
<sst xmlns="http://schemas.openxmlformats.org/spreadsheetml/2006/main" count="5" uniqueCount="5">
  <si>
    <t>Nome</t>
  </si>
  <si>
    <t>Prazo</t>
  </si>
  <si>
    <t>Atraso</t>
  </si>
  <si>
    <t>Emissão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</si>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</sst>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G17" sqref="G17"/>
    </sheetView>
  </sheetViews>
  <sheetFormatPr defaultRowHeight="15" x14ac:dyDescent="0.25"/>
  <cols>
    <col min="5" max="5" width="39.85546875" bestFit="1" customWidth="1"/>
    <col min="8" max="8" width="5.85546875" bestFit="1" customWidth="1"/>
    <col min="9" max="9" width="6.7109375" style="1" bestFit="1" customWidth="1"/>
    <col min="10" max="10" width="10.7109375" bestFit="1" customWidth="1"/>
    <col min="11" max="11" width="11.85546875" bestFit="1" customWidth="1"/>
  </cols>
  <sheetData>
    <row r="1" spans="1:16" x14ac:dyDescent="0.25">
      <c r="A1" s="1"/>
      <c r="B1" s="1"/>
      <c r="C1" s="1"/>
      <c r="D1" s="1"/>
      <c r="E1" s="1" t="s">
        <v>0</v>
      </c>
      <c r="F1" s="1"/>
      <c r="G1" s="1"/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</row>
    <row r="2" spans="1:16" s="1" customFormat="1" x14ac:dyDescent="0.25">
      <c r="A2" s="2">
        <v>45933104</v>
      </c>
      <c r="B2" s="2">
        <v>45933113</v>
      </c>
      <c r="C2" s="2" t="str">
        <f>"UNIMEDSJN"</f>
        <v>UNIMEDSJN</v>
      </c>
      <c r="D2" s="2" t="str">
        <f>"DH"</f>
        <v>DH</v>
      </c>
      <c r="E2" s="2" t="str">
        <f>"Alessandra Nascimento do Amaral"</f>
        <v>Alessandra Nascimento do Amaral</v>
      </c>
      <c r="F2" s="2" t="str">
        <f>"45933104-1/1"</f>
        <v>45933104-1/1</v>
      </c>
      <c r="G2" s="2" t="str">
        <f>"Carteira 21"</f>
        <v>Carteira 21</v>
      </c>
      <c r="H2" s="2">
        <v>59</v>
      </c>
      <c r="I2" s="3">
        <v>105</v>
      </c>
      <c r="J2" s="2" t="str">
        <f>"01/11/2019"</f>
        <v>01/11/2019</v>
      </c>
      <c r="K2" s="2" t="str">
        <f>"30/12/2019"</f>
        <v>30/12/2019</v>
      </c>
      <c r="L2" s="2" t="str">
        <f>"28/02/2020"</f>
        <v>28/02/2020</v>
      </c>
      <c r="M2" s="2" t="str">
        <f>"13/03/2020"</f>
        <v>13/03/2020</v>
      </c>
      <c r="N2" s="2">
        <v>63</v>
      </c>
      <c r="O2" s="2">
        <v>66.09</v>
      </c>
      <c r="P2" s="2">
        <v>-0.57000000000000695</v>
      </c>
    </row>
    <row r="3" spans="1:16" s="2" customFormat="1" x14ac:dyDescent="0.25">
      <c r="A3">
        <v>47541762</v>
      </c>
      <c r="B3">
        <v>47541788</v>
      </c>
      <c r="C3" t="str">
        <f>"UNIMEDSJN"</f>
        <v>UNIMEDSJN</v>
      </c>
      <c r="D3" t="str">
        <f>"DH"</f>
        <v>DH</v>
      </c>
      <c r="E3" t="str">
        <f>"Alessandra Nascimento do Amaral"</f>
        <v>Alessandra Nascimento do Amaral</v>
      </c>
      <c r="F3" t="str">
        <f>"47541762-1/1"</f>
        <v>47541762-1/1</v>
      </c>
      <c r="G3" t="str">
        <f>"Carteira 21"</f>
        <v>Carteira 21</v>
      </c>
      <c r="H3">
        <v>58</v>
      </c>
      <c r="I3" s="1">
        <v>75</v>
      </c>
      <c r="J3" t="str">
        <f>"02/12/2019"</f>
        <v>02/12/2019</v>
      </c>
      <c r="K3" t="str">
        <f>"29/01/2020"</f>
        <v>29/01/2020</v>
      </c>
      <c r="L3" t="str">
        <f>"11/03/2020"</f>
        <v>11/03/2020</v>
      </c>
      <c r="M3" t="str">
        <f>"12/03/2020"</f>
        <v>12/03/2020</v>
      </c>
      <c r="N3">
        <v>30</v>
      </c>
      <c r="O3">
        <v>31.31</v>
      </c>
      <c r="P3">
        <v>-0.29000000000000298</v>
      </c>
    </row>
    <row r="4" spans="1:16" s="2" customFormat="1" x14ac:dyDescent="0.25">
      <c r="A4">
        <v>48614215</v>
      </c>
      <c r="B4">
        <v>48614237</v>
      </c>
      <c r="C4" t="str">
        <f>"UNIMEDSJN"</f>
        <v>UNIMEDSJN</v>
      </c>
      <c r="D4" t="str">
        <f>"DH"</f>
        <v>DH</v>
      </c>
      <c r="E4" t="str">
        <f>"Alessandra Nascimento do Amaral"</f>
        <v>Alessandra Nascimento do Amaral</v>
      </c>
      <c r="F4" t="str">
        <f>"48614215-1/1"</f>
        <v>48614215-1/1</v>
      </c>
      <c r="G4" t="str">
        <f>"Carteira 21"</f>
        <v>Carteira 21</v>
      </c>
      <c r="H4">
        <v>28</v>
      </c>
      <c r="I4" s="1">
        <v>74</v>
      </c>
      <c r="J4" t="str">
        <f>"02/01/2020"</f>
        <v>02/01/2020</v>
      </c>
      <c r="K4" t="str">
        <f>"30/01/2020"</f>
        <v>30/01/2020</v>
      </c>
      <c r="L4" t="str">
        <f>"30/01/2020"</f>
        <v>30/01/2020</v>
      </c>
      <c r="M4" t="str">
        <f>"02/01/2020"</f>
        <v>02/01/2020</v>
      </c>
      <c r="N4">
        <v>49.8</v>
      </c>
      <c r="O4">
        <v>49.8</v>
      </c>
      <c r="P4">
        <v>0</v>
      </c>
    </row>
    <row r="5" spans="1:16" s="2" customFormat="1" x14ac:dyDescent="0.25">
      <c r="A5">
        <v>48614257</v>
      </c>
      <c r="B5">
        <v>48614266</v>
      </c>
      <c r="C5" t="str">
        <f>"UNIMEDSJN"</f>
        <v>UNIMEDSJN</v>
      </c>
      <c r="D5" t="str">
        <f>"DH"</f>
        <v>DH</v>
      </c>
      <c r="E5" t="str">
        <f>"Aline Priscila Silva de Paiva"</f>
        <v>Aline Priscila Silva de Paiva</v>
      </c>
      <c r="F5" t="str">
        <f>"48614257-1/1"</f>
        <v>48614257-1/1</v>
      </c>
      <c r="G5" t="str">
        <f>"Carteira 21"</f>
        <v>Carteira 21</v>
      </c>
      <c r="H5">
        <v>28</v>
      </c>
      <c r="I5" s="1">
        <v>74</v>
      </c>
      <c r="J5" t="str">
        <f>"02/01/2020"</f>
        <v>02/01/2020</v>
      </c>
      <c r="K5" t="str">
        <f>"30/01/2020"</f>
        <v>30/01/2020</v>
      </c>
      <c r="L5" t="str">
        <f>"05/02/2020"</f>
        <v>05/02/2020</v>
      </c>
      <c r="M5" t="str">
        <f>"06/02/2020"</f>
        <v>06/02/2020</v>
      </c>
      <c r="N5">
        <v>47.89</v>
      </c>
      <c r="O5">
        <v>48.95</v>
      </c>
      <c r="P5">
        <v>0</v>
      </c>
    </row>
    <row r="6" spans="1:16" s="2" customFormat="1" x14ac:dyDescent="0.25">
      <c r="A6">
        <v>48613758</v>
      </c>
      <c r="B6">
        <v>48613774</v>
      </c>
      <c r="C6" t="str">
        <f>"UNIMEDSJN"</f>
        <v>UNIMEDSJN</v>
      </c>
      <c r="D6" t="str">
        <f>"DH"</f>
        <v>DH</v>
      </c>
      <c r="E6" t="str">
        <f>"Antonio Filhos Transportes Ltda"</f>
        <v>Antonio Filhos Transportes Ltda</v>
      </c>
      <c r="F6" t="str">
        <f>"48613758-1/1"</f>
        <v>48613758-1/1</v>
      </c>
      <c r="G6" t="str">
        <f>"Carteira 21"</f>
        <v>Carteira 21</v>
      </c>
      <c r="H6">
        <v>28</v>
      </c>
      <c r="I6" s="1">
        <v>74</v>
      </c>
      <c r="J6" t="str">
        <f>"02/01/2020"</f>
        <v>02/01/2020</v>
      </c>
      <c r="K6" t="str">
        <f>"30/01/2020"</f>
        <v>30/01/2020</v>
      </c>
      <c r="L6" t="str">
        <f>"18/03/2020"</f>
        <v>18/03/2020</v>
      </c>
      <c r="M6" t="str">
        <f>"19/03/2020"</f>
        <v>19/03/2020</v>
      </c>
      <c r="N6">
        <v>86.7</v>
      </c>
      <c r="O6">
        <v>89.81</v>
      </c>
      <c r="P6">
        <v>1.00000000000051E-2</v>
      </c>
    </row>
    <row r="7" spans="1:16" s="2" customFormat="1" x14ac:dyDescent="0.25">
      <c r="A7">
        <v>48615625</v>
      </c>
      <c r="B7">
        <v>48615636</v>
      </c>
      <c r="C7" t="str">
        <f>"UNIMEDSJN"</f>
        <v>UNIMEDSJN</v>
      </c>
      <c r="D7" t="str">
        <f>"DH"</f>
        <v>DH</v>
      </c>
      <c r="E7" t="str">
        <f>"Arlete Aparecida Ribeiro Barrigio Lamarca"</f>
        <v>Arlete Aparecida Ribeiro Barrigio Lamarca</v>
      </c>
      <c r="F7" t="str">
        <f>"48615625-1/1"</f>
        <v>48615625-1/1</v>
      </c>
      <c r="G7" t="str">
        <f>"Carteira 21"</f>
        <v>Carteira 21</v>
      </c>
      <c r="H7">
        <v>28</v>
      </c>
      <c r="I7" s="1">
        <v>74</v>
      </c>
      <c r="J7" t="str">
        <f>"02/01/2020"</f>
        <v>02/01/2020</v>
      </c>
      <c r="K7" t="str">
        <f>"30/01/2020"</f>
        <v>30/01/2020</v>
      </c>
      <c r="L7" t="str">
        <f>"17/03/2020"</f>
        <v>17/03/2020</v>
      </c>
      <c r="M7" t="str">
        <f>"18/03/2020"</f>
        <v>18/03/2020</v>
      </c>
      <c r="N7">
        <v>72.12</v>
      </c>
      <c r="O7">
        <v>74.680000000000007</v>
      </c>
      <c r="P7">
        <v>9.9999999999909103E-3</v>
      </c>
    </row>
    <row r="8" spans="1:16" s="2" customFormat="1" x14ac:dyDescent="0.25">
      <c r="A8">
        <v>48613968</v>
      </c>
      <c r="B8">
        <v>48614009</v>
      </c>
      <c r="C8" t="str">
        <f>"UNIMEDSJN"</f>
        <v>UNIMEDSJN</v>
      </c>
      <c r="D8" t="str">
        <f>"DH"</f>
        <v>DH</v>
      </c>
      <c r="E8" t="str">
        <f>"Bysystem Ltda"</f>
        <v>Bysystem Ltda</v>
      </c>
      <c r="F8" t="str">
        <f>"48613968-1/1"</f>
        <v>48613968-1/1</v>
      </c>
      <c r="G8" t="str">
        <f>"Carteira 21"</f>
        <v>Carteira 21</v>
      </c>
      <c r="H8">
        <v>28</v>
      </c>
      <c r="I8" s="1">
        <v>74</v>
      </c>
      <c r="J8" t="str">
        <f>"02/01/2020"</f>
        <v>02/01/2020</v>
      </c>
      <c r="K8" t="str">
        <f>"30/01/2020"</f>
        <v>30/01/2020</v>
      </c>
      <c r="L8" t="str">
        <f>"14/02/2020"</f>
        <v>14/02/2020</v>
      </c>
      <c r="M8" t="str">
        <f>"17/02/2020"</f>
        <v>17/02/2020</v>
      </c>
      <c r="N8">
        <v>279.27</v>
      </c>
      <c r="O8">
        <v>286.25</v>
      </c>
      <c r="P8">
        <v>9.9999999999909103E-3</v>
      </c>
    </row>
    <row r="9" spans="1:16" s="2" customFormat="1" x14ac:dyDescent="0.25">
      <c r="A9">
        <v>48613122</v>
      </c>
      <c r="B9">
        <v>48613658</v>
      </c>
      <c r="C9" t="str">
        <f>"UNIMEDSJN"</f>
        <v>UNIMEDSJN</v>
      </c>
      <c r="D9" t="str">
        <f>"DH"</f>
        <v>DH</v>
      </c>
      <c r="E9" t="str">
        <f>"Cleto Jose Varoto - Me"</f>
        <v>Cleto Jose Varoto - Me</v>
      </c>
      <c r="F9" t="str">
        <f>"48613122-1/1"</f>
        <v>48613122-1/1</v>
      </c>
      <c r="G9" t="str">
        <f>"Carteira 21"</f>
        <v>Carteira 21</v>
      </c>
      <c r="H9">
        <v>28</v>
      </c>
      <c r="I9" s="1">
        <v>74</v>
      </c>
      <c r="J9" t="str">
        <f>"02/01/2020"</f>
        <v>02/01/2020</v>
      </c>
      <c r="K9" t="str">
        <f>"30/01/2020"</f>
        <v>30/01/2020</v>
      </c>
      <c r="L9" t="str">
        <f>"11/03/2020"</f>
        <v>11/03/2020</v>
      </c>
      <c r="M9" t="str">
        <f>"12/03/2020"</f>
        <v>12/03/2020</v>
      </c>
      <c r="N9">
        <v>284.48</v>
      </c>
      <c r="O9">
        <v>294.02</v>
      </c>
      <c r="P9">
        <v>4.0000000000020498E-2</v>
      </c>
    </row>
    <row r="10" spans="1:16" x14ac:dyDescent="0.25">
      <c r="A10">
        <v>48615818</v>
      </c>
      <c r="B10">
        <v>48616230</v>
      </c>
      <c r="C10" t="str">
        <f>"UNIMEDSJN"</f>
        <v>UNIMEDSJN</v>
      </c>
      <c r="D10" t="str">
        <f>"DH"</f>
        <v>DH</v>
      </c>
      <c r="E10" t="str">
        <f>"Confeccoes Children"</f>
        <v>Confeccoes Children</v>
      </c>
      <c r="F10" t="str">
        <f>"48615818-1/1"</f>
        <v>48615818-1/1</v>
      </c>
      <c r="G10" t="str">
        <f>"Carteira 21"</f>
        <v>Carteira 21</v>
      </c>
      <c r="H10">
        <v>34</v>
      </c>
      <c r="I10" s="1">
        <v>68</v>
      </c>
      <c r="J10" t="str">
        <f>"02/01/2020"</f>
        <v>02/01/2020</v>
      </c>
      <c r="K10" t="str">
        <f>"05/02/2020"</f>
        <v>05/02/2020</v>
      </c>
      <c r="L10" t="str">
        <f>"05/02/2020"</f>
        <v>05/02/2020</v>
      </c>
      <c r="M10" t="str">
        <f>"04/02/2020"</f>
        <v>04/02/2020</v>
      </c>
      <c r="N10">
        <v>500.47</v>
      </c>
      <c r="O10">
        <v>500.47</v>
      </c>
      <c r="P10">
        <v>0</v>
      </c>
    </row>
    <row r="11" spans="1:16" s="2" customFormat="1" x14ac:dyDescent="0.25">
      <c r="A11">
        <v>48615441</v>
      </c>
      <c r="B11">
        <v>48615456</v>
      </c>
      <c r="C11" t="str">
        <f>"UNIMEDSJN"</f>
        <v>UNIMEDSJN</v>
      </c>
      <c r="D11" t="str">
        <f>"DH"</f>
        <v>DH</v>
      </c>
      <c r="E11" t="str">
        <f>"Di Palet Representacoes Ltda"</f>
        <v>Di Palet Representacoes Ltda</v>
      </c>
      <c r="F11" t="str">
        <f>"48615441-1/1"</f>
        <v>48615441-1/1</v>
      </c>
      <c r="G11" t="str">
        <f>"Carteira 21"</f>
        <v>Carteira 21</v>
      </c>
      <c r="H11">
        <v>34</v>
      </c>
      <c r="I11" s="1">
        <v>68</v>
      </c>
      <c r="J11" t="str">
        <f>"02/01/2020"</f>
        <v>02/01/2020</v>
      </c>
      <c r="K11" t="str">
        <f>"05/02/2020"</f>
        <v>05/02/2020</v>
      </c>
      <c r="L11" t="str">
        <f>"05/02/2020"</f>
        <v>05/02/2020</v>
      </c>
      <c r="M11" t="str">
        <f>"02/01/2020"</f>
        <v>02/01/2020</v>
      </c>
      <c r="N11">
        <v>204.06</v>
      </c>
      <c r="O11">
        <v>204.06</v>
      </c>
      <c r="P11">
        <v>0</v>
      </c>
    </row>
    <row r="12" spans="1:16" s="2" customFormat="1" x14ac:dyDescent="0.25">
      <c r="A12">
        <v>48599570</v>
      </c>
      <c r="B12">
        <v>48599620</v>
      </c>
      <c r="C12" t="str">
        <f>"UNIMEDSJN"</f>
        <v>UNIMEDSJN</v>
      </c>
      <c r="D12" t="str">
        <f>"DH"</f>
        <v>DH</v>
      </c>
      <c r="E12" t="str">
        <f>"Distribuidora de Roupas Omega Eireli"</f>
        <v>Distribuidora de Roupas Omega Eireli</v>
      </c>
      <c r="F12" t="str">
        <f>"48599570-1/1"</f>
        <v>48599570-1/1</v>
      </c>
      <c r="G12" t="str">
        <f>"Carteira 21"</f>
        <v>Carteira 21</v>
      </c>
      <c r="H12">
        <v>28</v>
      </c>
      <c r="I12" s="1">
        <v>74</v>
      </c>
      <c r="J12" t="str">
        <f>"02/01/2020"</f>
        <v>02/01/2020</v>
      </c>
      <c r="K12" t="str">
        <f>"30/01/2020"</f>
        <v>30/01/2020</v>
      </c>
      <c r="L12" t="str">
        <f>"26/02/2020"</f>
        <v>26/02/2020</v>
      </c>
      <c r="M12" t="str">
        <f>"27/02/2020"</f>
        <v>27/02/2020</v>
      </c>
      <c r="N12">
        <v>127.9</v>
      </c>
      <c r="O12">
        <v>131.6</v>
      </c>
      <c r="P12">
        <v>1.00000000000051E-2</v>
      </c>
    </row>
    <row r="13" spans="1:16" s="2" customFormat="1" x14ac:dyDescent="0.25">
      <c r="A13" s="2">
        <v>45951888</v>
      </c>
      <c r="B13" s="2">
        <v>45951911</v>
      </c>
      <c r="C13" s="2" t="str">
        <f>"UNIMEDSJN"</f>
        <v>UNIMEDSJN</v>
      </c>
      <c r="D13" s="2" t="str">
        <f>"DH"</f>
        <v>DH</v>
      </c>
      <c r="E13" s="2" t="str">
        <f>"Drogaria Saude Saojoanense Ltda"</f>
        <v>Drogaria Saude Saojoanense Ltda</v>
      </c>
      <c r="F13" s="2" t="str">
        <f>"45951888-1/1"</f>
        <v>45951888-1/1</v>
      </c>
      <c r="G13" s="2" t="str">
        <f>"Carteira 21"</f>
        <v>Carteira 21</v>
      </c>
      <c r="H13" s="2">
        <v>29</v>
      </c>
      <c r="I13" s="3">
        <v>135</v>
      </c>
      <c r="J13" s="2" t="str">
        <f>"01/11/2019"</f>
        <v>01/11/2019</v>
      </c>
      <c r="K13" s="2" t="str">
        <f>"30/11/2019"</f>
        <v>30/11/2019</v>
      </c>
      <c r="L13" s="2" t="str">
        <f>"03/02/2020"</f>
        <v>03/02/2020</v>
      </c>
      <c r="M13" s="2" t="str">
        <f>"04/02/2020"</f>
        <v>04/02/2020</v>
      </c>
      <c r="N13" s="2">
        <v>227.89</v>
      </c>
      <c r="O13" s="2">
        <v>237.19</v>
      </c>
      <c r="P13" s="2">
        <v>0.200000000000017</v>
      </c>
    </row>
    <row r="14" spans="1:16" s="2" customFormat="1" x14ac:dyDescent="0.25">
      <c r="A14" s="2">
        <v>47542787</v>
      </c>
      <c r="B14" s="2">
        <v>47542807</v>
      </c>
      <c r="C14" s="2" t="str">
        <f>"UNIMEDSJN"</f>
        <v>UNIMEDSJN</v>
      </c>
      <c r="D14" s="2" t="str">
        <f>"DH"</f>
        <v>DH</v>
      </c>
      <c r="E14" s="2" t="str">
        <f>"Drogaria Saude Saojoanense Ltda"</f>
        <v>Drogaria Saude Saojoanense Ltda</v>
      </c>
      <c r="F14" s="2" t="str">
        <f>"47542787-1/1"</f>
        <v>47542787-1/1</v>
      </c>
      <c r="G14" s="2" t="str">
        <f>"Carteira 21"</f>
        <v>Carteira 21</v>
      </c>
      <c r="H14" s="2">
        <v>28</v>
      </c>
      <c r="I14" s="3">
        <v>105</v>
      </c>
      <c r="J14" s="2" t="str">
        <f>"02/12/2019"</f>
        <v>02/12/2019</v>
      </c>
      <c r="K14" s="2" t="str">
        <f>"30/12/2019"</f>
        <v>30/12/2019</v>
      </c>
      <c r="L14" s="2" t="str">
        <f>"17/03/2020"</f>
        <v>17/03/2020</v>
      </c>
      <c r="M14" s="2" t="str">
        <f>"18/03/2020"</f>
        <v>18/03/2020</v>
      </c>
      <c r="N14" s="2">
        <v>80.03</v>
      </c>
      <c r="O14" s="2">
        <v>83.69</v>
      </c>
      <c r="P14" s="2">
        <v>2.0000000000010201E-2</v>
      </c>
    </row>
    <row r="15" spans="1:16" s="2" customFormat="1" x14ac:dyDescent="0.25">
      <c r="A15">
        <v>48614916</v>
      </c>
      <c r="B15">
        <v>48614956</v>
      </c>
      <c r="C15" t="str">
        <f>"UNIMEDSJN"</f>
        <v>UNIMEDSJN</v>
      </c>
      <c r="D15" t="str">
        <f>"DH"</f>
        <v>DH</v>
      </c>
      <c r="E15" t="str">
        <f>"Drogaria Saude Saojoanense Ltda"</f>
        <v>Drogaria Saude Saojoanense Ltda</v>
      </c>
      <c r="F15" t="str">
        <f>"48614916-1/1"</f>
        <v>48614916-1/1</v>
      </c>
      <c r="G15" t="str">
        <f>"Carteira 21"</f>
        <v>Carteira 21</v>
      </c>
      <c r="H15">
        <v>28</v>
      </c>
      <c r="I15" s="1">
        <v>74</v>
      </c>
      <c r="J15" t="str">
        <f>"02/01/2020"</f>
        <v>02/01/2020</v>
      </c>
      <c r="K15" t="str">
        <f>"30/01/2020"</f>
        <v>30/01/2020</v>
      </c>
      <c r="L15" t="str">
        <f>"06/04/2020"</f>
        <v>06/04/2020</v>
      </c>
      <c r="M15" t="str">
        <f>"07/04/2020"</f>
        <v>07/04/2020</v>
      </c>
      <c r="N15">
        <v>199.2</v>
      </c>
      <c r="O15">
        <v>207.58</v>
      </c>
      <c r="P15">
        <v>5.0000000000011403E-2</v>
      </c>
    </row>
    <row r="16" spans="1:16" s="2" customFormat="1" x14ac:dyDescent="0.25">
      <c r="A16">
        <v>48615336</v>
      </c>
      <c r="B16">
        <v>48615360</v>
      </c>
      <c r="C16" t="str">
        <f>"UNIMEDSJN"</f>
        <v>UNIMEDSJN</v>
      </c>
      <c r="D16" t="str">
        <f>"DH"</f>
        <v>DH</v>
      </c>
      <c r="E16" t="str">
        <f>"E S da Costa Junior Me"</f>
        <v>E S da Costa Junior Me</v>
      </c>
      <c r="F16" t="str">
        <f>"48615336-1/1"</f>
        <v>48615336-1/1</v>
      </c>
      <c r="G16" t="str">
        <f>"Carteira 21"</f>
        <v>Carteira 21</v>
      </c>
      <c r="H16">
        <v>28</v>
      </c>
      <c r="I16" s="1">
        <v>74</v>
      </c>
      <c r="J16" t="str">
        <f>"02/01/2020"</f>
        <v>02/01/2020</v>
      </c>
      <c r="K16" t="str">
        <f>"30/01/2020"</f>
        <v>30/01/2020</v>
      </c>
      <c r="L16" t="str">
        <f>"10/02/2020"</f>
        <v>10/02/2020</v>
      </c>
      <c r="M16" t="str">
        <f>"11/02/2020"</f>
        <v>11/02/2020</v>
      </c>
      <c r="N16">
        <v>194.13</v>
      </c>
      <c r="O16">
        <v>198.71</v>
      </c>
      <c r="P16">
        <v>9.9999999999909103E-3</v>
      </c>
    </row>
    <row r="17" spans="1:16" x14ac:dyDescent="0.25">
      <c r="A17" s="2">
        <v>47542400</v>
      </c>
      <c r="B17" s="2">
        <v>47542413</v>
      </c>
      <c r="C17" s="2" t="str">
        <f>"UNIMEDSJN"</f>
        <v>UNIMEDSJN</v>
      </c>
      <c r="D17" s="2" t="str">
        <f>"DH"</f>
        <v>DH</v>
      </c>
      <c r="E17" s="2" t="str">
        <f>"Edna Aparecida Silva Feitosa de Melo"</f>
        <v>Edna Aparecida Silva Feitosa de Melo</v>
      </c>
      <c r="F17" s="2" t="str">
        <f>"47542400-1/1"</f>
        <v>47542400-1/1</v>
      </c>
      <c r="G17" s="2" t="str">
        <f>"Carteira 21"</f>
        <v>Carteira 21</v>
      </c>
      <c r="H17" s="2">
        <v>28</v>
      </c>
      <c r="I17" s="3">
        <v>105</v>
      </c>
      <c r="J17" s="2" t="str">
        <f>"02/12/2019"</f>
        <v>02/12/2019</v>
      </c>
      <c r="K17" s="2" t="str">
        <f>"30/12/2019"</f>
        <v>30/12/2019</v>
      </c>
      <c r="L17" s="2" t="str">
        <f>"30/12/2019"</f>
        <v>30/12/2019</v>
      </c>
      <c r="M17" s="2" t="str">
        <f>"02/12/2019"</f>
        <v>02/12/2019</v>
      </c>
      <c r="N17" s="2">
        <v>30</v>
      </c>
      <c r="O17" s="2">
        <v>30</v>
      </c>
      <c r="P17" s="2">
        <v>0</v>
      </c>
    </row>
    <row r="18" spans="1:16" x14ac:dyDescent="0.25">
      <c r="A18">
        <v>48614466</v>
      </c>
      <c r="B18">
        <v>48614495</v>
      </c>
      <c r="C18" t="str">
        <f>"UNIMEDSJN"</f>
        <v>UNIMEDSJN</v>
      </c>
      <c r="D18" t="str">
        <f>"DH"</f>
        <v>DH</v>
      </c>
      <c r="E18" t="str">
        <f>"Edna Aparecida Silva Feitosa de Melo"</f>
        <v>Edna Aparecida Silva Feitosa de Melo</v>
      </c>
      <c r="F18" t="str">
        <f>"48614466-1/1"</f>
        <v>48614466-1/1</v>
      </c>
      <c r="G18" t="str">
        <f>"Carteira 21"</f>
        <v>Carteira 21</v>
      </c>
      <c r="H18">
        <v>28</v>
      </c>
      <c r="I18" s="1">
        <v>74</v>
      </c>
      <c r="J18" t="str">
        <f>"02/01/2020"</f>
        <v>02/01/2020</v>
      </c>
      <c r="K18" t="str">
        <f>"30/01/2020"</f>
        <v>30/01/2020</v>
      </c>
      <c r="L18" t="str">
        <f>"30/01/2020"</f>
        <v>30/01/2020</v>
      </c>
      <c r="M18" t="str">
        <f>"02/01/2020"</f>
        <v>02/01/2020</v>
      </c>
      <c r="N18">
        <v>28.35</v>
      </c>
      <c r="O18">
        <v>28.35</v>
      </c>
      <c r="P18">
        <v>0</v>
      </c>
    </row>
    <row r="19" spans="1:16" x14ac:dyDescent="0.25">
      <c r="A19" s="2">
        <v>45951665</v>
      </c>
      <c r="B19" s="2">
        <v>45951674</v>
      </c>
      <c r="C19" s="2" t="str">
        <f>"UNIMEDSJN"</f>
        <v>UNIMEDSJN</v>
      </c>
      <c r="D19" s="2" t="str">
        <f>"DH"</f>
        <v>DH</v>
      </c>
      <c r="E19" s="2" t="str">
        <f>"Fernanda dos Reis Quinelato"</f>
        <v>Fernanda dos Reis Quinelato</v>
      </c>
      <c r="F19" s="2" t="str">
        <f>"45951665-1/1"</f>
        <v>45951665-1/1</v>
      </c>
      <c r="G19" s="2" t="str">
        <f>"Carteira 21"</f>
        <v>Carteira 21</v>
      </c>
      <c r="H19" s="2">
        <v>29</v>
      </c>
      <c r="I19" s="3">
        <v>135</v>
      </c>
      <c r="J19" s="2" t="str">
        <f>"01/11/2019"</f>
        <v>01/11/2019</v>
      </c>
      <c r="K19" s="2" t="str">
        <f>"30/11/2019"</f>
        <v>30/11/2019</v>
      </c>
      <c r="L19" s="2" t="str">
        <f>"03/02/2020"</f>
        <v>03/02/2020</v>
      </c>
      <c r="M19" s="2" t="str">
        <f>"04/02/2020"</f>
        <v>04/02/2020</v>
      </c>
      <c r="N19" s="2">
        <v>32.549999999999997</v>
      </c>
      <c r="O19" s="2">
        <v>33.880000000000003</v>
      </c>
      <c r="P19" s="2">
        <v>2.9999999999994E-2</v>
      </c>
    </row>
    <row r="20" spans="1:16" x14ac:dyDescent="0.25">
      <c r="A20" s="2">
        <v>47542395</v>
      </c>
      <c r="B20" s="2">
        <v>47542415</v>
      </c>
      <c r="C20" s="2" t="str">
        <f>"UNIMEDSJN"</f>
        <v>UNIMEDSJN</v>
      </c>
      <c r="D20" s="2" t="str">
        <f>"DH"</f>
        <v>DH</v>
      </c>
      <c r="E20" s="2" t="str">
        <f>"Fernanda dos Reis Quinelato"</f>
        <v>Fernanda dos Reis Quinelato</v>
      </c>
      <c r="F20" s="2" t="str">
        <f>"47542395-1/1"</f>
        <v>47542395-1/1</v>
      </c>
      <c r="G20" s="2" t="str">
        <f>"Carteira 21"</f>
        <v>Carteira 21</v>
      </c>
      <c r="H20" s="2">
        <v>28</v>
      </c>
      <c r="I20" s="3">
        <v>105</v>
      </c>
      <c r="J20" s="2" t="str">
        <f>"02/12/2019"</f>
        <v>02/12/2019</v>
      </c>
      <c r="K20" s="2" t="str">
        <f>"30/12/2019"</f>
        <v>30/12/2019</v>
      </c>
      <c r="L20" s="2" t="str">
        <f>"07/02/2020"</f>
        <v>07/02/2020</v>
      </c>
      <c r="M20" s="2" t="str">
        <f>"10/02/2020"</f>
        <v>10/02/2020</v>
      </c>
      <c r="N20" s="2">
        <v>110.7</v>
      </c>
      <c r="O20" s="2">
        <v>114.34</v>
      </c>
      <c r="P20" s="2">
        <v>1.00000000000051E-2</v>
      </c>
    </row>
    <row r="21" spans="1:16" x14ac:dyDescent="0.25">
      <c r="A21">
        <v>48615023</v>
      </c>
      <c r="B21">
        <v>48615052</v>
      </c>
      <c r="C21" t="str">
        <f>"UNIMEDSJN"</f>
        <v>UNIMEDSJN</v>
      </c>
      <c r="D21" t="str">
        <f>"DH"</f>
        <v>DH</v>
      </c>
      <c r="E21" t="str">
        <f>"Fernanda dos Reis Quinelato"</f>
        <v>Fernanda dos Reis Quinelato</v>
      </c>
      <c r="F21" t="str">
        <f>"48615023-1/1"</f>
        <v>48615023-1/1</v>
      </c>
      <c r="G21" t="str">
        <f>"Carteira 21"</f>
        <v>Carteira 21</v>
      </c>
      <c r="H21">
        <v>28</v>
      </c>
      <c r="I21" s="1">
        <v>74</v>
      </c>
      <c r="J21" t="str">
        <f>"02/01/2020"</f>
        <v>02/01/2020</v>
      </c>
      <c r="K21" t="str">
        <f>"30/01/2020"</f>
        <v>30/01/2020</v>
      </c>
      <c r="L21" t="str">
        <f>"30/01/2020"</f>
        <v>30/01/2020</v>
      </c>
      <c r="M21" t="str">
        <f>"02/01/2020"</f>
        <v>02/01/2020</v>
      </c>
      <c r="N21">
        <v>56.7</v>
      </c>
      <c r="O21">
        <v>56.7</v>
      </c>
      <c r="P21">
        <v>0</v>
      </c>
    </row>
    <row r="22" spans="1:16" x14ac:dyDescent="0.25">
      <c r="A22" s="2">
        <v>47542211</v>
      </c>
      <c r="B22" s="2">
        <v>47542248</v>
      </c>
      <c r="C22" s="2" t="str">
        <f>"UNIMEDSJN"</f>
        <v>UNIMEDSJN</v>
      </c>
      <c r="D22" s="2" t="str">
        <f>"DH"</f>
        <v>DH</v>
      </c>
      <c r="E22" s="2" t="str">
        <f>"Giselle de Oliveira Reis Ferreira"</f>
        <v>Giselle de Oliveira Reis Ferreira</v>
      </c>
      <c r="F22" s="2" t="str">
        <f>"47542211-1/1"</f>
        <v>47542211-1/1</v>
      </c>
      <c r="G22" s="2" t="str">
        <f>"Carteira 21"</f>
        <v>Carteira 21</v>
      </c>
      <c r="H22" s="2">
        <v>28</v>
      </c>
      <c r="I22" s="3">
        <v>105</v>
      </c>
      <c r="J22" s="2" t="str">
        <f>"02/12/2019"</f>
        <v>02/12/2019</v>
      </c>
      <c r="K22" s="2" t="str">
        <f>"30/12/2019"</f>
        <v>30/12/2019</v>
      </c>
      <c r="L22" s="2" t="str">
        <f>"06/03/2020"</f>
        <v>06/03/2020</v>
      </c>
      <c r="M22" s="2" t="str">
        <f>"09/03/2020"</f>
        <v>09/03/2020</v>
      </c>
      <c r="N22" s="2">
        <v>131.47</v>
      </c>
      <c r="O22" s="2">
        <v>137.01</v>
      </c>
      <c r="P22" s="2">
        <v>3.0000000000001099E-2</v>
      </c>
    </row>
    <row r="23" spans="1:16" x14ac:dyDescent="0.25">
      <c r="A23">
        <v>48613929</v>
      </c>
      <c r="B23">
        <v>48613945</v>
      </c>
      <c r="C23" t="str">
        <f>"UNIMEDSJN"</f>
        <v>UNIMEDSJN</v>
      </c>
      <c r="D23" t="str">
        <f>"DH"</f>
        <v>DH</v>
      </c>
      <c r="E23" t="str">
        <f>"Giselle de Oliveira Reis Ferreira"</f>
        <v>Giselle de Oliveira Reis Ferreira</v>
      </c>
      <c r="F23" t="str">
        <f>"48613929-1/1"</f>
        <v>48613929-1/1</v>
      </c>
      <c r="G23" t="str">
        <f>"Carteira 21"</f>
        <v>Carteira 21</v>
      </c>
      <c r="H23">
        <v>28</v>
      </c>
      <c r="I23" s="1">
        <v>74</v>
      </c>
      <c r="J23" t="str">
        <f>"02/01/2020"</f>
        <v>02/01/2020</v>
      </c>
      <c r="K23" t="str">
        <f>"30/01/2020"</f>
        <v>30/01/2020</v>
      </c>
      <c r="L23" t="str">
        <f>"31/03/2020"</f>
        <v>31/03/2020</v>
      </c>
      <c r="M23" t="str">
        <f>"03/04/2020"</f>
        <v>03/04/2020</v>
      </c>
      <c r="N23">
        <v>124.27</v>
      </c>
      <c r="O23">
        <v>129.26</v>
      </c>
      <c r="P23">
        <v>3.0000000000001099E-2</v>
      </c>
    </row>
    <row r="24" spans="1:16" x14ac:dyDescent="0.25">
      <c r="A24" s="2">
        <v>47541176</v>
      </c>
      <c r="B24" s="2">
        <v>47541198</v>
      </c>
      <c r="C24" s="2" t="str">
        <f>"UNIMEDSJN"</f>
        <v>UNIMEDSJN</v>
      </c>
      <c r="D24" s="2" t="str">
        <f>"DH"</f>
        <v>DH</v>
      </c>
      <c r="E24" s="2" t="str">
        <f>"Irmaos Amino Ltda"</f>
        <v>Irmaos Amino Ltda</v>
      </c>
      <c r="F24" s="2" t="str">
        <f>"47541176-1/1"</f>
        <v>47541176-1/1</v>
      </c>
      <c r="G24" s="2" t="str">
        <f>"Carteira 21"</f>
        <v>Carteira 21</v>
      </c>
      <c r="H24" s="2">
        <v>28</v>
      </c>
      <c r="I24" s="3">
        <v>105</v>
      </c>
      <c r="J24" s="2" t="str">
        <f>"02/12/2019"</f>
        <v>02/12/2019</v>
      </c>
      <c r="K24" s="2" t="str">
        <f>"30/12/2019"</f>
        <v>30/12/2019</v>
      </c>
      <c r="L24" s="2" t="str">
        <f>"12/02/2020"</f>
        <v>12/02/2020</v>
      </c>
      <c r="M24" s="2" t="str">
        <f>"13/02/2020"</f>
        <v>13/02/2020</v>
      </c>
      <c r="N24" s="2">
        <v>154.04</v>
      </c>
      <c r="O24" s="2">
        <v>159.36000000000001</v>
      </c>
      <c r="P24" s="2">
        <v>1.99999999999818E-2</v>
      </c>
    </row>
    <row r="25" spans="1:16" x14ac:dyDescent="0.25">
      <c r="A25">
        <v>48599526</v>
      </c>
      <c r="B25">
        <v>48599560</v>
      </c>
      <c r="C25" t="str">
        <f>"UNIMEDSJN"</f>
        <v>UNIMEDSJN</v>
      </c>
      <c r="D25" t="str">
        <f>"DH"</f>
        <v>DH</v>
      </c>
      <c r="E25" t="str">
        <f>"Irmaos Amino Ltda"</f>
        <v>Irmaos Amino Ltda</v>
      </c>
      <c r="F25" t="str">
        <f>"48599526-1/1"</f>
        <v>48599526-1/1</v>
      </c>
      <c r="G25" t="str">
        <f>"Carteira 21"</f>
        <v>Carteira 21</v>
      </c>
      <c r="H25">
        <v>28</v>
      </c>
      <c r="I25" s="1">
        <v>74</v>
      </c>
      <c r="J25" t="str">
        <f>"02/01/2020"</f>
        <v>02/01/2020</v>
      </c>
      <c r="K25" t="str">
        <f>"30/01/2020"</f>
        <v>30/01/2020</v>
      </c>
      <c r="L25" t="str">
        <f>"06/02/2020"</f>
        <v>06/02/2020</v>
      </c>
      <c r="M25" t="str">
        <f>"07/02/2020"</f>
        <v>07/02/2020</v>
      </c>
      <c r="N25">
        <v>213.65</v>
      </c>
      <c r="O25">
        <v>218.42</v>
      </c>
      <c r="P25">
        <v>0</v>
      </c>
    </row>
    <row r="26" spans="1:16" x14ac:dyDescent="0.25">
      <c r="A26" s="2">
        <v>47542671</v>
      </c>
      <c r="B26" s="2">
        <v>47542684</v>
      </c>
      <c r="C26" s="2" t="str">
        <f>"UNIMEDSJN"</f>
        <v>UNIMEDSJN</v>
      </c>
      <c r="D26" s="2" t="str">
        <f>"DH"</f>
        <v>DH</v>
      </c>
      <c r="E26" s="2" t="str">
        <f>"Isabelle Athouguia Pimentel Girardi - Me"</f>
        <v>Isabelle Athouguia Pimentel Girardi - Me</v>
      </c>
      <c r="F26" s="2" t="str">
        <f>"47542671-1/1"</f>
        <v>47542671-1/1</v>
      </c>
      <c r="G26" s="2" t="str">
        <f>"Carteira 21"</f>
        <v>Carteira 21</v>
      </c>
      <c r="H26" s="2">
        <v>39</v>
      </c>
      <c r="I26" s="3">
        <v>94</v>
      </c>
      <c r="J26" s="2" t="str">
        <f>"02/12/2019"</f>
        <v>02/12/2019</v>
      </c>
      <c r="K26" s="2" t="str">
        <f>"10/01/2020"</f>
        <v>10/01/2020</v>
      </c>
      <c r="L26" s="2" t="str">
        <f>"28/02/2020"</f>
        <v>28/02/2020</v>
      </c>
      <c r="M26" s="2" t="str">
        <f>"13/03/2020"</f>
        <v>13/03/2020</v>
      </c>
      <c r="N26" s="2">
        <v>30</v>
      </c>
      <c r="O26" s="2">
        <v>31.19</v>
      </c>
      <c r="P26" s="2">
        <v>-0.100000000000001</v>
      </c>
    </row>
    <row r="27" spans="1:16" x14ac:dyDescent="0.25">
      <c r="A27">
        <v>48614393</v>
      </c>
      <c r="B27">
        <v>48614421</v>
      </c>
      <c r="C27" t="str">
        <f>"UNIMEDSJN"</f>
        <v>UNIMEDSJN</v>
      </c>
      <c r="D27" t="str">
        <f>"DH"</f>
        <v>DH</v>
      </c>
      <c r="E27" t="str">
        <f>"Isabelle Athouguia Pimentel Girardi - Me"</f>
        <v>Isabelle Athouguia Pimentel Girardi - Me</v>
      </c>
      <c r="F27" t="str">
        <f>"48614393-1/1"</f>
        <v>48614393-1/1</v>
      </c>
      <c r="G27" t="str">
        <f>"Carteira 21"</f>
        <v>Carteira 21</v>
      </c>
      <c r="H27">
        <v>58</v>
      </c>
      <c r="I27" s="1">
        <v>44</v>
      </c>
      <c r="J27" t="str">
        <f>"02/01/2020"</f>
        <v>02/01/2020</v>
      </c>
      <c r="K27" t="str">
        <f>"29/02/2020"</f>
        <v>29/02/2020</v>
      </c>
      <c r="L27" t="str">
        <f>"30/03/2020"</f>
        <v>30/03/2020</v>
      </c>
      <c r="M27" t="str">
        <f>"31/03/2020"</f>
        <v>31/03/2020</v>
      </c>
      <c r="N27">
        <v>90</v>
      </c>
      <c r="O27">
        <v>93.58</v>
      </c>
      <c r="P27">
        <v>-0.87999999999999501</v>
      </c>
    </row>
    <row r="28" spans="1:16" x14ac:dyDescent="0.25">
      <c r="A28" s="2">
        <v>47541630</v>
      </c>
      <c r="B28" s="2">
        <v>47541641</v>
      </c>
      <c r="C28" s="2" t="str">
        <f>"UNIMEDSJN"</f>
        <v>UNIMEDSJN</v>
      </c>
      <c r="D28" s="2" t="str">
        <f>"DH"</f>
        <v>DH</v>
      </c>
      <c r="E28" s="2" t="str">
        <f>"Jaqueline Rabello"</f>
        <v>Jaqueline Rabello</v>
      </c>
      <c r="F28" s="2" t="str">
        <f>"47541630-1/1"</f>
        <v>47541630-1/1</v>
      </c>
      <c r="G28" s="2" t="str">
        <f>"Carteira 21"</f>
        <v>Carteira 21</v>
      </c>
      <c r="H28" s="2">
        <v>23</v>
      </c>
      <c r="I28" s="3">
        <v>110</v>
      </c>
      <c r="J28" s="2" t="str">
        <f>"02/12/2019"</f>
        <v>02/12/2019</v>
      </c>
      <c r="K28" s="2" t="str">
        <f>"25/12/2019"</f>
        <v>25/12/2019</v>
      </c>
      <c r="L28" s="2" t="str">
        <f>"25/12/2019"</f>
        <v>25/12/2019</v>
      </c>
      <c r="M28" s="2" t="str">
        <f>"02/12/2019"</f>
        <v>02/12/2019</v>
      </c>
      <c r="N28" s="2">
        <v>36.840000000000003</v>
      </c>
      <c r="O28" s="2">
        <v>36.840000000000003</v>
      </c>
      <c r="P28" s="2">
        <v>0</v>
      </c>
    </row>
    <row r="29" spans="1:16" x14ac:dyDescent="0.25">
      <c r="A29">
        <v>48614293</v>
      </c>
      <c r="B29">
        <v>48614305</v>
      </c>
      <c r="C29" t="str">
        <f>"UNIMEDSJN"</f>
        <v>UNIMEDSJN</v>
      </c>
      <c r="D29" t="str">
        <f>"DH"</f>
        <v>DH</v>
      </c>
      <c r="E29" t="str">
        <f>"Karoline Rocha Alhadas Furtado"</f>
        <v>Karoline Rocha Alhadas Furtado</v>
      </c>
      <c r="F29" t="str">
        <f>"48614293-1/1"</f>
        <v>48614293-1/1</v>
      </c>
      <c r="G29" t="str">
        <f>"Carteira 21"</f>
        <v>Carteira 21</v>
      </c>
      <c r="H29">
        <v>28</v>
      </c>
      <c r="I29" s="1">
        <v>74</v>
      </c>
      <c r="J29" t="str">
        <f>"02/01/2020"</f>
        <v>02/01/2020</v>
      </c>
      <c r="K29" t="str">
        <f>"30/01/2020"</f>
        <v>30/01/2020</v>
      </c>
      <c r="L29" t="str">
        <f>"14/02/2020"</f>
        <v>14/02/2020</v>
      </c>
      <c r="M29" t="str">
        <f>"17/02/2020"</f>
        <v>17/02/2020</v>
      </c>
      <c r="N29">
        <v>28.35</v>
      </c>
      <c r="O29">
        <v>29.06</v>
      </c>
      <c r="P29">
        <v>0</v>
      </c>
    </row>
    <row r="30" spans="1:16" x14ac:dyDescent="0.25">
      <c r="A30" s="2">
        <v>47541709</v>
      </c>
      <c r="B30" s="2">
        <v>47541722</v>
      </c>
      <c r="C30" s="2" t="str">
        <f>"UNIMEDSJN"</f>
        <v>UNIMEDSJN</v>
      </c>
      <c r="D30" s="2" t="str">
        <f>"DH"</f>
        <v>DH</v>
      </c>
      <c r="E30" s="2" t="str">
        <f>"Marchiori Consultoria Eireli"</f>
        <v>Marchiori Consultoria Eireli</v>
      </c>
      <c r="F30" s="2" t="str">
        <f>"47541709-1/1"</f>
        <v>47541709-1/1</v>
      </c>
      <c r="G30" s="2" t="str">
        <f>"Carteira 21"</f>
        <v>Carteira 21</v>
      </c>
      <c r="H30" s="2">
        <v>28</v>
      </c>
      <c r="I30" s="3">
        <v>105</v>
      </c>
      <c r="J30" s="2" t="str">
        <f>"02/12/2019"</f>
        <v>02/12/2019</v>
      </c>
      <c r="K30" s="2" t="str">
        <f>"30/12/2019"</f>
        <v>30/12/2019</v>
      </c>
      <c r="L30" s="2" t="str">
        <f>"14/02/2020"</f>
        <v>14/02/2020</v>
      </c>
      <c r="M30" s="2" t="str">
        <f>"17/02/2020"</f>
        <v>17/02/2020</v>
      </c>
      <c r="N30" s="2">
        <v>74.540000000000006</v>
      </c>
      <c r="O30" s="2">
        <v>77.16</v>
      </c>
      <c r="P30" s="2">
        <v>1.00000000000051E-2</v>
      </c>
    </row>
    <row r="31" spans="1:16" x14ac:dyDescent="0.25">
      <c r="A31">
        <v>48614449</v>
      </c>
      <c r="B31">
        <v>48614501</v>
      </c>
      <c r="C31" t="str">
        <f>"UNIMEDSJN"</f>
        <v>UNIMEDSJN</v>
      </c>
      <c r="D31" t="str">
        <f>"DH"</f>
        <v>DH</v>
      </c>
      <c r="E31" t="str">
        <f>"Marchiori Consultoria Eireli"</f>
        <v>Marchiori Consultoria Eireli</v>
      </c>
      <c r="F31" t="str">
        <f>"48614449-1/1"</f>
        <v>48614449-1/1</v>
      </c>
      <c r="G31" t="str">
        <f>"Carteira 21"</f>
        <v>Carteira 21</v>
      </c>
      <c r="H31">
        <v>28</v>
      </c>
      <c r="I31" s="1">
        <v>74</v>
      </c>
      <c r="J31" t="str">
        <f>"02/01/2020"</f>
        <v>02/01/2020</v>
      </c>
      <c r="K31" t="str">
        <f>"30/01/2020"</f>
        <v>30/01/2020</v>
      </c>
      <c r="L31" t="str">
        <f>"10/03/2020"</f>
        <v>10/03/2020</v>
      </c>
      <c r="M31" t="str">
        <f>"11/03/2020"</f>
        <v>11/03/2020</v>
      </c>
      <c r="N31">
        <v>164.72</v>
      </c>
      <c r="O31">
        <v>170.19</v>
      </c>
      <c r="P31">
        <v>2.0000000000010201E-2</v>
      </c>
    </row>
    <row r="32" spans="1:16" x14ac:dyDescent="0.25">
      <c r="A32">
        <v>48615836</v>
      </c>
      <c r="B32">
        <v>48616277</v>
      </c>
      <c r="C32" t="str">
        <f>"UNIMEDSJN"</f>
        <v>UNIMEDSJN</v>
      </c>
      <c r="D32" t="str">
        <f>"DH"</f>
        <v>DH</v>
      </c>
      <c r="E32" t="str">
        <f>"Nsa Supermercado Ltda"</f>
        <v>Nsa Supermercado Ltda</v>
      </c>
      <c r="F32" t="str">
        <f>"48615836-1/1"</f>
        <v>48615836-1/1</v>
      </c>
      <c r="G32" t="str">
        <f>"Carteira 21"</f>
        <v>Carteira 21</v>
      </c>
      <c r="H32">
        <v>34</v>
      </c>
      <c r="I32" s="1">
        <v>68</v>
      </c>
      <c r="J32" t="str">
        <f>"02/01/2020"</f>
        <v>02/01/2020</v>
      </c>
      <c r="K32" t="str">
        <f>"05/02/2020"</f>
        <v>05/02/2020</v>
      </c>
      <c r="L32" t="str">
        <f>"05/02/2020"</f>
        <v>05/02/2020</v>
      </c>
      <c r="M32" t="str">
        <f>"06/02/2020"</f>
        <v>06/02/2020</v>
      </c>
      <c r="N32">
        <v>1313.59</v>
      </c>
      <c r="O32">
        <v>1313.59</v>
      </c>
      <c r="P32">
        <v>0</v>
      </c>
    </row>
    <row r="33" spans="1:16" x14ac:dyDescent="0.25">
      <c r="A33">
        <v>48614567</v>
      </c>
      <c r="B33">
        <v>48614585</v>
      </c>
      <c r="C33" t="str">
        <f>"UNIMEDSJN"</f>
        <v>UNIMEDSJN</v>
      </c>
      <c r="D33" t="str">
        <f>"DH"</f>
        <v>DH</v>
      </c>
      <c r="E33" t="str">
        <f>"Planning Arquitetura Eireli"</f>
        <v>Planning Arquitetura Eireli</v>
      </c>
      <c r="F33" t="str">
        <f>"48614567-1/1"</f>
        <v>48614567-1/1</v>
      </c>
      <c r="G33" t="str">
        <f>"Carteira 21"</f>
        <v>Carteira 21</v>
      </c>
      <c r="H33">
        <v>54</v>
      </c>
      <c r="I33" s="1">
        <v>48</v>
      </c>
      <c r="J33" t="str">
        <f>"02/01/2020"</f>
        <v>02/01/2020</v>
      </c>
      <c r="K33" t="str">
        <f>"25/02/2020"</f>
        <v>25/02/2020</v>
      </c>
      <c r="L33" t="str">
        <f>"07/04/2020"</f>
        <v>07/04/2020</v>
      </c>
      <c r="M33" t="str">
        <f>"08/04/2020"</f>
        <v>08/04/2020</v>
      </c>
      <c r="N33">
        <v>97.06</v>
      </c>
      <c r="O33">
        <v>99.13</v>
      </c>
      <c r="P33">
        <v>1.23</v>
      </c>
    </row>
    <row r="34" spans="1:16" x14ac:dyDescent="0.25">
      <c r="A34">
        <v>48615409</v>
      </c>
      <c r="B34">
        <v>48615426</v>
      </c>
      <c r="C34" t="str">
        <f>"UNIMEDSJN"</f>
        <v>UNIMEDSJN</v>
      </c>
      <c r="D34" t="str">
        <f>"DH"</f>
        <v>DH</v>
      </c>
      <c r="E34" t="str">
        <f>"Posto Santa Terezinha Mar de Espanha Ltda"</f>
        <v>Posto Santa Terezinha Mar de Espanha Ltda</v>
      </c>
      <c r="F34" t="str">
        <f>"48615409-1/1"</f>
        <v>48615409-1/1</v>
      </c>
      <c r="G34" t="str">
        <f>"Carteira 21"</f>
        <v>Carteira 21</v>
      </c>
      <c r="H34">
        <v>28</v>
      </c>
      <c r="I34" s="1">
        <v>74</v>
      </c>
      <c r="J34" t="str">
        <f>"02/01/2020"</f>
        <v>02/01/2020</v>
      </c>
      <c r="K34" t="str">
        <f>"30/01/2020"</f>
        <v>30/01/2020</v>
      </c>
      <c r="L34" t="str">
        <f>"11/02/2020"</f>
        <v>11/02/2020</v>
      </c>
      <c r="M34" t="str">
        <f>"12/02/2020"</f>
        <v>12/02/2020</v>
      </c>
      <c r="N34">
        <v>48</v>
      </c>
      <c r="O34">
        <v>49.15</v>
      </c>
      <c r="P34">
        <v>0</v>
      </c>
    </row>
    <row r="35" spans="1:16" x14ac:dyDescent="0.25">
      <c r="A35" s="2">
        <v>45956743</v>
      </c>
      <c r="B35" s="2">
        <v>45956802</v>
      </c>
      <c r="C35" s="2" t="str">
        <f>"UNIMEDSJN"</f>
        <v>UNIMEDSJN</v>
      </c>
      <c r="D35" s="2" t="str">
        <f>"DH"</f>
        <v>DH</v>
      </c>
      <c r="E35" s="2" t="str">
        <f>"Sindicato dos Servidores Publico - Sisep"</f>
        <v>Sindicato dos Servidores Publico - Sisep</v>
      </c>
      <c r="F35" s="2" t="str">
        <f>"45956743-1/1"</f>
        <v>45956743-1/1</v>
      </c>
      <c r="G35" s="2" t="str">
        <f>"Carteira 21"</f>
        <v>Carteira 21</v>
      </c>
      <c r="H35" s="2">
        <v>48</v>
      </c>
      <c r="I35" s="3">
        <v>116</v>
      </c>
      <c r="J35" s="2" t="str">
        <f>"01/11/2019"</f>
        <v>01/11/2019</v>
      </c>
      <c r="K35" s="2" t="str">
        <f>"19/12/2019"</f>
        <v>19/12/2019</v>
      </c>
      <c r="L35" s="2" t="str">
        <f>"19/12/2019"</f>
        <v>19/12/2019</v>
      </c>
      <c r="M35" s="2" t="str">
        <f>"19/02/2020"</f>
        <v>19/02/2020</v>
      </c>
      <c r="N35" s="2">
        <v>682.96</v>
      </c>
      <c r="O35" s="2">
        <v>682.96</v>
      </c>
      <c r="P35" s="2">
        <v>0</v>
      </c>
    </row>
    <row r="36" spans="1:16" x14ac:dyDescent="0.25">
      <c r="A36">
        <v>47546358</v>
      </c>
      <c r="B36">
        <v>47546448</v>
      </c>
      <c r="C36" t="str">
        <f>"UNIMEDSJN"</f>
        <v>UNIMEDSJN</v>
      </c>
      <c r="D36" t="str">
        <f>"DH"</f>
        <v>DH</v>
      </c>
      <c r="E36" t="str">
        <f>"Sindicato dos Servidores Publico - Sisep"</f>
        <v>Sindicato dos Servidores Publico - Sisep</v>
      </c>
      <c r="F36" t="str">
        <f>"47546358-1/1"</f>
        <v>47546358-1/1</v>
      </c>
      <c r="G36" t="str">
        <f>"Carteira 21"</f>
        <v>Carteira 21</v>
      </c>
      <c r="H36">
        <v>54</v>
      </c>
      <c r="I36" s="1">
        <v>79</v>
      </c>
      <c r="J36" t="str">
        <f>"02/12/2019"</f>
        <v>02/12/2019</v>
      </c>
      <c r="K36" t="str">
        <f>"25/01/2020"</f>
        <v>25/01/2020</v>
      </c>
      <c r="L36" t="str">
        <f>"27/01/2020"</f>
        <v>27/01/2020</v>
      </c>
      <c r="M36" t="str">
        <f>"13/03/2020"</f>
        <v>13/03/2020</v>
      </c>
      <c r="N36">
        <v>294.68</v>
      </c>
      <c r="O36">
        <v>294.68</v>
      </c>
      <c r="P36">
        <v>0</v>
      </c>
    </row>
    <row r="37" spans="1:16" x14ac:dyDescent="0.25">
      <c r="A37">
        <v>48621283</v>
      </c>
      <c r="B37">
        <v>48621372</v>
      </c>
      <c r="C37" t="str">
        <f>"UNIMEDSJN"</f>
        <v>UNIMEDSJN</v>
      </c>
      <c r="D37" t="str">
        <f>"DH"</f>
        <v>DH</v>
      </c>
      <c r="E37" t="str">
        <f>"Sindicato dos Servidores Publico - Sisep"</f>
        <v>Sindicato dos Servidores Publico - Sisep</v>
      </c>
      <c r="F37" t="str">
        <f>"48621283-1/1"</f>
        <v>48621283-1/1</v>
      </c>
      <c r="G37" t="str">
        <f>"Carteira 21"</f>
        <v>Carteira 21</v>
      </c>
      <c r="H37">
        <v>44</v>
      </c>
      <c r="I37" s="1">
        <v>58</v>
      </c>
      <c r="J37" t="str">
        <f>"02/01/2020"</f>
        <v>02/01/2020</v>
      </c>
      <c r="K37" t="str">
        <f>"15/02/2020"</f>
        <v>15/02/2020</v>
      </c>
      <c r="L37" t="str">
        <f>"17/02/2020"</f>
        <v>17/02/2020</v>
      </c>
      <c r="M37" t="str">
        <f>"02/01/2020"</f>
        <v>02/01/2020</v>
      </c>
      <c r="N37">
        <v>408.17</v>
      </c>
      <c r="O37">
        <v>408.17</v>
      </c>
      <c r="P37">
        <v>0</v>
      </c>
    </row>
    <row r="38" spans="1:16" x14ac:dyDescent="0.25">
      <c r="A38" s="2">
        <v>47542728</v>
      </c>
      <c r="B38" s="2">
        <v>47542751</v>
      </c>
      <c r="C38" s="2" t="str">
        <f>"UNIMEDSJN"</f>
        <v>UNIMEDSJN</v>
      </c>
      <c r="D38" s="2" t="str">
        <f>"DH"</f>
        <v>DH</v>
      </c>
      <c r="E38" s="2" t="str">
        <f>"Wellington Decolo Machado"</f>
        <v>Wellington Decolo Machado</v>
      </c>
      <c r="F38" s="2" t="str">
        <f>"47542728-1/1"</f>
        <v>47542728-1/1</v>
      </c>
      <c r="G38" s="2" t="str">
        <f>"Carteira 21"</f>
        <v>Carteira 21</v>
      </c>
      <c r="H38" s="2">
        <v>28</v>
      </c>
      <c r="I38" s="3">
        <v>105</v>
      </c>
      <c r="J38" s="2" t="str">
        <f>"02/12/2019"</f>
        <v>02/12/2019</v>
      </c>
      <c r="K38" s="2" t="str">
        <f>"30/12/2019"</f>
        <v>30/12/2019</v>
      </c>
      <c r="L38" s="2" t="str">
        <f>"10/02/2020"</f>
        <v>10/02/2020</v>
      </c>
      <c r="M38" s="2" t="str">
        <f>"11/02/2020"</f>
        <v>11/02/2020</v>
      </c>
      <c r="N38" s="2">
        <v>56.7</v>
      </c>
      <c r="O38" s="2">
        <v>58.61</v>
      </c>
      <c r="P38" s="2">
        <v>1.00000000000051E-2</v>
      </c>
    </row>
    <row r="39" spans="1:16" x14ac:dyDescent="0.25">
      <c r="A39">
        <v>48614350</v>
      </c>
      <c r="B39">
        <v>48614626</v>
      </c>
      <c r="C39" t="str">
        <f>"UNIMEDSJN"</f>
        <v>UNIMEDSJN</v>
      </c>
      <c r="D39" t="str">
        <f>"DH"</f>
        <v>DH</v>
      </c>
      <c r="E39" t="str">
        <f>"Wellington Decolo Machado"</f>
        <v>Wellington Decolo Machado</v>
      </c>
      <c r="F39" t="str">
        <f>"48614350-1/1"</f>
        <v>48614350-1/1</v>
      </c>
      <c r="G39" t="str">
        <f>"Carteira 21"</f>
        <v>Carteira 21</v>
      </c>
      <c r="H39">
        <v>28</v>
      </c>
      <c r="I39" s="1">
        <v>74</v>
      </c>
      <c r="J39" t="str">
        <f>"02/01/2020"</f>
        <v>02/01/2020</v>
      </c>
      <c r="K39" t="str">
        <f>"30/01/2020"</f>
        <v>30/01/2020</v>
      </c>
      <c r="L39" t="str">
        <f>"09/03/2020"</f>
        <v>09/03/2020</v>
      </c>
      <c r="M39" t="str">
        <f>"10/03/2020"</f>
        <v>10/03/2020</v>
      </c>
      <c r="N39">
        <v>358.93</v>
      </c>
      <c r="O39">
        <v>370.73</v>
      </c>
      <c r="P39">
        <v>5.0000000000011403E-2</v>
      </c>
    </row>
    <row r="40" spans="1:16" s="2" customFormat="1" x14ac:dyDescent="0.25">
      <c r="I40" s="3"/>
    </row>
  </sheetData>
  <sortState ref="A1:P40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Titulos por Data Base - Coopart</vt:lpstr>
      <vt:lpstr>- 90 dias</vt:lpstr>
      <vt:lpstr>+ 90 dias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modified xsi:type="dcterms:W3CDTF">2020-04-14T13:56:56Z</dcterms:modified>
</cp:coreProperties>
</file>