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Titulos por Data Base - Mensali" sheetId="1" r:id="rId1"/>
    <sheet name="- 60 dias" sheetId="2" r:id="rId2"/>
    <sheet name="+ 60 dias" sheetId="3" r:id="rId3"/>
  </sheets>
  <definedNames>
    <definedName name="_xlnm._FilterDatabase" localSheetId="0" hidden="1">'Titulos por Data Base - Mensali'!$I$1:$I$934</definedName>
  </definedNames>
  <calcPr calcId="0"/>
</workbook>
</file>

<file path=xl/calcChain.xml><?xml version="1.0" encoding="utf-8"?>
<calcChain xmlns="http://schemas.openxmlformats.org/spreadsheetml/2006/main">
  <c r="C367" i="1" l="1"/>
  <c r="D367" i="1"/>
  <c r="E367" i="1"/>
  <c r="F367" i="1"/>
  <c r="G367" i="1"/>
  <c r="J367" i="1"/>
  <c r="K367" i="1"/>
  <c r="L367" i="1"/>
  <c r="M367" i="1"/>
  <c r="C276" i="1"/>
  <c r="D276" i="1"/>
  <c r="E276" i="1"/>
  <c r="F276" i="1"/>
  <c r="G276" i="1"/>
  <c r="J276" i="1"/>
  <c r="K276" i="1"/>
  <c r="L276" i="1"/>
  <c r="M276" i="1"/>
  <c r="C798" i="1"/>
  <c r="D798" i="1"/>
  <c r="E798" i="1"/>
  <c r="F798" i="1"/>
  <c r="G798" i="1"/>
  <c r="J798" i="1"/>
  <c r="K798" i="1"/>
  <c r="L798" i="1"/>
  <c r="M798" i="1"/>
  <c r="C751" i="1"/>
  <c r="D751" i="1"/>
  <c r="E751" i="1"/>
  <c r="F751" i="1"/>
  <c r="G751" i="1"/>
  <c r="J751" i="1"/>
  <c r="K751" i="1"/>
  <c r="L751" i="1"/>
  <c r="M751" i="1"/>
  <c r="C766" i="1"/>
  <c r="D766" i="1"/>
  <c r="E766" i="1"/>
  <c r="F766" i="1"/>
  <c r="G766" i="1"/>
  <c r="J766" i="1"/>
  <c r="K766" i="1"/>
  <c r="L766" i="1"/>
  <c r="M766" i="1"/>
  <c r="C180" i="1"/>
  <c r="D180" i="1"/>
  <c r="E180" i="1"/>
  <c r="F180" i="1"/>
  <c r="G180" i="1"/>
  <c r="J180" i="1"/>
  <c r="K180" i="1"/>
  <c r="L180" i="1"/>
  <c r="M180" i="1"/>
  <c r="C578" i="1"/>
  <c r="D578" i="1"/>
  <c r="E578" i="1"/>
  <c r="F578" i="1"/>
  <c r="G578" i="1"/>
  <c r="J578" i="1"/>
  <c r="K578" i="1"/>
  <c r="L578" i="1"/>
  <c r="M578" i="1"/>
  <c r="C836" i="1"/>
  <c r="D836" i="1"/>
  <c r="E836" i="1"/>
  <c r="F836" i="1"/>
  <c r="G836" i="1"/>
  <c r="J836" i="1"/>
  <c r="K836" i="1"/>
  <c r="L836" i="1"/>
  <c r="M836" i="1"/>
  <c r="C287" i="1"/>
  <c r="D287" i="1"/>
  <c r="E287" i="1"/>
  <c r="F287" i="1"/>
  <c r="G287" i="1"/>
  <c r="J287" i="1"/>
  <c r="K287" i="1"/>
  <c r="L287" i="1"/>
  <c r="M287" i="1"/>
  <c r="C472" i="1"/>
  <c r="D472" i="1"/>
  <c r="E472" i="1"/>
  <c r="F472" i="1"/>
  <c r="G472" i="1"/>
  <c r="J472" i="1"/>
  <c r="K472" i="1"/>
  <c r="L472" i="1"/>
  <c r="M472" i="1"/>
  <c r="C776" i="1"/>
  <c r="D776" i="1"/>
  <c r="E776" i="1"/>
  <c r="F776" i="1"/>
  <c r="G776" i="1"/>
  <c r="J776" i="1"/>
  <c r="K776" i="1"/>
  <c r="L776" i="1"/>
  <c r="M776" i="1"/>
  <c r="C679" i="1"/>
  <c r="D679" i="1"/>
  <c r="E679" i="1"/>
  <c r="F679" i="1"/>
  <c r="G679" i="1"/>
  <c r="J679" i="1"/>
  <c r="K679" i="1"/>
  <c r="L679" i="1"/>
  <c r="M679" i="1"/>
  <c r="C756" i="1"/>
  <c r="D756" i="1"/>
  <c r="E756" i="1"/>
  <c r="F756" i="1"/>
  <c r="G756" i="1"/>
  <c r="J756" i="1"/>
  <c r="K756" i="1"/>
  <c r="L756" i="1"/>
  <c r="M756" i="1"/>
  <c r="C475" i="1"/>
  <c r="D475" i="1"/>
  <c r="E475" i="1"/>
  <c r="F475" i="1"/>
  <c r="G475" i="1"/>
  <c r="J475" i="1"/>
  <c r="K475" i="1"/>
  <c r="L475" i="1"/>
  <c r="M475" i="1"/>
  <c r="C476" i="1"/>
  <c r="D476" i="1"/>
  <c r="E476" i="1"/>
  <c r="F476" i="1"/>
  <c r="G476" i="1"/>
  <c r="J476" i="1"/>
  <c r="K476" i="1"/>
  <c r="L476" i="1"/>
  <c r="M476" i="1"/>
  <c r="C288" i="1"/>
  <c r="D288" i="1"/>
  <c r="E288" i="1"/>
  <c r="F288" i="1"/>
  <c r="G288" i="1"/>
  <c r="J288" i="1"/>
  <c r="K288" i="1"/>
  <c r="L288" i="1"/>
  <c r="M288" i="1"/>
  <c r="C579" i="1"/>
  <c r="D579" i="1"/>
  <c r="E579" i="1"/>
  <c r="F579" i="1"/>
  <c r="G579" i="1"/>
  <c r="J579" i="1"/>
  <c r="K579" i="1"/>
  <c r="L579" i="1"/>
  <c r="M579" i="1"/>
  <c r="C217" i="1"/>
  <c r="D217" i="1"/>
  <c r="E217" i="1"/>
  <c r="F217" i="1"/>
  <c r="G217" i="1"/>
  <c r="J217" i="1"/>
  <c r="K217" i="1"/>
  <c r="L217" i="1"/>
  <c r="M217" i="1"/>
  <c r="C757" i="1"/>
  <c r="D757" i="1"/>
  <c r="E757" i="1"/>
  <c r="F757" i="1"/>
  <c r="G757" i="1"/>
  <c r="J757" i="1"/>
  <c r="K757" i="1"/>
  <c r="L757" i="1"/>
  <c r="M757" i="1"/>
  <c r="C777" i="1"/>
  <c r="D777" i="1"/>
  <c r="E777" i="1"/>
  <c r="F777" i="1"/>
  <c r="G777" i="1"/>
  <c r="J777" i="1"/>
  <c r="K777" i="1"/>
  <c r="L777" i="1"/>
  <c r="M777" i="1"/>
  <c r="C778" i="1"/>
  <c r="D778" i="1"/>
  <c r="E778" i="1"/>
  <c r="F778" i="1"/>
  <c r="G778" i="1"/>
  <c r="J778" i="1"/>
  <c r="K778" i="1"/>
  <c r="L778" i="1"/>
  <c r="M778" i="1"/>
  <c r="C779" i="1"/>
  <c r="D779" i="1"/>
  <c r="E779" i="1"/>
  <c r="F779" i="1"/>
  <c r="G779" i="1"/>
  <c r="J779" i="1"/>
  <c r="K779" i="1"/>
  <c r="L779" i="1"/>
  <c r="M779" i="1"/>
  <c r="C780" i="1"/>
  <c r="D780" i="1"/>
  <c r="E780" i="1"/>
  <c r="F780" i="1"/>
  <c r="G780" i="1"/>
  <c r="J780" i="1"/>
  <c r="K780" i="1"/>
  <c r="L780" i="1"/>
  <c r="M780" i="1"/>
  <c r="C551" i="1"/>
  <c r="D551" i="1"/>
  <c r="E551" i="1"/>
  <c r="F551" i="1"/>
  <c r="G551" i="1"/>
  <c r="J551" i="1"/>
  <c r="K551" i="1"/>
  <c r="L551" i="1"/>
  <c r="M551" i="1"/>
  <c r="C488" i="1"/>
  <c r="D488" i="1"/>
  <c r="E488" i="1"/>
  <c r="F488" i="1"/>
  <c r="G488" i="1"/>
  <c r="J488" i="1"/>
  <c r="K488" i="1"/>
  <c r="L488" i="1"/>
  <c r="M488" i="1"/>
  <c r="C218" i="1"/>
  <c r="D218" i="1"/>
  <c r="E218" i="1"/>
  <c r="F218" i="1"/>
  <c r="G218" i="1"/>
  <c r="J218" i="1"/>
  <c r="K218" i="1"/>
  <c r="L218" i="1"/>
  <c r="M218" i="1"/>
  <c r="C278" i="1"/>
  <c r="D278" i="1"/>
  <c r="E278" i="1"/>
  <c r="F278" i="1"/>
  <c r="G278" i="1"/>
  <c r="J278" i="1"/>
  <c r="K278" i="1"/>
  <c r="L278" i="1"/>
  <c r="M278" i="1"/>
  <c r="C347" i="1"/>
  <c r="D347" i="1"/>
  <c r="E347" i="1"/>
  <c r="F347" i="1"/>
  <c r="G347" i="1"/>
  <c r="J347" i="1"/>
  <c r="K347" i="1"/>
  <c r="L347" i="1"/>
  <c r="M347" i="1"/>
  <c r="C338" i="1"/>
  <c r="D338" i="1"/>
  <c r="E338" i="1"/>
  <c r="F338" i="1"/>
  <c r="G338" i="1"/>
  <c r="J338" i="1"/>
  <c r="K338" i="1"/>
  <c r="L338" i="1"/>
  <c r="M338" i="1"/>
  <c r="C735" i="1"/>
  <c r="D735" i="1"/>
  <c r="E735" i="1"/>
  <c r="F735" i="1"/>
  <c r="G735" i="1"/>
  <c r="J735" i="1"/>
  <c r="K735" i="1"/>
  <c r="L735" i="1"/>
  <c r="M735" i="1"/>
  <c r="C307" i="1"/>
  <c r="D307" i="1"/>
  <c r="E307" i="1"/>
  <c r="F307" i="1"/>
  <c r="G307" i="1"/>
  <c r="J307" i="1"/>
  <c r="K307" i="1"/>
  <c r="L307" i="1"/>
  <c r="M307" i="1"/>
  <c r="C107" i="1"/>
  <c r="D107" i="1"/>
  <c r="E107" i="1"/>
  <c r="F107" i="1"/>
  <c r="G107" i="1"/>
  <c r="J107" i="1"/>
  <c r="K107" i="1"/>
  <c r="L107" i="1"/>
  <c r="M107" i="1"/>
  <c r="C14" i="1"/>
  <c r="D14" i="1"/>
  <c r="E14" i="1"/>
  <c r="F14" i="1"/>
  <c r="G14" i="1"/>
  <c r="J14" i="1"/>
  <c r="K14" i="1"/>
  <c r="L14" i="1"/>
  <c r="M14" i="1"/>
  <c r="C118" i="1"/>
  <c r="D118" i="1"/>
  <c r="E118" i="1"/>
  <c r="F118" i="1"/>
  <c r="G118" i="1"/>
  <c r="J118" i="1"/>
  <c r="K118" i="1"/>
  <c r="L118" i="1"/>
  <c r="M118" i="1"/>
  <c r="C580" i="1"/>
  <c r="D580" i="1"/>
  <c r="E580" i="1"/>
  <c r="F580" i="1"/>
  <c r="G580" i="1"/>
  <c r="J580" i="1"/>
  <c r="K580" i="1"/>
  <c r="L580" i="1"/>
  <c r="M580" i="1"/>
  <c r="C552" i="1"/>
  <c r="D552" i="1"/>
  <c r="E552" i="1"/>
  <c r="F552" i="1"/>
  <c r="G552" i="1"/>
  <c r="J552" i="1"/>
  <c r="K552" i="1"/>
  <c r="L552" i="1"/>
  <c r="M552" i="1"/>
  <c r="C489" i="1"/>
  <c r="D489" i="1"/>
  <c r="E489" i="1"/>
  <c r="F489" i="1"/>
  <c r="G489" i="1"/>
  <c r="J489" i="1"/>
  <c r="K489" i="1"/>
  <c r="L489" i="1"/>
  <c r="M489" i="1"/>
  <c r="C781" i="1"/>
  <c r="D781" i="1"/>
  <c r="E781" i="1"/>
  <c r="F781" i="1"/>
  <c r="G781" i="1"/>
  <c r="J781" i="1"/>
  <c r="K781" i="1"/>
  <c r="L781" i="1"/>
  <c r="M781" i="1"/>
  <c r="C831" i="1"/>
  <c r="D831" i="1"/>
  <c r="E831" i="1"/>
  <c r="F831" i="1"/>
  <c r="G831" i="1"/>
  <c r="J831" i="1"/>
  <c r="K831" i="1"/>
  <c r="L831" i="1"/>
  <c r="M831" i="1"/>
  <c r="C389" i="1"/>
  <c r="D389" i="1"/>
  <c r="E389" i="1"/>
  <c r="F389" i="1"/>
  <c r="G389" i="1"/>
  <c r="J389" i="1"/>
  <c r="K389" i="1"/>
  <c r="L389" i="1"/>
  <c r="M389" i="1"/>
  <c r="C264" i="1"/>
  <c r="D264" i="1"/>
  <c r="E264" i="1"/>
  <c r="F264" i="1"/>
  <c r="G264" i="1"/>
  <c r="J264" i="1"/>
  <c r="K264" i="1"/>
  <c r="L264" i="1"/>
  <c r="M264" i="1"/>
  <c r="C308" i="1"/>
  <c r="D308" i="1"/>
  <c r="E308" i="1"/>
  <c r="F308" i="1"/>
  <c r="G308" i="1"/>
  <c r="J308" i="1"/>
  <c r="K308" i="1"/>
  <c r="L308" i="1"/>
  <c r="M308" i="1"/>
  <c r="C736" i="1"/>
  <c r="D736" i="1"/>
  <c r="E736" i="1"/>
  <c r="F736" i="1"/>
  <c r="G736" i="1"/>
  <c r="J736" i="1"/>
  <c r="K736" i="1"/>
  <c r="L736" i="1"/>
  <c r="M736" i="1"/>
  <c r="C66" i="1"/>
  <c r="D66" i="1"/>
  <c r="E66" i="1"/>
  <c r="F66" i="1"/>
  <c r="G66" i="1"/>
  <c r="J66" i="1"/>
  <c r="K66" i="1"/>
  <c r="L66" i="1"/>
  <c r="M66" i="1"/>
  <c r="C866" i="1"/>
  <c r="D866" i="1"/>
  <c r="E866" i="1"/>
  <c r="F866" i="1"/>
  <c r="G866" i="1"/>
  <c r="J866" i="1"/>
  <c r="K866" i="1"/>
  <c r="L866" i="1"/>
  <c r="M866" i="1"/>
  <c r="C553" i="1"/>
  <c r="D553" i="1"/>
  <c r="E553" i="1"/>
  <c r="F553" i="1"/>
  <c r="G553" i="1"/>
  <c r="J553" i="1"/>
  <c r="K553" i="1"/>
  <c r="L553" i="1"/>
  <c r="M553" i="1"/>
  <c r="C15" i="1"/>
  <c r="D15" i="1"/>
  <c r="E15" i="1"/>
  <c r="F15" i="1"/>
  <c r="G15" i="1"/>
  <c r="J15" i="1"/>
  <c r="K15" i="1"/>
  <c r="L15" i="1"/>
  <c r="M15" i="1"/>
  <c r="C490" i="1"/>
  <c r="D490" i="1"/>
  <c r="E490" i="1"/>
  <c r="F490" i="1"/>
  <c r="G490" i="1"/>
  <c r="J490" i="1"/>
  <c r="K490" i="1"/>
  <c r="L490" i="1"/>
  <c r="M490" i="1"/>
  <c r="C245" i="1"/>
  <c r="D245" i="1"/>
  <c r="E245" i="1"/>
  <c r="F245" i="1"/>
  <c r="G245" i="1"/>
  <c r="J245" i="1"/>
  <c r="K245" i="1"/>
  <c r="L245" i="1"/>
  <c r="M245" i="1"/>
  <c r="C782" i="1"/>
  <c r="D782" i="1"/>
  <c r="E782" i="1"/>
  <c r="F782" i="1"/>
  <c r="G782" i="1"/>
  <c r="J782" i="1"/>
  <c r="K782" i="1"/>
  <c r="L782" i="1"/>
  <c r="M782" i="1"/>
  <c r="C269" i="1"/>
  <c r="D269" i="1"/>
  <c r="E269" i="1"/>
  <c r="F269" i="1"/>
  <c r="G269" i="1"/>
  <c r="J269" i="1"/>
  <c r="K269" i="1"/>
  <c r="L269" i="1"/>
  <c r="M269" i="1"/>
  <c r="C67" i="1"/>
  <c r="D67" i="1"/>
  <c r="E67" i="1"/>
  <c r="F67" i="1"/>
  <c r="G67" i="1"/>
  <c r="J67" i="1"/>
  <c r="K67" i="1"/>
  <c r="L67" i="1"/>
  <c r="M67" i="1"/>
  <c r="C198" i="1"/>
  <c r="D198" i="1"/>
  <c r="E198" i="1"/>
  <c r="F198" i="1"/>
  <c r="G198" i="1"/>
  <c r="J198" i="1"/>
  <c r="K198" i="1"/>
  <c r="L198" i="1"/>
  <c r="M198" i="1"/>
  <c r="C81" i="1"/>
  <c r="D81" i="1"/>
  <c r="E81" i="1"/>
  <c r="F81" i="1"/>
  <c r="G81" i="1"/>
  <c r="J81" i="1"/>
  <c r="K81" i="1"/>
  <c r="L81" i="1"/>
  <c r="M81" i="1"/>
  <c r="C427" i="1"/>
  <c r="D427" i="1"/>
  <c r="E427" i="1"/>
  <c r="F427" i="1"/>
  <c r="G427" i="1"/>
  <c r="J427" i="1"/>
  <c r="K427" i="1"/>
  <c r="L427" i="1"/>
  <c r="M427" i="1"/>
  <c r="C376" i="1"/>
  <c r="D376" i="1"/>
  <c r="E376" i="1"/>
  <c r="F376" i="1"/>
  <c r="G376" i="1"/>
  <c r="J376" i="1"/>
  <c r="K376" i="1"/>
  <c r="L376" i="1"/>
  <c r="M376" i="1"/>
  <c r="C279" i="1"/>
  <c r="D279" i="1"/>
  <c r="E279" i="1"/>
  <c r="F279" i="1"/>
  <c r="G279" i="1"/>
  <c r="J279" i="1"/>
  <c r="K279" i="1"/>
  <c r="L279" i="1"/>
  <c r="M279" i="1"/>
  <c r="C80" i="1"/>
  <c r="D80" i="1"/>
  <c r="E80" i="1"/>
  <c r="F80" i="1"/>
  <c r="G80" i="1"/>
  <c r="J80" i="1"/>
  <c r="K80" i="1"/>
  <c r="L80" i="1"/>
  <c r="M80" i="1"/>
  <c r="C68" i="1"/>
  <c r="D68" i="1"/>
  <c r="E68" i="1"/>
  <c r="F68" i="1"/>
  <c r="G68" i="1"/>
  <c r="J68" i="1"/>
  <c r="K68" i="1"/>
  <c r="L68" i="1"/>
  <c r="M68" i="1"/>
  <c r="C737" i="1"/>
  <c r="D737" i="1"/>
  <c r="E737" i="1"/>
  <c r="F737" i="1"/>
  <c r="G737" i="1"/>
  <c r="J737" i="1"/>
  <c r="K737" i="1"/>
  <c r="L737" i="1"/>
  <c r="M737" i="1"/>
  <c r="C69" i="1"/>
  <c r="D69" i="1"/>
  <c r="E69" i="1"/>
  <c r="F69" i="1"/>
  <c r="G69" i="1"/>
  <c r="J69" i="1"/>
  <c r="K69" i="1"/>
  <c r="L69" i="1"/>
  <c r="M69" i="1"/>
  <c r="C199" i="1"/>
  <c r="D199" i="1"/>
  <c r="E199" i="1"/>
  <c r="F199" i="1"/>
  <c r="G199" i="1"/>
  <c r="J199" i="1"/>
  <c r="K199" i="1"/>
  <c r="L199" i="1"/>
  <c r="M199" i="1"/>
  <c r="C265" i="1"/>
  <c r="D265" i="1"/>
  <c r="E265" i="1"/>
  <c r="F265" i="1"/>
  <c r="G265" i="1"/>
  <c r="J265" i="1"/>
  <c r="K265" i="1"/>
  <c r="L265" i="1"/>
  <c r="M265" i="1"/>
  <c r="C390" i="1"/>
  <c r="D390" i="1"/>
  <c r="E390" i="1"/>
  <c r="F390" i="1"/>
  <c r="G390" i="1"/>
  <c r="J390" i="1"/>
  <c r="K390" i="1"/>
  <c r="L390" i="1"/>
  <c r="M390" i="1"/>
  <c r="C226" i="1"/>
  <c r="D226" i="1"/>
  <c r="E226" i="1"/>
  <c r="F226" i="1"/>
  <c r="G226" i="1"/>
  <c r="J226" i="1"/>
  <c r="K226" i="1"/>
  <c r="L226" i="1"/>
  <c r="M226" i="1"/>
  <c r="C232" i="1"/>
  <c r="D232" i="1"/>
  <c r="E232" i="1"/>
  <c r="F232" i="1"/>
  <c r="G232" i="1"/>
  <c r="J232" i="1"/>
  <c r="K232" i="1"/>
  <c r="L232" i="1"/>
  <c r="M232" i="1"/>
  <c r="C152" i="1"/>
  <c r="D152" i="1"/>
  <c r="E152" i="1"/>
  <c r="F152" i="1"/>
  <c r="G152" i="1"/>
  <c r="J152" i="1"/>
  <c r="K152" i="1"/>
  <c r="L152" i="1"/>
  <c r="M152" i="1"/>
  <c r="C470" i="1"/>
  <c r="D470" i="1"/>
  <c r="E470" i="1"/>
  <c r="F470" i="1"/>
  <c r="G470" i="1"/>
  <c r="J470" i="1"/>
  <c r="K470" i="1"/>
  <c r="L470" i="1"/>
  <c r="M470" i="1"/>
  <c r="C822" i="1"/>
  <c r="D822" i="1"/>
  <c r="E822" i="1"/>
  <c r="F822" i="1"/>
  <c r="G822" i="1"/>
  <c r="J822" i="1"/>
  <c r="K822" i="1"/>
  <c r="L822" i="1"/>
  <c r="M822" i="1"/>
  <c r="C725" i="1"/>
  <c r="D725" i="1"/>
  <c r="E725" i="1"/>
  <c r="F725" i="1"/>
  <c r="G725" i="1"/>
  <c r="J725" i="1"/>
  <c r="K725" i="1"/>
  <c r="L725" i="1"/>
  <c r="M725" i="1"/>
  <c r="C235" i="1"/>
  <c r="D235" i="1"/>
  <c r="E235" i="1"/>
  <c r="F235" i="1"/>
  <c r="G235" i="1"/>
  <c r="J235" i="1"/>
  <c r="K235" i="1"/>
  <c r="L235" i="1"/>
  <c r="M235" i="1"/>
  <c r="C867" i="1"/>
  <c r="D867" i="1"/>
  <c r="E867" i="1"/>
  <c r="F867" i="1"/>
  <c r="G867" i="1"/>
  <c r="J867" i="1"/>
  <c r="K867" i="1"/>
  <c r="L867" i="1"/>
  <c r="M867" i="1"/>
  <c r="C309" i="1"/>
  <c r="D309" i="1"/>
  <c r="E309" i="1"/>
  <c r="F309" i="1"/>
  <c r="G309" i="1"/>
  <c r="J309" i="1"/>
  <c r="K309" i="1"/>
  <c r="L309" i="1"/>
  <c r="M309" i="1"/>
  <c r="C310" i="1"/>
  <c r="D310" i="1"/>
  <c r="E310" i="1"/>
  <c r="F310" i="1"/>
  <c r="G310" i="1"/>
  <c r="J310" i="1"/>
  <c r="K310" i="1"/>
  <c r="L310" i="1"/>
  <c r="M310" i="1"/>
  <c r="C270" i="1"/>
  <c r="D270" i="1"/>
  <c r="E270" i="1"/>
  <c r="F270" i="1"/>
  <c r="G270" i="1"/>
  <c r="J270" i="1"/>
  <c r="K270" i="1"/>
  <c r="L270" i="1"/>
  <c r="M270" i="1"/>
  <c r="C130" i="1"/>
  <c r="D130" i="1"/>
  <c r="E130" i="1"/>
  <c r="F130" i="1"/>
  <c r="G130" i="1"/>
  <c r="J130" i="1"/>
  <c r="K130" i="1"/>
  <c r="L130" i="1"/>
  <c r="M130" i="1"/>
  <c r="C907" i="1"/>
  <c r="D907" i="1"/>
  <c r="E907" i="1"/>
  <c r="F907" i="1"/>
  <c r="G907" i="1"/>
  <c r="J907" i="1"/>
  <c r="K907" i="1"/>
  <c r="L907" i="1"/>
  <c r="M907" i="1"/>
  <c r="C255" i="1"/>
  <c r="D255" i="1"/>
  <c r="E255" i="1"/>
  <c r="F255" i="1"/>
  <c r="G255" i="1"/>
  <c r="J255" i="1"/>
  <c r="K255" i="1"/>
  <c r="L255" i="1"/>
  <c r="M255" i="1"/>
  <c r="C256" i="1"/>
  <c r="D256" i="1"/>
  <c r="E256" i="1"/>
  <c r="F256" i="1"/>
  <c r="G256" i="1"/>
  <c r="J256" i="1"/>
  <c r="K256" i="1"/>
  <c r="L256" i="1"/>
  <c r="M256" i="1"/>
  <c r="C459" i="1"/>
  <c r="D459" i="1"/>
  <c r="E459" i="1"/>
  <c r="F459" i="1"/>
  <c r="G459" i="1"/>
  <c r="J459" i="1"/>
  <c r="K459" i="1"/>
  <c r="L459" i="1"/>
  <c r="M459" i="1"/>
  <c r="C546" i="1"/>
  <c r="D546" i="1"/>
  <c r="E546" i="1"/>
  <c r="F546" i="1"/>
  <c r="G546" i="1"/>
  <c r="J546" i="1"/>
  <c r="K546" i="1"/>
  <c r="L546" i="1"/>
  <c r="M546" i="1"/>
  <c r="C883" i="1"/>
  <c r="D883" i="1"/>
  <c r="E883" i="1"/>
  <c r="F883" i="1"/>
  <c r="G883" i="1"/>
  <c r="J883" i="1"/>
  <c r="K883" i="1"/>
  <c r="L883" i="1"/>
  <c r="M883" i="1"/>
  <c r="C343" i="1"/>
  <c r="D343" i="1"/>
  <c r="E343" i="1"/>
  <c r="F343" i="1"/>
  <c r="G343" i="1"/>
  <c r="J343" i="1"/>
  <c r="K343" i="1"/>
  <c r="L343" i="1"/>
  <c r="M343" i="1"/>
  <c r="C688" i="1"/>
  <c r="D688" i="1"/>
  <c r="E688" i="1"/>
  <c r="F688" i="1"/>
  <c r="G688" i="1"/>
  <c r="J688" i="1"/>
  <c r="K688" i="1"/>
  <c r="L688" i="1"/>
  <c r="M688" i="1"/>
  <c r="C491" i="1"/>
  <c r="D491" i="1"/>
  <c r="E491" i="1"/>
  <c r="F491" i="1"/>
  <c r="G491" i="1"/>
  <c r="J491" i="1"/>
  <c r="K491" i="1"/>
  <c r="L491" i="1"/>
  <c r="M491" i="1"/>
  <c r="C890" i="1"/>
  <c r="D890" i="1"/>
  <c r="E890" i="1"/>
  <c r="F890" i="1"/>
  <c r="G890" i="1"/>
  <c r="J890" i="1"/>
  <c r="K890" i="1"/>
  <c r="L890" i="1"/>
  <c r="M890" i="1"/>
  <c r="C743" i="1"/>
  <c r="D743" i="1"/>
  <c r="E743" i="1"/>
  <c r="F743" i="1"/>
  <c r="G743" i="1"/>
  <c r="J743" i="1"/>
  <c r="K743" i="1"/>
  <c r="L743" i="1"/>
  <c r="M743" i="1"/>
  <c r="C16" i="1"/>
  <c r="D16" i="1"/>
  <c r="E16" i="1"/>
  <c r="F16" i="1"/>
  <c r="G16" i="1"/>
  <c r="J16" i="1"/>
  <c r="K16" i="1"/>
  <c r="L16" i="1"/>
  <c r="M16" i="1"/>
  <c r="C339" i="1"/>
  <c r="D339" i="1"/>
  <c r="E339" i="1"/>
  <c r="F339" i="1"/>
  <c r="G339" i="1"/>
  <c r="J339" i="1"/>
  <c r="K339" i="1"/>
  <c r="L339" i="1"/>
  <c r="M339" i="1"/>
  <c r="C554" i="1"/>
  <c r="D554" i="1"/>
  <c r="E554" i="1"/>
  <c r="F554" i="1"/>
  <c r="G554" i="1"/>
  <c r="J554" i="1"/>
  <c r="K554" i="1"/>
  <c r="L554" i="1"/>
  <c r="M554" i="1"/>
  <c r="C246" i="1"/>
  <c r="D246" i="1"/>
  <c r="E246" i="1"/>
  <c r="F246" i="1"/>
  <c r="G246" i="1"/>
  <c r="J246" i="1"/>
  <c r="K246" i="1"/>
  <c r="L246" i="1"/>
  <c r="M246" i="1"/>
  <c r="C846" i="1"/>
  <c r="D846" i="1"/>
  <c r="E846" i="1"/>
  <c r="F846" i="1"/>
  <c r="G846" i="1"/>
  <c r="J846" i="1"/>
  <c r="K846" i="1"/>
  <c r="L846" i="1"/>
  <c r="M846" i="1"/>
  <c r="C370" i="1"/>
  <c r="D370" i="1"/>
  <c r="E370" i="1"/>
  <c r="F370" i="1"/>
  <c r="G370" i="1"/>
  <c r="J370" i="1"/>
  <c r="K370" i="1"/>
  <c r="L370" i="1"/>
  <c r="M370" i="1"/>
  <c r="C675" i="1"/>
  <c r="D675" i="1"/>
  <c r="E675" i="1"/>
  <c r="F675" i="1"/>
  <c r="G675" i="1"/>
  <c r="J675" i="1"/>
  <c r="K675" i="1"/>
  <c r="L675" i="1"/>
  <c r="M675" i="1"/>
  <c r="C530" i="1"/>
  <c r="D530" i="1"/>
  <c r="E530" i="1"/>
  <c r="F530" i="1"/>
  <c r="G530" i="1"/>
  <c r="J530" i="1"/>
  <c r="K530" i="1"/>
  <c r="L530" i="1"/>
  <c r="M530" i="1"/>
  <c r="C428" i="1"/>
  <c r="D428" i="1"/>
  <c r="E428" i="1"/>
  <c r="F428" i="1"/>
  <c r="G428" i="1"/>
  <c r="J428" i="1"/>
  <c r="K428" i="1"/>
  <c r="L428" i="1"/>
  <c r="M428" i="1"/>
  <c r="C102" i="1"/>
  <c r="D102" i="1"/>
  <c r="E102" i="1"/>
  <c r="F102" i="1"/>
  <c r="G102" i="1"/>
  <c r="J102" i="1"/>
  <c r="K102" i="1"/>
  <c r="L102" i="1"/>
  <c r="M102" i="1"/>
  <c r="C801" i="1"/>
  <c r="D801" i="1"/>
  <c r="E801" i="1"/>
  <c r="F801" i="1"/>
  <c r="G801" i="1"/>
  <c r="J801" i="1"/>
  <c r="K801" i="1"/>
  <c r="L801" i="1"/>
  <c r="M801" i="1"/>
  <c r="C227" i="1"/>
  <c r="D227" i="1"/>
  <c r="E227" i="1"/>
  <c r="F227" i="1"/>
  <c r="G227" i="1"/>
  <c r="J227" i="1"/>
  <c r="K227" i="1"/>
  <c r="L227" i="1"/>
  <c r="M227" i="1"/>
  <c r="C738" i="1"/>
  <c r="D738" i="1"/>
  <c r="E738" i="1"/>
  <c r="F738" i="1"/>
  <c r="G738" i="1"/>
  <c r="J738" i="1"/>
  <c r="K738" i="1"/>
  <c r="L738" i="1"/>
  <c r="M738" i="1"/>
  <c r="C575" i="1"/>
  <c r="D575" i="1"/>
  <c r="E575" i="1"/>
  <c r="F575" i="1"/>
  <c r="G575" i="1"/>
  <c r="J575" i="1"/>
  <c r="K575" i="1"/>
  <c r="L575" i="1"/>
  <c r="M575" i="1"/>
  <c r="C802" i="1"/>
  <c r="D802" i="1"/>
  <c r="E802" i="1"/>
  <c r="F802" i="1"/>
  <c r="G802" i="1"/>
  <c r="J802" i="1"/>
  <c r="K802" i="1"/>
  <c r="L802" i="1"/>
  <c r="M802" i="1"/>
  <c r="C479" i="1"/>
  <c r="D479" i="1"/>
  <c r="E479" i="1"/>
  <c r="F479" i="1"/>
  <c r="G479" i="1"/>
  <c r="J479" i="1"/>
  <c r="K479" i="1"/>
  <c r="L479" i="1"/>
  <c r="M479" i="1"/>
  <c r="C868" i="1"/>
  <c r="D868" i="1"/>
  <c r="E868" i="1"/>
  <c r="F868" i="1"/>
  <c r="G868" i="1"/>
  <c r="J868" i="1"/>
  <c r="K868" i="1"/>
  <c r="L868" i="1"/>
  <c r="M868" i="1"/>
  <c r="C89" i="1"/>
  <c r="D89" i="1"/>
  <c r="E89" i="1"/>
  <c r="F89" i="1"/>
  <c r="G89" i="1"/>
  <c r="J89" i="1"/>
  <c r="K89" i="1"/>
  <c r="L89" i="1"/>
  <c r="M89" i="1"/>
  <c r="C404" i="1"/>
  <c r="D404" i="1"/>
  <c r="E404" i="1"/>
  <c r="F404" i="1"/>
  <c r="G404" i="1"/>
  <c r="J404" i="1"/>
  <c r="K404" i="1"/>
  <c r="L404" i="1"/>
  <c r="M404" i="1"/>
  <c r="C155" i="1"/>
  <c r="D155" i="1"/>
  <c r="E155" i="1"/>
  <c r="F155" i="1"/>
  <c r="G155" i="1"/>
  <c r="J155" i="1"/>
  <c r="K155" i="1"/>
  <c r="L155" i="1"/>
  <c r="M155" i="1"/>
  <c r="C340" i="1"/>
  <c r="D340" i="1"/>
  <c r="E340" i="1"/>
  <c r="F340" i="1"/>
  <c r="G340" i="1"/>
  <c r="J340" i="1"/>
  <c r="K340" i="1"/>
  <c r="L340" i="1"/>
  <c r="M340" i="1"/>
  <c r="C410" i="1"/>
  <c r="D410" i="1"/>
  <c r="E410" i="1"/>
  <c r="F410" i="1"/>
  <c r="G410" i="1"/>
  <c r="J410" i="1"/>
  <c r="K410" i="1"/>
  <c r="L410" i="1"/>
  <c r="M410" i="1"/>
  <c r="C772" i="1"/>
  <c r="D772" i="1"/>
  <c r="E772" i="1"/>
  <c r="F772" i="1"/>
  <c r="G772" i="1"/>
  <c r="J772" i="1"/>
  <c r="K772" i="1"/>
  <c r="L772" i="1"/>
  <c r="M772" i="1"/>
  <c r="C642" i="1"/>
  <c r="D642" i="1"/>
  <c r="E642" i="1"/>
  <c r="F642" i="1"/>
  <c r="G642" i="1"/>
  <c r="J642" i="1"/>
  <c r="K642" i="1"/>
  <c r="L642" i="1"/>
  <c r="M642" i="1"/>
  <c r="C311" i="1"/>
  <c r="D311" i="1"/>
  <c r="E311" i="1"/>
  <c r="F311" i="1"/>
  <c r="G311" i="1"/>
  <c r="J311" i="1"/>
  <c r="K311" i="1"/>
  <c r="L311" i="1"/>
  <c r="M311" i="1"/>
  <c r="C312" i="1"/>
  <c r="D312" i="1"/>
  <c r="E312" i="1"/>
  <c r="F312" i="1"/>
  <c r="G312" i="1"/>
  <c r="J312" i="1"/>
  <c r="K312" i="1"/>
  <c r="L312" i="1"/>
  <c r="M312" i="1"/>
  <c r="C391" i="1"/>
  <c r="D391" i="1"/>
  <c r="E391" i="1"/>
  <c r="F391" i="1"/>
  <c r="G391" i="1"/>
  <c r="J391" i="1"/>
  <c r="K391" i="1"/>
  <c r="L391" i="1"/>
  <c r="M391" i="1"/>
  <c r="C266" i="1"/>
  <c r="D266" i="1"/>
  <c r="E266" i="1"/>
  <c r="F266" i="1"/>
  <c r="G266" i="1"/>
  <c r="J266" i="1"/>
  <c r="K266" i="1"/>
  <c r="L266" i="1"/>
  <c r="M266" i="1"/>
  <c r="C838" i="1"/>
  <c r="D838" i="1"/>
  <c r="E838" i="1"/>
  <c r="F838" i="1"/>
  <c r="G838" i="1"/>
  <c r="J838" i="1"/>
  <c r="K838" i="1"/>
  <c r="L838" i="1"/>
  <c r="M838" i="1"/>
  <c r="C257" i="1"/>
  <c r="D257" i="1"/>
  <c r="E257" i="1"/>
  <c r="F257" i="1"/>
  <c r="G257" i="1"/>
  <c r="J257" i="1"/>
  <c r="K257" i="1"/>
  <c r="L257" i="1"/>
  <c r="M257" i="1"/>
  <c r="C258" i="1"/>
  <c r="D258" i="1"/>
  <c r="E258" i="1"/>
  <c r="F258" i="1"/>
  <c r="G258" i="1"/>
  <c r="J258" i="1"/>
  <c r="K258" i="1"/>
  <c r="L258" i="1"/>
  <c r="M258" i="1"/>
  <c r="C492" i="1"/>
  <c r="D492" i="1"/>
  <c r="E492" i="1"/>
  <c r="F492" i="1"/>
  <c r="G492" i="1"/>
  <c r="J492" i="1"/>
  <c r="K492" i="1"/>
  <c r="L492" i="1"/>
  <c r="M492" i="1"/>
  <c r="C689" i="1"/>
  <c r="D689" i="1"/>
  <c r="E689" i="1"/>
  <c r="F689" i="1"/>
  <c r="G689" i="1"/>
  <c r="J689" i="1"/>
  <c r="K689" i="1"/>
  <c r="L689" i="1"/>
  <c r="M689" i="1"/>
  <c r="C908" i="1"/>
  <c r="D908" i="1"/>
  <c r="E908" i="1"/>
  <c r="F908" i="1"/>
  <c r="G908" i="1"/>
  <c r="J908" i="1"/>
  <c r="K908" i="1"/>
  <c r="L908" i="1"/>
  <c r="M908" i="1"/>
  <c r="C17" i="1"/>
  <c r="D17" i="1"/>
  <c r="E17" i="1"/>
  <c r="F17" i="1"/>
  <c r="G17" i="1"/>
  <c r="J17" i="1"/>
  <c r="K17" i="1"/>
  <c r="L17" i="1"/>
  <c r="M17" i="1"/>
  <c r="C856" i="1"/>
  <c r="D856" i="1"/>
  <c r="E856" i="1"/>
  <c r="F856" i="1"/>
  <c r="G856" i="1"/>
  <c r="J856" i="1"/>
  <c r="K856" i="1"/>
  <c r="L856" i="1"/>
  <c r="M856" i="1"/>
  <c r="C863" i="1"/>
  <c r="D863" i="1"/>
  <c r="E863" i="1"/>
  <c r="F863" i="1"/>
  <c r="G863" i="1"/>
  <c r="J863" i="1"/>
  <c r="K863" i="1"/>
  <c r="L863" i="1"/>
  <c r="M863" i="1"/>
  <c r="C560" i="1"/>
  <c r="D560" i="1"/>
  <c r="E560" i="1"/>
  <c r="F560" i="1"/>
  <c r="G560" i="1"/>
  <c r="J560" i="1"/>
  <c r="K560" i="1"/>
  <c r="L560" i="1"/>
  <c r="M560" i="1"/>
  <c r="C131" i="1"/>
  <c r="D131" i="1"/>
  <c r="E131" i="1"/>
  <c r="F131" i="1"/>
  <c r="G131" i="1"/>
  <c r="J131" i="1"/>
  <c r="K131" i="1"/>
  <c r="L131" i="1"/>
  <c r="M131" i="1"/>
  <c r="C843" i="1"/>
  <c r="D843" i="1"/>
  <c r="E843" i="1"/>
  <c r="F843" i="1"/>
  <c r="G843" i="1"/>
  <c r="J843" i="1"/>
  <c r="K843" i="1"/>
  <c r="L843" i="1"/>
  <c r="M843" i="1"/>
  <c r="C137" i="1"/>
  <c r="D137" i="1"/>
  <c r="E137" i="1"/>
  <c r="F137" i="1"/>
  <c r="G137" i="1"/>
  <c r="J137" i="1"/>
  <c r="K137" i="1"/>
  <c r="L137" i="1"/>
  <c r="M137" i="1"/>
  <c r="C138" i="1"/>
  <c r="D138" i="1"/>
  <c r="E138" i="1"/>
  <c r="F138" i="1"/>
  <c r="G138" i="1"/>
  <c r="J138" i="1"/>
  <c r="K138" i="1"/>
  <c r="L138" i="1"/>
  <c r="M138" i="1"/>
  <c r="C852" i="1"/>
  <c r="D852" i="1"/>
  <c r="E852" i="1"/>
  <c r="F852" i="1"/>
  <c r="G852" i="1"/>
  <c r="J852" i="1"/>
  <c r="K852" i="1"/>
  <c r="L852" i="1"/>
  <c r="M852" i="1"/>
  <c r="C920" i="1"/>
  <c r="D920" i="1"/>
  <c r="E920" i="1"/>
  <c r="F920" i="1"/>
  <c r="G920" i="1"/>
  <c r="J920" i="1"/>
  <c r="K920" i="1"/>
  <c r="L920" i="1"/>
  <c r="M920" i="1"/>
  <c r="C872" i="1"/>
  <c r="D872" i="1"/>
  <c r="E872" i="1"/>
  <c r="F872" i="1"/>
  <c r="G872" i="1"/>
  <c r="J872" i="1"/>
  <c r="K872" i="1"/>
  <c r="L872" i="1"/>
  <c r="M872" i="1"/>
  <c r="C124" i="1"/>
  <c r="D124" i="1"/>
  <c r="E124" i="1"/>
  <c r="F124" i="1"/>
  <c r="G124" i="1"/>
  <c r="J124" i="1"/>
  <c r="K124" i="1"/>
  <c r="L124" i="1"/>
  <c r="M124" i="1"/>
  <c r="C280" i="1"/>
  <c r="D280" i="1"/>
  <c r="E280" i="1"/>
  <c r="F280" i="1"/>
  <c r="G280" i="1"/>
  <c r="J280" i="1"/>
  <c r="K280" i="1"/>
  <c r="L280" i="1"/>
  <c r="M280" i="1"/>
  <c r="C621" i="1"/>
  <c r="D621" i="1"/>
  <c r="E621" i="1"/>
  <c r="F621" i="1"/>
  <c r="G621" i="1"/>
  <c r="J621" i="1"/>
  <c r="K621" i="1"/>
  <c r="L621" i="1"/>
  <c r="M621" i="1"/>
  <c r="C931" i="1"/>
  <c r="D931" i="1"/>
  <c r="E931" i="1"/>
  <c r="F931" i="1"/>
  <c r="G931" i="1"/>
  <c r="J931" i="1"/>
  <c r="K931" i="1"/>
  <c r="L931" i="1"/>
  <c r="M931" i="1"/>
  <c r="C361" i="1"/>
  <c r="D361" i="1"/>
  <c r="E361" i="1"/>
  <c r="F361" i="1"/>
  <c r="G361" i="1"/>
  <c r="J361" i="1"/>
  <c r="K361" i="1"/>
  <c r="L361" i="1"/>
  <c r="M361" i="1"/>
  <c r="C362" i="1"/>
  <c r="D362" i="1"/>
  <c r="E362" i="1"/>
  <c r="F362" i="1"/>
  <c r="G362" i="1"/>
  <c r="J362" i="1"/>
  <c r="K362" i="1"/>
  <c r="L362" i="1"/>
  <c r="M362" i="1"/>
  <c r="C200" i="1"/>
  <c r="D200" i="1"/>
  <c r="E200" i="1"/>
  <c r="F200" i="1"/>
  <c r="G200" i="1"/>
  <c r="J200" i="1"/>
  <c r="K200" i="1"/>
  <c r="L200" i="1"/>
  <c r="M200" i="1"/>
  <c r="C823" i="1"/>
  <c r="D823" i="1"/>
  <c r="E823" i="1"/>
  <c r="F823" i="1"/>
  <c r="G823" i="1"/>
  <c r="J823" i="1"/>
  <c r="K823" i="1"/>
  <c r="L823" i="1"/>
  <c r="M823" i="1"/>
  <c r="C344" i="1"/>
  <c r="D344" i="1"/>
  <c r="E344" i="1"/>
  <c r="F344" i="1"/>
  <c r="G344" i="1"/>
  <c r="J344" i="1"/>
  <c r="K344" i="1"/>
  <c r="L344" i="1"/>
  <c r="M344" i="1"/>
  <c r="C70" i="1"/>
  <c r="D70" i="1"/>
  <c r="E70" i="1"/>
  <c r="F70" i="1"/>
  <c r="G70" i="1"/>
  <c r="J70" i="1"/>
  <c r="K70" i="1"/>
  <c r="L70" i="1"/>
  <c r="M70" i="1"/>
  <c r="C71" i="1"/>
  <c r="D71" i="1"/>
  <c r="E71" i="1"/>
  <c r="F71" i="1"/>
  <c r="G71" i="1"/>
  <c r="J71" i="1"/>
  <c r="K71" i="1"/>
  <c r="L71" i="1"/>
  <c r="M71" i="1"/>
  <c r="C181" i="1"/>
  <c r="D181" i="1"/>
  <c r="E181" i="1"/>
  <c r="F181" i="1"/>
  <c r="G181" i="1"/>
  <c r="J181" i="1"/>
  <c r="K181" i="1"/>
  <c r="L181" i="1"/>
  <c r="M181" i="1"/>
  <c r="C442" i="1"/>
  <c r="D442" i="1"/>
  <c r="E442" i="1"/>
  <c r="F442" i="1"/>
  <c r="G442" i="1"/>
  <c r="J442" i="1"/>
  <c r="K442" i="1"/>
  <c r="L442" i="1"/>
  <c r="M442" i="1"/>
  <c r="C182" i="1"/>
  <c r="D182" i="1"/>
  <c r="E182" i="1"/>
  <c r="F182" i="1"/>
  <c r="G182" i="1"/>
  <c r="J182" i="1"/>
  <c r="K182" i="1"/>
  <c r="L182" i="1"/>
  <c r="M182" i="1"/>
  <c r="C655" i="1"/>
  <c r="D655" i="1"/>
  <c r="E655" i="1"/>
  <c r="F655" i="1"/>
  <c r="G655" i="1"/>
  <c r="J655" i="1"/>
  <c r="K655" i="1"/>
  <c r="L655" i="1"/>
  <c r="M655" i="1"/>
  <c r="C76" i="1"/>
  <c r="D76" i="1"/>
  <c r="E76" i="1"/>
  <c r="F76" i="1"/>
  <c r="G76" i="1"/>
  <c r="J76" i="1"/>
  <c r="K76" i="1"/>
  <c r="L76" i="1"/>
  <c r="M76" i="1"/>
  <c r="C192" i="1"/>
  <c r="D192" i="1"/>
  <c r="E192" i="1"/>
  <c r="F192" i="1"/>
  <c r="G192" i="1"/>
  <c r="J192" i="1"/>
  <c r="K192" i="1"/>
  <c r="L192" i="1"/>
  <c r="M192" i="1"/>
  <c r="C555" i="1"/>
  <c r="D555" i="1"/>
  <c r="E555" i="1"/>
  <c r="F555" i="1"/>
  <c r="G555" i="1"/>
  <c r="J555" i="1"/>
  <c r="K555" i="1"/>
  <c r="L555" i="1"/>
  <c r="M555" i="1"/>
  <c r="C913" i="1"/>
  <c r="D913" i="1"/>
  <c r="E913" i="1"/>
  <c r="F913" i="1"/>
  <c r="G913" i="1"/>
  <c r="J913" i="1"/>
  <c r="K913" i="1"/>
  <c r="L913" i="1"/>
  <c r="M913" i="1"/>
  <c r="C381" i="1"/>
  <c r="D381" i="1"/>
  <c r="E381" i="1"/>
  <c r="F381" i="1"/>
  <c r="G381" i="1"/>
  <c r="J381" i="1"/>
  <c r="K381" i="1"/>
  <c r="L381" i="1"/>
  <c r="M381" i="1"/>
  <c r="C377" i="1"/>
  <c r="D377" i="1"/>
  <c r="E377" i="1"/>
  <c r="F377" i="1"/>
  <c r="G377" i="1"/>
  <c r="J377" i="1"/>
  <c r="K377" i="1"/>
  <c r="L377" i="1"/>
  <c r="M377" i="1"/>
  <c r="C203" i="1"/>
  <c r="D203" i="1"/>
  <c r="E203" i="1"/>
  <c r="F203" i="1"/>
  <c r="G203" i="1"/>
  <c r="J203" i="1"/>
  <c r="K203" i="1"/>
  <c r="L203" i="1"/>
  <c r="M203" i="1"/>
  <c r="C271" i="1"/>
  <c r="D271" i="1"/>
  <c r="E271" i="1"/>
  <c r="F271" i="1"/>
  <c r="G271" i="1"/>
  <c r="J271" i="1"/>
  <c r="K271" i="1"/>
  <c r="L271" i="1"/>
  <c r="M271" i="1"/>
  <c r="C884" i="1"/>
  <c r="D884" i="1"/>
  <c r="E884" i="1"/>
  <c r="F884" i="1"/>
  <c r="G884" i="1"/>
  <c r="J884" i="1"/>
  <c r="K884" i="1"/>
  <c r="L884" i="1"/>
  <c r="M884" i="1"/>
  <c r="C30" i="1"/>
  <c r="D30" i="1"/>
  <c r="E30" i="1"/>
  <c r="F30" i="1"/>
  <c r="G30" i="1"/>
  <c r="J30" i="1"/>
  <c r="K30" i="1"/>
  <c r="L30" i="1"/>
  <c r="M30" i="1"/>
  <c r="C167" i="1"/>
  <c r="D167" i="1"/>
  <c r="E167" i="1"/>
  <c r="F167" i="1"/>
  <c r="G167" i="1"/>
  <c r="J167" i="1"/>
  <c r="K167" i="1"/>
  <c r="L167" i="1"/>
  <c r="M167" i="1"/>
  <c r="C187" i="1"/>
  <c r="D187" i="1"/>
  <c r="E187" i="1"/>
  <c r="F187" i="1"/>
  <c r="G187" i="1"/>
  <c r="J187" i="1"/>
  <c r="K187" i="1"/>
  <c r="L187" i="1"/>
  <c r="M187" i="1"/>
  <c r="C581" i="1"/>
  <c r="D581" i="1"/>
  <c r="E581" i="1"/>
  <c r="F581" i="1"/>
  <c r="G581" i="1"/>
  <c r="J581" i="1"/>
  <c r="K581" i="1"/>
  <c r="L581" i="1"/>
  <c r="M581" i="1"/>
  <c r="C729" i="1"/>
  <c r="D729" i="1"/>
  <c r="E729" i="1"/>
  <c r="F729" i="1"/>
  <c r="G729" i="1"/>
  <c r="J729" i="1"/>
  <c r="K729" i="1"/>
  <c r="L729" i="1"/>
  <c r="M729" i="1"/>
  <c r="C96" i="1"/>
  <c r="D96" i="1"/>
  <c r="E96" i="1"/>
  <c r="F96" i="1"/>
  <c r="G96" i="1"/>
  <c r="J96" i="1"/>
  <c r="K96" i="1"/>
  <c r="L96" i="1"/>
  <c r="M96" i="1"/>
  <c r="C460" i="1"/>
  <c r="D460" i="1"/>
  <c r="E460" i="1"/>
  <c r="F460" i="1"/>
  <c r="G460" i="1"/>
  <c r="J460" i="1"/>
  <c r="K460" i="1"/>
  <c r="L460" i="1"/>
  <c r="M460" i="1"/>
  <c r="C373" i="1"/>
  <c r="D373" i="1"/>
  <c r="E373" i="1"/>
  <c r="F373" i="1"/>
  <c r="G373" i="1"/>
  <c r="J373" i="1"/>
  <c r="K373" i="1"/>
  <c r="L373" i="1"/>
  <c r="M373" i="1"/>
  <c r="C93" i="1"/>
  <c r="D93" i="1"/>
  <c r="E93" i="1"/>
  <c r="F93" i="1"/>
  <c r="G93" i="1"/>
  <c r="J93" i="1"/>
  <c r="K93" i="1"/>
  <c r="L93" i="1"/>
  <c r="M93" i="1"/>
  <c r="C672" i="1"/>
  <c r="D672" i="1"/>
  <c r="E672" i="1"/>
  <c r="F672" i="1"/>
  <c r="G672" i="1"/>
  <c r="J672" i="1"/>
  <c r="K672" i="1"/>
  <c r="L672" i="1"/>
  <c r="M672" i="1"/>
  <c r="C284" i="1"/>
  <c r="D284" i="1"/>
  <c r="E284" i="1"/>
  <c r="F284" i="1"/>
  <c r="G284" i="1"/>
  <c r="J284" i="1"/>
  <c r="K284" i="1"/>
  <c r="L284" i="1"/>
  <c r="M284" i="1"/>
  <c r="C250" i="1"/>
  <c r="D250" i="1"/>
  <c r="E250" i="1"/>
  <c r="F250" i="1"/>
  <c r="G250" i="1"/>
  <c r="J250" i="1"/>
  <c r="K250" i="1"/>
  <c r="L250" i="1"/>
  <c r="M250" i="1"/>
  <c r="C726" i="1"/>
  <c r="D726" i="1"/>
  <c r="E726" i="1"/>
  <c r="F726" i="1"/>
  <c r="G726" i="1"/>
  <c r="J726" i="1"/>
  <c r="K726" i="1"/>
  <c r="L726" i="1"/>
  <c r="M726" i="1"/>
  <c r="C676" i="1"/>
  <c r="D676" i="1"/>
  <c r="E676" i="1"/>
  <c r="F676" i="1"/>
  <c r="G676" i="1"/>
  <c r="J676" i="1"/>
  <c r="K676" i="1"/>
  <c r="L676" i="1"/>
  <c r="M676" i="1"/>
  <c r="C49" i="1"/>
  <c r="D49" i="1"/>
  <c r="E49" i="1"/>
  <c r="F49" i="1"/>
  <c r="G49" i="1"/>
  <c r="J49" i="1"/>
  <c r="K49" i="1"/>
  <c r="L49" i="1"/>
  <c r="M49" i="1"/>
  <c r="C236" i="1"/>
  <c r="D236" i="1"/>
  <c r="E236" i="1"/>
  <c r="F236" i="1"/>
  <c r="G236" i="1"/>
  <c r="J236" i="1"/>
  <c r="K236" i="1"/>
  <c r="L236" i="1"/>
  <c r="M236" i="1"/>
  <c r="C11" i="1"/>
  <c r="D11" i="1"/>
  <c r="E11" i="1"/>
  <c r="F11" i="1"/>
  <c r="G11" i="1"/>
  <c r="J11" i="1"/>
  <c r="K11" i="1"/>
  <c r="L11" i="1"/>
  <c r="M11" i="1"/>
  <c r="C61" i="1"/>
  <c r="D61" i="1"/>
  <c r="E61" i="1"/>
  <c r="F61" i="1"/>
  <c r="G61" i="1"/>
  <c r="J61" i="1"/>
  <c r="K61" i="1"/>
  <c r="L61" i="1"/>
  <c r="M61" i="1"/>
  <c r="C715" i="1"/>
  <c r="D715" i="1"/>
  <c r="E715" i="1"/>
  <c r="F715" i="1"/>
  <c r="G715" i="1"/>
  <c r="J715" i="1"/>
  <c r="K715" i="1"/>
  <c r="L715" i="1"/>
  <c r="M715" i="1"/>
  <c r="C56" i="1"/>
  <c r="D56" i="1"/>
  <c r="E56" i="1"/>
  <c r="F56" i="1"/>
  <c r="G56" i="1"/>
  <c r="J56" i="1"/>
  <c r="K56" i="1"/>
  <c r="L56" i="1"/>
  <c r="M56" i="1"/>
  <c r="C891" i="1"/>
  <c r="D891" i="1"/>
  <c r="E891" i="1"/>
  <c r="F891" i="1"/>
  <c r="G891" i="1"/>
  <c r="J891" i="1"/>
  <c r="K891" i="1"/>
  <c r="L891" i="1"/>
  <c r="M891" i="1"/>
  <c r="C26" i="1"/>
  <c r="D26" i="1"/>
  <c r="E26" i="1"/>
  <c r="F26" i="1"/>
  <c r="G26" i="1"/>
  <c r="J26" i="1"/>
  <c r="K26" i="1"/>
  <c r="L26" i="1"/>
  <c r="M26" i="1"/>
  <c r="C444" i="1"/>
  <c r="D444" i="1"/>
  <c r="E444" i="1"/>
  <c r="F444" i="1"/>
  <c r="G444" i="1"/>
  <c r="J444" i="1"/>
  <c r="K444" i="1"/>
  <c r="L444" i="1"/>
  <c r="M444" i="1"/>
  <c r="C417" i="1"/>
  <c r="D417" i="1"/>
  <c r="E417" i="1"/>
  <c r="F417" i="1"/>
  <c r="G417" i="1"/>
  <c r="J417" i="1"/>
  <c r="K417" i="1"/>
  <c r="L417" i="1"/>
  <c r="M417" i="1"/>
  <c r="C247" i="1"/>
  <c r="D247" i="1"/>
  <c r="E247" i="1"/>
  <c r="F247" i="1"/>
  <c r="G247" i="1"/>
  <c r="J247" i="1"/>
  <c r="K247" i="1"/>
  <c r="L247" i="1"/>
  <c r="M247" i="1"/>
  <c r="C583" i="1"/>
  <c r="D583" i="1"/>
  <c r="E583" i="1"/>
  <c r="F583" i="1"/>
  <c r="G583" i="1"/>
  <c r="J583" i="1"/>
  <c r="K583" i="1"/>
  <c r="L583" i="1"/>
  <c r="M583" i="1"/>
  <c r="C423" i="1"/>
  <c r="D423" i="1"/>
  <c r="E423" i="1"/>
  <c r="F423" i="1"/>
  <c r="G423" i="1"/>
  <c r="J423" i="1"/>
  <c r="K423" i="1"/>
  <c r="L423" i="1"/>
  <c r="M423" i="1"/>
  <c r="C783" i="1"/>
  <c r="D783" i="1"/>
  <c r="E783" i="1"/>
  <c r="F783" i="1"/>
  <c r="G783" i="1"/>
  <c r="J783" i="1"/>
  <c r="K783" i="1"/>
  <c r="L783" i="1"/>
  <c r="M783" i="1"/>
  <c r="C451" i="1"/>
  <c r="D451" i="1"/>
  <c r="E451" i="1"/>
  <c r="F451" i="1"/>
  <c r="G451" i="1"/>
  <c r="J451" i="1"/>
  <c r="K451" i="1"/>
  <c r="L451" i="1"/>
  <c r="M451" i="1"/>
  <c r="C784" i="1"/>
  <c r="D784" i="1"/>
  <c r="E784" i="1"/>
  <c r="F784" i="1"/>
  <c r="G784" i="1"/>
  <c r="J784" i="1"/>
  <c r="K784" i="1"/>
  <c r="L784" i="1"/>
  <c r="M784" i="1"/>
  <c r="C744" i="1"/>
  <c r="D744" i="1"/>
  <c r="E744" i="1"/>
  <c r="F744" i="1"/>
  <c r="G744" i="1"/>
  <c r="J744" i="1"/>
  <c r="K744" i="1"/>
  <c r="L744" i="1"/>
  <c r="M744" i="1"/>
  <c r="C847" i="1"/>
  <c r="D847" i="1"/>
  <c r="E847" i="1"/>
  <c r="F847" i="1"/>
  <c r="G847" i="1"/>
  <c r="J847" i="1"/>
  <c r="K847" i="1"/>
  <c r="L847" i="1"/>
  <c r="M847" i="1"/>
  <c r="C848" i="1"/>
  <c r="D848" i="1"/>
  <c r="E848" i="1"/>
  <c r="F848" i="1"/>
  <c r="G848" i="1"/>
  <c r="J848" i="1"/>
  <c r="K848" i="1"/>
  <c r="L848" i="1"/>
  <c r="M848" i="1"/>
  <c r="C740" i="1"/>
  <c r="D740" i="1"/>
  <c r="E740" i="1"/>
  <c r="F740" i="1"/>
  <c r="G740" i="1"/>
  <c r="J740" i="1"/>
  <c r="K740" i="1"/>
  <c r="L740" i="1"/>
  <c r="M740" i="1"/>
  <c r="C371" i="1"/>
  <c r="D371" i="1"/>
  <c r="E371" i="1"/>
  <c r="F371" i="1"/>
  <c r="G371" i="1"/>
  <c r="J371" i="1"/>
  <c r="K371" i="1"/>
  <c r="L371" i="1"/>
  <c r="M371" i="1"/>
  <c r="C904" i="1"/>
  <c r="D904" i="1"/>
  <c r="E904" i="1"/>
  <c r="F904" i="1"/>
  <c r="G904" i="1"/>
  <c r="J904" i="1"/>
  <c r="K904" i="1"/>
  <c r="L904" i="1"/>
  <c r="M904" i="1"/>
  <c r="C484" i="1"/>
  <c r="D484" i="1"/>
  <c r="E484" i="1"/>
  <c r="F484" i="1"/>
  <c r="G484" i="1"/>
  <c r="J484" i="1"/>
  <c r="K484" i="1"/>
  <c r="L484" i="1"/>
  <c r="M484" i="1"/>
  <c r="C531" i="1"/>
  <c r="D531" i="1"/>
  <c r="E531" i="1"/>
  <c r="F531" i="1"/>
  <c r="G531" i="1"/>
  <c r="J531" i="1"/>
  <c r="K531" i="1"/>
  <c r="L531" i="1"/>
  <c r="M531" i="1"/>
  <c r="C447" i="1"/>
  <c r="D447" i="1"/>
  <c r="E447" i="1"/>
  <c r="F447" i="1"/>
  <c r="G447" i="1"/>
  <c r="J447" i="1"/>
  <c r="K447" i="1"/>
  <c r="L447" i="1"/>
  <c r="M447" i="1"/>
  <c r="C140" i="1"/>
  <c r="D140" i="1"/>
  <c r="E140" i="1"/>
  <c r="F140" i="1"/>
  <c r="G140" i="1"/>
  <c r="J140" i="1"/>
  <c r="K140" i="1"/>
  <c r="L140" i="1"/>
  <c r="M140" i="1"/>
  <c r="C429" i="1"/>
  <c r="D429" i="1"/>
  <c r="E429" i="1"/>
  <c r="F429" i="1"/>
  <c r="G429" i="1"/>
  <c r="J429" i="1"/>
  <c r="K429" i="1"/>
  <c r="L429" i="1"/>
  <c r="M429" i="1"/>
  <c r="C103" i="1"/>
  <c r="D103" i="1"/>
  <c r="E103" i="1"/>
  <c r="F103" i="1"/>
  <c r="G103" i="1"/>
  <c r="J103" i="1"/>
  <c r="K103" i="1"/>
  <c r="L103" i="1"/>
  <c r="M103" i="1"/>
  <c r="C787" i="1"/>
  <c r="D787" i="1"/>
  <c r="E787" i="1"/>
  <c r="F787" i="1"/>
  <c r="G787" i="1"/>
  <c r="J787" i="1"/>
  <c r="K787" i="1"/>
  <c r="L787" i="1"/>
  <c r="M787" i="1"/>
  <c r="C220" i="1"/>
  <c r="D220" i="1"/>
  <c r="E220" i="1"/>
  <c r="F220" i="1"/>
  <c r="G220" i="1"/>
  <c r="J220" i="1"/>
  <c r="K220" i="1"/>
  <c r="L220" i="1"/>
  <c r="M220" i="1"/>
  <c r="C54" i="1"/>
  <c r="D54" i="1"/>
  <c r="E54" i="1"/>
  <c r="F54" i="1"/>
  <c r="G54" i="1"/>
  <c r="J54" i="1"/>
  <c r="K54" i="1"/>
  <c r="L54" i="1"/>
  <c r="M54" i="1"/>
  <c r="C878" i="1"/>
  <c r="D878" i="1"/>
  <c r="E878" i="1"/>
  <c r="F878" i="1"/>
  <c r="G878" i="1"/>
  <c r="J878" i="1"/>
  <c r="K878" i="1"/>
  <c r="L878" i="1"/>
  <c r="M878" i="1"/>
  <c r="C506" i="1"/>
  <c r="D506" i="1"/>
  <c r="E506" i="1"/>
  <c r="F506" i="1"/>
  <c r="G506" i="1"/>
  <c r="J506" i="1"/>
  <c r="K506" i="1"/>
  <c r="L506" i="1"/>
  <c r="M506" i="1"/>
  <c r="C116" i="1"/>
  <c r="D116" i="1"/>
  <c r="E116" i="1"/>
  <c r="F116" i="1"/>
  <c r="G116" i="1"/>
  <c r="J116" i="1"/>
  <c r="K116" i="1"/>
  <c r="L116" i="1"/>
  <c r="M116" i="1"/>
  <c r="C454" i="1"/>
  <c r="D454" i="1"/>
  <c r="E454" i="1"/>
  <c r="F454" i="1"/>
  <c r="G454" i="1"/>
  <c r="J454" i="1"/>
  <c r="K454" i="1"/>
  <c r="L454" i="1"/>
  <c r="M454" i="1"/>
  <c r="C455" i="1"/>
  <c r="D455" i="1"/>
  <c r="E455" i="1"/>
  <c r="F455" i="1"/>
  <c r="G455" i="1"/>
  <c r="J455" i="1"/>
  <c r="K455" i="1"/>
  <c r="L455" i="1"/>
  <c r="M455" i="1"/>
  <c r="C794" i="1"/>
  <c r="D794" i="1"/>
  <c r="E794" i="1"/>
  <c r="F794" i="1"/>
  <c r="G794" i="1"/>
  <c r="J794" i="1"/>
  <c r="K794" i="1"/>
  <c r="L794" i="1"/>
  <c r="M794" i="1"/>
  <c r="C876" i="1"/>
  <c r="D876" i="1"/>
  <c r="E876" i="1"/>
  <c r="F876" i="1"/>
  <c r="G876" i="1"/>
  <c r="J876" i="1"/>
  <c r="K876" i="1"/>
  <c r="L876" i="1"/>
  <c r="M876" i="1"/>
  <c r="C745" i="1"/>
  <c r="D745" i="1"/>
  <c r="E745" i="1"/>
  <c r="F745" i="1"/>
  <c r="G745" i="1"/>
  <c r="J745" i="1"/>
  <c r="K745" i="1"/>
  <c r="L745" i="1"/>
  <c r="M745" i="1"/>
  <c r="C932" i="1"/>
  <c r="D932" i="1"/>
  <c r="E932" i="1"/>
  <c r="F932" i="1"/>
  <c r="G932" i="1"/>
  <c r="J932" i="1"/>
  <c r="K932" i="1"/>
  <c r="L932" i="1"/>
  <c r="M932" i="1"/>
  <c r="C567" i="1"/>
  <c r="D567" i="1"/>
  <c r="E567" i="1"/>
  <c r="F567" i="1"/>
  <c r="G567" i="1"/>
  <c r="J567" i="1"/>
  <c r="K567" i="1"/>
  <c r="L567" i="1"/>
  <c r="M567" i="1"/>
  <c r="C125" i="1"/>
  <c r="D125" i="1"/>
  <c r="E125" i="1"/>
  <c r="F125" i="1"/>
  <c r="G125" i="1"/>
  <c r="J125" i="1"/>
  <c r="K125" i="1"/>
  <c r="L125" i="1"/>
  <c r="M125" i="1"/>
  <c r="C569" i="1"/>
  <c r="D569" i="1"/>
  <c r="E569" i="1"/>
  <c r="F569" i="1"/>
  <c r="G569" i="1"/>
  <c r="J569" i="1"/>
  <c r="K569" i="1"/>
  <c r="L569" i="1"/>
  <c r="M569" i="1"/>
  <c r="C916" i="1"/>
  <c r="D916" i="1"/>
  <c r="E916" i="1"/>
  <c r="F916" i="1"/>
  <c r="G916" i="1"/>
  <c r="J916" i="1"/>
  <c r="K916" i="1"/>
  <c r="L916" i="1"/>
  <c r="M916" i="1"/>
  <c r="C585" i="1"/>
  <c r="D585" i="1"/>
  <c r="E585" i="1"/>
  <c r="F585" i="1"/>
  <c r="G585" i="1"/>
  <c r="J585" i="1"/>
  <c r="K585" i="1"/>
  <c r="L585" i="1"/>
  <c r="M585" i="1"/>
  <c r="C853" i="1"/>
  <c r="D853" i="1"/>
  <c r="E853" i="1"/>
  <c r="F853" i="1"/>
  <c r="G853" i="1"/>
  <c r="J853" i="1"/>
  <c r="K853" i="1"/>
  <c r="L853" i="1"/>
  <c r="M853" i="1"/>
  <c r="C921" i="1"/>
  <c r="D921" i="1"/>
  <c r="E921" i="1"/>
  <c r="F921" i="1"/>
  <c r="G921" i="1"/>
  <c r="J921" i="1"/>
  <c r="K921" i="1"/>
  <c r="L921" i="1"/>
  <c r="M921" i="1"/>
  <c r="C526" i="1"/>
  <c r="D526" i="1"/>
  <c r="E526" i="1"/>
  <c r="F526" i="1"/>
  <c r="G526" i="1"/>
  <c r="J526" i="1"/>
  <c r="K526" i="1"/>
  <c r="L526" i="1"/>
  <c r="M526" i="1"/>
  <c r="C604" i="1"/>
  <c r="D604" i="1"/>
  <c r="E604" i="1"/>
  <c r="F604" i="1"/>
  <c r="G604" i="1"/>
  <c r="J604" i="1"/>
  <c r="K604" i="1"/>
  <c r="L604" i="1"/>
  <c r="M604" i="1"/>
  <c r="C803" i="1"/>
  <c r="D803" i="1"/>
  <c r="E803" i="1"/>
  <c r="F803" i="1"/>
  <c r="G803" i="1"/>
  <c r="J803" i="1"/>
  <c r="K803" i="1"/>
  <c r="L803" i="1"/>
  <c r="M803" i="1"/>
  <c r="C829" i="1"/>
  <c r="D829" i="1"/>
  <c r="E829" i="1"/>
  <c r="F829" i="1"/>
  <c r="G829" i="1"/>
  <c r="J829" i="1"/>
  <c r="K829" i="1"/>
  <c r="L829" i="1"/>
  <c r="M829" i="1"/>
  <c r="C622" i="1"/>
  <c r="D622" i="1"/>
  <c r="E622" i="1"/>
  <c r="F622" i="1"/>
  <c r="G622" i="1"/>
  <c r="J622" i="1"/>
  <c r="K622" i="1"/>
  <c r="L622" i="1"/>
  <c r="M622" i="1"/>
  <c r="C873" i="1"/>
  <c r="D873" i="1"/>
  <c r="E873" i="1"/>
  <c r="F873" i="1"/>
  <c r="G873" i="1"/>
  <c r="J873" i="1"/>
  <c r="K873" i="1"/>
  <c r="L873" i="1"/>
  <c r="M873" i="1"/>
  <c r="C213" i="1"/>
  <c r="D213" i="1"/>
  <c r="E213" i="1"/>
  <c r="F213" i="1"/>
  <c r="G213" i="1"/>
  <c r="J213" i="1"/>
  <c r="K213" i="1"/>
  <c r="L213" i="1"/>
  <c r="M213" i="1"/>
  <c r="C214" i="1"/>
  <c r="D214" i="1"/>
  <c r="E214" i="1"/>
  <c r="F214" i="1"/>
  <c r="G214" i="1"/>
  <c r="J214" i="1"/>
  <c r="K214" i="1"/>
  <c r="L214" i="1"/>
  <c r="M214" i="1"/>
  <c r="C33" i="1"/>
  <c r="D33" i="1"/>
  <c r="E33" i="1"/>
  <c r="F33" i="1"/>
  <c r="G33" i="1"/>
  <c r="J33" i="1"/>
  <c r="K33" i="1"/>
  <c r="L33" i="1"/>
  <c r="M33" i="1"/>
  <c r="C733" i="1"/>
  <c r="D733" i="1"/>
  <c r="E733" i="1"/>
  <c r="F733" i="1"/>
  <c r="G733" i="1"/>
  <c r="J733" i="1"/>
  <c r="K733" i="1"/>
  <c r="L733" i="1"/>
  <c r="M733" i="1"/>
  <c r="C706" i="1"/>
  <c r="D706" i="1"/>
  <c r="E706" i="1"/>
  <c r="F706" i="1"/>
  <c r="G706" i="1"/>
  <c r="J706" i="1"/>
  <c r="K706" i="1"/>
  <c r="L706" i="1"/>
  <c r="M706" i="1"/>
  <c r="C183" i="1"/>
  <c r="D183" i="1"/>
  <c r="E183" i="1"/>
  <c r="F183" i="1"/>
  <c r="G183" i="1"/>
  <c r="J183" i="1"/>
  <c r="K183" i="1"/>
  <c r="L183" i="1"/>
  <c r="M183" i="1"/>
  <c r="C184" i="1"/>
  <c r="D184" i="1"/>
  <c r="E184" i="1"/>
  <c r="F184" i="1"/>
  <c r="G184" i="1"/>
  <c r="J184" i="1"/>
  <c r="K184" i="1"/>
  <c r="L184" i="1"/>
  <c r="M184" i="1"/>
  <c r="C281" i="1"/>
  <c r="D281" i="1"/>
  <c r="E281" i="1"/>
  <c r="F281" i="1"/>
  <c r="G281" i="1"/>
  <c r="J281" i="1"/>
  <c r="K281" i="1"/>
  <c r="L281" i="1"/>
  <c r="M281" i="1"/>
  <c r="C643" i="1"/>
  <c r="D643" i="1"/>
  <c r="E643" i="1"/>
  <c r="F643" i="1"/>
  <c r="G643" i="1"/>
  <c r="J643" i="1"/>
  <c r="K643" i="1"/>
  <c r="L643" i="1"/>
  <c r="M643" i="1"/>
  <c r="C24" i="1"/>
  <c r="D24" i="1"/>
  <c r="E24" i="1"/>
  <c r="F24" i="1"/>
  <c r="G24" i="1"/>
  <c r="J24" i="1"/>
  <c r="K24" i="1"/>
  <c r="L24" i="1"/>
  <c r="M24" i="1"/>
  <c r="C223" i="1"/>
  <c r="D223" i="1"/>
  <c r="E223" i="1"/>
  <c r="F223" i="1"/>
  <c r="G223" i="1"/>
  <c r="J223" i="1"/>
  <c r="K223" i="1"/>
  <c r="L223" i="1"/>
  <c r="M223" i="1"/>
  <c r="C320" i="1"/>
  <c r="D320" i="1"/>
  <c r="E320" i="1"/>
  <c r="F320" i="1"/>
  <c r="G320" i="1"/>
  <c r="J320" i="1"/>
  <c r="K320" i="1"/>
  <c r="L320" i="1"/>
  <c r="M320" i="1"/>
  <c r="C37" i="1"/>
  <c r="D37" i="1"/>
  <c r="E37" i="1"/>
  <c r="F37" i="1"/>
  <c r="G37" i="1"/>
  <c r="J37" i="1"/>
  <c r="K37" i="1"/>
  <c r="L37" i="1"/>
  <c r="M37" i="1"/>
  <c r="C894" i="1"/>
  <c r="D894" i="1"/>
  <c r="E894" i="1"/>
  <c r="F894" i="1"/>
  <c r="G894" i="1"/>
  <c r="J894" i="1"/>
  <c r="K894" i="1"/>
  <c r="L894" i="1"/>
  <c r="M894" i="1"/>
  <c r="C420" i="1"/>
  <c r="D420" i="1"/>
  <c r="E420" i="1"/>
  <c r="F420" i="1"/>
  <c r="G420" i="1"/>
  <c r="J420" i="1"/>
  <c r="K420" i="1"/>
  <c r="L420" i="1"/>
  <c r="M420" i="1"/>
  <c r="C196" i="1"/>
  <c r="D196" i="1"/>
  <c r="E196" i="1"/>
  <c r="F196" i="1"/>
  <c r="G196" i="1"/>
  <c r="J196" i="1"/>
  <c r="K196" i="1"/>
  <c r="L196" i="1"/>
  <c r="M196" i="1"/>
  <c r="C158" i="1"/>
  <c r="D158" i="1"/>
  <c r="E158" i="1"/>
  <c r="F158" i="1"/>
  <c r="G158" i="1"/>
  <c r="J158" i="1"/>
  <c r="K158" i="1"/>
  <c r="L158" i="1"/>
  <c r="M158" i="1"/>
  <c r="C482" i="1"/>
  <c r="D482" i="1"/>
  <c r="E482" i="1"/>
  <c r="F482" i="1"/>
  <c r="G482" i="1"/>
  <c r="J482" i="1"/>
  <c r="K482" i="1"/>
  <c r="L482" i="1"/>
  <c r="M482" i="1"/>
  <c r="C72" i="1"/>
  <c r="D72" i="1"/>
  <c r="E72" i="1"/>
  <c r="F72" i="1"/>
  <c r="G72" i="1"/>
  <c r="J72" i="1"/>
  <c r="K72" i="1"/>
  <c r="L72" i="1"/>
  <c r="M72" i="1"/>
  <c r="C73" i="1"/>
  <c r="D73" i="1"/>
  <c r="E73" i="1"/>
  <c r="F73" i="1"/>
  <c r="G73" i="1"/>
  <c r="J73" i="1"/>
  <c r="K73" i="1"/>
  <c r="L73" i="1"/>
  <c r="M73" i="1"/>
  <c r="C313" i="1"/>
  <c r="D313" i="1"/>
  <c r="E313" i="1"/>
  <c r="F313" i="1"/>
  <c r="G313" i="1"/>
  <c r="J313" i="1"/>
  <c r="K313" i="1"/>
  <c r="L313" i="1"/>
  <c r="M313" i="1"/>
  <c r="C314" i="1"/>
  <c r="D314" i="1"/>
  <c r="E314" i="1"/>
  <c r="F314" i="1"/>
  <c r="G314" i="1"/>
  <c r="J314" i="1"/>
  <c r="K314" i="1"/>
  <c r="L314" i="1"/>
  <c r="M314" i="1"/>
  <c r="C747" i="1"/>
  <c r="D747" i="1"/>
  <c r="E747" i="1"/>
  <c r="F747" i="1"/>
  <c r="G747" i="1"/>
  <c r="J747" i="1"/>
  <c r="K747" i="1"/>
  <c r="L747" i="1"/>
  <c r="M747" i="1"/>
  <c r="C336" i="1"/>
  <c r="D336" i="1"/>
  <c r="E336" i="1"/>
  <c r="F336" i="1"/>
  <c r="G336" i="1"/>
  <c r="J336" i="1"/>
  <c r="K336" i="1"/>
  <c r="L336" i="1"/>
  <c r="M336" i="1"/>
  <c r="C139" i="1"/>
  <c r="D139" i="1"/>
  <c r="E139" i="1"/>
  <c r="F139" i="1"/>
  <c r="G139" i="1"/>
  <c r="J139" i="1"/>
  <c r="K139" i="1"/>
  <c r="L139" i="1"/>
  <c r="M139" i="1"/>
  <c r="C502" i="1"/>
  <c r="D502" i="1"/>
  <c r="E502" i="1"/>
  <c r="F502" i="1"/>
  <c r="G502" i="1"/>
  <c r="J502" i="1"/>
  <c r="K502" i="1"/>
  <c r="L502" i="1"/>
  <c r="M502" i="1"/>
  <c r="C924" i="1"/>
  <c r="D924" i="1"/>
  <c r="E924" i="1"/>
  <c r="F924" i="1"/>
  <c r="G924" i="1"/>
  <c r="J924" i="1"/>
  <c r="K924" i="1"/>
  <c r="L924" i="1"/>
  <c r="M924" i="1"/>
  <c r="C718" i="1"/>
  <c r="D718" i="1"/>
  <c r="E718" i="1"/>
  <c r="F718" i="1"/>
  <c r="G718" i="1"/>
  <c r="J718" i="1"/>
  <c r="K718" i="1"/>
  <c r="L718" i="1"/>
  <c r="M718" i="1"/>
  <c r="C392" i="1"/>
  <c r="D392" i="1"/>
  <c r="E392" i="1"/>
  <c r="F392" i="1"/>
  <c r="G392" i="1"/>
  <c r="J392" i="1"/>
  <c r="K392" i="1"/>
  <c r="L392" i="1"/>
  <c r="M392" i="1"/>
  <c r="C299" i="1"/>
  <c r="D299" i="1"/>
  <c r="E299" i="1"/>
  <c r="F299" i="1"/>
  <c r="G299" i="1"/>
  <c r="J299" i="1"/>
  <c r="K299" i="1"/>
  <c r="L299" i="1"/>
  <c r="M299" i="1"/>
  <c r="C19" i="1"/>
  <c r="D19" i="1"/>
  <c r="E19" i="1"/>
  <c r="F19" i="1"/>
  <c r="G19" i="1"/>
  <c r="J19" i="1"/>
  <c r="K19" i="1"/>
  <c r="L19" i="1"/>
  <c r="M19" i="1"/>
  <c r="C363" i="1"/>
  <c r="D363" i="1"/>
  <c r="E363" i="1"/>
  <c r="F363" i="1"/>
  <c r="G363" i="1"/>
  <c r="J363" i="1"/>
  <c r="K363" i="1"/>
  <c r="L363" i="1"/>
  <c r="M363" i="1"/>
  <c r="C364" i="1"/>
  <c r="D364" i="1"/>
  <c r="E364" i="1"/>
  <c r="F364" i="1"/>
  <c r="G364" i="1"/>
  <c r="J364" i="1"/>
  <c r="K364" i="1"/>
  <c r="L364" i="1"/>
  <c r="M364" i="1"/>
  <c r="C587" i="1"/>
  <c r="D587" i="1"/>
  <c r="E587" i="1"/>
  <c r="F587" i="1"/>
  <c r="G587" i="1"/>
  <c r="J587" i="1"/>
  <c r="K587" i="1"/>
  <c r="L587" i="1"/>
  <c r="M587" i="1"/>
  <c r="C324" i="1"/>
  <c r="D324" i="1"/>
  <c r="E324" i="1"/>
  <c r="F324" i="1"/>
  <c r="G324" i="1"/>
  <c r="J324" i="1"/>
  <c r="K324" i="1"/>
  <c r="L324" i="1"/>
  <c r="M324" i="1"/>
  <c r="C77" i="1"/>
  <c r="D77" i="1"/>
  <c r="E77" i="1"/>
  <c r="F77" i="1"/>
  <c r="G77" i="1"/>
  <c r="J77" i="1"/>
  <c r="K77" i="1"/>
  <c r="L77" i="1"/>
  <c r="M77" i="1"/>
  <c r="C272" i="1"/>
  <c r="D272" i="1"/>
  <c r="E272" i="1"/>
  <c r="F272" i="1"/>
  <c r="G272" i="1"/>
  <c r="J272" i="1"/>
  <c r="K272" i="1"/>
  <c r="L272" i="1"/>
  <c r="M272" i="1"/>
  <c r="C100" i="1"/>
  <c r="D100" i="1"/>
  <c r="E100" i="1"/>
  <c r="F100" i="1"/>
  <c r="G100" i="1"/>
  <c r="J100" i="1"/>
  <c r="K100" i="1"/>
  <c r="L100" i="1"/>
  <c r="M100" i="1"/>
  <c r="C228" i="1"/>
  <c r="D228" i="1"/>
  <c r="E228" i="1"/>
  <c r="F228" i="1"/>
  <c r="G228" i="1"/>
  <c r="J228" i="1"/>
  <c r="K228" i="1"/>
  <c r="L228" i="1"/>
  <c r="M228" i="1"/>
  <c r="C511" i="1"/>
  <c r="D511" i="1"/>
  <c r="E511" i="1"/>
  <c r="F511" i="1"/>
  <c r="G511" i="1"/>
  <c r="J511" i="1"/>
  <c r="K511" i="1"/>
  <c r="L511" i="1"/>
  <c r="M511" i="1"/>
  <c r="C512" i="1"/>
  <c r="D512" i="1"/>
  <c r="E512" i="1"/>
  <c r="F512" i="1"/>
  <c r="G512" i="1"/>
  <c r="J512" i="1"/>
  <c r="K512" i="1"/>
  <c r="L512" i="1"/>
  <c r="M512" i="1"/>
  <c r="C804" i="1"/>
  <c r="D804" i="1"/>
  <c r="E804" i="1"/>
  <c r="F804" i="1"/>
  <c r="G804" i="1"/>
  <c r="J804" i="1"/>
  <c r="K804" i="1"/>
  <c r="L804" i="1"/>
  <c r="M804" i="1"/>
  <c r="C394" i="1"/>
  <c r="D394" i="1"/>
  <c r="E394" i="1"/>
  <c r="F394" i="1"/>
  <c r="G394" i="1"/>
  <c r="J394" i="1"/>
  <c r="K394" i="1"/>
  <c r="L394" i="1"/>
  <c r="M394" i="1"/>
  <c r="C378" i="1"/>
  <c r="D378" i="1"/>
  <c r="E378" i="1"/>
  <c r="F378" i="1"/>
  <c r="G378" i="1"/>
  <c r="J378" i="1"/>
  <c r="K378" i="1"/>
  <c r="L378" i="1"/>
  <c r="M378" i="1"/>
  <c r="C632" i="1"/>
  <c r="D632" i="1"/>
  <c r="E632" i="1"/>
  <c r="F632" i="1"/>
  <c r="G632" i="1"/>
  <c r="J632" i="1"/>
  <c r="K632" i="1"/>
  <c r="L632" i="1"/>
  <c r="M632" i="1"/>
  <c r="C832" i="1"/>
  <c r="D832" i="1"/>
  <c r="E832" i="1"/>
  <c r="F832" i="1"/>
  <c r="G832" i="1"/>
  <c r="J832" i="1"/>
  <c r="K832" i="1"/>
  <c r="L832" i="1"/>
  <c r="M832" i="1"/>
  <c r="C708" i="1"/>
  <c r="D708" i="1"/>
  <c r="E708" i="1"/>
  <c r="F708" i="1"/>
  <c r="G708" i="1"/>
  <c r="J708" i="1"/>
  <c r="K708" i="1"/>
  <c r="L708" i="1"/>
  <c r="M708" i="1"/>
  <c r="C824" i="1"/>
  <c r="D824" i="1"/>
  <c r="E824" i="1"/>
  <c r="F824" i="1"/>
  <c r="G824" i="1"/>
  <c r="J824" i="1"/>
  <c r="K824" i="1"/>
  <c r="L824" i="1"/>
  <c r="M824" i="1"/>
  <c r="C739" i="1"/>
  <c r="D739" i="1"/>
  <c r="E739" i="1"/>
  <c r="F739" i="1"/>
  <c r="G739" i="1"/>
  <c r="J739" i="1"/>
  <c r="K739" i="1"/>
  <c r="L739" i="1"/>
  <c r="M739" i="1"/>
  <c r="C109" i="1"/>
  <c r="D109" i="1"/>
  <c r="E109" i="1"/>
  <c r="F109" i="1"/>
  <c r="G109" i="1"/>
  <c r="J109" i="1"/>
  <c r="K109" i="1"/>
  <c r="L109" i="1"/>
  <c r="M109" i="1"/>
  <c r="C204" i="1"/>
  <c r="D204" i="1"/>
  <c r="E204" i="1"/>
  <c r="F204" i="1"/>
  <c r="G204" i="1"/>
  <c r="J204" i="1"/>
  <c r="K204" i="1"/>
  <c r="L204" i="1"/>
  <c r="M204" i="1"/>
  <c r="C576" i="1"/>
  <c r="D576" i="1"/>
  <c r="E576" i="1"/>
  <c r="F576" i="1"/>
  <c r="G576" i="1"/>
  <c r="J576" i="1"/>
  <c r="K576" i="1"/>
  <c r="L576" i="1"/>
  <c r="M576" i="1"/>
  <c r="C761" i="1"/>
  <c r="D761" i="1"/>
  <c r="E761" i="1"/>
  <c r="F761" i="1"/>
  <c r="G761" i="1"/>
  <c r="J761" i="1"/>
  <c r="K761" i="1"/>
  <c r="L761" i="1"/>
  <c r="M761" i="1"/>
  <c r="C401" i="1"/>
  <c r="D401" i="1"/>
  <c r="E401" i="1"/>
  <c r="F401" i="1"/>
  <c r="G401" i="1"/>
  <c r="J401" i="1"/>
  <c r="K401" i="1"/>
  <c r="L401" i="1"/>
  <c r="M401" i="1"/>
  <c r="C477" i="1"/>
  <c r="D477" i="1"/>
  <c r="E477" i="1"/>
  <c r="F477" i="1"/>
  <c r="G477" i="1"/>
  <c r="J477" i="1"/>
  <c r="K477" i="1"/>
  <c r="L477" i="1"/>
  <c r="M477" i="1"/>
  <c r="C201" i="1"/>
  <c r="D201" i="1"/>
  <c r="E201" i="1"/>
  <c r="F201" i="1"/>
  <c r="G201" i="1"/>
  <c r="J201" i="1"/>
  <c r="K201" i="1"/>
  <c r="L201" i="1"/>
  <c r="M201" i="1"/>
  <c r="C618" i="1"/>
  <c r="D618" i="1"/>
  <c r="E618" i="1"/>
  <c r="F618" i="1"/>
  <c r="G618" i="1"/>
  <c r="J618" i="1"/>
  <c r="K618" i="1"/>
  <c r="L618" i="1"/>
  <c r="M618" i="1"/>
  <c r="C540" i="1"/>
  <c r="D540" i="1"/>
  <c r="E540" i="1"/>
  <c r="F540" i="1"/>
  <c r="G540" i="1"/>
  <c r="J540" i="1"/>
  <c r="K540" i="1"/>
  <c r="L540" i="1"/>
  <c r="M540" i="1"/>
  <c r="C35" i="1"/>
  <c r="D35" i="1"/>
  <c r="E35" i="1"/>
  <c r="F35" i="1"/>
  <c r="G35" i="1"/>
  <c r="J35" i="1"/>
  <c r="K35" i="1"/>
  <c r="L35" i="1"/>
  <c r="M35" i="1"/>
  <c r="C521" i="1"/>
  <c r="D521" i="1"/>
  <c r="E521" i="1"/>
  <c r="F521" i="1"/>
  <c r="G521" i="1"/>
  <c r="J521" i="1"/>
  <c r="K521" i="1"/>
  <c r="L521" i="1"/>
  <c r="M521" i="1"/>
  <c r="C334" i="1"/>
  <c r="D334" i="1"/>
  <c r="E334" i="1"/>
  <c r="F334" i="1"/>
  <c r="G334" i="1"/>
  <c r="J334" i="1"/>
  <c r="K334" i="1"/>
  <c r="L334" i="1"/>
  <c r="M334" i="1"/>
  <c r="C384" i="1"/>
  <c r="D384" i="1"/>
  <c r="E384" i="1"/>
  <c r="F384" i="1"/>
  <c r="G384" i="1"/>
  <c r="J384" i="1"/>
  <c r="K384" i="1"/>
  <c r="L384" i="1"/>
  <c r="M384" i="1"/>
  <c r="C385" i="1"/>
  <c r="D385" i="1"/>
  <c r="E385" i="1"/>
  <c r="F385" i="1"/>
  <c r="G385" i="1"/>
  <c r="J385" i="1"/>
  <c r="K385" i="1"/>
  <c r="L385" i="1"/>
  <c r="M385" i="1"/>
  <c r="C111" i="1"/>
  <c r="D111" i="1"/>
  <c r="E111" i="1"/>
  <c r="F111" i="1"/>
  <c r="G111" i="1"/>
  <c r="J111" i="1"/>
  <c r="K111" i="1"/>
  <c r="L111" i="1"/>
  <c r="M111" i="1"/>
  <c r="C888" i="1"/>
  <c r="D888" i="1"/>
  <c r="E888" i="1"/>
  <c r="F888" i="1"/>
  <c r="G888" i="1"/>
  <c r="J888" i="1"/>
  <c r="K888" i="1"/>
  <c r="L888" i="1"/>
  <c r="M888" i="1"/>
  <c r="C690" i="1"/>
  <c r="D690" i="1"/>
  <c r="E690" i="1"/>
  <c r="F690" i="1"/>
  <c r="G690" i="1"/>
  <c r="J690" i="1"/>
  <c r="K690" i="1"/>
  <c r="L690" i="1"/>
  <c r="M690" i="1"/>
  <c r="C533" i="1"/>
  <c r="D533" i="1"/>
  <c r="E533" i="1"/>
  <c r="F533" i="1"/>
  <c r="G533" i="1"/>
  <c r="J533" i="1"/>
  <c r="K533" i="1"/>
  <c r="L533" i="1"/>
  <c r="M533" i="1"/>
  <c r="C480" i="1"/>
  <c r="D480" i="1"/>
  <c r="E480" i="1"/>
  <c r="F480" i="1"/>
  <c r="G480" i="1"/>
  <c r="J480" i="1"/>
  <c r="K480" i="1"/>
  <c r="L480" i="1"/>
  <c r="M480" i="1"/>
  <c r="C345" i="1"/>
  <c r="D345" i="1"/>
  <c r="E345" i="1"/>
  <c r="F345" i="1"/>
  <c r="G345" i="1"/>
  <c r="J345" i="1"/>
  <c r="K345" i="1"/>
  <c r="L345" i="1"/>
  <c r="M345" i="1"/>
  <c r="C811" i="1"/>
  <c r="D811" i="1"/>
  <c r="E811" i="1"/>
  <c r="F811" i="1"/>
  <c r="G811" i="1"/>
  <c r="J811" i="1"/>
  <c r="K811" i="1"/>
  <c r="L811" i="1"/>
  <c r="M811" i="1"/>
  <c r="C500" i="1"/>
  <c r="D500" i="1"/>
  <c r="E500" i="1"/>
  <c r="F500" i="1"/>
  <c r="G500" i="1"/>
  <c r="J500" i="1"/>
  <c r="K500" i="1"/>
  <c r="L500" i="1"/>
  <c r="M500" i="1"/>
  <c r="C4" i="1"/>
  <c r="D4" i="1"/>
  <c r="E4" i="1"/>
  <c r="F4" i="1"/>
  <c r="G4" i="1"/>
  <c r="J4" i="1"/>
  <c r="K4" i="1"/>
  <c r="L4" i="1"/>
  <c r="M4" i="1"/>
  <c r="C251" i="1"/>
  <c r="D251" i="1"/>
  <c r="E251" i="1"/>
  <c r="F251" i="1"/>
  <c r="G251" i="1"/>
  <c r="J251" i="1"/>
  <c r="K251" i="1"/>
  <c r="L251" i="1"/>
  <c r="M251" i="1"/>
  <c r="C647" i="1"/>
  <c r="D647" i="1"/>
  <c r="E647" i="1"/>
  <c r="F647" i="1"/>
  <c r="G647" i="1"/>
  <c r="J647" i="1"/>
  <c r="K647" i="1"/>
  <c r="L647" i="1"/>
  <c r="M647" i="1"/>
  <c r="C749" i="1"/>
  <c r="D749" i="1"/>
  <c r="E749" i="1"/>
  <c r="F749" i="1"/>
  <c r="G749" i="1"/>
  <c r="J749" i="1"/>
  <c r="K749" i="1"/>
  <c r="L749" i="1"/>
  <c r="M749" i="1"/>
  <c r="C673" i="1"/>
  <c r="D673" i="1"/>
  <c r="E673" i="1"/>
  <c r="F673" i="1"/>
  <c r="G673" i="1"/>
  <c r="J673" i="1"/>
  <c r="K673" i="1"/>
  <c r="L673" i="1"/>
  <c r="M673" i="1"/>
  <c r="C495" i="1"/>
  <c r="D495" i="1"/>
  <c r="E495" i="1"/>
  <c r="F495" i="1"/>
  <c r="G495" i="1"/>
  <c r="J495" i="1"/>
  <c r="K495" i="1"/>
  <c r="L495" i="1"/>
  <c r="M495" i="1"/>
  <c r="C318" i="1"/>
  <c r="D318" i="1"/>
  <c r="E318" i="1"/>
  <c r="F318" i="1"/>
  <c r="G318" i="1"/>
  <c r="J318" i="1"/>
  <c r="K318" i="1"/>
  <c r="L318" i="1"/>
  <c r="M318" i="1"/>
  <c r="C701" i="1"/>
  <c r="D701" i="1"/>
  <c r="E701" i="1"/>
  <c r="F701" i="1"/>
  <c r="G701" i="1"/>
  <c r="J701" i="1"/>
  <c r="K701" i="1"/>
  <c r="L701" i="1"/>
  <c r="M701" i="1"/>
  <c r="C39" i="1"/>
  <c r="D39" i="1"/>
  <c r="E39" i="1"/>
  <c r="F39" i="1"/>
  <c r="G39" i="1"/>
  <c r="J39" i="1"/>
  <c r="K39" i="1"/>
  <c r="L39" i="1"/>
  <c r="M39" i="1"/>
  <c r="C301" i="1"/>
  <c r="D301" i="1"/>
  <c r="E301" i="1"/>
  <c r="F301" i="1"/>
  <c r="G301" i="1"/>
  <c r="J301" i="1"/>
  <c r="K301" i="1"/>
  <c r="L301" i="1"/>
  <c r="M301" i="1"/>
  <c r="C826" i="1"/>
  <c r="D826" i="1"/>
  <c r="E826" i="1"/>
  <c r="F826" i="1"/>
  <c r="G826" i="1"/>
  <c r="J826" i="1"/>
  <c r="K826" i="1"/>
  <c r="L826" i="1"/>
  <c r="M826" i="1"/>
  <c r="C431" i="1"/>
  <c r="D431" i="1"/>
  <c r="E431" i="1"/>
  <c r="F431" i="1"/>
  <c r="G431" i="1"/>
  <c r="J431" i="1"/>
  <c r="K431" i="1"/>
  <c r="L431" i="1"/>
  <c r="M431" i="1"/>
  <c r="C134" i="1"/>
  <c r="D134" i="1"/>
  <c r="E134" i="1"/>
  <c r="F134" i="1"/>
  <c r="G134" i="1"/>
  <c r="J134" i="1"/>
  <c r="K134" i="1"/>
  <c r="L134" i="1"/>
  <c r="M134" i="1"/>
  <c r="C925" i="1"/>
  <c r="D925" i="1"/>
  <c r="E925" i="1"/>
  <c r="F925" i="1"/>
  <c r="G925" i="1"/>
  <c r="J925" i="1"/>
  <c r="K925" i="1"/>
  <c r="L925" i="1"/>
  <c r="M925" i="1"/>
  <c r="C322" i="1"/>
  <c r="D322" i="1"/>
  <c r="E322" i="1"/>
  <c r="F322" i="1"/>
  <c r="G322" i="1"/>
  <c r="J322" i="1"/>
  <c r="K322" i="1"/>
  <c r="L322" i="1"/>
  <c r="M322" i="1"/>
  <c r="C253" i="1"/>
  <c r="D253" i="1"/>
  <c r="E253" i="1"/>
  <c r="F253" i="1"/>
  <c r="G253" i="1"/>
  <c r="J253" i="1"/>
  <c r="K253" i="1"/>
  <c r="L253" i="1"/>
  <c r="M253" i="1"/>
  <c r="C18" i="1"/>
  <c r="D18" i="1"/>
  <c r="E18" i="1"/>
  <c r="F18" i="1"/>
  <c r="G18" i="1"/>
  <c r="J18" i="1"/>
  <c r="K18" i="1"/>
  <c r="L18" i="1"/>
  <c r="M18" i="1"/>
  <c r="C403" i="1"/>
  <c r="D403" i="1"/>
  <c r="E403" i="1"/>
  <c r="F403" i="1"/>
  <c r="G403" i="1"/>
  <c r="J403" i="1"/>
  <c r="K403" i="1"/>
  <c r="L403" i="1"/>
  <c r="M403" i="1"/>
  <c r="C21" i="1"/>
  <c r="D21" i="1"/>
  <c r="E21" i="1"/>
  <c r="F21" i="1"/>
  <c r="G21" i="1"/>
  <c r="J21" i="1"/>
  <c r="K21" i="1"/>
  <c r="L21" i="1"/>
  <c r="M21" i="1"/>
  <c r="C727" i="1"/>
  <c r="D727" i="1"/>
  <c r="E727" i="1"/>
  <c r="F727" i="1"/>
  <c r="G727" i="1"/>
  <c r="J727" i="1"/>
  <c r="K727" i="1"/>
  <c r="L727" i="1"/>
  <c r="M727" i="1"/>
  <c r="C97" i="1"/>
  <c r="D97" i="1"/>
  <c r="E97" i="1"/>
  <c r="F97" i="1"/>
  <c r="G97" i="1"/>
  <c r="J97" i="1"/>
  <c r="K97" i="1"/>
  <c r="L97" i="1"/>
  <c r="M97" i="1"/>
  <c r="C405" i="1"/>
  <c r="D405" i="1"/>
  <c r="E405" i="1"/>
  <c r="F405" i="1"/>
  <c r="G405" i="1"/>
  <c r="J405" i="1"/>
  <c r="K405" i="1"/>
  <c r="L405" i="1"/>
  <c r="M405" i="1"/>
  <c r="C188" i="1"/>
  <c r="D188" i="1"/>
  <c r="E188" i="1"/>
  <c r="F188" i="1"/>
  <c r="G188" i="1"/>
  <c r="J188" i="1"/>
  <c r="K188" i="1"/>
  <c r="L188" i="1"/>
  <c r="M188" i="1"/>
  <c r="C90" i="1"/>
  <c r="D90" i="1"/>
  <c r="E90" i="1"/>
  <c r="F90" i="1"/>
  <c r="G90" i="1"/>
  <c r="J90" i="1"/>
  <c r="K90" i="1"/>
  <c r="L90" i="1"/>
  <c r="M90" i="1"/>
  <c r="C516" i="1"/>
  <c r="D516" i="1"/>
  <c r="E516" i="1"/>
  <c r="F516" i="1"/>
  <c r="G516" i="1"/>
  <c r="J516" i="1"/>
  <c r="K516" i="1"/>
  <c r="L516" i="1"/>
  <c r="M516" i="1"/>
  <c r="C517" i="1"/>
  <c r="D517" i="1"/>
  <c r="E517" i="1"/>
  <c r="F517" i="1"/>
  <c r="G517" i="1"/>
  <c r="J517" i="1"/>
  <c r="K517" i="1"/>
  <c r="L517" i="1"/>
  <c r="M517" i="1"/>
  <c r="C869" i="1"/>
  <c r="D869" i="1"/>
  <c r="E869" i="1"/>
  <c r="F869" i="1"/>
  <c r="G869" i="1"/>
  <c r="J869" i="1"/>
  <c r="K869" i="1"/>
  <c r="L869" i="1"/>
  <c r="M869" i="1"/>
  <c r="C909" i="1"/>
  <c r="D909" i="1"/>
  <c r="E909" i="1"/>
  <c r="F909" i="1"/>
  <c r="G909" i="1"/>
  <c r="J909" i="1"/>
  <c r="K909" i="1"/>
  <c r="L909" i="1"/>
  <c r="M909" i="1"/>
  <c r="C635" i="1"/>
  <c r="D635" i="1"/>
  <c r="E635" i="1"/>
  <c r="F635" i="1"/>
  <c r="G635" i="1"/>
  <c r="J635" i="1"/>
  <c r="K635" i="1"/>
  <c r="L635" i="1"/>
  <c r="M635" i="1"/>
  <c r="C407" i="1"/>
  <c r="D407" i="1"/>
  <c r="E407" i="1"/>
  <c r="F407" i="1"/>
  <c r="G407" i="1"/>
  <c r="J407" i="1"/>
  <c r="K407" i="1"/>
  <c r="L407" i="1"/>
  <c r="M407" i="1"/>
  <c r="C677" i="1"/>
  <c r="D677" i="1"/>
  <c r="E677" i="1"/>
  <c r="F677" i="1"/>
  <c r="G677" i="1"/>
  <c r="J677" i="1"/>
  <c r="K677" i="1"/>
  <c r="L677" i="1"/>
  <c r="M677" i="1"/>
  <c r="C704" i="1"/>
  <c r="D704" i="1"/>
  <c r="E704" i="1"/>
  <c r="F704" i="1"/>
  <c r="G704" i="1"/>
  <c r="J704" i="1"/>
  <c r="K704" i="1"/>
  <c r="L704" i="1"/>
  <c r="M704" i="1"/>
  <c r="C914" i="1"/>
  <c r="D914" i="1"/>
  <c r="E914" i="1"/>
  <c r="F914" i="1"/>
  <c r="G914" i="1"/>
  <c r="J914" i="1"/>
  <c r="K914" i="1"/>
  <c r="L914" i="1"/>
  <c r="M914" i="1"/>
  <c r="C239" i="1"/>
  <c r="D239" i="1"/>
  <c r="E239" i="1"/>
  <c r="F239" i="1"/>
  <c r="G239" i="1"/>
  <c r="J239" i="1"/>
  <c r="K239" i="1"/>
  <c r="L239" i="1"/>
  <c r="M239" i="1"/>
  <c r="C864" i="1"/>
  <c r="D864" i="1"/>
  <c r="E864" i="1"/>
  <c r="F864" i="1"/>
  <c r="G864" i="1"/>
  <c r="J864" i="1"/>
  <c r="K864" i="1"/>
  <c r="L864" i="1"/>
  <c r="M864" i="1"/>
  <c r="C12" i="1"/>
  <c r="D12" i="1"/>
  <c r="E12" i="1"/>
  <c r="F12" i="1"/>
  <c r="G12" i="1"/>
  <c r="J12" i="1"/>
  <c r="K12" i="1"/>
  <c r="L12" i="1"/>
  <c r="M12" i="1"/>
  <c r="C207" i="1"/>
  <c r="D207" i="1"/>
  <c r="E207" i="1"/>
  <c r="F207" i="1"/>
  <c r="G207" i="1"/>
  <c r="J207" i="1"/>
  <c r="K207" i="1"/>
  <c r="L207" i="1"/>
  <c r="M207" i="1"/>
  <c r="C208" i="1"/>
  <c r="D208" i="1"/>
  <c r="E208" i="1"/>
  <c r="F208" i="1"/>
  <c r="G208" i="1"/>
  <c r="J208" i="1"/>
  <c r="K208" i="1"/>
  <c r="L208" i="1"/>
  <c r="M208" i="1"/>
  <c r="C694" i="1"/>
  <c r="D694" i="1"/>
  <c r="E694" i="1"/>
  <c r="F694" i="1"/>
  <c r="G694" i="1"/>
  <c r="J694" i="1"/>
  <c r="K694" i="1"/>
  <c r="L694" i="1"/>
  <c r="M694" i="1"/>
  <c r="C730" i="1"/>
  <c r="D730" i="1"/>
  <c r="E730" i="1"/>
  <c r="F730" i="1"/>
  <c r="G730" i="1"/>
  <c r="J730" i="1"/>
  <c r="K730" i="1"/>
  <c r="L730" i="1"/>
  <c r="M730" i="1"/>
  <c r="C682" i="1"/>
  <c r="D682" i="1"/>
  <c r="E682" i="1"/>
  <c r="F682" i="1"/>
  <c r="G682" i="1"/>
  <c r="J682" i="1"/>
  <c r="K682" i="1"/>
  <c r="L682" i="1"/>
  <c r="M682" i="1"/>
  <c r="C815" i="1"/>
  <c r="D815" i="1"/>
  <c r="E815" i="1"/>
  <c r="F815" i="1"/>
  <c r="G815" i="1"/>
  <c r="J815" i="1"/>
  <c r="K815" i="1"/>
  <c r="L815" i="1"/>
  <c r="M815" i="1"/>
  <c r="C132" i="1"/>
  <c r="D132" i="1"/>
  <c r="E132" i="1"/>
  <c r="F132" i="1"/>
  <c r="G132" i="1"/>
  <c r="J132" i="1"/>
  <c r="K132" i="1"/>
  <c r="L132" i="1"/>
  <c r="M132" i="1"/>
  <c r="C285" i="1"/>
  <c r="D285" i="1"/>
  <c r="E285" i="1"/>
  <c r="F285" i="1"/>
  <c r="G285" i="1"/>
  <c r="J285" i="1"/>
  <c r="K285" i="1"/>
  <c r="L285" i="1"/>
  <c r="M285" i="1"/>
  <c r="C156" i="1"/>
  <c r="D156" i="1"/>
  <c r="E156" i="1"/>
  <c r="F156" i="1"/>
  <c r="G156" i="1"/>
  <c r="J156" i="1"/>
  <c r="K156" i="1"/>
  <c r="L156" i="1"/>
  <c r="M156" i="1"/>
  <c r="C350" i="1"/>
  <c r="D350" i="1"/>
  <c r="E350" i="1"/>
  <c r="F350" i="1"/>
  <c r="G350" i="1"/>
  <c r="J350" i="1"/>
  <c r="K350" i="1"/>
  <c r="L350" i="1"/>
  <c r="M350" i="1"/>
  <c r="C582" i="1"/>
  <c r="D582" i="1"/>
  <c r="E582" i="1"/>
  <c r="F582" i="1"/>
  <c r="G582" i="1"/>
  <c r="J582" i="1"/>
  <c r="K582" i="1"/>
  <c r="L582" i="1"/>
  <c r="M582" i="1"/>
  <c r="C341" i="1"/>
  <c r="D341" i="1"/>
  <c r="E341" i="1"/>
  <c r="F341" i="1"/>
  <c r="G341" i="1"/>
  <c r="J341" i="1"/>
  <c r="K341" i="1"/>
  <c r="L341" i="1"/>
  <c r="M341" i="1"/>
  <c r="C411" i="1"/>
  <c r="D411" i="1"/>
  <c r="E411" i="1"/>
  <c r="F411" i="1"/>
  <c r="G411" i="1"/>
  <c r="J411" i="1"/>
  <c r="K411" i="1"/>
  <c r="L411" i="1"/>
  <c r="M411" i="1"/>
  <c r="C885" i="1"/>
  <c r="D885" i="1"/>
  <c r="E885" i="1"/>
  <c r="F885" i="1"/>
  <c r="G885" i="1"/>
  <c r="J885" i="1"/>
  <c r="K885" i="1"/>
  <c r="L885" i="1"/>
  <c r="M885" i="1"/>
  <c r="C31" i="1"/>
  <c r="D31" i="1"/>
  <c r="E31" i="1"/>
  <c r="F31" i="1"/>
  <c r="G31" i="1"/>
  <c r="J31" i="1"/>
  <c r="K31" i="1"/>
  <c r="L31" i="1"/>
  <c r="M31" i="1"/>
  <c r="C162" i="1"/>
  <c r="D162" i="1"/>
  <c r="E162" i="1"/>
  <c r="F162" i="1"/>
  <c r="G162" i="1"/>
  <c r="J162" i="1"/>
  <c r="K162" i="1"/>
  <c r="L162" i="1"/>
  <c r="M162" i="1"/>
  <c r="C753" i="1"/>
  <c r="D753" i="1"/>
  <c r="E753" i="1"/>
  <c r="F753" i="1"/>
  <c r="G753" i="1"/>
  <c r="J753" i="1"/>
  <c r="K753" i="1"/>
  <c r="L753" i="1"/>
  <c r="M753" i="1"/>
  <c r="C237" i="1"/>
  <c r="D237" i="1"/>
  <c r="E237" i="1"/>
  <c r="F237" i="1"/>
  <c r="G237" i="1"/>
  <c r="J237" i="1"/>
  <c r="K237" i="1"/>
  <c r="L237" i="1"/>
  <c r="M237" i="1"/>
  <c r="C267" i="1"/>
  <c r="D267" i="1"/>
  <c r="E267" i="1"/>
  <c r="F267" i="1"/>
  <c r="G267" i="1"/>
  <c r="J267" i="1"/>
  <c r="K267" i="1"/>
  <c r="L267" i="1"/>
  <c r="M267" i="1"/>
  <c r="C650" i="1"/>
  <c r="D650" i="1"/>
  <c r="E650" i="1"/>
  <c r="F650" i="1"/>
  <c r="G650" i="1"/>
  <c r="J650" i="1"/>
  <c r="K650" i="1"/>
  <c r="L650" i="1"/>
  <c r="M650" i="1"/>
  <c r="C765" i="1"/>
  <c r="D765" i="1"/>
  <c r="E765" i="1"/>
  <c r="F765" i="1"/>
  <c r="G765" i="1"/>
  <c r="J765" i="1"/>
  <c r="K765" i="1"/>
  <c r="L765" i="1"/>
  <c r="M765" i="1"/>
  <c r="C556" i="1"/>
  <c r="D556" i="1"/>
  <c r="E556" i="1"/>
  <c r="F556" i="1"/>
  <c r="G556" i="1"/>
  <c r="J556" i="1"/>
  <c r="K556" i="1"/>
  <c r="L556" i="1"/>
  <c r="M556" i="1"/>
  <c r="C50" i="1"/>
  <c r="D50" i="1"/>
  <c r="E50" i="1"/>
  <c r="F50" i="1"/>
  <c r="G50" i="1"/>
  <c r="J50" i="1"/>
  <c r="K50" i="1"/>
  <c r="L50" i="1"/>
  <c r="M50" i="1"/>
  <c r="C296" i="1"/>
  <c r="D296" i="1"/>
  <c r="E296" i="1"/>
  <c r="F296" i="1"/>
  <c r="G296" i="1"/>
  <c r="J296" i="1"/>
  <c r="K296" i="1"/>
  <c r="L296" i="1"/>
  <c r="M296" i="1"/>
  <c r="C119" i="1"/>
  <c r="D119" i="1"/>
  <c r="E119" i="1"/>
  <c r="F119" i="1"/>
  <c r="G119" i="1"/>
  <c r="J119" i="1"/>
  <c r="K119" i="1"/>
  <c r="L119" i="1"/>
  <c r="M119" i="1"/>
  <c r="C436" i="1"/>
  <c r="D436" i="1"/>
  <c r="E436" i="1"/>
  <c r="F436" i="1"/>
  <c r="G436" i="1"/>
  <c r="J436" i="1"/>
  <c r="K436" i="1"/>
  <c r="L436" i="1"/>
  <c r="M436" i="1"/>
  <c r="C814" i="1"/>
  <c r="D814" i="1"/>
  <c r="E814" i="1"/>
  <c r="F814" i="1"/>
  <c r="G814" i="1"/>
  <c r="J814" i="1"/>
  <c r="K814" i="1"/>
  <c r="L814" i="1"/>
  <c r="M814" i="1"/>
  <c r="C716" i="1"/>
  <c r="D716" i="1"/>
  <c r="E716" i="1"/>
  <c r="F716" i="1"/>
  <c r="G716" i="1"/>
  <c r="J716" i="1"/>
  <c r="K716" i="1"/>
  <c r="L716" i="1"/>
  <c r="M716" i="1"/>
  <c r="C331" i="1"/>
  <c r="D331" i="1"/>
  <c r="E331" i="1"/>
  <c r="F331" i="1"/>
  <c r="G331" i="1"/>
  <c r="J331" i="1"/>
  <c r="K331" i="1"/>
  <c r="L331" i="1"/>
  <c r="M331" i="1"/>
  <c r="C87" i="1"/>
  <c r="D87" i="1"/>
  <c r="E87" i="1"/>
  <c r="F87" i="1"/>
  <c r="G87" i="1"/>
  <c r="J87" i="1"/>
  <c r="K87" i="1"/>
  <c r="L87" i="1"/>
  <c r="M87" i="1"/>
  <c r="C7" i="1"/>
  <c r="D7" i="1"/>
  <c r="E7" i="1"/>
  <c r="F7" i="1"/>
  <c r="G7" i="1"/>
  <c r="J7" i="1"/>
  <c r="K7" i="1"/>
  <c r="L7" i="1"/>
  <c r="M7" i="1"/>
  <c r="C62" i="1"/>
  <c r="D62" i="1"/>
  <c r="E62" i="1"/>
  <c r="F62" i="1"/>
  <c r="G62" i="1"/>
  <c r="J62" i="1"/>
  <c r="K62" i="1"/>
  <c r="L62" i="1"/>
  <c r="M62" i="1"/>
  <c r="C561" i="1"/>
  <c r="D561" i="1"/>
  <c r="E561" i="1"/>
  <c r="F561" i="1"/>
  <c r="G561" i="1"/>
  <c r="J561" i="1"/>
  <c r="K561" i="1"/>
  <c r="L561" i="1"/>
  <c r="M561" i="1"/>
  <c r="C493" i="1"/>
  <c r="D493" i="1"/>
  <c r="E493" i="1"/>
  <c r="F493" i="1"/>
  <c r="G493" i="1"/>
  <c r="J493" i="1"/>
  <c r="K493" i="1"/>
  <c r="L493" i="1"/>
  <c r="M493" i="1"/>
  <c r="C374" i="1"/>
  <c r="D374" i="1"/>
  <c r="E374" i="1"/>
  <c r="F374" i="1"/>
  <c r="G374" i="1"/>
  <c r="J374" i="1"/>
  <c r="K374" i="1"/>
  <c r="L374" i="1"/>
  <c r="M374" i="1"/>
  <c r="C27" i="1"/>
  <c r="D27" i="1"/>
  <c r="E27" i="1"/>
  <c r="F27" i="1"/>
  <c r="G27" i="1"/>
  <c r="J27" i="1"/>
  <c r="K27" i="1"/>
  <c r="L27" i="1"/>
  <c r="M27" i="1"/>
  <c r="C696" i="1"/>
  <c r="D696" i="1"/>
  <c r="E696" i="1"/>
  <c r="F696" i="1"/>
  <c r="G696" i="1"/>
  <c r="J696" i="1"/>
  <c r="K696" i="1"/>
  <c r="L696" i="1"/>
  <c r="M696" i="1"/>
  <c r="C857" i="1"/>
  <c r="D857" i="1"/>
  <c r="E857" i="1"/>
  <c r="F857" i="1"/>
  <c r="G857" i="1"/>
  <c r="J857" i="1"/>
  <c r="K857" i="1"/>
  <c r="L857" i="1"/>
  <c r="M857" i="1"/>
  <c r="C773" i="1"/>
  <c r="D773" i="1"/>
  <c r="E773" i="1"/>
  <c r="F773" i="1"/>
  <c r="G773" i="1"/>
  <c r="J773" i="1"/>
  <c r="K773" i="1"/>
  <c r="L773" i="1"/>
  <c r="M773" i="1"/>
  <c r="C211" i="1"/>
  <c r="D211" i="1"/>
  <c r="E211" i="1"/>
  <c r="F211" i="1"/>
  <c r="G211" i="1"/>
  <c r="J211" i="1"/>
  <c r="K211" i="1"/>
  <c r="L211" i="1"/>
  <c r="M211" i="1"/>
  <c r="C305" i="1"/>
  <c r="D305" i="1"/>
  <c r="E305" i="1"/>
  <c r="F305" i="1"/>
  <c r="G305" i="1"/>
  <c r="J305" i="1"/>
  <c r="K305" i="1"/>
  <c r="L305" i="1"/>
  <c r="M305" i="1"/>
  <c r="C898" i="1"/>
  <c r="D898" i="1"/>
  <c r="E898" i="1"/>
  <c r="F898" i="1"/>
  <c r="G898" i="1"/>
  <c r="J898" i="1"/>
  <c r="K898" i="1"/>
  <c r="L898" i="1"/>
  <c r="M898" i="1"/>
  <c r="C368" i="1"/>
  <c r="D368" i="1"/>
  <c r="E368" i="1"/>
  <c r="F368" i="1"/>
  <c r="G368" i="1"/>
  <c r="J368" i="1"/>
  <c r="K368" i="1"/>
  <c r="L368" i="1"/>
  <c r="M368" i="1"/>
  <c r="C259" i="1"/>
  <c r="D259" i="1"/>
  <c r="E259" i="1"/>
  <c r="F259" i="1"/>
  <c r="G259" i="1"/>
  <c r="J259" i="1"/>
  <c r="K259" i="1"/>
  <c r="L259" i="1"/>
  <c r="M259" i="1"/>
  <c r="C260" i="1"/>
  <c r="D260" i="1"/>
  <c r="E260" i="1"/>
  <c r="F260" i="1"/>
  <c r="G260" i="1"/>
  <c r="J260" i="1"/>
  <c r="K260" i="1"/>
  <c r="L260" i="1"/>
  <c r="M260" i="1"/>
  <c r="C839" i="1"/>
  <c r="D839" i="1"/>
  <c r="E839" i="1"/>
  <c r="F839" i="1"/>
  <c r="G839" i="1"/>
  <c r="J839" i="1"/>
  <c r="K839" i="1"/>
  <c r="L839" i="1"/>
  <c r="M839" i="1"/>
  <c r="C289" i="1"/>
  <c r="D289" i="1"/>
  <c r="E289" i="1"/>
  <c r="F289" i="1"/>
  <c r="G289" i="1"/>
  <c r="J289" i="1"/>
  <c r="K289" i="1"/>
  <c r="L289" i="1"/>
  <c r="M289" i="1"/>
  <c r="C844" i="1"/>
  <c r="D844" i="1"/>
  <c r="E844" i="1"/>
  <c r="F844" i="1"/>
  <c r="G844" i="1"/>
  <c r="J844" i="1"/>
  <c r="K844" i="1"/>
  <c r="L844" i="1"/>
  <c r="M844" i="1"/>
  <c r="C57" i="1"/>
  <c r="D57" i="1"/>
  <c r="E57" i="1"/>
  <c r="F57" i="1"/>
  <c r="G57" i="1"/>
  <c r="J57" i="1"/>
  <c r="K57" i="1"/>
  <c r="L57" i="1"/>
  <c r="M57" i="1"/>
  <c r="C807" i="1"/>
  <c r="D807" i="1"/>
  <c r="E807" i="1"/>
  <c r="F807" i="1"/>
  <c r="G807" i="1"/>
  <c r="J807" i="1"/>
  <c r="K807" i="1"/>
  <c r="L807" i="1"/>
  <c r="M807" i="1"/>
  <c r="C168" i="1"/>
  <c r="D168" i="1"/>
  <c r="E168" i="1"/>
  <c r="F168" i="1"/>
  <c r="G168" i="1"/>
  <c r="J168" i="1"/>
  <c r="K168" i="1"/>
  <c r="L168" i="1"/>
  <c r="M168" i="1"/>
  <c r="C461" i="1"/>
  <c r="D461" i="1"/>
  <c r="E461" i="1"/>
  <c r="F461" i="1"/>
  <c r="G461" i="1"/>
  <c r="J461" i="1"/>
  <c r="K461" i="1"/>
  <c r="L461" i="1"/>
  <c r="M461" i="1"/>
  <c r="C929" i="1"/>
  <c r="D929" i="1"/>
  <c r="E929" i="1"/>
  <c r="F929" i="1"/>
  <c r="G929" i="1"/>
  <c r="J929" i="1"/>
  <c r="K929" i="1"/>
  <c r="L929" i="1"/>
  <c r="M929" i="1"/>
  <c r="C892" i="1"/>
  <c r="D892" i="1"/>
  <c r="E892" i="1"/>
  <c r="F892" i="1"/>
  <c r="G892" i="1"/>
  <c r="J892" i="1"/>
  <c r="K892" i="1"/>
  <c r="L892" i="1"/>
  <c r="M892" i="1"/>
  <c r="C573" i="1"/>
  <c r="D573" i="1"/>
  <c r="E573" i="1"/>
  <c r="F573" i="1"/>
  <c r="G573" i="1"/>
  <c r="J573" i="1"/>
  <c r="K573" i="1"/>
  <c r="L573" i="1"/>
  <c r="M573" i="1"/>
  <c r="C911" i="1"/>
  <c r="D911" i="1"/>
  <c r="E911" i="1"/>
  <c r="F911" i="1"/>
  <c r="G911" i="1"/>
  <c r="J911" i="1"/>
  <c r="K911" i="1"/>
  <c r="L911" i="1"/>
  <c r="M911" i="1"/>
  <c r="C464" i="1"/>
  <c r="D464" i="1"/>
  <c r="E464" i="1"/>
  <c r="F464" i="1"/>
  <c r="G464" i="1"/>
  <c r="J464" i="1"/>
  <c r="K464" i="1"/>
  <c r="L464" i="1"/>
  <c r="M464" i="1"/>
  <c r="C149" i="1"/>
  <c r="D149" i="1"/>
  <c r="E149" i="1"/>
  <c r="F149" i="1"/>
  <c r="G149" i="1"/>
  <c r="J149" i="1"/>
  <c r="K149" i="1"/>
  <c r="L149" i="1"/>
  <c r="M149" i="1"/>
  <c r="C565" i="1"/>
  <c r="D565" i="1"/>
  <c r="E565" i="1"/>
  <c r="F565" i="1"/>
  <c r="G565" i="1"/>
  <c r="J565" i="1"/>
  <c r="K565" i="1"/>
  <c r="L565" i="1"/>
  <c r="M565" i="1"/>
  <c r="C614" i="1"/>
  <c r="D614" i="1"/>
  <c r="E614" i="1"/>
  <c r="F614" i="1"/>
  <c r="G614" i="1"/>
  <c r="J614" i="1"/>
  <c r="K614" i="1"/>
  <c r="L614" i="1"/>
  <c r="M614" i="1"/>
  <c r="C418" i="1"/>
  <c r="D418" i="1"/>
  <c r="E418" i="1"/>
  <c r="F418" i="1"/>
  <c r="G418" i="1"/>
  <c r="J418" i="1"/>
  <c r="K418" i="1"/>
  <c r="L418" i="1"/>
  <c r="M418" i="1"/>
  <c r="C608" i="1"/>
  <c r="D608" i="1"/>
  <c r="E608" i="1"/>
  <c r="F608" i="1"/>
  <c r="G608" i="1"/>
  <c r="J608" i="1"/>
  <c r="K608" i="1"/>
  <c r="L608" i="1"/>
  <c r="M608" i="1"/>
  <c r="C584" i="1"/>
  <c r="D584" i="1"/>
  <c r="E584" i="1"/>
  <c r="F584" i="1"/>
  <c r="G584" i="1"/>
  <c r="J584" i="1"/>
  <c r="K584" i="1"/>
  <c r="L584" i="1"/>
  <c r="M584" i="1"/>
  <c r="C248" i="1"/>
  <c r="D248" i="1"/>
  <c r="E248" i="1"/>
  <c r="F248" i="1"/>
  <c r="G248" i="1"/>
  <c r="J248" i="1"/>
  <c r="K248" i="1"/>
  <c r="L248" i="1"/>
  <c r="M248" i="1"/>
  <c r="C538" i="1"/>
  <c r="D538" i="1"/>
  <c r="E538" i="1"/>
  <c r="F538" i="1"/>
  <c r="G538" i="1"/>
  <c r="J538" i="1"/>
  <c r="K538" i="1"/>
  <c r="L538" i="1"/>
  <c r="M538" i="1"/>
  <c r="C434" i="1"/>
  <c r="D434" i="1"/>
  <c r="E434" i="1"/>
  <c r="F434" i="1"/>
  <c r="G434" i="1"/>
  <c r="J434" i="1"/>
  <c r="K434" i="1"/>
  <c r="L434" i="1"/>
  <c r="M434" i="1"/>
  <c r="C173" i="1"/>
  <c r="D173" i="1"/>
  <c r="E173" i="1"/>
  <c r="F173" i="1"/>
  <c r="G173" i="1"/>
  <c r="J173" i="1"/>
  <c r="K173" i="1"/>
  <c r="L173" i="1"/>
  <c r="M173" i="1"/>
  <c r="C769" i="1"/>
  <c r="D769" i="1"/>
  <c r="E769" i="1"/>
  <c r="F769" i="1"/>
  <c r="G769" i="1"/>
  <c r="J769" i="1"/>
  <c r="K769" i="1"/>
  <c r="L769" i="1"/>
  <c r="M769" i="1"/>
  <c r="C610" i="1"/>
  <c r="D610" i="1"/>
  <c r="E610" i="1"/>
  <c r="F610" i="1"/>
  <c r="G610" i="1"/>
  <c r="J610" i="1"/>
  <c r="K610" i="1"/>
  <c r="L610" i="1"/>
  <c r="M610" i="1"/>
  <c r="C602" i="1"/>
  <c r="D602" i="1"/>
  <c r="E602" i="1"/>
  <c r="F602" i="1"/>
  <c r="G602" i="1"/>
  <c r="J602" i="1"/>
  <c r="K602" i="1"/>
  <c r="L602" i="1"/>
  <c r="M602" i="1"/>
  <c r="C473" i="1"/>
  <c r="D473" i="1"/>
  <c r="E473" i="1"/>
  <c r="F473" i="1"/>
  <c r="G473" i="1"/>
  <c r="J473" i="1"/>
  <c r="K473" i="1"/>
  <c r="L473" i="1"/>
  <c r="M473" i="1"/>
  <c r="C292" i="1"/>
  <c r="D292" i="1"/>
  <c r="E292" i="1"/>
  <c r="F292" i="1"/>
  <c r="G292" i="1"/>
  <c r="J292" i="1"/>
  <c r="K292" i="1"/>
  <c r="L292" i="1"/>
  <c r="M292" i="1"/>
  <c r="C176" i="1"/>
  <c r="D176" i="1"/>
  <c r="E176" i="1"/>
  <c r="F176" i="1"/>
  <c r="G176" i="1"/>
  <c r="J176" i="1"/>
  <c r="K176" i="1"/>
  <c r="L176" i="1"/>
  <c r="M176" i="1"/>
  <c r="C114" i="1"/>
  <c r="D114" i="1"/>
  <c r="E114" i="1"/>
  <c r="F114" i="1"/>
  <c r="G114" i="1"/>
  <c r="J114" i="1"/>
  <c r="K114" i="1"/>
  <c r="L114" i="1"/>
  <c r="M114" i="1"/>
  <c r="C699" i="1"/>
  <c r="D699" i="1"/>
  <c r="E699" i="1"/>
  <c r="F699" i="1"/>
  <c r="G699" i="1"/>
  <c r="J699" i="1"/>
  <c r="K699" i="1"/>
  <c r="L699" i="1"/>
  <c r="M699" i="1"/>
  <c r="C861" i="1"/>
  <c r="D861" i="1"/>
  <c r="E861" i="1"/>
  <c r="F861" i="1"/>
  <c r="G861" i="1"/>
  <c r="J861" i="1"/>
  <c r="K861" i="1"/>
  <c r="L861" i="1"/>
  <c r="M861" i="1"/>
  <c r="C452" i="1"/>
  <c r="D452" i="1"/>
  <c r="E452" i="1"/>
  <c r="F452" i="1"/>
  <c r="G452" i="1"/>
  <c r="J452" i="1"/>
  <c r="K452" i="1"/>
  <c r="L452" i="1"/>
  <c r="M452" i="1"/>
  <c r="C652" i="1"/>
  <c r="D652" i="1"/>
  <c r="E652" i="1"/>
  <c r="F652" i="1"/>
  <c r="G652" i="1"/>
  <c r="J652" i="1"/>
  <c r="K652" i="1"/>
  <c r="L652" i="1"/>
  <c r="M652" i="1"/>
  <c r="C424" i="1"/>
  <c r="D424" i="1"/>
  <c r="E424" i="1"/>
  <c r="F424" i="1"/>
  <c r="G424" i="1"/>
  <c r="J424" i="1"/>
  <c r="K424" i="1"/>
  <c r="L424" i="1"/>
  <c r="M424" i="1"/>
  <c r="C542" i="1"/>
  <c r="D542" i="1"/>
  <c r="E542" i="1"/>
  <c r="F542" i="1"/>
  <c r="G542" i="1"/>
  <c r="J542" i="1"/>
  <c r="K542" i="1"/>
  <c r="L542" i="1"/>
  <c r="M542" i="1"/>
  <c r="C171" i="1"/>
  <c r="D171" i="1"/>
  <c r="E171" i="1"/>
  <c r="F171" i="1"/>
  <c r="G171" i="1"/>
  <c r="J171" i="1"/>
  <c r="K171" i="1"/>
  <c r="L171" i="1"/>
  <c r="M171" i="1"/>
  <c r="C641" i="1"/>
  <c r="D641" i="1"/>
  <c r="E641" i="1"/>
  <c r="F641" i="1"/>
  <c r="G641" i="1"/>
  <c r="J641" i="1"/>
  <c r="K641" i="1"/>
  <c r="L641" i="1"/>
  <c r="M641" i="1"/>
  <c r="C504" i="1"/>
  <c r="D504" i="1"/>
  <c r="E504" i="1"/>
  <c r="F504" i="1"/>
  <c r="G504" i="1"/>
  <c r="J504" i="1"/>
  <c r="K504" i="1"/>
  <c r="L504" i="1"/>
  <c r="M504" i="1"/>
  <c r="C616" i="1"/>
  <c r="D616" i="1"/>
  <c r="E616" i="1"/>
  <c r="F616" i="1"/>
  <c r="G616" i="1"/>
  <c r="J616" i="1"/>
  <c r="K616" i="1"/>
  <c r="L616" i="1"/>
  <c r="M616" i="1"/>
  <c r="C369" i="1"/>
  <c r="D369" i="1"/>
  <c r="E369" i="1"/>
  <c r="F369" i="1"/>
  <c r="G369" i="1"/>
  <c r="J369" i="1"/>
  <c r="K369" i="1"/>
  <c r="L369" i="1"/>
  <c r="M369" i="1"/>
  <c r="C190" i="1"/>
  <c r="D190" i="1"/>
  <c r="E190" i="1"/>
  <c r="F190" i="1"/>
  <c r="G190" i="1"/>
  <c r="J190" i="1"/>
  <c r="K190" i="1"/>
  <c r="L190" i="1"/>
  <c r="M190" i="1"/>
  <c r="C294" i="1"/>
  <c r="D294" i="1"/>
  <c r="E294" i="1"/>
  <c r="F294" i="1"/>
  <c r="G294" i="1"/>
  <c r="J294" i="1"/>
  <c r="K294" i="1"/>
  <c r="L294" i="1"/>
  <c r="M294" i="1"/>
  <c r="C808" i="1"/>
  <c r="D808" i="1"/>
  <c r="E808" i="1"/>
  <c r="F808" i="1"/>
  <c r="G808" i="1"/>
  <c r="J808" i="1"/>
  <c r="K808" i="1"/>
  <c r="L808" i="1"/>
  <c r="M808" i="1"/>
  <c r="C609" i="1"/>
  <c r="D609" i="1"/>
  <c r="E609" i="1"/>
  <c r="F609" i="1"/>
  <c r="G609" i="1"/>
  <c r="J609" i="1"/>
  <c r="K609" i="1"/>
  <c r="L609" i="1"/>
  <c r="M609" i="1"/>
  <c r="C439" i="1"/>
  <c r="D439" i="1"/>
  <c r="E439" i="1"/>
  <c r="F439" i="1"/>
  <c r="G439" i="1"/>
  <c r="J439" i="1"/>
  <c r="K439" i="1"/>
  <c r="L439" i="1"/>
  <c r="M439" i="1"/>
  <c r="C128" i="1"/>
  <c r="D128" i="1"/>
  <c r="E128" i="1"/>
  <c r="F128" i="1"/>
  <c r="G128" i="1"/>
  <c r="J128" i="1"/>
  <c r="K128" i="1"/>
  <c r="L128" i="1"/>
  <c r="M128" i="1"/>
  <c r="C415" i="1"/>
  <c r="D415" i="1"/>
  <c r="E415" i="1"/>
  <c r="F415" i="1"/>
  <c r="G415" i="1"/>
  <c r="J415" i="1"/>
  <c r="K415" i="1"/>
  <c r="L415" i="1"/>
  <c r="M415" i="1"/>
  <c r="C465" i="1"/>
  <c r="D465" i="1"/>
  <c r="E465" i="1"/>
  <c r="F465" i="1"/>
  <c r="G465" i="1"/>
  <c r="J465" i="1"/>
  <c r="K465" i="1"/>
  <c r="L465" i="1"/>
  <c r="M465" i="1"/>
  <c r="C150" i="1"/>
  <c r="D150" i="1"/>
  <c r="E150" i="1"/>
  <c r="F150" i="1"/>
  <c r="G150" i="1"/>
  <c r="J150" i="1"/>
  <c r="K150" i="1"/>
  <c r="L150" i="1"/>
  <c r="M150" i="1"/>
  <c r="C440" i="1"/>
  <c r="D440" i="1"/>
  <c r="E440" i="1"/>
  <c r="F440" i="1"/>
  <c r="G440" i="1"/>
  <c r="J440" i="1"/>
  <c r="K440" i="1"/>
  <c r="L440" i="1"/>
  <c r="M440" i="1"/>
  <c r="C927" i="1"/>
  <c r="D927" i="1"/>
  <c r="E927" i="1"/>
  <c r="F927" i="1"/>
  <c r="G927" i="1"/>
  <c r="J927" i="1"/>
  <c r="K927" i="1"/>
  <c r="L927" i="1"/>
  <c r="M927" i="1"/>
  <c r="C809" i="1"/>
  <c r="D809" i="1"/>
  <c r="E809" i="1"/>
  <c r="F809" i="1"/>
  <c r="G809" i="1"/>
  <c r="J809" i="1"/>
  <c r="K809" i="1"/>
  <c r="L809" i="1"/>
  <c r="M809" i="1"/>
  <c r="C566" i="1"/>
  <c r="D566" i="1"/>
  <c r="E566" i="1"/>
  <c r="F566" i="1"/>
  <c r="G566" i="1"/>
  <c r="J566" i="1"/>
  <c r="K566" i="1"/>
  <c r="L566" i="1"/>
  <c r="M566" i="1"/>
  <c r="C624" i="1"/>
  <c r="D624" i="1"/>
  <c r="E624" i="1"/>
  <c r="F624" i="1"/>
  <c r="G624" i="1"/>
  <c r="J624" i="1"/>
  <c r="K624" i="1"/>
  <c r="L624" i="1"/>
  <c r="M624" i="1"/>
  <c r="C419" i="1"/>
  <c r="D419" i="1"/>
  <c r="E419" i="1"/>
  <c r="F419" i="1"/>
  <c r="G419" i="1"/>
  <c r="J419" i="1"/>
  <c r="K419" i="1"/>
  <c r="L419" i="1"/>
  <c r="M419" i="1"/>
  <c r="C303" i="1"/>
  <c r="D303" i="1"/>
  <c r="E303" i="1"/>
  <c r="F303" i="1"/>
  <c r="G303" i="1"/>
  <c r="J303" i="1"/>
  <c r="K303" i="1"/>
  <c r="L303" i="1"/>
  <c r="M303" i="1"/>
  <c r="C563" i="1"/>
  <c r="D563" i="1"/>
  <c r="E563" i="1"/>
  <c r="F563" i="1"/>
  <c r="G563" i="1"/>
  <c r="J563" i="1"/>
  <c r="K563" i="1"/>
  <c r="L563" i="1"/>
  <c r="M563" i="1"/>
  <c r="C615" i="1"/>
  <c r="D615" i="1"/>
  <c r="E615" i="1"/>
  <c r="F615" i="1"/>
  <c r="G615" i="1"/>
  <c r="J615" i="1"/>
  <c r="K615" i="1"/>
  <c r="L615" i="1"/>
  <c r="M615" i="1"/>
  <c r="C2" i="1"/>
  <c r="D2" i="1"/>
  <c r="E2" i="1"/>
  <c r="F2" i="1"/>
  <c r="G2" i="1"/>
  <c r="J2" i="1"/>
  <c r="K2" i="1"/>
  <c r="L2" i="1"/>
  <c r="M2" i="1"/>
  <c r="C438" i="1"/>
  <c r="D438" i="1"/>
  <c r="E438" i="1"/>
  <c r="F438" i="1"/>
  <c r="G438" i="1"/>
  <c r="J438" i="1"/>
  <c r="K438" i="1"/>
  <c r="L438" i="1"/>
  <c r="M438" i="1"/>
  <c r="C409" i="1"/>
  <c r="D409" i="1"/>
  <c r="E409" i="1"/>
  <c r="F409" i="1"/>
  <c r="G409" i="1"/>
  <c r="J409" i="1"/>
  <c r="K409" i="1"/>
  <c r="L409" i="1"/>
  <c r="M409" i="1"/>
  <c r="C359" i="1"/>
  <c r="D359" i="1"/>
  <c r="E359" i="1"/>
  <c r="F359" i="1"/>
  <c r="G359" i="1"/>
  <c r="J359" i="1"/>
  <c r="K359" i="1"/>
  <c r="L359" i="1"/>
  <c r="M359" i="1"/>
  <c r="C851" i="1"/>
  <c r="D851" i="1"/>
  <c r="E851" i="1"/>
  <c r="F851" i="1"/>
  <c r="G851" i="1"/>
  <c r="J851" i="1"/>
  <c r="K851" i="1"/>
  <c r="L851" i="1"/>
  <c r="M851" i="1"/>
  <c r="C564" i="1"/>
  <c r="D564" i="1"/>
  <c r="E564" i="1"/>
  <c r="F564" i="1"/>
  <c r="G564" i="1"/>
  <c r="J564" i="1"/>
  <c r="K564" i="1"/>
  <c r="L564" i="1"/>
  <c r="M564" i="1"/>
  <c r="C539" i="1"/>
  <c r="D539" i="1"/>
  <c r="E539" i="1"/>
  <c r="F539" i="1"/>
  <c r="G539" i="1"/>
  <c r="J539" i="1"/>
  <c r="K539" i="1"/>
  <c r="L539" i="1"/>
  <c r="M539" i="1"/>
  <c r="C249" i="1"/>
  <c r="D249" i="1"/>
  <c r="E249" i="1"/>
  <c r="F249" i="1"/>
  <c r="G249" i="1"/>
  <c r="J249" i="1"/>
  <c r="K249" i="1"/>
  <c r="L249" i="1"/>
  <c r="M249" i="1"/>
  <c r="C849" i="1"/>
  <c r="D849" i="1"/>
  <c r="E849" i="1"/>
  <c r="F849" i="1"/>
  <c r="G849" i="1"/>
  <c r="J849" i="1"/>
  <c r="K849" i="1"/>
  <c r="L849" i="1"/>
  <c r="M849" i="1"/>
  <c r="C850" i="1"/>
  <c r="D850" i="1"/>
  <c r="E850" i="1"/>
  <c r="F850" i="1"/>
  <c r="G850" i="1"/>
  <c r="J850" i="1"/>
  <c r="K850" i="1"/>
  <c r="L850" i="1"/>
  <c r="M850" i="1"/>
  <c r="C536" i="1"/>
  <c r="D536" i="1"/>
  <c r="E536" i="1"/>
  <c r="F536" i="1"/>
  <c r="G536" i="1"/>
  <c r="J536" i="1"/>
  <c r="K536" i="1"/>
  <c r="L536" i="1"/>
  <c r="M536" i="1"/>
  <c r="C123" i="1"/>
  <c r="D123" i="1"/>
  <c r="E123" i="1"/>
  <c r="F123" i="1"/>
  <c r="G123" i="1"/>
  <c r="J123" i="1"/>
  <c r="K123" i="1"/>
  <c r="L123" i="1"/>
  <c r="M123" i="1"/>
  <c r="C741" i="1"/>
  <c r="D741" i="1"/>
  <c r="E741" i="1"/>
  <c r="F741" i="1"/>
  <c r="G741" i="1"/>
  <c r="J741" i="1"/>
  <c r="K741" i="1"/>
  <c r="L741" i="1"/>
  <c r="M741" i="1"/>
  <c r="C372" i="1"/>
  <c r="D372" i="1"/>
  <c r="E372" i="1"/>
  <c r="F372" i="1"/>
  <c r="G372" i="1"/>
  <c r="J372" i="1"/>
  <c r="K372" i="1"/>
  <c r="L372" i="1"/>
  <c r="M372" i="1"/>
  <c r="C645" i="1"/>
  <c r="D645" i="1"/>
  <c r="E645" i="1"/>
  <c r="F645" i="1"/>
  <c r="G645" i="1"/>
  <c r="J645" i="1"/>
  <c r="K645" i="1"/>
  <c r="L645" i="1"/>
  <c r="M645" i="1"/>
  <c r="C882" i="1"/>
  <c r="D882" i="1"/>
  <c r="E882" i="1"/>
  <c r="F882" i="1"/>
  <c r="G882" i="1"/>
  <c r="J882" i="1"/>
  <c r="K882" i="1"/>
  <c r="L882" i="1"/>
  <c r="M882" i="1"/>
  <c r="C905" i="1"/>
  <c r="D905" i="1"/>
  <c r="E905" i="1"/>
  <c r="F905" i="1"/>
  <c r="G905" i="1"/>
  <c r="J905" i="1"/>
  <c r="K905" i="1"/>
  <c r="L905" i="1"/>
  <c r="M905" i="1"/>
  <c r="C219" i="1"/>
  <c r="D219" i="1"/>
  <c r="E219" i="1"/>
  <c r="F219" i="1"/>
  <c r="G219" i="1"/>
  <c r="J219" i="1"/>
  <c r="K219" i="1"/>
  <c r="L219" i="1"/>
  <c r="M219" i="1"/>
  <c r="C354" i="1"/>
  <c r="D354" i="1"/>
  <c r="E354" i="1"/>
  <c r="F354" i="1"/>
  <c r="G354" i="1"/>
  <c r="J354" i="1"/>
  <c r="K354" i="1"/>
  <c r="L354" i="1"/>
  <c r="M354" i="1"/>
  <c r="C151" i="1"/>
  <c r="D151" i="1"/>
  <c r="E151" i="1"/>
  <c r="F151" i="1"/>
  <c r="G151" i="1"/>
  <c r="J151" i="1"/>
  <c r="K151" i="1"/>
  <c r="L151" i="1"/>
  <c r="M151" i="1"/>
  <c r="C448" i="1"/>
  <c r="D448" i="1"/>
  <c r="E448" i="1"/>
  <c r="F448" i="1"/>
  <c r="G448" i="1"/>
  <c r="J448" i="1"/>
  <c r="K448" i="1"/>
  <c r="L448" i="1"/>
  <c r="M448" i="1"/>
  <c r="C41" i="1"/>
  <c r="D41" i="1"/>
  <c r="E41" i="1"/>
  <c r="F41" i="1"/>
  <c r="G41" i="1"/>
  <c r="J41" i="1"/>
  <c r="K41" i="1"/>
  <c r="L41" i="1"/>
  <c r="M41" i="1"/>
  <c r="C485" i="1"/>
  <c r="D485" i="1"/>
  <c r="E485" i="1"/>
  <c r="F485" i="1"/>
  <c r="G485" i="1"/>
  <c r="J485" i="1"/>
  <c r="K485" i="1"/>
  <c r="L485" i="1"/>
  <c r="M485" i="1"/>
  <c r="C793" i="1"/>
  <c r="D793" i="1"/>
  <c r="E793" i="1"/>
  <c r="F793" i="1"/>
  <c r="G793" i="1"/>
  <c r="J793" i="1"/>
  <c r="K793" i="1"/>
  <c r="L793" i="1"/>
  <c r="M793" i="1"/>
  <c r="C532" i="1"/>
  <c r="D532" i="1"/>
  <c r="E532" i="1"/>
  <c r="F532" i="1"/>
  <c r="G532" i="1"/>
  <c r="J532" i="1"/>
  <c r="K532" i="1"/>
  <c r="L532" i="1"/>
  <c r="M532" i="1"/>
  <c r="C646" i="1"/>
  <c r="D646" i="1"/>
  <c r="E646" i="1"/>
  <c r="F646" i="1"/>
  <c r="G646" i="1"/>
  <c r="J646" i="1"/>
  <c r="K646" i="1"/>
  <c r="L646" i="1"/>
  <c r="M646" i="1"/>
  <c r="C141" i="1"/>
  <c r="D141" i="1"/>
  <c r="E141" i="1"/>
  <c r="F141" i="1"/>
  <c r="G141" i="1"/>
  <c r="J141" i="1"/>
  <c r="K141" i="1"/>
  <c r="L141" i="1"/>
  <c r="M141" i="1"/>
  <c r="C681" i="1"/>
  <c r="D681" i="1"/>
  <c r="E681" i="1"/>
  <c r="F681" i="1"/>
  <c r="G681" i="1"/>
  <c r="J681" i="1"/>
  <c r="K681" i="1"/>
  <c r="L681" i="1"/>
  <c r="M681" i="1"/>
  <c r="C148" i="1"/>
  <c r="D148" i="1"/>
  <c r="E148" i="1"/>
  <c r="F148" i="1"/>
  <c r="G148" i="1"/>
  <c r="J148" i="1"/>
  <c r="K148" i="1"/>
  <c r="L148" i="1"/>
  <c r="M148" i="1"/>
  <c r="C325" i="1"/>
  <c r="D325" i="1"/>
  <c r="E325" i="1"/>
  <c r="F325" i="1"/>
  <c r="G325" i="1"/>
  <c r="J325" i="1"/>
  <c r="K325" i="1"/>
  <c r="L325" i="1"/>
  <c r="M325" i="1"/>
  <c r="C430" i="1"/>
  <c r="D430" i="1"/>
  <c r="E430" i="1"/>
  <c r="F430" i="1"/>
  <c r="G430" i="1"/>
  <c r="J430" i="1"/>
  <c r="K430" i="1"/>
  <c r="L430" i="1"/>
  <c r="M430" i="1"/>
  <c r="C671" i="1"/>
  <c r="D671" i="1"/>
  <c r="E671" i="1"/>
  <c r="F671" i="1"/>
  <c r="G671" i="1"/>
  <c r="J671" i="1"/>
  <c r="K671" i="1"/>
  <c r="L671" i="1"/>
  <c r="M671" i="1"/>
  <c r="C104" i="1"/>
  <c r="D104" i="1"/>
  <c r="E104" i="1"/>
  <c r="F104" i="1"/>
  <c r="G104" i="1"/>
  <c r="J104" i="1"/>
  <c r="K104" i="1"/>
  <c r="L104" i="1"/>
  <c r="M104" i="1"/>
  <c r="C348" i="1"/>
  <c r="D348" i="1"/>
  <c r="E348" i="1"/>
  <c r="F348" i="1"/>
  <c r="G348" i="1"/>
  <c r="J348" i="1"/>
  <c r="K348" i="1"/>
  <c r="L348" i="1"/>
  <c r="M348" i="1"/>
  <c r="C106" i="1"/>
  <c r="D106" i="1"/>
  <c r="E106" i="1"/>
  <c r="F106" i="1"/>
  <c r="G106" i="1"/>
  <c r="J106" i="1"/>
  <c r="K106" i="1"/>
  <c r="L106" i="1"/>
  <c r="M106" i="1"/>
  <c r="C669" i="1"/>
  <c r="D669" i="1"/>
  <c r="E669" i="1"/>
  <c r="F669" i="1"/>
  <c r="G669" i="1"/>
  <c r="J669" i="1"/>
  <c r="K669" i="1"/>
  <c r="L669" i="1"/>
  <c r="M669" i="1"/>
  <c r="C879" i="1"/>
  <c r="D879" i="1"/>
  <c r="E879" i="1"/>
  <c r="F879" i="1"/>
  <c r="G879" i="1"/>
  <c r="J879" i="1"/>
  <c r="K879" i="1"/>
  <c r="L879" i="1"/>
  <c r="M879" i="1"/>
  <c r="C591" i="1"/>
  <c r="D591" i="1"/>
  <c r="E591" i="1"/>
  <c r="F591" i="1"/>
  <c r="G591" i="1"/>
  <c r="J591" i="1"/>
  <c r="K591" i="1"/>
  <c r="L591" i="1"/>
  <c r="M591" i="1"/>
  <c r="C649" i="1"/>
  <c r="D649" i="1"/>
  <c r="E649" i="1"/>
  <c r="F649" i="1"/>
  <c r="G649" i="1"/>
  <c r="J649" i="1"/>
  <c r="K649" i="1"/>
  <c r="L649" i="1"/>
  <c r="M649" i="1"/>
  <c r="C788" i="1"/>
  <c r="D788" i="1"/>
  <c r="E788" i="1"/>
  <c r="F788" i="1"/>
  <c r="G788" i="1"/>
  <c r="J788" i="1"/>
  <c r="K788" i="1"/>
  <c r="L788" i="1"/>
  <c r="M788" i="1"/>
  <c r="C221" i="1"/>
  <c r="D221" i="1"/>
  <c r="E221" i="1"/>
  <c r="F221" i="1"/>
  <c r="G221" i="1"/>
  <c r="J221" i="1"/>
  <c r="K221" i="1"/>
  <c r="L221" i="1"/>
  <c r="M221" i="1"/>
  <c r="C333" i="1"/>
  <c r="D333" i="1"/>
  <c r="E333" i="1"/>
  <c r="F333" i="1"/>
  <c r="G333" i="1"/>
  <c r="J333" i="1"/>
  <c r="K333" i="1"/>
  <c r="L333" i="1"/>
  <c r="M333" i="1"/>
  <c r="C55" i="1"/>
  <c r="D55" i="1"/>
  <c r="E55" i="1"/>
  <c r="F55" i="1"/>
  <c r="G55" i="1"/>
  <c r="J55" i="1"/>
  <c r="K55" i="1"/>
  <c r="L55" i="1"/>
  <c r="M55" i="1"/>
  <c r="C147" i="1"/>
  <c r="D147" i="1"/>
  <c r="E147" i="1"/>
  <c r="F147" i="1"/>
  <c r="G147" i="1"/>
  <c r="J147" i="1"/>
  <c r="K147" i="1"/>
  <c r="L147" i="1"/>
  <c r="M147" i="1"/>
  <c r="C507" i="1"/>
  <c r="D507" i="1"/>
  <c r="E507" i="1"/>
  <c r="F507" i="1"/>
  <c r="G507" i="1"/>
  <c r="J507" i="1"/>
  <c r="K507" i="1"/>
  <c r="L507" i="1"/>
  <c r="M507" i="1"/>
  <c r="C667" i="1"/>
  <c r="D667" i="1"/>
  <c r="E667" i="1"/>
  <c r="F667" i="1"/>
  <c r="G667" i="1"/>
  <c r="J667" i="1"/>
  <c r="K667" i="1"/>
  <c r="L667" i="1"/>
  <c r="M667" i="1"/>
  <c r="C449" i="1"/>
  <c r="D449" i="1"/>
  <c r="E449" i="1"/>
  <c r="F449" i="1"/>
  <c r="G449" i="1"/>
  <c r="J449" i="1"/>
  <c r="K449" i="1"/>
  <c r="L449" i="1"/>
  <c r="M449" i="1"/>
  <c r="C795" i="1"/>
  <c r="D795" i="1"/>
  <c r="E795" i="1"/>
  <c r="F795" i="1"/>
  <c r="G795" i="1"/>
  <c r="J795" i="1"/>
  <c r="K795" i="1"/>
  <c r="L795" i="1"/>
  <c r="M795" i="1"/>
  <c r="C117" i="1"/>
  <c r="D117" i="1"/>
  <c r="E117" i="1"/>
  <c r="F117" i="1"/>
  <c r="G117" i="1"/>
  <c r="J117" i="1"/>
  <c r="K117" i="1"/>
  <c r="L117" i="1"/>
  <c r="M117" i="1"/>
  <c r="C487" i="1"/>
  <c r="D487" i="1"/>
  <c r="E487" i="1"/>
  <c r="F487" i="1"/>
  <c r="G487" i="1"/>
  <c r="J487" i="1"/>
  <c r="K487" i="1"/>
  <c r="L487" i="1"/>
  <c r="M487" i="1"/>
  <c r="C9" i="1"/>
  <c r="D9" i="1"/>
  <c r="E9" i="1"/>
  <c r="F9" i="1"/>
  <c r="G9" i="1"/>
  <c r="J9" i="1"/>
  <c r="K9" i="1"/>
  <c r="L9" i="1"/>
  <c r="M9" i="1"/>
  <c r="C505" i="1"/>
  <c r="D505" i="1"/>
  <c r="E505" i="1"/>
  <c r="F505" i="1"/>
  <c r="G505" i="1"/>
  <c r="J505" i="1"/>
  <c r="K505" i="1"/>
  <c r="L505" i="1"/>
  <c r="M505" i="1"/>
  <c r="C877" i="1"/>
  <c r="D877" i="1"/>
  <c r="E877" i="1"/>
  <c r="F877" i="1"/>
  <c r="G877" i="1"/>
  <c r="J877" i="1"/>
  <c r="K877" i="1"/>
  <c r="L877" i="1"/>
  <c r="M877" i="1"/>
  <c r="C933" i="1"/>
  <c r="D933" i="1"/>
  <c r="E933" i="1"/>
  <c r="F933" i="1"/>
  <c r="G933" i="1"/>
  <c r="J933" i="1"/>
  <c r="K933" i="1"/>
  <c r="L933" i="1"/>
  <c r="M933" i="1"/>
  <c r="C709" i="1"/>
  <c r="D709" i="1"/>
  <c r="E709" i="1"/>
  <c r="F709" i="1"/>
  <c r="G709" i="1"/>
  <c r="J709" i="1"/>
  <c r="K709" i="1"/>
  <c r="L709" i="1"/>
  <c r="M709" i="1"/>
  <c r="C456" i="1"/>
  <c r="D456" i="1"/>
  <c r="E456" i="1"/>
  <c r="F456" i="1"/>
  <c r="G456" i="1"/>
  <c r="J456" i="1"/>
  <c r="K456" i="1"/>
  <c r="L456" i="1"/>
  <c r="M456" i="1"/>
  <c r="C457" i="1"/>
  <c r="D457" i="1"/>
  <c r="E457" i="1"/>
  <c r="F457" i="1"/>
  <c r="G457" i="1"/>
  <c r="J457" i="1"/>
  <c r="K457" i="1"/>
  <c r="L457" i="1"/>
  <c r="M457" i="1"/>
  <c r="C654" i="1"/>
  <c r="D654" i="1"/>
  <c r="E654" i="1"/>
  <c r="F654" i="1"/>
  <c r="G654" i="1"/>
  <c r="J654" i="1"/>
  <c r="K654" i="1"/>
  <c r="L654" i="1"/>
  <c r="M654" i="1"/>
  <c r="C244" i="1"/>
  <c r="D244" i="1"/>
  <c r="E244" i="1"/>
  <c r="F244" i="1"/>
  <c r="G244" i="1"/>
  <c r="J244" i="1"/>
  <c r="K244" i="1"/>
  <c r="L244" i="1"/>
  <c r="M244" i="1"/>
  <c r="C746" i="1"/>
  <c r="D746" i="1"/>
  <c r="E746" i="1"/>
  <c r="F746" i="1"/>
  <c r="G746" i="1"/>
  <c r="J746" i="1"/>
  <c r="K746" i="1"/>
  <c r="L746" i="1"/>
  <c r="M746" i="1"/>
  <c r="C658" i="1"/>
  <c r="D658" i="1"/>
  <c r="E658" i="1"/>
  <c r="F658" i="1"/>
  <c r="G658" i="1"/>
  <c r="J658" i="1"/>
  <c r="K658" i="1"/>
  <c r="L658" i="1"/>
  <c r="M658" i="1"/>
  <c r="C854" i="1"/>
  <c r="D854" i="1"/>
  <c r="E854" i="1"/>
  <c r="F854" i="1"/>
  <c r="G854" i="1"/>
  <c r="J854" i="1"/>
  <c r="K854" i="1"/>
  <c r="L854" i="1"/>
  <c r="M854" i="1"/>
  <c r="C326" i="1"/>
  <c r="D326" i="1"/>
  <c r="E326" i="1"/>
  <c r="F326" i="1"/>
  <c r="G326" i="1"/>
  <c r="J326" i="1"/>
  <c r="K326" i="1"/>
  <c r="L326" i="1"/>
  <c r="M326" i="1"/>
  <c r="C595" i="1"/>
  <c r="D595" i="1"/>
  <c r="E595" i="1"/>
  <c r="F595" i="1"/>
  <c r="G595" i="1"/>
  <c r="J595" i="1"/>
  <c r="K595" i="1"/>
  <c r="L595" i="1"/>
  <c r="M595" i="1"/>
  <c r="C568" i="1"/>
  <c r="D568" i="1"/>
  <c r="E568" i="1"/>
  <c r="F568" i="1"/>
  <c r="G568" i="1"/>
  <c r="J568" i="1"/>
  <c r="K568" i="1"/>
  <c r="L568" i="1"/>
  <c r="M568" i="1"/>
  <c r="C126" i="1"/>
  <c r="D126" i="1"/>
  <c r="E126" i="1"/>
  <c r="F126" i="1"/>
  <c r="G126" i="1"/>
  <c r="J126" i="1"/>
  <c r="K126" i="1"/>
  <c r="L126" i="1"/>
  <c r="M126" i="1"/>
  <c r="C586" i="1"/>
  <c r="D586" i="1"/>
  <c r="E586" i="1"/>
  <c r="F586" i="1"/>
  <c r="G586" i="1"/>
  <c r="J586" i="1"/>
  <c r="K586" i="1"/>
  <c r="L586" i="1"/>
  <c r="M586" i="1"/>
  <c r="C917" i="1"/>
  <c r="D917" i="1"/>
  <c r="E917" i="1"/>
  <c r="F917" i="1"/>
  <c r="G917" i="1"/>
  <c r="J917" i="1"/>
  <c r="K917" i="1"/>
  <c r="L917" i="1"/>
  <c r="M917" i="1"/>
  <c r="C136" i="1"/>
  <c r="D136" i="1"/>
  <c r="E136" i="1"/>
  <c r="F136" i="1"/>
  <c r="G136" i="1"/>
  <c r="J136" i="1"/>
  <c r="K136" i="1"/>
  <c r="L136" i="1"/>
  <c r="M136" i="1"/>
  <c r="C570" i="1"/>
  <c r="D570" i="1"/>
  <c r="E570" i="1"/>
  <c r="F570" i="1"/>
  <c r="G570" i="1"/>
  <c r="J570" i="1"/>
  <c r="K570" i="1"/>
  <c r="L570" i="1"/>
  <c r="M570" i="1"/>
  <c r="C799" i="1"/>
  <c r="D799" i="1"/>
  <c r="E799" i="1"/>
  <c r="F799" i="1"/>
  <c r="G799" i="1"/>
  <c r="J799" i="1"/>
  <c r="K799" i="1"/>
  <c r="L799" i="1"/>
  <c r="M799" i="1"/>
  <c r="C623" i="1"/>
  <c r="D623" i="1"/>
  <c r="E623" i="1"/>
  <c r="F623" i="1"/>
  <c r="G623" i="1"/>
  <c r="J623" i="1"/>
  <c r="K623" i="1"/>
  <c r="L623" i="1"/>
  <c r="M623" i="1"/>
  <c r="C680" i="1"/>
  <c r="D680" i="1"/>
  <c r="E680" i="1"/>
  <c r="F680" i="1"/>
  <c r="G680" i="1"/>
  <c r="J680" i="1"/>
  <c r="K680" i="1"/>
  <c r="L680" i="1"/>
  <c r="M680" i="1"/>
  <c r="C42" i="1"/>
  <c r="D42" i="1"/>
  <c r="E42" i="1"/>
  <c r="F42" i="1"/>
  <c r="G42" i="1"/>
  <c r="J42" i="1"/>
  <c r="K42" i="1"/>
  <c r="L42" i="1"/>
  <c r="M42" i="1"/>
  <c r="C450" i="1"/>
  <c r="D450" i="1"/>
  <c r="E450" i="1"/>
  <c r="F450" i="1"/>
  <c r="G450" i="1"/>
  <c r="J450" i="1"/>
  <c r="K450" i="1"/>
  <c r="L450" i="1"/>
  <c r="M450" i="1"/>
  <c r="C527" i="1"/>
  <c r="D527" i="1"/>
  <c r="E527" i="1"/>
  <c r="F527" i="1"/>
  <c r="G527" i="1"/>
  <c r="J527" i="1"/>
  <c r="K527" i="1"/>
  <c r="L527" i="1"/>
  <c r="M527" i="1"/>
  <c r="C922" i="1"/>
  <c r="D922" i="1"/>
  <c r="E922" i="1"/>
  <c r="F922" i="1"/>
  <c r="G922" i="1"/>
  <c r="J922" i="1"/>
  <c r="K922" i="1"/>
  <c r="L922" i="1"/>
  <c r="M922" i="1"/>
  <c r="C871" i="1"/>
  <c r="D871" i="1"/>
  <c r="E871" i="1"/>
  <c r="F871" i="1"/>
  <c r="G871" i="1"/>
  <c r="J871" i="1"/>
  <c r="K871" i="1"/>
  <c r="L871" i="1"/>
  <c r="M871" i="1"/>
  <c r="C874" i="1"/>
  <c r="D874" i="1"/>
  <c r="E874" i="1"/>
  <c r="F874" i="1"/>
  <c r="G874" i="1"/>
  <c r="J874" i="1"/>
  <c r="K874" i="1"/>
  <c r="L874" i="1"/>
  <c r="M874" i="1"/>
  <c r="C323" i="1"/>
  <c r="D323" i="1"/>
  <c r="E323" i="1"/>
  <c r="F323" i="1"/>
  <c r="G323" i="1"/>
  <c r="J323" i="1"/>
  <c r="K323" i="1"/>
  <c r="L323" i="1"/>
  <c r="M323" i="1"/>
  <c r="C78" i="1"/>
  <c r="D78" i="1"/>
  <c r="E78" i="1"/>
  <c r="F78" i="1"/>
  <c r="G78" i="1"/>
  <c r="J78" i="1"/>
  <c r="K78" i="1"/>
  <c r="L78" i="1"/>
  <c r="M78" i="1"/>
  <c r="C166" i="1"/>
  <c r="D166" i="1"/>
  <c r="E166" i="1"/>
  <c r="F166" i="1"/>
  <c r="G166" i="1"/>
  <c r="J166" i="1"/>
  <c r="K166" i="1"/>
  <c r="L166" i="1"/>
  <c r="M166" i="1"/>
  <c r="C535" i="1"/>
  <c r="D535" i="1"/>
  <c r="E535" i="1"/>
  <c r="F535" i="1"/>
  <c r="G535" i="1"/>
  <c r="J535" i="1"/>
  <c r="K535" i="1"/>
  <c r="L535" i="1"/>
  <c r="M535" i="1"/>
  <c r="C178" i="1"/>
  <c r="D178" i="1"/>
  <c r="E178" i="1"/>
  <c r="F178" i="1"/>
  <c r="G178" i="1"/>
  <c r="J178" i="1"/>
  <c r="K178" i="1"/>
  <c r="L178" i="1"/>
  <c r="M178" i="1"/>
  <c r="C179" i="1"/>
  <c r="D179" i="1"/>
  <c r="E179" i="1"/>
  <c r="F179" i="1"/>
  <c r="G179" i="1"/>
  <c r="J179" i="1"/>
  <c r="K179" i="1"/>
  <c r="L179" i="1"/>
  <c r="M179" i="1"/>
  <c r="C353" i="1"/>
  <c r="D353" i="1"/>
  <c r="E353" i="1"/>
  <c r="F353" i="1"/>
  <c r="G353" i="1"/>
  <c r="J353" i="1"/>
  <c r="K353" i="1"/>
  <c r="L353" i="1"/>
  <c r="M353" i="1"/>
  <c r="C443" i="1"/>
  <c r="D443" i="1"/>
  <c r="E443" i="1"/>
  <c r="F443" i="1"/>
  <c r="G443" i="1"/>
  <c r="J443" i="1"/>
  <c r="K443" i="1"/>
  <c r="L443" i="1"/>
  <c r="M443" i="1"/>
  <c r="C629" i="1"/>
  <c r="D629" i="1"/>
  <c r="E629" i="1"/>
  <c r="F629" i="1"/>
  <c r="G629" i="1"/>
  <c r="J629" i="1"/>
  <c r="K629" i="1"/>
  <c r="L629" i="1"/>
  <c r="M629" i="1"/>
  <c r="C605" i="1"/>
  <c r="D605" i="1"/>
  <c r="E605" i="1"/>
  <c r="F605" i="1"/>
  <c r="G605" i="1"/>
  <c r="J605" i="1"/>
  <c r="K605" i="1"/>
  <c r="L605" i="1"/>
  <c r="M605" i="1"/>
  <c r="C707" i="1"/>
  <c r="D707" i="1"/>
  <c r="E707" i="1"/>
  <c r="F707" i="1"/>
  <c r="G707" i="1"/>
  <c r="J707" i="1"/>
  <c r="K707" i="1"/>
  <c r="L707" i="1"/>
  <c r="M707" i="1"/>
  <c r="C10" i="1"/>
  <c r="D10" i="1"/>
  <c r="E10" i="1"/>
  <c r="F10" i="1"/>
  <c r="G10" i="1"/>
  <c r="J10" i="1"/>
  <c r="K10" i="1"/>
  <c r="L10" i="1"/>
  <c r="M10" i="1"/>
  <c r="C528" i="1"/>
  <c r="D528" i="1"/>
  <c r="E528" i="1"/>
  <c r="F528" i="1"/>
  <c r="G528" i="1"/>
  <c r="J528" i="1"/>
  <c r="K528" i="1"/>
  <c r="L528" i="1"/>
  <c r="M528" i="1"/>
  <c r="C529" i="1"/>
  <c r="D529" i="1"/>
  <c r="E529" i="1"/>
  <c r="F529" i="1"/>
  <c r="G529" i="1"/>
  <c r="J529" i="1"/>
  <c r="K529" i="1"/>
  <c r="L529" i="1"/>
  <c r="M529" i="1"/>
  <c r="C763" i="1"/>
  <c r="D763" i="1"/>
  <c r="E763" i="1"/>
  <c r="F763" i="1"/>
  <c r="G763" i="1"/>
  <c r="J763" i="1"/>
  <c r="K763" i="1"/>
  <c r="L763" i="1"/>
  <c r="M763" i="1"/>
  <c r="C224" i="1"/>
  <c r="D224" i="1"/>
  <c r="E224" i="1"/>
  <c r="F224" i="1"/>
  <c r="G224" i="1"/>
  <c r="J224" i="1"/>
  <c r="K224" i="1"/>
  <c r="L224" i="1"/>
  <c r="M224" i="1"/>
  <c r="C115" i="1"/>
  <c r="D115" i="1"/>
  <c r="E115" i="1"/>
  <c r="F115" i="1"/>
  <c r="G115" i="1"/>
  <c r="J115" i="1"/>
  <c r="K115" i="1"/>
  <c r="L115" i="1"/>
  <c r="M115" i="1"/>
  <c r="C175" i="1"/>
  <c r="D175" i="1"/>
  <c r="E175" i="1"/>
  <c r="F175" i="1"/>
  <c r="G175" i="1"/>
  <c r="J175" i="1"/>
  <c r="K175" i="1"/>
  <c r="L175" i="1"/>
  <c r="M175" i="1"/>
  <c r="C441" i="1"/>
  <c r="D441" i="1"/>
  <c r="E441" i="1"/>
  <c r="F441" i="1"/>
  <c r="G441" i="1"/>
  <c r="J441" i="1"/>
  <c r="K441" i="1"/>
  <c r="L441" i="1"/>
  <c r="M441" i="1"/>
  <c r="C83" i="1"/>
  <c r="D83" i="1"/>
  <c r="E83" i="1"/>
  <c r="F83" i="1"/>
  <c r="G83" i="1"/>
  <c r="J83" i="1"/>
  <c r="K83" i="1"/>
  <c r="L83" i="1"/>
  <c r="M83" i="1"/>
  <c r="C215" i="1"/>
  <c r="D215" i="1"/>
  <c r="E215" i="1"/>
  <c r="F215" i="1"/>
  <c r="G215" i="1"/>
  <c r="J215" i="1"/>
  <c r="K215" i="1"/>
  <c r="L215" i="1"/>
  <c r="M215" i="1"/>
  <c r="C216" i="1"/>
  <c r="D216" i="1"/>
  <c r="E216" i="1"/>
  <c r="F216" i="1"/>
  <c r="G216" i="1"/>
  <c r="J216" i="1"/>
  <c r="K216" i="1"/>
  <c r="L216" i="1"/>
  <c r="M216" i="1"/>
  <c r="C895" i="1"/>
  <c r="D895" i="1"/>
  <c r="E895" i="1"/>
  <c r="F895" i="1"/>
  <c r="G895" i="1"/>
  <c r="J895" i="1"/>
  <c r="K895" i="1"/>
  <c r="L895" i="1"/>
  <c r="M895" i="1"/>
  <c r="C523" i="1"/>
  <c r="D523" i="1"/>
  <c r="E523" i="1"/>
  <c r="F523" i="1"/>
  <c r="G523" i="1"/>
  <c r="J523" i="1"/>
  <c r="K523" i="1"/>
  <c r="L523" i="1"/>
  <c r="M523" i="1"/>
  <c r="C421" i="1"/>
  <c r="D421" i="1"/>
  <c r="E421" i="1"/>
  <c r="F421" i="1"/>
  <c r="G421" i="1"/>
  <c r="J421" i="1"/>
  <c r="K421" i="1"/>
  <c r="L421" i="1"/>
  <c r="M421" i="1"/>
  <c r="C805" i="1"/>
  <c r="D805" i="1"/>
  <c r="E805" i="1"/>
  <c r="F805" i="1"/>
  <c r="G805" i="1"/>
  <c r="J805" i="1"/>
  <c r="K805" i="1"/>
  <c r="L805" i="1"/>
  <c r="M805" i="1"/>
  <c r="C830" i="1"/>
  <c r="D830" i="1"/>
  <c r="E830" i="1"/>
  <c r="F830" i="1"/>
  <c r="G830" i="1"/>
  <c r="J830" i="1"/>
  <c r="K830" i="1"/>
  <c r="L830" i="1"/>
  <c r="M830" i="1"/>
  <c r="C321" i="1"/>
  <c r="D321" i="1"/>
  <c r="E321" i="1"/>
  <c r="F321" i="1"/>
  <c r="G321" i="1"/>
  <c r="J321" i="1"/>
  <c r="K321" i="1"/>
  <c r="L321" i="1"/>
  <c r="M321" i="1"/>
  <c r="C185" i="1"/>
  <c r="D185" i="1"/>
  <c r="E185" i="1"/>
  <c r="F185" i="1"/>
  <c r="G185" i="1"/>
  <c r="J185" i="1"/>
  <c r="K185" i="1"/>
  <c r="L185" i="1"/>
  <c r="M185" i="1"/>
  <c r="C186" i="1"/>
  <c r="D186" i="1"/>
  <c r="E186" i="1"/>
  <c r="F186" i="1"/>
  <c r="G186" i="1"/>
  <c r="J186" i="1"/>
  <c r="K186" i="1"/>
  <c r="L186" i="1"/>
  <c r="M186" i="1"/>
  <c r="C711" i="1"/>
  <c r="D711" i="1"/>
  <c r="E711" i="1"/>
  <c r="F711" i="1"/>
  <c r="G711" i="1"/>
  <c r="J711" i="1"/>
  <c r="K711" i="1"/>
  <c r="L711" i="1"/>
  <c r="M711" i="1"/>
  <c r="C337" i="1"/>
  <c r="D337" i="1"/>
  <c r="E337" i="1"/>
  <c r="F337" i="1"/>
  <c r="G337" i="1"/>
  <c r="J337" i="1"/>
  <c r="K337" i="1"/>
  <c r="L337" i="1"/>
  <c r="M337" i="1"/>
  <c r="C159" i="1"/>
  <c r="D159" i="1"/>
  <c r="E159" i="1"/>
  <c r="F159" i="1"/>
  <c r="G159" i="1"/>
  <c r="J159" i="1"/>
  <c r="K159" i="1"/>
  <c r="L159" i="1"/>
  <c r="M159" i="1"/>
  <c r="C282" i="1"/>
  <c r="D282" i="1"/>
  <c r="E282" i="1"/>
  <c r="F282" i="1"/>
  <c r="G282" i="1"/>
  <c r="J282" i="1"/>
  <c r="K282" i="1"/>
  <c r="L282" i="1"/>
  <c r="M282" i="1"/>
  <c r="C304" i="1"/>
  <c r="D304" i="1"/>
  <c r="E304" i="1"/>
  <c r="F304" i="1"/>
  <c r="G304" i="1"/>
  <c r="J304" i="1"/>
  <c r="K304" i="1"/>
  <c r="L304" i="1"/>
  <c r="M304" i="1"/>
  <c r="C34" i="1"/>
  <c r="D34" i="1"/>
  <c r="E34" i="1"/>
  <c r="F34" i="1"/>
  <c r="G34" i="1"/>
  <c r="J34" i="1"/>
  <c r="K34" i="1"/>
  <c r="L34" i="1"/>
  <c r="M34" i="1"/>
  <c r="C644" i="1"/>
  <c r="D644" i="1"/>
  <c r="E644" i="1"/>
  <c r="F644" i="1"/>
  <c r="G644" i="1"/>
  <c r="J644" i="1"/>
  <c r="K644" i="1"/>
  <c r="L644" i="1"/>
  <c r="M644" i="1"/>
  <c r="C559" i="1"/>
  <c r="D559" i="1"/>
  <c r="E559" i="1"/>
  <c r="F559" i="1"/>
  <c r="G559" i="1"/>
  <c r="J559" i="1"/>
  <c r="K559" i="1"/>
  <c r="L559" i="1"/>
  <c r="M559" i="1"/>
  <c r="C234" i="1"/>
  <c r="D234" i="1"/>
  <c r="E234" i="1"/>
  <c r="F234" i="1"/>
  <c r="G234" i="1"/>
  <c r="J234" i="1"/>
  <c r="K234" i="1"/>
  <c r="L234" i="1"/>
  <c r="M234" i="1"/>
  <c r="C719" i="1"/>
  <c r="D719" i="1"/>
  <c r="E719" i="1"/>
  <c r="F719" i="1"/>
  <c r="G719" i="1"/>
  <c r="J719" i="1"/>
  <c r="K719" i="1"/>
  <c r="L719" i="1"/>
  <c r="M719" i="1"/>
  <c r="C393" i="1"/>
  <c r="D393" i="1"/>
  <c r="E393" i="1"/>
  <c r="F393" i="1"/>
  <c r="G393" i="1"/>
  <c r="J393" i="1"/>
  <c r="K393" i="1"/>
  <c r="L393" i="1"/>
  <c r="M393" i="1"/>
  <c r="C663" i="1"/>
  <c r="D663" i="1"/>
  <c r="E663" i="1"/>
  <c r="F663" i="1"/>
  <c r="G663" i="1"/>
  <c r="J663" i="1"/>
  <c r="K663" i="1"/>
  <c r="L663" i="1"/>
  <c r="M663" i="1"/>
  <c r="C197" i="1"/>
  <c r="D197" i="1"/>
  <c r="E197" i="1"/>
  <c r="F197" i="1"/>
  <c r="G197" i="1"/>
  <c r="J197" i="1"/>
  <c r="K197" i="1"/>
  <c r="L197" i="1"/>
  <c r="M197" i="1"/>
  <c r="C734" i="1"/>
  <c r="D734" i="1"/>
  <c r="E734" i="1"/>
  <c r="F734" i="1"/>
  <c r="G734" i="1"/>
  <c r="J734" i="1"/>
  <c r="K734" i="1"/>
  <c r="L734" i="1"/>
  <c r="M734" i="1"/>
  <c r="C626" i="1"/>
  <c r="D626" i="1"/>
  <c r="E626" i="1"/>
  <c r="F626" i="1"/>
  <c r="G626" i="1"/>
  <c r="J626" i="1"/>
  <c r="K626" i="1"/>
  <c r="L626" i="1"/>
  <c r="M626" i="1"/>
  <c r="C748" i="1"/>
  <c r="D748" i="1"/>
  <c r="E748" i="1"/>
  <c r="F748" i="1"/>
  <c r="G748" i="1"/>
  <c r="J748" i="1"/>
  <c r="K748" i="1"/>
  <c r="L748" i="1"/>
  <c r="M748" i="1"/>
  <c r="C300" i="1"/>
  <c r="D300" i="1"/>
  <c r="E300" i="1"/>
  <c r="F300" i="1"/>
  <c r="G300" i="1"/>
  <c r="J300" i="1"/>
  <c r="K300" i="1"/>
  <c r="L300" i="1"/>
  <c r="M300" i="1"/>
  <c r="C47" i="1"/>
  <c r="D47" i="1"/>
  <c r="E47" i="1"/>
  <c r="F47" i="1"/>
  <c r="G47" i="1"/>
  <c r="J47" i="1"/>
  <c r="K47" i="1"/>
  <c r="L47" i="1"/>
  <c r="M47" i="1"/>
  <c r="C229" i="1"/>
  <c r="D229" i="1"/>
  <c r="E229" i="1"/>
  <c r="F229" i="1"/>
  <c r="G229" i="1"/>
  <c r="J229" i="1"/>
  <c r="K229" i="1"/>
  <c r="L229" i="1"/>
  <c r="M229" i="1"/>
  <c r="C241" i="1"/>
  <c r="D241" i="1"/>
  <c r="E241" i="1"/>
  <c r="F241" i="1"/>
  <c r="G241" i="1"/>
  <c r="J241" i="1"/>
  <c r="K241" i="1"/>
  <c r="L241" i="1"/>
  <c r="M241" i="1"/>
  <c r="C25" i="1"/>
  <c r="D25" i="1"/>
  <c r="E25" i="1"/>
  <c r="F25" i="1"/>
  <c r="G25" i="1"/>
  <c r="J25" i="1"/>
  <c r="K25" i="1"/>
  <c r="L25" i="1"/>
  <c r="M25" i="1"/>
  <c r="C627" i="1"/>
  <c r="D627" i="1"/>
  <c r="E627" i="1"/>
  <c r="F627" i="1"/>
  <c r="G627" i="1"/>
  <c r="J627" i="1"/>
  <c r="K627" i="1"/>
  <c r="L627" i="1"/>
  <c r="M627" i="1"/>
  <c r="C810" i="1"/>
  <c r="D810" i="1"/>
  <c r="E810" i="1"/>
  <c r="F810" i="1"/>
  <c r="G810" i="1"/>
  <c r="J810" i="1"/>
  <c r="K810" i="1"/>
  <c r="L810" i="1"/>
  <c r="M810" i="1"/>
  <c r="C483" i="1"/>
  <c r="D483" i="1"/>
  <c r="E483" i="1"/>
  <c r="F483" i="1"/>
  <c r="G483" i="1"/>
  <c r="J483" i="1"/>
  <c r="K483" i="1"/>
  <c r="L483" i="1"/>
  <c r="M483" i="1"/>
  <c r="C513" i="1"/>
  <c r="D513" i="1"/>
  <c r="E513" i="1"/>
  <c r="F513" i="1"/>
  <c r="G513" i="1"/>
  <c r="J513" i="1"/>
  <c r="K513" i="1"/>
  <c r="L513" i="1"/>
  <c r="M513" i="1"/>
  <c r="C514" i="1"/>
  <c r="D514" i="1"/>
  <c r="E514" i="1"/>
  <c r="F514" i="1"/>
  <c r="G514" i="1"/>
  <c r="J514" i="1"/>
  <c r="K514" i="1"/>
  <c r="L514" i="1"/>
  <c r="M514" i="1"/>
  <c r="C153" i="1"/>
  <c r="D153" i="1"/>
  <c r="E153" i="1"/>
  <c r="F153" i="1"/>
  <c r="G153" i="1"/>
  <c r="J153" i="1"/>
  <c r="K153" i="1"/>
  <c r="L153" i="1"/>
  <c r="M153" i="1"/>
  <c r="C233" i="1"/>
  <c r="D233" i="1"/>
  <c r="E233" i="1"/>
  <c r="F233" i="1"/>
  <c r="G233" i="1"/>
  <c r="J233" i="1"/>
  <c r="K233" i="1"/>
  <c r="L233" i="1"/>
  <c r="M233" i="1"/>
  <c r="C928" i="1"/>
  <c r="D928" i="1"/>
  <c r="E928" i="1"/>
  <c r="F928" i="1"/>
  <c r="G928" i="1"/>
  <c r="J928" i="1"/>
  <c r="K928" i="1"/>
  <c r="L928" i="1"/>
  <c r="M928" i="1"/>
  <c r="C38" i="1"/>
  <c r="D38" i="1"/>
  <c r="E38" i="1"/>
  <c r="F38" i="1"/>
  <c r="G38" i="1"/>
  <c r="J38" i="1"/>
  <c r="K38" i="1"/>
  <c r="L38" i="1"/>
  <c r="M38" i="1"/>
  <c r="C486" i="1"/>
  <c r="D486" i="1"/>
  <c r="E486" i="1"/>
  <c r="F486" i="1"/>
  <c r="G486" i="1"/>
  <c r="J486" i="1"/>
  <c r="K486" i="1"/>
  <c r="L486" i="1"/>
  <c r="M486" i="1"/>
  <c r="C593" i="1"/>
  <c r="D593" i="1"/>
  <c r="E593" i="1"/>
  <c r="F593" i="1"/>
  <c r="G593" i="1"/>
  <c r="J593" i="1"/>
  <c r="K593" i="1"/>
  <c r="L593" i="1"/>
  <c r="M593" i="1"/>
  <c r="C145" i="1"/>
  <c r="D145" i="1"/>
  <c r="E145" i="1"/>
  <c r="F145" i="1"/>
  <c r="G145" i="1"/>
  <c r="J145" i="1"/>
  <c r="K145" i="1"/>
  <c r="L145" i="1"/>
  <c r="M145" i="1"/>
  <c r="C274" i="1"/>
  <c r="D274" i="1"/>
  <c r="E274" i="1"/>
  <c r="F274" i="1"/>
  <c r="G274" i="1"/>
  <c r="J274" i="1"/>
  <c r="K274" i="1"/>
  <c r="L274" i="1"/>
  <c r="M274" i="1"/>
  <c r="C875" i="1"/>
  <c r="D875" i="1"/>
  <c r="E875" i="1"/>
  <c r="F875" i="1"/>
  <c r="G875" i="1"/>
  <c r="J875" i="1"/>
  <c r="K875" i="1"/>
  <c r="L875" i="1"/>
  <c r="M875" i="1"/>
  <c r="C315" i="1"/>
  <c r="D315" i="1"/>
  <c r="E315" i="1"/>
  <c r="F315" i="1"/>
  <c r="G315" i="1"/>
  <c r="J315" i="1"/>
  <c r="K315" i="1"/>
  <c r="L315" i="1"/>
  <c r="M315" i="1"/>
  <c r="C833" i="1"/>
  <c r="D833" i="1"/>
  <c r="E833" i="1"/>
  <c r="F833" i="1"/>
  <c r="G833" i="1"/>
  <c r="J833" i="1"/>
  <c r="K833" i="1"/>
  <c r="L833" i="1"/>
  <c r="M833" i="1"/>
  <c r="C503" i="1"/>
  <c r="D503" i="1"/>
  <c r="E503" i="1"/>
  <c r="F503" i="1"/>
  <c r="G503" i="1"/>
  <c r="J503" i="1"/>
  <c r="K503" i="1"/>
  <c r="L503" i="1"/>
  <c r="M503" i="1"/>
  <c r="C52" i="1"/>
  <c r="D52" i="1"/>
  <c r="E52" i="1"/>
  <c r="F52" i="1"/>
  <c r="G52" i="1"/>
  <c r="J52" i="1"/>
  <c r="K52" i="1"/>
  <c r="L52" i="1"/>
  <c r="M52" i="1"/>
  <c r="C23" i="1"/>
  <c r="D23" i="1"/>
  <c r="E23" i="1"/>
  <c r="F23" i="1"/>
  <c r="G23" i="1"/>
  <c r="J23" i="1"/>
  <c r="K23" i="1"/>
  <c r="L23" i="1"/>
  <c r="M23" i="1"/>
  <c r="C379" i="1"/>
  <c r="D379" i="1"/>
  <c r="E379" i="1"/>
  <c r="F379" i="1"/>
  <c r="G379" i="1"/>
  <c r="J379" i="1"/>
  <c r="K379" i="1"/>
  <c r="L379" i="1"/>
  <c r="M379" i="1"/>
  <c r="C231" i="1"/>
  <c r="D231" i="1"/>
  <c r="E231" i="1"/>
  <c r="F231" i="1"/>
  <c r="G231" i="1"/>
  <c r="J231" i="1"/>
  <c r="K231" i="1"/>
  <c r="L231" i="1"/>
  <c r="M231" i="1"/>
  <c r="C633" i="1"/>
  <c r="D633" i="1"/>
  <c r="E633" i="1"/>
  <c r="F633" i="1"/>
  <c r="G633" i="1"/>
  <c r="J633" i="1"/>
  <c r="K633" i="1"/>
  <c r="L633" i="1"/>
  <c r="M633" i="1"/>
  <c r="C634" i="1"/>
  <c r="D634" i="1"/>
  <c r="E634" i="1"/>
  <c r="F634" i="1"/>
  <c r="G634" i="1"/>
  <c r="J634" i="1"/>
  <c r="K634" i="1"/>
  <c r="L634" i="1"/>
  <c r="M634" i="1"/>
  <c r="C20" i="1"/>
  <c r="D20" i="1"/>
  <c r="E20" i="1"/>
  <c r="F20" i="1"/>
  <c r="G20" i="1"/>
  <c r="J20" i="1"/>
  <c r="K20" i="1"/>
  <c r="L20" i="1"/>
  <c r="M20" i="1"/>
  <c r="C273" i="1"/>
  <c r="D273" i="1"/>
  <c r="E273" i="1"/>
  <c r="F273" i="1"/>
  <c r="G273" i="1"/>
  <c r="J273" i="1"/>
  <c r="K273" i="1"/>
  <c r="L273" i="1"/>
  <c r="M273" i="1"/>
  <c r="C143" i="1"/>
  <c r="D143" i="1"/>
  <c r="E143" i="1"/>
  <c r="F143" i="1"/>
  <c r="G143" i="1"/>
  <c r="J143" i="1"/>
  <c r="K143" i="1"/>
  <c r="L143" i="1"/>
  <c r="M143" i="1"/>
  <c r="C365" i="1"/>
  <c r="D365" i="1"/>
  <c r="E365" i="1"/>
  <c r="F365" i="1"/>
  <c r="G365" i="1"/>
  <c r="J365" i="1"/>
  <c r="K365" i="1"/>
  <c r="L365" i="1"/>
  <c r="M365" i="1"/>
  <c r="C74" i="1"/>
  <c r="D74" i="1"/>
  <c r="E74" i="1"/>
  <c r="F74" i="1"/>
  <c r="G74" i="1"/>
  <c r="J74" i="1"/>
  <c r="K74" i="1"/>
  <c r="L74" i="1"/>
  <c r="M74" i="1"/>
  <c r="C897" i="1"/>
  <c r="D897" i="1"/>
  <c r="E897" i="1"/>
  <c r="F897" i="1"/>
  <c r="G897" i="1"/>
  <c r="J897" i="1"/>
  <c r="K897" i="1"/>
  <c r="L897" i="1"/>
  <c r="M897" i="1"/>
  <c r="C75" i="1"/>
  <c r="D75" i="1"/>
  <c r="E75" i="1"/>
  <c r="F75" i="1"/>
  <c r="G75" i="1"/>
  <c r="J75" i="1"/>
  <c r="K75" i="1"/>
  <c r="L75" i="1"/>
  <c r="M75" i="1"/>
  <c r="C724" i="1"/>
  <c r="D724" i="1"/>
  <c r="E724" i="1"/>
  <c r="F724" i="1"/>
  <c r="G724" i="1"/>
  <c r="J724" i="1"/>
  <c r="K724" i="1"/>
  <c r="L724" i="1"/>
  <c r="M724" i="1"/>
  <c r="C101" i="1"/>
  <c r="D101" i="1"/>
  <c r="E101" i="1"/>
  <c r="F101" i="1"/>
  <c r="G101" i="1"/>
  <c r="J101" i="1"/>
  <c r="K101" i="1"/>
  <c r="L101" i="1"/>
  <c r="M101" i="1"/>
  <c r="C887" i="1"/>
  <c r="D887" i="1"/>
  <c r="E887" i="1"/>
  <c r="F887" i="1"/>
  <c r="G887" i="1"/>
  <c r="J887" i="1"/>
  <c r="K887" i="1"/>
  <c r="L887" i="1"/>
  <c r="M887" i="1"/>
  <c r="C817" i="1"/>
  <c r="D817" i="1"/>
  <c r="E817" i="1"/>
  <c r="F817" i="1"/>
  <c r="G817" i="1"/>
  <c r="J817" i="1"/>
  <c r="K817" i="1"/>
  <c r="L817" i="1"/>
  <c r="M817" i="1"/>
  <c r="C541" i="1"/>
  <c r="D541" i="1"/>
  <c r="E541" i="1"/>
  <c r="F541" i="1"/>
  <c r="G541" i="1"/>
  <c r="J541" i="1"/>
  <c r="K541" i="1"/>
  <c r="L541" i="1"/>
  <c r="M541" i="1"/>
  <c r="C862" i="1"/>
  <c r="D862" i="1"/>
  <c r="E862" i="1"/>
  <c r="F862" i="1"/>
  <c r="G862" i="1"/>
  <c r="J862" i="1"/>
  <c r="K862" i="1"/>
  <c r="L862" i="1"/>
  <c r="M862" i="1"/>
  <c r="C366" i="1"/>
  <c r="D366" i="1"/>
  <c r="E366" i="1"/>
  <c r="F366" i="1"/>
  <c r="G366" i="1"/>
  <c r="J366" i="1"/>
  <c r="K366" i="1"/>
  <c r="L366" i="1"/>
  <c r="M366" i="1"/>
  <c r="C110" i="1"/>
  <c r="D110" i="1"/>
  <c r="E110" i="1"/>
  <c r="F110" i="1"/>
  <c r="G110" i="1"/>
  <c r="J110" i="1"/>
  <c r="K110" i="1"/>
  <c r="L110" i="1"/>
  <c r="M110" i="1"/>
  <c r="C544" i="1"/>
  <c r="D544" i="1"/>
  <c r="E544" i="1"/>
  <c r="F544" i="1"/>
  <c r="G544" i="1"/>
  <c r="J544" i="1"/>
  <c r="K544" i="1"/>
  <c r="L544" i="1"/>
  <c r="M544" i="1"/>
  <c r="C335" i="1"/>
  <c r="D335" i="1"/>
  <c r="E335" i="1"/>
  <c r="F335" i="1"/>
  <c r="G335" i="1"/>
  <c r="J335" i="1"/>
  <c r="K335" i="1"/>
  <c r="L335" i="1"/>
  <c r="M335" i="1"/>
  <c r="C664" i="1"/>
  <c r="D664" i="1"/>
  <c r="E664" i="1"/>
  <c r="F664" i="1"/>
  <c r="G664" i="1"/>
  <c r="J664" i="1"/>
  <c r="K664" i="1"/>
  <c r="L664" i="1"/>
  <c r="M664" i="1"/>
  <c r="C509" i="1"/>
  <c r="D509" i="1"/>
  <c r="E509" i="1"/>
  <c r="F509" i="1"/>
  <c r="G509" i="1"/>
  <c r="J509" i="1"/>
  <c r="K509" i="1"/>
  <c r="L509" i="1"/>
  <c r="M509" i="1"/>
  <c r="C205" i="1"/>
  <c r="D205" i="1"/>
  <c r="E205" i="1"/>
  <c r="F205" i="1"/>
  <c r="G205" i="1"/>
  <c r="J205" i="1"/>
  <c r="K205" i="1"/>
  <c r="L205" i="1"/>
  <c r="M205" i="1"/>
  <c r="C577" i="1"/>
  <c r="D577" i="1"/>
  <c r="E577" i="1"/>
  <c r="F577" i="1"/>
  <c r="G577" i="1"/>
  <c r="J577" i="1"/>
  <c r="K577" i="1"/>
  <c r="L577" i="1"/>
  <c r="M577" i="1"/>
  <c r="C768" i="1"/>
  <c r="D768" i="1"/>
  <c r="E768" i="1"/>
  <c r="F768" i="1"/>
  <c r="G768" i="1"/>
  <c r="J768" i="1"/>
  <c r="K768" i="1"/>
  <c r="L768" i="1"/>
  <c r="M768" i="1"/>
  <c r="C202" i="1"/>
  <c r="D202" i="1"/>
  <c r="E202" i="1"/>
  <c r="F202" i="1"/>
  <c r="G202" i="1"/>
  <c r="J202" i="1"/>
  <c r="K202" i="1"/>
  <c r="L202" i="1"/>
  <c r="M202" i="1"/>
  <c r="C764" i="1"/>
  <c r="D764" i="1"/>
  <c r="E764" i="1"/>
  <c r="F764" i="1"/>
  <c r="G764" i="1"/>
  <c r="J764" i="1"/>
  <c r="K764" i="1"/>
  <c r="L764" i="1"/>
  <c r="M764" i="1"/>
  <c r="C352" i="1"/>
  <c r="D352" i="1"/>
  <c r="E352" i="1"/>
  <c r="F352" i="1"/>
  <c r="G352" i="1"/>
  <c r="J352" i="1"/>
  <c r="K352" i="1"/>
  <c r="L352" i="1"/>
  <c r="M352" i="1"/>
  <c r="C617" i="1"/>
  <c r="D617" i="1"/>
  <c r="E617" i="1"/>
  <c r="F617" i="1"/>
  <c r="G617" i="1"/>
  <c r="J617" i="1"/>
  <c r="K617" i="1"/>
  <c r="L617" i="1"/>
  <c r="M617" i="1"/>
  <c r="C386" i="1"/>
  <c r="D386" i="1"/>
  <c r="E386" i="1"/>
  <c r="F386" i="1"/>
  <c r="G386" i="1"/>
  <c r="J386" i="1"/>
  <c r="K386" i="1"/>
  <c r="L386" i="1"/>
  <c r="M386" i="1"/>
  <c r="C387" i="1"/>
  <c r="D387" i="1"/>
  <c r="E387" i="1"/>
  <c r="F387" i="1"/>
  <c r="G387" i="1"/>
  <c r="J387" i="1"/>
  <c r="K387" i="1"/>
  <c r="L387" i="1"/>
  <c r="M387" i="1"/>
  <c r="C638" i="1"/>
  <c r="D638" i="1"/>
  <c r="E638" i="1"/>
  <c r="F638" i="1"/>
  <c r="G638" i="1"/>
  <c r="J638" i="1"/>
  <c r="K638" i="1"/>
  <c r="L638" i="1"/>
  <c r="M638" i="1"/>
  <c r="C524" i="1"/>
  <c r="D524" i="1"/>
  <c r="E524" i="1"/>
  <c r="F524" i="1"/>
  <c r="G524" i="1"/>
  <c r="J524" i="1"/>
  <c r="K524" i="1"/>
  <c r="L524" i="1"/>
  <c r="M524" i="1"/>
  <c r="C525" i="1"/>
  <c r="D525" i="1"/>
  <c r="E525" i="1"/>
  <c r="F525" i="1"/>
  <c r="G525" i="1"/>
  <c r="J525" i="1"/>
  <c r="K525" i="1"/>
  <c r="L525" i="1"/>
  <c r="M525" i="1"/>
  <c r="C619" i="1"/>
  <c r="D619" i="1"/>
  <c r="E619" i="1"/>
  <c r="F619" i="1"/>
  <c r="G619" i="1"/>
  <c r="J619" i="1"/>
  <c r="K619" i="1"/>
  <c r="L619" i="1"/>
  <c r="M619" i="1"/>
  <c r="C918" i="1"/>
  <c r="D918" i="1"/>
  <c r="E918" i="1"/>
  <c r="F918" i="1"/>
  <c r="G918" i="1"/>
  <c r="J918" i="1"/>
  <c r="K918" i="1"/>
  <c r="L918" i="1"/>
  <c r="M918" i="1"/>
  <c r="C842" i="1"/>
  <c r="D842" i="1"/>
  <c r="E842" i="1"/>
  <c r="F842" i="1"/>
  <c r="G842" i="1"/>
  <c r="J842" i="1"/>
  <c r="K842" i="1"/>
  <c r="L842" i="1"/>
  <c r="M842" i="1"/>
  <c r="C919" i="1"/>
  <c r="D919" i="1"/>
  <c r="E919" i="1"/>
  <c r="F919" i="1"/>
  <c r="G919" i="1"/>
  <c r="J919" i="1"/>
  <c r="K919" i="1"/>
  <c r="L919" i="1"/>
  <c r="M919" i="1"/>
  <c r="C889" i="1"/>
  <c r="D889" i="1"/>
  <c r="E889" i="1"/>
  <c r="F889" i="1"/>
  <c r="G889" i="1"/>
  <c r="J889" i="1"/>
  <c r="K889" i="1"/>
  <c r="L889" i="1"/>
  <c r="M889" i="1"/>
  <c r="C790" i="1"/>
  <c r="D790" i="1"/>
  <c r="E790" i="1"/>
  <c r="F790" i="1"/>
  <c r="G790" i="1"/>
  <c r="J790" i="1"/>
  <c r="K790" i="1"/>
  <c r="L790" i="1"/>
  <c r="M790" i="1"/>
  <c r="C791" i="1"/>
  <c r="D791" i="1"/>
  <c r="E791" i="1"/>
  <c r="F791" i="1"/>
  <c r="G791" i="1"/>
  <c r="J791" i="1"/>
  <c r="K791" i="1"/>
  <c r="L791" i="1"/>
  <c r="M791" i="1"/>
  <c r="C762" i="1"/>
  <c r="D762" i="1"/>
  <c r="E762" i="1"/>
  <c r="F762" i="1"/>
  <c r="G762" i="1"/>
  <c r="J762" i="1"/>
  <c r="K762" i="1"/>
  <c r="L762" i="1"/>
  <c r="M762" i="1"/>
  <c r="C806" i="1"/>
  <c r="D806" i="1"/>
  <c r="E806" i="1"/>
  <c r="F806" i="1"/>
  <c r="G806" i="1"/>
  <c r="J806" i="1"/>
  <c r="K806" i="1"/>
  <c r="L806" i="1"/>
  <c r="M806" i="1"/>
  <c r="C458" i="1"/>
  <c r="D458" i="1"/>
  <c r="E458" i="1"/>
  <c r="F458" i="1"/>
  <c r="G458" i="1"/>
  <c r="J458" i="1"/>
  <c r="K458" i="1"/>
  <c r="L458" i="1"/>
  <c r="M458" i="1"/>
  <c r="C710" i="1"/>
  <c r="D710" i="1"/>
  <c r="E710" i="1"/>
  <c r="F710" i="1"/>
  <c r="G710" i="1"/>
  <c r="J710" i="1"/>
  <c r="K710" i="1"/>
  <c r="L710" i="1"/>
  <c r="M710" i="1"/>
  <c r="C112" i="1"/>
  <c r="D112" i="1"/>
  <c r="E112" i="1"/>
  <c r="F112" i="1"/>
  <c r="G112" i="1"/>
  <c r="J112" i="1"/>
  <c r="K112" i="1"/>
  <c r="L112" i="1"/>
  <c r="M112" i="1"/>
  <c r="C631" i="1"/>
  <c r="D631" i="1"/>
  <c r="E631" i="1"/>
  <c r="F631" i="1"/>
  <c r="G631" i="1"/>
  <c r="J631" i="1"/>
  <c r="K631" i="1"/>
  <c r="L631" i="1"/>
  <c r="M631" i="1"/>
  <c r="C469" i="1"/>
  <c r="D469" i="1"/>
  <c r="E469" i="1"/>
  <c r="F469" i="1"/>
  <c r="G469" i="1"/>
  <c r="J469" i="1"/>
  <c r="K469" i="1"/>
  <c r="L469" i="1"/>
  <c r="M469" i="1"/>
  <c r="C85" i="1"/>
  <c r="D85" i="1"/>
  <c r="E85" i="1"/>
  <c r="F85" i="1"/>
  <c r="G85" i="1"/>
  <c r="J85" i="1"/>
  <c r="K85" i="1"/>
  <c r="L85" i="1"/>
  <c r="M85" i="1"/>
  <c r="C395" i="1"/>
  <c r="D395" i="1"/>
  <c r="E395" i="1"/>
  <c r="F395" i="1"/>
  <c r="G395" i="1"/>
  <c r="J395" i="1"/>
  <c r="K395" i="1"/>
  <c r="L395" i="1"/>
  <c r="M395" i="1"/>
  <c r="C723" i="1"/>
  <c r="D723" i="1"/>
  <c r="E723" i="1"/>
  <c r="F723" i="1"/>
  <c r="G723" i="1"/>
  <c r="J723" i="1"/>
  <c r="K723" i="1"/>
  <c r="L723" i="1"/>
  <c r="M723" i="1"/>
  <c r="C522" i="1"/>
  <c r="D522" i="1"/>
  <c r="E522" i="1"/>
  <c r="F522" i="1"/>
  <c r="G522" i="1"/>
  <c r="J522" i="1"/>
  <c r="K522" i="1"/>
  <c r="L522" i="1"/>
  <c r="M522" i="1"/>
  <c r="C402" i="1"/>
  <c r="D402" i="1"/>
  <c r="E402" i="1"/>
  <c r="F402" i="1"/>
  <c r="G402" i="1"/>
  <c r="J402" i="1"/>
  <c r="K402" i="1"/>
  <c r="L402" i="1"/>
  <c r="M402" i="1"/>
  <c r="C478" i="1"/>
  <c r="D478" i="1"/>
  <c r="E478" i="1"/>
  <c r="F478" i="1"/>
  <c r="G478" i="1"/>
  <c r="J478" i="1"/>
  <c r="K478" i="1"/>
  <c r="L478" i="1"/>
  <c r="M478" i="1"/>
  <c r="C400" i="1"/>
  <c r="D400" i="1"/>
  <c r="E400" i="1"/>
  <c r="F400" i="1"/>
  <c r="G400" i="1"/>
  <c r="J400" i="1"/>
  <c r="K400" i="1"/>
  <c r="L400" i="1"/>
  <c r="M400" i="1"/>
  <c r="C534" i="1"/>
  <c r="D534" i="1"/>
  <c r="E534" i="1"/>
  <c r="F534" i="1"/>
  <c r="G534" i="1"/>
  <c r="J534" i="1"/>
  <c r="K534" i="1"/>
  <c r="L534" i="1"/>
  <c r="M534" i="1"/>
  <c r="C703" i="1"/>
  <c r="D703" i="1"/>
  <c r="E703" i="1"/>
  <c r="F703" i="1"/>
  <c r="G703" i="1"/>
  <c r="J703" i="1"/>
  <c r="K703" i="1"/>
  <c r="L703" i="1"/>
  <c r="M703" i="1"/>
  <c r="C508" i="1"/>
  <c r="D508" i="1"/>
  <c r="E508" i="1"/>
  <c r="F508" i="1"/>
  <c r="G508" i="1"/>
  <c r="J508" i="1"/>
  <c r="K508" i="1"/>
  <c r="L508" i="1"/>
  <c r="M508" i="1"/>
  <c r="C79" i="1"/>
  <c r="D79" i="1"/>
  <c r="E79" i="1"/>
  <c r="F79" i="1"/>
  <c r="G79" i="1"/>
  <c r="J79" i="1"/>
  <c r="K79" i="1"/>
  <c r="L79" i="1"/>
  <c r="M79" i="1"/>
  <c r="C665" i="1"/>
  <c r="D665" i="1"/>
  <c r="E665" i="1"/>
  <c r="F665" i="1"/>
  <c r="G665" i="1"/>
  <c r="J665" i="1"/>
  <c r="K665" i="1"/>
  <c r="L665" i="1"/>
  <c r="M665" i="1"/>
  <c r="C834" i="1"/>
  <c r="D834" i="1"/>
  <c r="E834" i="1"/>
  <c r="F834" i="1"/>
  <c r="G834" i="1"/>
  <c r="J834" i="1"/>
  <c r="K834" i="1"/>
  <c r="L834" i="1"/>
  <c r="M834" i="1"/>
  <c r="C36" i="1"/>
  <c r="D36" i="1"/>
  <c r="E36" i="1"/>
  <c r="F36" i="1"/>
  <c r="G36" i="1"/>
  <c r="J36" i="1"/>
  <c r="K36" i="1"/>
  <c r="L36" i="1"/>
  <c r="M36" i="1"/>
  <c r="C835" i="1"/>
  <c r="D835" i="1"/>
  <c r="E835" i="1"/>
  <c r="F835" i="1"/>
  <c r="G835" i="1"/>
  <c r="J835" i="1"/>
  <c r="K835" i="1"/>
  <c r="L835" i="1"/>
  <c r="M835" i="1"/>
  <c r="C825" i="1"/>
  <c r="D825" i="1"/>
  <c r="E825" i="1"/>
  <c r="F825" i="1"/>
  <c r="G825" i="1"/>
  <c r="J825" i="1"/>
  <c r="K825" i="1"/>
  <c r="L825" i="1"/>
  <c r="M825" i="1"/>
  <c r="C355" i="1"/>
  <c r="D355" i="1"/>
  <c r="E355" i="1"/>
  <c r="F355" i="1"/>
  <c r="G355" i="1"/>
  <c r="J355" i="1"/>
  <c r="K355" i="1"/>
  <c r="L355" i="1"/>
  <c r="M355" i="1"/>
  <c r="C94" i="1"/>
  <c r="D94" i="1"/>
  <c r="E94" i="1"/>
  <c r="F94" i="1"/>
  <c r="G94" i="1"/>
  <c r="J94" i="1"/>
  <c r="K94" i="1"/>
  <c r="L94" i="1"/>
  <c r="M94" i="1"/>
  <c r="C501" i="1"/>
  <c r="D501" i="1"/>
  <c r="E501" i="1"/>
  <c r="F501" i="1"/>
  <c r="G501" i="1"/>
  <c r="J501" i="1"/>
  <c r="K501" i="1"/>
  <c r="L501" i="1"/>
  <c r="M501" i="1"/>
  <c r="C648" i="1"/>
  <c r="D648" i="1"/>
  <c r="E648" i="1"/>
  <c r="F648" i="1"/>
  <c r="G648" i="1"/>
  <c r="J648" i="1"/>
  <c r="K648" i="1"/>
  <c r="L648" i="1"/>
  <c r="M648" i="1"/>
  <c r="C277" i="1"/>
  <c r="D277" i="1"/>
  <c r="E277" i="1"/>
  <c r="F277" i="1"/>
  <c r="G277" i="1"/>
  <c r="J277" i="1"/>
  <c r="K277" i="1"/>
  <c r="L277" i="1"/>
  <c r="M277" i="1"/>
  <c r="C206" i="1"/>
  <c r="D206" i="1"/>
  <c r="E206" i="1"/>
  <c r="F206" i="1"/>
  <c r="G206" i="1"/>
  <c r="J206" i="1"/>
  <c r="K206" i="1"/>
  <c r="L206" i="1"/>
  <c r="M206" i="1"/>
  <c r="C398" i="1"/>
  <c r="D398" i="1"/>
  <c r="E398" i="1"/>
  <c r="F398" i="1"/>
  <c r="G398" i="1"/>
  <c r="J398" i="1"/>
  <c r="K398" i="1"/>
  <c r="L398" i="1"/>
  <c r="M398" i="1"/>
  <c r="C105" i="1"/>
  <c r="D105" i="1"/>
  <c r="E105" i="1"/>
  <c r="F105" i="1"/>
  <c r="G105" i="1"/>
  <c r="J105" i="1"/>
  <c r="K105" i="1"/>
  <c r="L105" i="1"/>
  <c r="M105" i="1"/>
  <c r="C346" i="1"/>
  <c r="D346" i="1"/>
  <c r="E346" i="1"/>
  <c r="F346" i="1"/>
  <c r="G346" i="1"/>
  <c r="J346" i="1"/>
  <c r="K346" i="1"/>
  <c r="L346" i="1"/>
  <c r="M346" i="1"/>
  <c r="C775" i="1"/>
  <c r="D775" i="1"/>
  <c r="E775" i="1"/>
  <c r="F775" i="1"/>
  <c r="G775" i="1"/>
  <c r="J775" i="1"/>
  <c r="K775" i="1"/>
  <c r="L775" i="1"/>
  <c r="M775" i="1"/>
  <c r="C691" i="1"/>
  <c r="D691" i="1"/>
  <c r="E691" i="1"/>
  <c r="F691" i="1"/>
  <c r="G691" i="1"/>
  <c r="J691" i="1"/>
  <c r="K691" i="1"/>
  <c r="L691" i="1"/>
  <c r="M691" i="1"/>
  <c r="C135" i="1"/>
  <c r="D135" i="1"/>
  <c r="E135" i="1"/>
  <c r="F135" i="1"/>
  <c r="G135" i="1"/>
  <c r="J135" i="1"/>
  <c r="K135" i="1"/>
  <c r="L135" i="1"/>
  <c r="M135" i="1"/>
  <c r="C557" i="1"/>
  <c r="D557" i="1"/>
  <c r="E557" i="1"/>
  <c r="F557" i="1"/>
  <c r="G557" i="1"/>
  <c r="J557" i="1"/>
  <c r="K557" i="1"/>
  <c r="L557" i="1"/>
  <c r="M557" i="1"/>
  <c r="C558" i="1"/>
  <c r="D558" i="1"/>
  <c r="E558" i="1"/>
  <c r="F558" i="1"/>
  <c r="G558" i="1"/>
  <c r="J558" i="1"/>
  <c r="K558" i="1"/>
  <c r="L558" i="1"/>
  <c r="M558" i="1"/>
  <c r="C812" i="1"/>
  <c r="D812" i="1"/>
  <c r="E812" i="1"/>
  <c r="F812" i="1"/>
  <c r="G812" i="1"/>
  <c r="J812" i="1"/>
  <c r="K812" i="1"/>
  <c r="L812" i="1"/>
  <c r="M812" i="1"/>
  <c r="C193" i="1"/>
  <c r="D193" i="1"/>
  <c r="E193" i="1"/>
  <c r="F193" i="1"/>
  <c r="G193" i="1"/>
  <c r="J193" i="1"/>
  <c r="K193" i="1"/>
  <c r="L193" i="1"/>
  <c r="M193" i="1"/>
  <c r="C880" i="1"/>
  <c r="D880" i="1"/>
  <c r="E880" i="1"/>
  <c r="F880" i="1"/>
  <c r="G880" i="1"/>
  <c r="J880" i="1"/>
  <c r="K880" i="1"/>
  <c r="L880" i="1"/>
  <c r="M880" i="1"/>
  <c r="C357" i="1"/>
  <c r="D357" i="1"/>
  <c r="E357" i="1"/>
  <c r="F357" i="1"/>
  <c r="G357" i="1"/>
  <c r="J357" i="1"/>
  <c r="K357" i="1"/>
  <c r="L357" i="1"/>
  <c r="M357" i="1"/>
  <c r="C906" i="1"/>
  <c r="D906" i="1"/>
  <c r="E906" i="1"/>
  <c r="F906" i="1"/>
  <c r="G906" i="1"/>
  <c r="J906" i="1"/>
  <c r="K906" i="1"/>
  <c r="L906" i="1"/>
  <c r="M906" i="1"/>
  <c r="C59" i="1"/>
  <c r="D59" i="1"/>
  <c r="E59" i="1"/>
  <c r="F59" i="1"/>
  <c r="G59" i="1"/>
  <c r="J59" i="1"/>
  <c r="K59" i="1"/>
  <c r="L59" i="1"/>
  <c r="M59" i="1"/>
  <c r="C432" i="1"/>
  <c r="D432" i="1"/>
  <c r="E432" i="1"/>
  <c r="F432" i="1"/>
  <c r="G432" i="1"/>
  <c r="J432" i="1"/>
  <c r="K432" i="1"/>
  <c r="L432" i="1"/>
  <c r="M432" i="1"/>
  <c r="C242" i="1"/>
  <c r="D242" i="1"/>
  <c r="E242" i="1"/>
  <c r="F242" i="1"/>
  <c r="G242" i="1"/>
  <c r="J242" i="1"/>
  <c r="K242" i="1"/>
  <c r="L242" i="1"/>
  <c r="M242" i="1"/>
  <c r="C113" i="1"/>
  <c r="D113" i="1"/>
  <c r="E113" i="1"/>
  <c r="F113" i="1"/>
  <c r="G113" i="1"/>
  <c r="J113" i="1"/>
  <c r="K113" i="1"/>
  <c r="L113" i="1"/>
  <c r="M113" i="1"/>
  <c r="C92" i="1"/>
  <c r="D92" i="1"/>
  <c r="E92" i="1"/>
  <c r="F92" i="1"/>
  <c r="G92" i="1"/>
  <c r="J92" i="1"/>
  <c r="K92" i="1"/>
  <c r="L92" i="1"/>
  <c r="M92" i="1"/>
  <c r="C820" i="1"/>
  <c r="D820" i="1"/>
  <c r="E820" i="1"/>
  <c r="F820" i="1"/>
  <c r="G820" i="1"/>
  <c r="J820" i="1"/>
  <c r="K820" i="1"/>
  <c r="L820" i="1"/>
  <c r="M820" i="1"/>
  <c r="C160" i="1"/>
  <c r="D160" i="1"/>
  <c r="E160" i="1"/>
  <c r="F160" i="1"/>
  <c r="G160" i="1"/>
  <c r="J160" i="1"/>
  <c r="K160" i="1"/>
  <c r="L160" i="1"/>
  <c r="M160" i="1"/>
  <c r="C397" i="1"/>
  <c r="D397" i="1"/>
  <c r="E397" i="1"/>
  <c r="F397" i="1"/>
  <c r="G397" i="1"/>
  <c r="J397" i="1"/>
  <c r="K397" i="1"/>
  <c r="L397" i="1"/>
  <c r="M397" i="1"/>
  <c r="C120" i="1"/>
  <c r="D120" i="1"/>
  <c r="E120" i="1"/>
  <c r="F120" i="1"/>
  <c r="G120" i="1"/>
  <c r="J120" i="1"/>
  <c r="K120" i="1"/>
  <c r="L120" i="1"/>
  <c r="M120" i="1"/>
  <c r="C750" i="1"/>
  <c r="D750" i="1"/>
  <c r="E750" i="1"/>
  <c r="F750" i="1"/>
  <c r="G750" i="1"/>
  <c r="J750" i="1"/>
  <c r="K750" i="1"/>
  <c r="L750" i="1"/>
  <c r="M750" i="1"/>
  <c r="C230" i="1"/>
  <c r="D230" i="1"/>
  <c r="E230" i="1"/>
  <c r="F230" i="1"/>
  <c r="G230" i="1"/>
  <c r="J230" i="1"/>
  <c r="K230" i="1"/>
  <c r="L230" i="1"/>
  <c r="M230" i="1"/>
  <c r="C498" i="1"/>
  <c r="D498" i="1"/>
  <c r="E498" i="1"/>
  <c r="F498" i="1"/>
  <c r="G498" i="1"/>
  <c r="J498" i="1"/>
  <c r="K498" i="1"/>
  <c r="L498" i="1"/>
  <c r="M498" i="1"/>
  <c r="C674" i="1"/>
  <c r="D674" i="1"/>
  <c r="E674" i="1"/>
  <c r="F674" i="1"/>
  <c r="G674" i="1"/>
  <c r="J674" i="1"/>
  <c r="K674" i="1"/>
  <c r="L674" i="1"/>
  <c r="M674" i="1"/>
  <c r="C129" i="1"/>
  <c r="D129" i="1"/>
  <c r="E129" i="1"/>
  <c r="F129" i="1"/>
  <c r="G129" i="1"/>
  <c r="J129" i="1"/>
  <c r="K129" i="1"/>
  <c r="L129" i="1"/>
  <c r="M129" i="1"/>
  <c r="C705" i="1"/>
  <c r="D705" i="1"/>
  <c r="E705" i="1"/>
  <c r="F705" i="1"/>
  <c r="G705" i="1"/>
  <c r="J705" i="1"/>
  <c r="K705" i="1"/>
  <c r="L705" i="1"/>
  <c r="M705" i="1"/>
  <c r="C382" i="1"/>
  <c r="D382" i="1"/>
  <c r="E382" i="1"/>
  <c r="F382" i="1"/>
  <c r="G382" i="1"/>
  <c r="J382" i="1"/>
  <c r="K382" i="1"/>
  <c r="L382" i="1"/>
  <c r="M382" i="1"/>
  <c r="C240" i="1"/>
  <c r="D240" i="1"/>
  <c r="E240" i="1"/>
  <c r="F240" i="1"/>
  <c r="G240" i="1"/>
  <c r="J240" i="1"/>
  <c r="K240" i="1"/>
  <c r="L240" i="1"/>
  <c r="M240" i="1"/>
  <c r="C358" i="1"/>
  <c r="D358" i="1"/>
  <c r="E358" i="1"/>
  <c r="F358" i="1"/>
  <c r="G358" i="1"/>
  <c r="J358" i="1"/>
  <c r="K358" i="1"/>
  <c r="L358" i="1"/>
  <c r="M358" i="1"/>
  <c r="C910" i="1"/>
  <c r="D910" i="1"/>
  <c r="E910" i="1"/>
  <c r="F910" i="1"/>
  <c r="G910" i="1"/>
  <c r="J910" i="1"/>
  <c r="K910" i="1"/>
  <c r="L910" i="1"/>
  <c r="M910" i="1"/>
  <c r="C383" i="1"/>
  <c r="D383" i="1"/>
  <c r="E383" i="1"/>
  <c r="F383" i="1"/>
  <c r="G383" i="1"/>
  <c r="J383" i="1"/>
  <c r="K383" i="1"/>
  <c r="L383" i="1"/>
  <c r="M383" i="1"/>
  <c r="C685" i="1"/>
  <c r="D685" i="1"/>
  <c r="E685" i="1"/>
  <c r="F685" i="1"/>
  <c r="G685" i="1"/>
  <c r="J685" i="1"/>
  <c r="K685" i="1"/>
  <c r="L685" i="1"/>
  <c r="M685" i="1"/>
  <c r="C686" i="1"/>
  <c r="D686" i="1"/>
  <c r="E686" i="1"/>
  <c r="F686" i="1"/>
  <c r="G686" i="1"/>
  <c r="J686" i="1"/>
  <c r="K686" i="1"/>
  <c r="L686" i="1"/>
  <c r="M686" i="1"/>
  <c r="C636" i="1"/>
  <c r="D636" i="1"/>
  <c r="E636" i="1"/>
  <c r="F636" i="1"/>
  <c r="G636" i="1"/>
  <c r="J636" i="1"/>
  <c r="K636" i="1"/>
  <c r="L636" i="1"/>
  <c r="M636" i="1"/>
  <c r="C222" i="1"/>
  <c r="D222" i="1"/>
  <c r="E222" i="1"/>
  <c r="F222" i="1"/>
  <c r="G222" i="1"/>
  <c r="J222" i="1"/>
  <c r="K222" i="1"/>
  <c r="L222" i="1"/>
  <c r="M222" i="1"/>
  <c r="C319" i="1"/>
  <c r="D319" i="1"/>
  <c r="E319" i="1"/>
  <c r="F319" i="1"/>
  <c r="G319" i="1"/>
  <c r="J319" i="1"/>
  <c r="K319" i="1"/>
  <c r="L319" i="1"/>
  <c r="M319" i="1"/>
  <c r="C40" i="1"/>
  <c r="D40" i="1"/>
  <c r="E40" i="1"/>
  <c r="F40" i="1"/>
  <c r="G40" i="1"/>
  <c r="J40" i="1"/>
  <c r="K40" i="1"/>
  <c r="L40" i="1"/>
  <c r="M40" i="1"/>
  <c r="C302" i="1"/>
  <c r="D302" i="1"/>
  <c r="E302" i="1"/>
  <c r="F302" i="1"/>
  <c r="G302" i="1"/>
  <c r="J302" i="1"/>
  <c r="K302" i="1"/>
  <c r="L302" i="1"/>
  <c r="M302" i="1"/>
  <c r="C796" i="1"/>
  <c r="D796" i="1"/>
  <c r="E796" i="1"/>
  <c r="F796" i="1"/>
  <c r="G796" i="1"/>
  <c r="J796" i="1"/>
  <c r="K796" i="1"/>
  <c r="L796" i="1"/>
  <c r="M796" i="1"/>
  <c r="C408" i="1"/>
  <c r="D408" i="1"/>
  <c r="E408" i="1"/>
  <c r="F408" i="1"/>
  <c r="G408" i="1"/>
  <c r="J408" i="1"/>
  <c r="K408" i="1"/>
  <c r="L408" i="1"/>
  <c r="M408" i="1"/>
  <c r="C53" i="1"/>
  <c r="D53" i="1"/>
  <c r="E53" i="1"/>
  <c r="F53" i="1"/>
  <c r="G53" i="1"/>
  <c r="J53" i="1"/>
  <c r="K53" i="1"/>
  <c r="L53" i="1"/>
  <c r="M53" i="1"/>
  <c r="C254" i="1"/>
  <c r="D254" i="1"/>
  <c r="E254" i="1"/>
  <c r="F254" i="1"/>
  <c r="G254" i="1"/>
  <c r="J254" i="1"/>
  <c r="K254" i="1"/>
  <c r="L254" i="1"/>
  <c r="M254" i="1"/>
  <c r="C926" i="1"/>
  <c r="D926" i="1"/>
  <c r="E926" i="1"/>
  <c r="F926" i="1"/>
  <c r="G926" i="1"/>
  <c r="J926" i="1"/>
  <c r="K926" i="1"/>
  <c r="L926" i="1"/>
  <c r="M926" i="1"/>
  <c r="C915" i="1"/>
  <c r="D915" i="1"/>
  <c r="E915" i="1"/>
  <c r="F915" i="1"/>
  <c r="G915" i="1"/>
  <c r="J915" i="1"/>
  <c r="K915" i="1"/>
  <c r="L915" i="1"/>
  <c r="M915" i="1"/>
  <c r="C471" i="1"/>
  <c r="D471" i="1"/>
  <c r="E471" i="1"/>
  <c r="F471" i="1"/>
  <c r="G471" i="1"/>
  <c r="J471" i="1"/>
  <c r="K471" i="1"/>
  <c r="L471" i="1"/>
  <c r="M471" i="1"/>
  <c r="C263" i="1"/>
  <c r="D263" i="1"/>
  <c r="E263" i="1"/>
  <c r="F263" i="1"/>
  <c r="G263" i="1"/>
  <c r="J263" i="1"/>
  <c r="K263" i="1"/>
  <c r="L263" i="1"/>
  <c r="M263" i="1"/>
  <c r="C702" i="1"/>
  <c r="D702" i="1"/>
  <c r="E702" i="1"/>
  <c r="F702" i="1"/>
  <c r="G702" i="1"/>
  <c r="J702" i="1"/>
  <c r="K702" i="1"/>
  <c r="L702" i="1"/>
  <c r="M702" i="1"/>
  <c r="C95" i="1"/>
  <c r="D95" i="1"/>
  <c r="E95" i="1"/>
  <c r="F95" i="1"/>
  <c r="G95" i="1"/>
  <c r="J95" i="1"/>
  <c r="K95" i="1"/>
  <c r="L95" i="1"/>
  <c r="M95" i="1"/>
  <c r="C683" i="1"/>
  <c r="D683" i="1"/>
  <c r="E683" i="1"/>
  <c r="F683" i="1"/>
  <c r="G683" i="1"/>
  <c r="J683" i="1"/>
  <c r="K683" i="1"/>
  <c r="L683" i="1"/>
  <c r="M683" i="1"/>
  <c r="C827" i="1"/>
  <c r="D827" i="1"/>
  <c r="E827" i="1"/>
  <c r="F827" i="1"/>
  <c r="G827" i="1"/>
  <c r="J827" i="1"/>
  <c r="K827" i="1"/>
  <c r="L827" i="1"/>
  <c r="M827" i="1"/>
  <c r="C687" i="1"/>
  <c r="D687" i="1"/>
  <c r="E687" i="1"/>
  <c r="F687" i="1"/>
  <c r="G687" i="1"/>
  <c r="J687" i="1"/>
  <c r="K687" i="1"/>
  <c r="L687" i="1"/>
  <c r="M687" i="1"/>
  <c r="C157" i="1"/>
  <c r="D157" i="1"/>
  <c r="E157" i="1"/>
  <c r="F157" i="1"/>
  <c r="G157" i="1"/>
  <c r="J157" i="1"/>
  <c r="K157" i="1"/>
  <c r="L157" i="1"/>
  <c r="M157" i="1"/>
  <c r="C797" i="1"/>
  <c r="D797" i="1"/>
  <c r="E797" i="1"/>
  <c r="F797" i="1"/>
  <c r="G797" i="1"/>
  <c r="J797" i="1"/>
  <c r="K797" i="1"/>
  <c r="L797" i="1"/>
  <c r="M797" i="1"/>
  <c r="C481" i="1"/>
  <c r="D481" i="1"/>
  <c r="E481" i="1"/>
  <c r="F481" i="1"/>
  <c r="G481" i="1"/>
  <c r="J481" i="1"/>
  <c r="K481" i="1"/>
  <c r="L481" i="1"/>
  <c r="M481" i="1"/>
  <c r="C406" i="1"/>
  <c r="D406" i="1"/>
  <c r="E406" i="1"/>
  <c r="F406" i="1"/>
  <c r="G406" i="1"/>
  <c r="J406" i="1"/>
  <c r="K406" i="1"/>
  <c r="L406" i="1"/>
  <c r="M406" i="1"/>
  <c r="C5" i="1"/>
  <c r="D5" i="1"/>
  <c r="E5" i="1"/>
  <c r="F5" i="1"/>
  <c r="G5" i="1"/>
  <c r="J5" i="1"/>
  <c r="K5" i="1"/>
  <c r="L5" i="1"/>
  <c r="M5" i="1"/>
  <c r="C252" i="1"/>
  <c r="D252" i="1"/>
  <c r="E252" i="1"/>
  <c r="F252" i="1"/>
  <c r="G252" i="1"/>
  <c r="J252" i="1"/>
  <c r="K252" i="1"/>
  <c r="L252" i="1"/>
  <c r="M252" i="1"/>
  <c r="C572" i="1"/>
  <c r="D572" i="1"/>
  <c r="E572" i="1"/>
  <c r="F572" i="1"/>
  <c r="G572" i="1"/>
  <c r="J572" i="1"/>
  <c r="K572" i="1"/>
  <c r="L572" i="1"/>
  <c r="M572" i="1"/>
  <c r="C342" i="1"/>
  <c r="D342" i="1"/>
  <c r="E342" i="1"/>
  <c r="F342" i="1"/>
  <c r="G342" i="1"/>
  <c r="J342" i="1"/>
  <c r="K342" i="1"/>
  <c r="L342" i="1"/>
  <c r="M342" i="1"/>
  <c r="C48" i="1"/>
  <c r="D48" i="1"/>
  <c r="E48" i="1"/>
  <c r="F48" i="1"/>
  <c r="G48" i="1"/>
  <c r="J48" i="1"/>
  <c r="K48" i="1"/>
  <c r="L48" i="1"/>
  <c r="M48" i="1"/>
  <c r="C412" i="1"/>
  <c r="D412" i="1"/>
  <c r="E412" i="1"/>
  <c r="F412" i="1"/>
  <c r="G412" i="1"/>
  <c r="J412" i="1"/>
  <c r="K412" i="1"/>
  <c r="L412" i="1"/>
  <c r="M412" i="1"/>
  <c r="C589" i="1"/>
  <c r="D589" i="1"/>
  <c r="E589" i="1"/>
  <c r="F589" i="1"/>
  <c r="G589" i="1"/>
  <c r="J589" i="1"/>
  <c r="K589" i="1"/>
  <c r="L589" i="1"/>
  <c r="M589" i="1"/>
  <c r="C695" i="1"/>
  <c r="D695" i="1"/>
  <c r="E695" i="1"/>
  <c r="F695" i="1"/>
  <c r="G695" i="1"/>
  <c r="J695" i="1"/>
  <c r="K695" i="1"/>
  <c r="L695" i="1"/>
  <c r="M695" i="1"/>
  <c r="C657" i="1"/>
  <c r="D657" i="1"/>
  <c r="E657" i="1"/>
  <c r="F657" i="1"/>
  <c r="G657" i="1"/>
  <c r="J657" i="1"/>
  <c r="K657" i="1"/>
  <c r="L657" i="1"/>
  <c r="M657" i="1"/>
  <c r="C8" i="1"/>
  <c r="D8" i="1"/>
  <c r="E8" i="1"/>
  <c r="F8" i="1"/>
  <c r="G8" i="1"/>
  <c r="J8" i="1"/>
  <c r="K8" i="1"/>
  <c r="L8" i="1"/>
  <c r="M8" i="1"/>
  <c r="C637" i="1"/>
  <c r="D637" i="1"/>
  <c r="E637" i="1"/>
  <c r="F637" i="1"/>
  <c r="G637" i="1"/>
  <c r="J637" i="1"/>
  <c r="K637" i="1"/>
  <c r="L637" i="1"/>
  <c r="M637" i="1"/>
  <c r="C98" i="1"/>
  <c r="D98" i="1"/>
  <c r="E98" i="1"/>
  <c r="F98" i="1"/>
  <c r="G98" i="1"/>
  <c r="J98" i="1"/>
  <c r="K98" i="1"/>
  <c r="L98" i="1"/>
  <c r="M98" i="1"/>
  <c r="C43" i="1"/>
  <c r="D43" i="1"/>
  <c r="E43" i="1"/>
  <c r="F43" i="1"/>
  <c r="G43" i="1"/>
  <c r="J43" i="1"/>
  <c r="K43" i="1"/>
  <c r="L43" i="1"/>
  <c r="M43" i="1"/>
  <c r="C463" i="1"/>
  <c r="D463" i="1"/>
  <c r="E463" i="1"/>
  <c r="F463" i="1"/>
  <c r="G463" i="1"/>
  <c r="J463" i="1"/>
  <c r="K463" i="1"/>
  <c r="L463" i="1"/>
  <c r="M463" i="1"/>
  <c r="C396" i="1"/>
  <c r="D396" i="1"/>
  <c r="E396" i="1"/>
  <c r="F396" i="1"/>
  <c r="G396" i="1"/>
  <c r="J396" i="1"/>
  <c r="K396" i="1"/>
  <c r="L396" i="1"/>
  <c r="M396" i="1"/>
  <c r="C496" i="1"/>
  <c r="D496" i="1"/>
  <c r="E496" i="1"/>
  <c r="F496" i="1"/>
  <c r="G496" i="1"/>
  <c r="J496" i="1"/>
  <c r="K496" i="1"/>
  <c r="L496" i="1"/>
  <c r="M496" i="1"/>
  <c r="C189" i="1"/>
  <c r="D189" i="1"/>
  <c r="E189" i="1"/>
  <c r="F189" i="1"/>
  <c r="G189" i="1"/>
  <c r="J189" i="1"/>
  <c r="K189" i="1"/>
  <c r="L189" i="1"/>
  <c r="M189" i="1"/>
  <c r="C601" i="1"/>
  <c r="D601" i="1"/>
  <c r="E601" i="1"/>
  <c r="F601" i="1"/>
  <c r="G601" i="1"/>
  <c r="J601" i="1"/>
  <c r="K601" i="1"/>
  <c r="L601" i="1"/>
  <c r="M601" i="1"/>
  <c r="C902" i="1"/>
  <c r="D902" i="1"/>
  <c r="E902" i="1"/>
  <c r="F902" i="1"/>
  <c r="G902" i="1"/>
  <c r="J902" i="1"/>
  <c r="K902" i="1"/>
  <c r="L902" i="1"/>
  <c r="M902" i="1"/>
  <c r="C518" i="1"/>
  <c r="D518" i="1"/>
  <c r="E518" i="1"/>
  <c r="F518" i="1"/>
  <c r="G518" i="1"/>
  <c r="J518" i="1"/>
  <c r="K518" i="1"/>
  <c r="L518" i="1"/>
  <c r="M518" i="1"/>
  <c r="C519" i="1"/>
  <c r="D519" i="1"/>
  <c r="E519" i="1"/>
  <c r="F519" i="1"/>
  <c r="G519" i="1"/>
  <c r="J519" i="1"/>
  <c r="K519" i="1"/>
  <c r="L519" i="1"/>
  <c r="M519" i="1"/>
  <c r="C548" i="1"/>
  <c r="D548" i="1"/>
  <c r="E548" i="1"/>
  <c r="F548" i="1"/>
  <c r="G548" i="1"/>
  <c r="J548" i="1"/>
  <c r="K548" i="1"/>
  <c r="L548" i="1"/>
  <c r="M548" i="1"/>
  <c r="C870" i="1"/>
  <c r="D870" i="1"/>
  <c r="E870" i="1"/>
  <c r="F870" i="1"/>
  <c r="G870" i="1"/>
  <c r="J870" i="1"/>
  <c r="K870" i="1"/>
  <c r="L870" i="1"/>
  <c r="M870" i="1"/>
  <c r="C625" i="1"/>
  <c r="D625" i="1"/>
  <c r="E625" i="1"/>
  <c r="F625" i="1"/>
  <c r="G625" i="1"/>
  <c r="J625" i="1"/>
  <c r="K625" i="1"/>
  <c r="L625" i="1"/>
  <c r="M625" i="1"/>
  <c r="C678" i="1"/>
  <c r="D678" i="1"/>
  <c r="E678" i="1"/>
  <c r="F678" i="1"/>
  <c r="G678" i="1"/>
  <c r="J678" i="1"/>
  <c r="K678" i="1"/>
  <c r="L678" i="1"/>
  <c r="M678" i="1"/>
  <c r="C537" i="1"/>
  <c r="D537" i="1"/>
  <c r="E537" i="1"/>
  <c r="F537" i="1"/>
  <c r="G537" i="1"/>
  <c r="J537" i="1"/>
  <c r="K537" i="1"/>
  <c r="L537" i="1"/>
  <c r="M537" i="1"/>
  <c r="C821" i="1"/>
  <c r="D821" i="1"/>
  <c r="E821" i="1"/>
  <c r="F821" i="1"/>
  <c r="G821" i="1"/>
  <c r="J821" i="1"/>
  <c r="K821" i="1"/>
  <c r="L821" i="1"/>
  <c r="M821" i="1"/>
  <c r="C600" i="1"/>
  <c r="D600" i="1"/>
  <c r="E600" i="1"/>
  <c r="F600" i="1"/>
  <c r="G600" i="1"/>
  <c r="J600" i="1"/>
  <c r="K600" i="1"/>
  <c r="L600" i="1"/>
  <c r="M600" i="1"/>
  <c r="C22" i="1"/>
  <c r="D22" i="1"/>
  <c r="E22" i="1"/>
  <c r="F22" i="1"/>
  <c r="G22" i="1"/>
  <c r="J22" i="1"/>
  <c r="K22" i="1"/>
  <c r="L22" i="1"/>
  <c r="M22" i="1"/>
  <c r="C651" i="1"/>
  <c r="D651" i="1"/>
  <c r="E651" i="1"/>
  <c r="F651" i="1"/>
  <c r="G651" i="1"/>
  <c r="J651" i="1"/>
  <c r="K651" i="1"/>
  <c r="L651" i="1"/>
  <c r="M651" i="1"/>
  <c r="C225" i="1"/>
  <c r="D225" i="1"/>
  <c r="E225" i="1"/>
  <c r="F225" i="1"/>
  <c r="G225" i="1"/>
  <c r="J225" i="1"/>
  <c r="K225" i="1"/>
  <c r="L225" i="1"/>
  <c r="M225" i="1"/>
  <c r="C896" i="1"/>
  <c r="D896" i="1"/>
  <c r="E896" i="1"/>
  <c r="F896" i="1"/>
  <c r="G896" i="1"/>
  <c r="J896" i="1"/>
  <c r="K896" i="1"/>
  <c r="L896" i="1"/>
  <c r="M896" i="1"/>
  <c r="C855" i="1"/>
  <c r="D855" i="1"/>
  <c r="E855" i="1"/>
  <c r="F855" i="1"/>
  <c r="G855" i="1"/>
  <c r="J855" i="1"/>
  <c r="K855" i="1"/>
  <c r="L855" i="1"/>
  <c r="M855" i="1"/>
  <c r="C351" i="1"/>
  <c r="D351" i="1"/>
  <c r="E351" i="1"/>
  <c r="F351" i="1"/>
  <c r="G351" i="1"/>
  <c r="J351" i="1"/>
  <c r="K351" i="1"/>
  <c r="L351" i="1"/>
  <c r="M351" i="1"/>
  <c r="C91" i="1"/>
  <c r="D91" i="1"/>
  <c r="E91" i="1"/>
  <c r="F91" i="1"/>
  <c r="G91" i="1"/>
  <c r="J91" i="1"/>
  <c r="K91" i="1"/>
  <c r="L91" i="1"/>
  <c r="M91" i="1"/>
  <c r="C594" i="1"/>
  <c r="D594" i="1"/>
  <c r="E594" i="1"/>
  <c r="F594" i="1"/>
  <c r="G594" i="1"/>
  <c r="J594" i="1"/>
  <c r="K594" i="1"/>
  <c r="L594" i="1"/>
  <c r="M594" i="1"/>
  <c r="C620" i="1"/>
  <c r="D620" i="1"/>
  <c r="E620" i="1"/>
  <c r="F620" i="1"/>
  <c r="G620" i="1"/>
  <c r="J620" i="1"/>
  <c r="K620" i="1"/>
  <c r="L620" i="1"/>
  <c r="M620" i="1"/>
  <c r="C562" i="1"/>
  <c r="D562" i="1"/>
  <c r="E562" i="1"/>
  <c r="F562" i="1"/>
  <c r="G562" i="1"/>
  <c r="J562" i="1"/>
  <c r="K562" i="1"/>
  <c r="L562" i="1"/>
  <c r="M562" i="1"/>
  <c r="C297" i="1"/>
  <c r="D297" i="1"/>
  <c r="E297" i="1"/>
  <c r="F297" i="1"/>
  <c r="G297" i="1"/>
  <c r="J297" i="1"/>
  <c r="K297" i="1"/>
  <c r="L297" i="1"/>
  <c r="M297" i="1"/>
  <c r="C82" i="1"/>
  <c r="D82" i="1"/>
  <c r="E82" i="1"/>
  <c r="F82" i="1"/>
  <c r="G82" i="1"/>
  <c r="J82" i="1"/>
  <c r="K82" i="1"/>
  <c r="L82" i="1"/>
  <c r="M82" i="1"/>
  <c r="C858" i="1"/>
  <c r="D858" i="1"/>
  <c r="E858" i="1"/>
  <c r="F858" i="1"/>
  <c r="G858" i="1"/>
  <c r="J858" i="1"/>
  <c r="K858" i="1"/>
  <c r="L858" i="1"/>
  <c r="M858" i="1"/>
  <c r="C774" i="1"/>
  <c r="D774" i="1"/>
  <c r="E774" i="1"/>
  <c r="F774" i="1"/>
  <c r="G774" i="1"/>
  <c r="J774" i="1"/>
  <c r="K774" i="1"/>
  <c r="L774" i="1"/>
  <c r="M774" i="1"/>
  <c r="C13" i="1"/>
  <c r="D13" i="1"/>
  <c r="E13" i="1"/>
  <c r="F13" i="1"/>
  <c r="G13" i="1"/>
  <c r="J13" i="1"/>
  <c r="K13" i="1"/>
  <c r="L13" i="1"/>
  <c r="M13" i="1"/>
  <c r="C467" i="1"/>
  <c r="D467" i="1"/>
  <c r="E467" i="1"/>
  <c r="F467" i="1"/>
  <c r="G467" i="1"/>
  <c r="J467" i="1"/>
  <c r="K467" i="1"/>
  <c r="L467" i="1"/>
  <c r="M467" i="1"/>
  <c r="C283" i="1"/>
  <c r="D283" i="1"/>
  <c r="E283" i="1"/>
  <c r="F283" i="1"/>
  <c r="G283" i="1"/>
  <c r="J283" i="1"/>
  <c r="K283" i="1"/>
  <c r="L283" i="1"/>
  <c r="M283" i="1"/>
  <c r="C46" i="1"/>
  <c r="D46" i="1"/>
  <c r="E46" i="1"/>
  <c r="F46" i="1"/>
  <c r="G46" i="1"/>
  <c r="J46" i="1"/>
  <c r="K46" i="1"/>
  <c r="L46" i="1"/>
  <c r="M46" i="1"/>
  <c r="C731" i="1"/>
  <c r="D731" i="1"/>
  <c r="E731" i="1"/>
  <c r="F731" i="1"/>
  <c r="G731" i="1"/>
  <c r="J731" i="1"/>
  <c r="K731" i="1"/>
  <c r="L731" i="1"/>
  <c r="M731" i="1"/>
  <c r="C545" i="1"/>
  <c r="D545" i="1"/>
  <c r="E545" i="1"/>
  <c r="F545" i="1"/>
  <c r="G545" i="1"/>
  <c r="J545" i="1"/>
  <c r="K545" i="1"/>
  <c r="L545" i="1"/>
  <c r="M545" i="1"/>
  <c r="C332" i="1"/>
  <c r="D332" i="1"/>
  <c r="E332" i="1"/>
  <c r="F332" i="1"/>
  <c r="G332" i="1"/>
  <c r="J332" i="1"/>
  <c r="K332" i="1"/>
  <c r="L332" i="1"/>
  <c r="M332" i="1"/>
  <c r="C728" i="1"/>
  <c r="D728" i="1"/>
  <c r="E728" i="1"/>
  <c r="F728" i="1"/>
  <c r="G728" i="1"/>
  <c r="J728" i="1"/>
  <c r="K728" i="1"/>
  <c r="L728" i="1"/>
  <c r="M728" i="1"/>
  <c r="C380" i="1"/>
  <c r="D380" i="1"/>
  <c r="E380" i="1"/>
  <c r="F380" i="1"/>
  <c r="G380" i="1"/>
  <c r="J380" i="1"/>
  <c r="K380" i="1"/>
  <c r="L380" i="1"/>
  <c r="M380" i="1"/>
  <c r="C99" i="1"/>
  <c r="D99" i="1"/>
  <c r="E99" i="1"/>
  <c r="F99" i="1"/>
  <c r="G99" i="1"/>
  <c r="J99" i="1"/>
  <c r="K99" i="1"/>
  <c r="L99" i="1"/>
  <c r="M99" i="1"/>
  <c r="C63" i="1"/>
  <c r="D63" i="1"/>
  <c r="E63" i="1"/>
  <c r="F63" i="1"/>
  <c r="G63" i="1"/>
  <c r="J63" i="1"/>
  <c r="K63" i="1"/>
  <c r="L63" i="1"/>
  <c r="M63" i="1"/>
  <c r="C818" i="1"/>
  <c r="D818" i="1"/>
  <c r="E818" i="1"/>
  <c r="F818" i="1"/>
  <c r="G818" i="1"/>
  <c r="J818" i="1"/>
  <c r="K818" i="1"/>
  <c r="L818" i="1"/>
  <c r="M818" i="1"/>
  <c r="C306" i="1"/>
  <c r="D306" i="1"/>
  <c r="E306" i="1"/>
  <c r="F306" i="1"/>
  <c r="G306" i="1"/>
  <c r="J306" i="1"/>
  <c r="K306" i="1"/>
  <c r="L306" i="1"/>
  <c r="M306" i="1"/>
  <c r="C720" i="1"/>
  <c r="D720" i="1"/>
  <c r="E720" i="1"/>
  <c r="F720" i="1"/>
  <c r="G720" i="1"/>
  <c r="J720" i="1"/>
  <c r="K720" i="1"/>
  <c r="L720" i="1"/>
  <c r="M720" i="1"/>
  <c r="C29" i="1"/>
  <c r="D29" i="1"/>
  <c r="E29" i="1"/>
  <c r="F29" i="1"/>
  <c r="G29" i="1"/>
  <c r="J29" i="1"/>
  <c r="K29" i="1"/>
  <c r="L29" i="1"/>
  <c r="M29" i="1"/>
  <c r="C133" i="1"/>
  <c r="D133" i="1"/>
  <c r="E133" i="1"/>
  <c r="F133" i="1"/>
  <c r="G133" i="1"/>
  <c r="J133" i="1"/>
  <c r="K133" i="1"/>
  <c r="L133" i="1"/>
  <c r="M133" i="1"/>
  <c r="C837" i="1"/>
  <c r="D837" i="1"/>
  <c r="E837" i="1"/>
  <c r="F837" i="1"/>
  <c r="G837" i="1"/>
  <c r="J837" i="1"/>
  <c r="K837" i="1"/>
  <c r="L837" i="1"/>
  <c r="M837" i="1"/>
  <c r="C194" i="1"/>
  <c r="D194" i="1"/>
  <c r="E194" i="1"/>
  <c r="F194" i="1"/>
  <c r="G194" i="1"/>
  <c r="J194" i="1"/>
  <c r="K194" i="1"/>
  <c r="L194" i="1"/>
  <c r="M194" i="1"/>
  <c r="C51" i="1"/>
  <c r="D51" i="1"/>
  <c r="E51" i="1"/>
  <c r="F51" i="1"/>
  <c r="G51" i="1"/>
  <c r="J51" i="1"/>
  <c r="K51" i="1"/>
  <c r="L51" i="1"/>
  <c r="M51" i="1"/>
  <c r="C88" i="1"/>
  <c r="D88" i="1"/>
  <c r="E88" i="1"/>
  <c r="F88" i="1"/>
  <c r="G88" i="1"/>
  <c r="J88" i="1"/>
  <c r="K88" i="1"/>
  <c r="L88" i="1"/>
  <c r="M88" i="1"/>
  <c r="C399" i="1"/>
  <c r="D399" i="1"/>
  <c r="E399" i="1"/>
  <c r="F399" i="1"/>
  <c r="G399" i="1"/>
  <c r="J399" i="1"/>
  <c r="K399" i="1"/>
  <c r="L399" i="1"/>
  <c r="M399" i="1"/>
  <c r="C697" i="1"/>
  <c r="D697" i="1"/>
  <c r="E697" i="1"/>
  <c r="F697" i="1"/>
  <c r="G697" i="1"/>
  <c r="J697" i="1"/>
  <c r="K697" i="1"/>
  <c r="L697" i="1"/>
  <c r="M697" i="1"/>
  <c r="C865" i="1"/>
  <c r="D865" i="1"/>
  <c r="E865" i="1"/>
  <c r="F865" i="1"/>
  <c r="G865" i="1"/>
  <c r="J865" i="1"/>
  <c r="K865" i="1"/>
  <c r="L865" i="1"/>
  <c r="M865" i="1"/>
  <c r="C212" i="1"/>
  <c r="D212" i="1"/>
  <c r="E212" i="1"/>
  <c r="F212" i="1"/>
  <c r="G212" i="1"/>
  <c r="J212" i="1"/>
  <c r="K212" i="1"/>
  <c r="L212" i="1"/>
  <c r="M212" i="1"/>
  <c r="C499" i="1"/>
  <c r="D499" i="1"/>
  <c r="E499" i="1"/>
  <c r="F499" i="1"/>
  <c r="G499" i="1"/>
  <c r="J499" i="1"/>
  <c r="K499" i="1"/>
  <c r="L499" i="1"/>
  <c r="M499" i="1"/>
  <c r="C547" i="1"/>
  <c r="D547" i="1"/>
  <c r="E547" i="1"/>
  <c r="F547" i="1"/>
  <c r="G547" i="1"/>
  <c r="J547" i="1"/>
  <c r="K547" i="1"/>
  <c r="L547" i="1"/>
  <c r="M547" i="1"/>
  <c r="C840" i="1"/>
  <c r="D840" i="1"/>
  <c r="E840" i="1"/>
  <c r="F840" i="1"/>
  <c r="G840" i="1"/>
  <c r="J840" i="1"/>
  <c r="K840" i="1"/>
  <c r="L840" i="1"/>
  <c r="M840" i="1"/>
  <c r="C598" i="1"/>
  <c r="D598" i="1"/>
  <c r="E598" i="1"/>
  <c r="F598" i="1"/>
  <c r="G598" i="1"/>
  <c r="J598" i="1"/>
  <c r="K598" i="1"/>
  <c r="L598" i="1"/>
  <c r="M598" i="1"/>
  <c r="C599" i="1"/>
  <c r="D599" i="1"/>
  <c r="E599" i="1"/>
  <c r="F599" i="1"/>
  <c r="G599" i="1"/>
  <c r="J599" i="1"/>
  <c r="K599" i="1"/>
  <c r="L599" i="1"/>
  <c r="M599" i="1"/>
  <c r="C494" i="1"/>
  <c r="D494" i="1"/>
  <c r="E494" i="1"/>
  <c r="F494" i="1"/>
  <c r="G494" i="1"/>
  <c r="J494" i="1"/>
  <c r="K494" i="1"/>
  <c r="L494" i="1"/>
  <c r="M494" i="1"/>
  <c r="C261" i="1"/>
  <c r="D261" i="1"/>
  <c r="E261" i="1"/>
  <c r="F261" i="1"/>
  <c r="G261" i="1"/>
  <c r="J261" i="1"/>
  <c r="K261" i="1"/>
  <c r="L261" i="1"/>
  <c r="M261" i="1"/>
  <c r="C327" i="1"/>
  <c r="D327" i="1"/>
  <c r="E327" i="1"/>
  <c r="F327" i="1"/>
  <c r="G327" i="1"/>
  <c r="J327" i="1"/>
  <c r="K327" i="1"/>
  <c r="L327" i="1"/>
  <c r="M327" i="1"/>
  <c r="C262" i="1"/>
  <c r="D262" i="1"/>
  <c r="E262" i="1"/>
  <c r="F262" i="1"/>
  <c r="G262" i="1"/>
  <c r="J262" i="1"/>
  <c r="K262" i="1"/>
  <c r="L262" i="1"/>
  <c r="M262" i="1"/>
  <c r="C684" i="1"/>
  <c r="D684" i="1"/>
  <c r="E684" i="1"/>
  <c r="F684" i="1"/>
  <c r="G684" i="1"/>
  <c r="J684" i="1"/>
  <c r="K684" i="1"/>
  <c r="L684" i="1"/>
  <c r="M684" i="1"/>
  <c r="C209" i="1"/>
  <c r="D209" i="1"/>
  <c r="E209" i="1"/>
  <c r="F209" i="1"/>
  <c r="G209" i="1"/>
  <c r="J209" i="1"/>
  <c r="K209" i="1"/>
  <c r="L209" i="1"/>
  <c r="M209" i="1"/>
  <c r="C210" i="1"/>
  <c r="D210" i="1"/>
  <c r="E210" i="1"/>
  <c r="F210" i="1"/>
  <c r="G210" i="1"/>
  <c r="J210" i="1"/>
  <c r="K210" i="1"/>
  <c r="L210" i="1"/>
  <c r="M210" i="1"/>
  <c r="C841" i="1"/>
  <c r="D841" i="1"/>
  <c r="E841" i="1"/>
  <c r="F841" i="1"/>
  <c r="G841" i="1"/>
  <c r="J841" i="1"/>
  <c r="K841" i="1"/>
  <c r="L841" i="1"/>
  <c r="M841" i="1"/>
  <c r="C656" i="1"/>
  <c r="D656" i="1"/>
  <c r="E656" i="1"/>
  <c r="F656" i="1"/>
  <c r="G656" i="1"/>
  <c r="J656" i="1"/>
  <c r="K656" i="1"/>
  <c r="L656" i="1"/>
  <c r="M656" i="1"/>
  <c r="C154" i="1"/>
  <c r="D154" i="1"/>
  <c r="E154" i="1"/>
  <c r="F154" i="1"/>
  <c r="G154" i="1"/>
  <c r="J154" i="1"/>
  <c r="K154" i="1"/>
  <c r="L154" i="1"/>
  <c r="M154" i="1"/>
  <c r="C121" i="1"/>
  <c r="D121" i="1"/>
  <c r="E121" i="1"/>
  <c r="F121" i="1"/>
  <c r="G121" i="1"/>
  <c r="J121" i="1"/>
  <c r="K121" i="1"/>
  <c r="L121" i="1"/>
  <c r="M121" i="1"/>
  <c r="C792" i="1"/>
  <c r="D792" i="1"/>
  <c r="E792" i="1"/>
  <c r="F792" i="1"/>
  <c r="G792" i="1"/>
  <c r="J792" i="1"/>
  <c r="K792" i="1"/>
  <c r="L792" i="1"/>
  <c r="M792" i="1"/>
  <c r="C771" i="1"/>
  <c r="D771" i="1"/>
  <c r="E771" i="1"/>
  <c r="F771" i="1"/>
  <c r="G771" i="1"/>
  <c r="J771" i="1"/>
  <c r="K771" i="1"/>
  <c r="L771" i="1"/>
  <c r="M771" i="1"/>
  <c r="C755" i="1"/>
  <c r="D755" i="1"/>
  <c r="E755" i="1"/>
  <c r="F755" i="1"/>
  <c r="G755" i="1"/>
  <c r="J755" i="1"/>
  <c r="K755" i="1"/>
  <c r="L755" i="1"/>
  <c r="M755" i="1"/>
  <c r="C169" i="1"/>
  <c r="D169" i="1"/>
  <c r="E169" i="1"/>
  <c r="F169" i="1"/>
  <c r="G169" i="1"/>
  <c r="J169" i="1"/>
  <c r="K169" i="1"/>
  <c r="L169" i="1"/>
  <c r="M169" i="1"/>
  <c r="C290" i="1"/>
  <c r="D290" i="1"/>
  <c r="E290" i="1"/>
  <c r="F290" i="1"/>
  <c r="G290" i="1"/>
  <c r="J290" i="1"/>
  <c r="K290" i="1"/>
  <c r="L290" i="1"/>
  <c r="M290" i="1"/>
  <c r="C845" i="1"/>
  <c r="D845" i="1"/>
  <c r="E845" i="1"/>
  <c r="F845" i="1"/>
  <c r="G845" i="1"/>
  <c r="J845" i="1"/>
  <c r="K845" i="1"/>
  <c r="L845" i="1"/>
  <c r="M845" i="1"/>
  <c r="C752" i="1"/>
  <c r="D752" i="1"/>
  <c r="E752" i="1"/>
  <c r="F752" i="1"/>
  <c r="G752" i="1"/>
  <c r="J752" i="1"/>
  <c r="K752" i="1"/>
  <c r="L752" i="1"/>
  <c r="M752" i="1"/>
  <c r="C58" i="1"/>
  <c r="D58" i="1"/>
  <c r="E58" i="1"/>
  <c r="F58" i="1"/>
  <c r="G58" i="1"/>
  <c r="J58" i="1"/>
  <c r="K58" i="1"/>
  <c r="L58" i="1"/>
  <c r="M58" i="1"/>
  <c r="C146" i="1"/>
  <c r="D146" i="1"/>
  <c r="E146" i="1"/>
  <c r="F146" i="1"/>
  <c r="G146" i="1"/>
  <c r="J146" i="1"/>
  <c r="K146" i="1"/>
  <c r="L146" i="1"/>
  <c r="M146" i="1"/>
  <c r="C816" i="1"/>
  <c r="D816" i="1"/>
  <c r="E816" i="1"/>
  <c r="F816" i="1"/>
  <c r="G816" i="1"/>
  <c r="J816" i="1"/>
  <c r="K816" i="1"/>
  <c r="L816" i="1"/>
  <c r="M816" i="1"/>
  <c r="C717" i="1"/>
  <c r="D717" i="1"/>
  <c r="E717" i="1"/>
  <c r="F717" i="1"/>
  <c r="G717" i="1"/>
  <c r="J717" i="1"/>
  <c r="K717" i="1"/>
  <c r="L717" i="1"/>
  <c r="M717" i="1"/>
  <c r="C668" i="1"/>
  <c r="D668" i="1"/>
  <c r="E668" i="1"/>
  <c r="F668" i="1"/>
  <c r="G668" i="1"/>
  <c r="J668" i="1"/>
  <c r="K668" i="1"/>
  <c r="L668" i="1"/>
  <c r="M668" i="1"/>
  <c r="C286" i="1"/>
  <c r="D286" i="1"/>
  <c r="E286" i="1"/>
  <c r="F286" i="1"/>
  <c r="G286" i="1"/>
  <c r="J286" i="1"/>
  <c r="K286" i="1"/>
  <c r="L286" i="1"/>
  <c r="M286" i="1"/>
  <c r="C122" i="1"/>
  <c r="D122" i="1"/>
  <c r="E122" i="1"/>
  <c r="F122" i="1"/>
  <c r="G122" i="1"/>
  <c r="J122" i="1"/>
  <c r="K122" i="1"/>
  <c r="L122" i="1"/>
  <c r="M122" i="1"/>
  <c r="C886" i="1"/>
  <c r="D886" i="1"/>
  <c r="E886" i="1"/>
  <c r="F886" i="1"/>
  <c r="G886" i="1"/>
  <c r="J886" i="1"/>
  <c r="K886" i="1"/>
  <c r="L886" i="1"/>
  <c r="M886" i="1"/>
  <c r="C316" i="1"/>
  <c r="D316" i="1"/>
  <c r="E316" i="1"/>
  <c r="F316" i="1"/>
  <c r="G316" i="1"/>
  <c r="J316" i="1"/>
  <c r="K316" i="1"/>
  <c r="L316" i="1"/>
  <c r="M316" i="1"/>
  <c r="C317" i="1"/>
  <c r="D317" i="1"/>
  <c r="E317" i="1"/>
  <c r="F317" i="1"/>
  <c r="G317" i="1"/>
  <c r="J317" i="1"/>
  <c r="K317" i="1"/>
  <c r="L317" i="1"/>
  <c r="M317" i="1"/>
  <c r="C930" i="1"/>
  <c r="D930" i="1"/>
  <c r="E930" i="1"/>
  <c r="F930" i="1"/>
  <c r="G930" i="1"/>
  <c r="J930" i="1"/>
  <c r="K930" i="1"/>
  <c r="L930" i="1"/>
  <c r="M930" i="1"/>
  <c r="C592" i="1"/>
  <c r="D592" i="1"/>
  <c r="E592" i="1"/>
  <c r="F592" i="1"/>
  <c r="G592" i="1"/>
  <c r="J592" i="1"/>
  <c r="K592" i="1"/>
  <c r="L592" i="1"/>
  <c r="M592" i="1"/>
  <c r="C912" i="1"/>
  <c r="D912" i="1"/>
  <c r="E912" i="1"/>
  <c r="F912" i="1"/>
  <c r="G912" i="1"/>
  <c r="J912" i="1"/>
  <c r="K912" i="1"/>
  <c r="L912" i="1"/>
  <c r="M912" i="1"/>
  <c r="C28" i="1"/>
  <c r="D28" i="1"/>
  <c r="E28" i="1"/>
  <c r="F28" i="1"/>
  <c r="G28" i="1"/>
  <c r="J28" i="1"/>
  <c r="K28" i="1"/>
  <c r="L28" i="1"/>
  <c r="M28" i="1"/>
  <c r="C760" i="1"/>
  <c r="D760" i="1"/>
  <c r="E760" i="1"/>
  <c r="F760" i="1"/>
  <c r="G760" i="1"/>
  <c r="J760" i="1"/>
  <c r="K760" i="1"/>
  <c r="L760" i="1"/>
  <c r="M760" i="1"/>
  <c r="C238" i="1"/>
  <c r="D238" i="1"/>
  <c r="E238" i="1"/>
  <c r="F238" i="1"/>
  <c r="G238" i="1"/>
  <c r="J238" i="1"/>
  <c r="K238" i="1"/>
  <c r="L238" i="1"/>
  <c r="M238" i="1"/>
  <c r="C268" i="1"/>
  <c r="D268" i="1"/>
  <c r="E268" i="1"/>
  <c r="F268" i="1"/>
  <c r="G268" i="1"/>
  <c r="J268" i="1"/>
  <c r="K268" i="1"/>
  <c r="L268" i="1"/>
  <c r="M268" i="1"/>
  <c r="C243" i="1"/>
  <c r="D243" i="1"/>
  <c r="E243" i="1"/>
  <c r="F243" i="1"/>
  <c r="G243" i="1"/>
  <c r="J243" i="1"/>
  <c r="K243" i="1"/>
  <c r="L243" i="1"/>
  <c r="M243" i="1"/>
  <c r="C721" i="1"/>
  <c r="D721" i="1"/>
  <c r="E721" i="1"/>
  <c r="F721" i="1"/>
  <c r="G721" i="1"/>
  <c r="J721" i="1"/>
  <c r="K721" i="1"/>
  <c r="L721" i="1"/>
  <c r="M721" i="1"/>
  <c r="C859" i="1"/>
  <c r="D859" i="1"/>
  <c r="E859" i="1"/>
  <c r="F859" i="1"/>
  <c r="G859" i="1"/>
  <c r="J859" i="1"/>
  <c r="K859" i="1"/>
  <c r="L859" i="1"/>
  <c r="M859" i="1"/>
  <c r="C108" i="1"/>
  <c r="D108" i="1"/>
  <c r="E108" i="1"/>
  <c r="F108" i="1"/>
  <c r="G108" i="1"/>
  <c r="J108" i="1"/>
  <c r="K108" i="1"/>
  <c r="L108" i="1"/>
  <c r="M108" i="1"/>
  <c r="C435" i="1"/>
  <c r="D435" i="1"/>
  <c r="E435" i="1"/>
  <c r="F435" i="1"/>
  <c r="G435" i="1"/>
  <c r="J435" i="1"/>
  <c r="K435" i="1"/>
  <c r="L435" i="1"/>
  <c r="M435" i="1"/>
  <c r="C174" i="1"/>
  <c r="D174" i="1"/>
  <c r="E174" i="1"/>
  <c r="F174" i="1"/>
  <c r="G174" i="1"/>
  <c r="J174" i="1"/>
  <c r="K174" i="1"/>
  <c r="L174" i="1"/>
  <c r="M174" i="1"/>
  <c r="C32" i="1"/>
  <c r="D32" i="1"/>
  <c r="E32" i="1"/>
  <c r="F32" i="1"/>
  <c r="G32" i="1"/>
  <c r="J32" i="1"/>
  <c r="K32" i="1"/>
  <c r="L32" i="1"/>
  <c r="M32" i="1"/>
  <c r="C163" i="1"/>
  <c r="D163" i="1"/>
  <c r="E163" i="1"/>
  <c r="F163" i="1"/>
  <c r="G163" i="1"/>
  <c r="J163" i="1"/>
  <c r="K163" i="1"/>
  <c r="L163" i="1"/>
  <c r="M163" i="1"/>
  <c r="C515" i="1"/>
  <c r="D515" i="1"/>
  <c r="E515" i="1"/>
  <c r="F515" i="1"/>
  <c r="G515" i="1"/>
  <c r="J515" i="1"/>
  <c r="K515" i="1"/>
  <c r="L515" i="1"/>
  <c r="M515" i="1"/>
  <c r="C84" i="1"/>
  <c r="D84" i="1"/>
  <c r="E84" i="1"/>
  <c r="F84" i="1"/>
  <c r="G84" i="1"/>
  <c r="J84" i="1"/>
  <c r="K84" i="1"/>
  <c r="L84" i="1"/>
  <c r="M84" i="1"/>
  <c r="C754" i="1"/>
  <c r="D754" i="1"/>
  <c r="E754" i="1"/>
  <c r="F754" i="1"/>
  <c r="G754" i="1"/>
  <c r="J754" i="1"/>
  <c r="K754" i="1"/>
  <c r="L754" i="1"/>
  <c r="M754" i="1"/>
  <c r="C574" i="1"/>
  <c r="D574" i="1"/>
  <c r="E574" i="1"/>
  <c r="F574" i="1"/>
  <c r="G574" i="1"/>
  <c r="J574" i="1"/>
  <c r="K574" i="1"/>
  <c r="L574" i="1"/>
  <c r="M574" i="1"/>
  <c r="C758" i="1"/>
  <c r="D758" i="1"/>
  <c r="E758" i="1"/>
  <c r="F758" i="1"/>
  <c r="G758" i="1"/>
  <c r="J758" i="1"/>
  <c r="K758" i="1"/>
  <c r="L758" i="1"/>
  <c r="M758" i="1"/>
  <c r="C164" i="1"/>
  <c r="D164" i="1"/>
  <c r="E164" i="1"/>
  <c r="F164" i="1"/>
  <c r="G164" i="1"/>
  <c r="J164" i="1"/>
  <c r="K164" i="1"/>
  <c r="L164" i="1"/>
  <c r="M164" i="1"/>
  <c r="C828" i="1"/>
  <c r="D828" i="1"/>
  <c r="E828" i="1"/>
  <c r="F828" i="1"/>
  <c r="G828" i="1"/>
  <c r="J828" i="1"/>
  <c r="K828" i="1"/>
  <c r="L828" i="1"/>
  <c r="M828" i="1"/>
  <c r="C813" i="1"/>
  <c r="D813" i="1"/>
  <c r="E813" i="1"/>
  <c r="F813" i="1"/>
  <c r="G813" i="1"/>
  <c r="J813" i="1"/>
  <c r="K813" i="1"/>
  <c r="L813" i="1"/>
  <c r="M813" i="1"/>
  <c r="C712" i="1"/>
  <c r="D712" i="1"/>
  <c r="E712" i="1"/>
  <c r="F712" i="1"/>
  <c r="G712" i="1"/>
  <c r="J712" i="1"/>
  <c r="K712" i="1"/>
  <c r="L712" i="1"/>
  <c r="M712" i="1"/>
  <c r="C770" i="1"/>
  <c r="D770" i="1"/>
  <c r="E770" i="1"/>
  <c r="F770" i="1"/>
  <c r="G770" i="1"/>
  <c r="J770" i="1"/>
  <c r="K770" i="1"/>
  <c r="L770" i="1"/>
  <c r="M770" i="1"/>
  <c r="C177" i="1"/>
  <c r="D177" i="1"/>
  <c r="E177" i="1"/>
  <c r="F177" i="1"/>
  <c r="G177" i="1"/>
  <c r="J177" i="1"/>
  <c r="K177" i="1"/>
  <c r="L177" i="1"/>
  <c r="M177" i="1"/>
  <c r="C819" i="1"/>
  <c r="D819" i="1"/>
  <c r="E819" i="1"/>
  <c r="F819" i="1"/>
  <c r="G819" i="1"/>
  <c r="J819" i="1"/>
  <c r="K819" i="1"/>
  <c r="L819" i="1"/>
  <c r="M819" i="1"/>
  <c r="C767" i="1"/>
  <c r="D767" i="1"/>
  <c r="E767" i="1"/>
  <c r="F767" i="1"/>
  <c r="G767" i="1"/>
  <c r="J767" i="1"/>
  <c r="K767" i="1"/>
  <c r="L767" i="1"/>
  <c r="M767" i="1"/>
  <c r="C195" i="1"/>
  <c r="D195" i="1"/>
  <c r="E195" i="1"/>
  <c r="F195" i="1"/>
  <c r="G195" i="1"/>
  <c r="J195" i="1"/>
  <c r="K195" i="1"/>
  <c r="L195" i="1"/>
  <c r="M195" i="1"/>
  <c r="C437" i="1"/>
  <c r="D437" i="1"/>
  <c r="E437" i="1"/>
  <c r="F437" i="1"/>
  <c r="G437" i="1"/>
  <c r="J437" i="1"/>
  <c r="K437" i="1"/>
  <c r="L437" i="1"/>
  <c r="M437" i="1"/>
  <c r="C659" i="1"/>
  <c r="D659" i="1"/>
  <c r="E659" i="1"/>
  <c r="F659" i="1"/>
  <c r="G659" i="1"/>
  <c r="J659" i="1"/>
  <c r="K659" i="1"/>
  <c r="L659" i="1"/>
  <c r="M659" i="1"/>
  <c r="C660" i="1"/>
  <c r="D660" i="1"/>
  <c r="E660" i="1"/>
  <c r="F660" i="1"/>
  <c r="G660" i="1"/>
  <c r="J660" i="1"/>
  <c r="K660" i="1"/>
  <c r="L660" i="1"/>
  <c r="M660" i="1"/>
  <c r="C661" i="1"/>
  <c r="D661" i="1"/>
  <c r="E661" i="1"/>
  <c r="F661" i="1"/>
  <c r="G661" i="1"/>
  <c r="J661" i="1"/>
  <c r="K661" i="1"/>
  <c r="L661" i="1"/>
  <c r="M661" i="1"/>
  <c r="C596" i="1"/>
  <c r="D596" i="1"/>
  <c r="E596" i="1"/>
  <c r="F596" i="1"/>
  <c r="G596" i="1"/>
  <c r="J596" i="1"/>
  <c r="K596" i="1"/>
  <c r="L596" i="1"/>
  <c r="M596" i="1"/>
  <c r="C597" i="1"/>
  <c r="D597" i="1"/>
  <c r="E597" i="1"/>
  <c r="F597" i="1"/>
  <c r="G597" i="1"/>
  <c r="J597" i="1"/>
  <c r="K597" i="1"/>
  <c r="L597" i="1"/>
  <c r="M597" i="1"/>
  <c r="C462" i="1"/>
  <c r="D462" i="1"/>
  <c r="E462" i="1"/>
  <c r="F462" i="1"/>
  <c r="G462" i="1"/>
  <c r="J462" i="1"/>
  <c r="K462" i="1"/>
  <c r="L462" i="1"/>
  <c r="M462" i="1"/>
  <c r="C375" i="1"/>
  <c r="D375" i="1"/>
  <c r="E375" i="1"/>
  <c r="F375" i="1"/>
  <c r="G375" i="1"/>
  <c r="J375" i="1"/>
  <c r="K375" i="1"/>
  <c r="L375" i="1"/>
  <c r="M375" i="1"/>
  <c r="C588" i="1"/>
  <c r="D588" i="1"/>
  <c r="E588" i="1"/>
  <c r="F588" i="1"/>
  <c r="G588" i="1"/>
  <c r="J588" i="1"/>
  <c r="K588" i="1"/>
  <c r="L588" i="1"/>
  <c r="M588" i="1"/>
  <c r="C893" i="1"/>
  <c r="D893" i="1"/>
  <c r="E893" i="1"/>
  <c r="F893" i="1"/>
  <c r="G893" i="1"/>
  <c r="J893" i="1"/>
  <c r="K893" i="1"/>
  <c r="L893" i="1"/>
  <c r="M893" i="1"/>
  <c r="C426" i="1"/>
  <c r="D426" i="1"/>
  <c r="E426" i="1"/>
  <c r="F426" i="1"/>
  <c r="G426" i="1"/>
  <c r="J426" i="1"/>
  <c r="K426" i="1"/>
  <c r="L426" i="1"/>
  <c r="M426" i="1"/>
  <c r="C903" i="1"/>
  <c r="D903" i="1"/>
  <c r="E903" i="1"/>
  <c r="F903" i="1"/>
  <c r="G903" i="1"/>
  <c r="J903" i="1"/>
  <c r="K903" i="1"/>
  <c r="L903" i="1"/>
  <c r="M903" i="1"/>
  <c r="C497" i="1"/>
  <c r="D497" i="1"/>
  <c r="E497" i="1"/>
  <c r="F497" i="1"/>
  <c r="G497" i="1"/>
  <c r="J497" i="1"/>
  <c r="K497" i="1"/>
  <c r="L497" i="1"/>
  <c r="M497" i="1"/>
  <c r="C722" i="1"/>
  <c r="D722" i="1"/>
  <c r="E722" i="1"/>
  <c r="F722" i="1"/>
  <c r="G722" i="1"/>
  <c r="J722" i="1"/>
  <c r="K722" i="1"/>
  <c r="L722" i="1"/>
  <c r="M722" i="1"/>
  <c r="C901" i="1"/>
  <c r="D901" i="1"/>
  <c r="E901" i="1"/>
  <c r="F901" i="1"/>
  <c r="G901" i="1"/>
  <c r="J901" i="1"/>
  <c r="K901" i="1"/>
  <c r="L901" i="1"/>
  <c r="M901" i="1"/>
  <c r="C692" i="1"/>
  <c r="D692" i="1"/>
  <c r="E692" i="1"/>
  <c r="F692" i="1"/>
  <c r="G692" i="1"/>
  <c r="J692" i="1"/>
  <c r="K692" i="1"/>
  <c r="L692" i="1"/>
  <c r="M692" i="1"/>
  <c r="C698" i="1"/>
  <c r="D698" i="1"/>
  <c r="E698" i="1"/>
  <c r="F698" i="1"/>
  <c r="G698" i="1"/>
  <c r="J698" i="1"/>
  <c r="K698" i="1"/>
  <c r="L698" i="1"/>
  <c r="M698" i="1"/>
  <c r="C670" i="1"/>
  <c r="D670" i="1"/>
  <c r="E670" i="1"/>
  <c r="F670" i="1"/>
  <c r="G670" i="1"/>
  <c r="J670" i="1"/>
  <c r="K670" i="1"/>
  <c r="L670" i="1"/>
  <c r="M670" i="1"/>
  <c r="C445" i="1"/>
  <c r="D445" i="1"/>
  <c r="E445" i="1"/>
  <c r="F445" i="1"/>
  <c r="G445" i="1"/>
  <c r="J445" i="1"/>
  <c r="K445" i="1"/>
  <c r="L445" i="1"/>
  <c r="M445" i="1"/>
  <c r="C693" i="1"/>
  <c r="D693" i="1"/>
  <c r="E693" i="1"/>
  <c r="F693" i="1"/>
  <c r="G693" i="1"/>
  <c r="J693" i="1"/>
  <c r="K693" i="1"/>
  <c r="L693" i="1"/>
  <c r="M693" i="1"/>
  <c r="C453" i="1"/>
  <c r="D453" i="1"/>
  <c r="E453" i="1"/>
  <c r="F453" i="1"/>
  <c r="G453" i="1"/>
  <c r="J453" i="1"/>
  <c r="K453" i="1"/>
  <c r="L453" i="1"/>
  <c r="M453" i="1"/>
  <c r="C714" i="1"/>
  <c r="D714" i="1"/>
  <c r="E714" i="1"/>
  <c r="F714" i="1"/>
  <c r="G714" i="1"/>
  <c r="J714" i="1"/>
  <c r="K714" i="1"/>
  <c r="L714" i="1"/>
  <c r="M714" i="1"/>
  <c r="C65" i="1"/>
  <c r="D65" i="1"/>
  <c r="E65" i="1"/>
  <c r="F65" i="1"/>
  <c r="G65" i="1"/>
  <c r="J65" i="1"/>
  <c r="K65" i="1"/>
  <c r="L65" i="1"/>
  <c r="M65" i="1"/>
  <c r="C44" i="1"/>
  <c r="D44" i="1"/>
  <c r="E44" i="1"/>
  <c r="F44" i="1"/>
  <c r="G44" i="1"/>
  <c r="J44" i="1"/>
  <c r="K44" i="1"/>
  <c r="L44" i="1"/>
  <c r="M44" i="1"/>
  <c r="C590" i="1"/>
  <c r="D590" i="1"/>
  <c r="E590" i="1"/>
  <c r="F590" i="1"/>
  <c r="G590" i="1"/>
  <c r="J590" i="1"/>
  <c r="K590" i="1"/>
  <c r="L590" i="1"/>
  <c r="M590" i="1"/>
  <c r="C425" i="1"/>
  <c r="D425" i="1"/>
  <c r="E425" i="1"/>
  <c r="F425" i="1"/>
  <c r="G425" i="1"/>
  <c r="J425" i="1"/>
  <c r="K425" i="1"/>
  <c r="L425" i="1"/>
  <c r="M425" i="1"/>
  <c r="C550" i="1"/>
  <c r="D550" i="1"/>
  <c r="E550" i="1"/>
  <c r="F550" i="1"/>
  <c r="G550" i="1"/>
  <c r="J550" i="1"/>
  <c r="K550" i="1"/>
  <c r="L550" i="1"/>
  <c r="M550" i="1"/>
  <c r="C60" i="1"/>
  <c r="D60" i="1"/>
  <c r="E60" i="1"/>
  <c r="F60" i="1"/>
  <c r="G60" i="1"/>
  <c r="J60" i="1"/>
  <c r="K60" i="1"/>
  <c r="L60" i="1"/>
  <c r="M60" i="1"/>
  <c r="C360" i="1"/>
  <c r="D360" i="1"/>
  <c r="E360" i="1"/>
  <c r="F360" i="1"/>
  <c r="G360" i="1"/>
  <c r="J360" i="1"/>
  <c r="K360" i="1"/>
  <c r="L360" i="1"/>
  <c r="M360" i="1"/>
  <c r="C520" i="1"/>
  <c r="D520" i="1"/>
  <c r="E520" i="1"/>
  <c r="F520" i="1"/>
  <c r="G520" i="1"/>
  <c r="J520" i="1"/>
  <c r="K520" i="1"/>
  <c r="L520" i="1"/>
  <c r="M520" i="1"/>
  <c r="C298" i="1"/>
  <c r="D298" i="1"/>
  <c r="E298" i="1"/>
  <c r="F298" i="1"/>
  <c r="G298" i="1"/>
  <c r="J298" i="1"/>
  <c r="K298" i="1"/>
  <c r="L298" i="1"/>
  <c r="M298" i="1"/>
  <c r="C640" i="1"/>
  <c r="D640" i="1"/>
  <c r="E640" i="1"/>
  <c r="F640" i="1"/>
  <c r="G640" i="1"/>
  <c r="J640" i="1"/>
  <c r="K640" i="1"/>
  <c r="L640" i="1"/>
  <c r="M640" i="1"/>
  <c r="C388" i="1"/>
  <c r="D388" i="1"/>
  <c r="E388" i="1"/>
  <c r="F388" i="1"/>
  <c r="G388" i="1"/>
  <c r="J388" i="1"/>
  <c r="K388" i="1"/>
  <c r="L388" i="1"/>
  <c r="M388" i="1"/>
  <c r="C510" i="1"/>
  <c r="D510" i="1"/>
  <c r="E510" i="1"/>
  <c r="F510" i="1"/>
  <c r="G510" i="1"/>
  <c r="J510" i="1"/>
  <c r="K510" i="1"/>
  <c r="L510" i="1"/>
  <c r="M510" i="1"/>
  <c r="C3" i="1"/>
  <c r="D3" i="1"/>
  <c r="E3" i="1"/>
  <c r="F3" i="1"/>
  <c r="G3" i="1"/>
  <c r="J3" i="1"/>
  <c r="K3" i="1"/>
  <c r="L3" i="1"/>
  <c r="M3" i="1"/>
  <c r="C662" i="1"/>
  <c r="D662" i="1"/>
  <c r="E662" i="1"/>
  <c r="F662" i="1"/>
  <c r="G662" i="1"/>
  <c r="J662" i="1"/>
  <c r="K662" i="1"/>
  <c r="L662" i="1"/>
  <c r="M662" i="1"/>
  <c r="C639" i="1"/>
  <c r="D639" i="1"/>
  <c r="E639" i="1"/>
  <c r="F639" i="1"/>
  <c r="G639" i="1"/>
  <c r="J639" i="1"/>
  <c r="K639" i="1"/>
  <c r="L639" i="1"/>
  <c r="M639" i="1"/>
  <c r="C700" i="1"/>
  <c r="D700" i="1"/>
  <c r="E700" i="1"/>
  <c r="F700" i="1"/>
  <c r="G700" i="1"/>
  <c r="J700" i="1"/>
  <c r="K700" i="1"/>
  <c r="L700" i="1"/>
  <c r="M700" i="1"/>
  <c r="C742" i="1"/>
  <c r="D742" i="1"/>
  <c r="E742" i="1"/>
  <c r="F742" i="1"/>
  <c r="G742" i="1"/>
  <c r="J742" i="1"/>
  <c r="K742" i="1"/>
  <c r="L742" i="1"/>
  <c r="M742" i="1"/>
  <c r="C422" i="1"/>
  <c r="D422" i="1"/>
  <c r="E422" i="1"/>
  <c r="F422" i="1"/>
  <c r="G422" i="1"/>
  <c r="J422" i="1"/>
  <c r="K422" i="1"/>
  <c r="L422" i="1"/>
  <c r="M422" i="1"/>
  <c r="C474" i="1"/>
  <c r="D474" i="1"/>
  <c r="E474" i="1"/>
  <c r="F474" i="1"/>
  <c r="G474" i="1"/>
  <c r="J474" i="1"/>
  <c r="K474" i="1"/>
  <c r="L474" i="1"/>
  <c r="M474" i="1"/>
  <c r="C172" i="1"/>
  <c r="D172" i="1"/>
  <c r="E172" i="1"/>
  <c r="F172" i="1"/>
  <c r="G172" i="1"/>
  <c r="J172" i="1"/>
  <c r="K172" i="1"/>
  <c r="L172" i="1"/>
  <c r="M172" i="1"/>
  <c r="C329" i="1"/>
  <c r="D329" i="1"/>
  <c r="E329" i="1"/>
  <c r="F329" i="1"/>
  <c r="G329" i="1"/>
  <c r="J329" i="1"/>
  <c r="K329" i="1"/>
  <c r="L329" i="1"/>
  <c r="M329" i="1"/>
  <c r="C628" i="1"/>
  <c r="D628" i="1"/>
  <c r="E628" i="1"/>
  <c r="F628" i="1"/>
  <c r="G628" i="1"/>
  <c r="J628" i="1"/>
  <c r="K628" i="1"/>
  <c r="L628" i="1"/>
  <c r="M628" i="1"/>
  <c r="C785" i="1"/>
  <c r="D785" i="1"/>
  <c r="E785" i="1"/>
  <c r="F785" i="1"/>
  <c r="G785" i="1"/>
  <c r="J785" i="1"/>
  <c r="K785" i="1"/>
  <c r="L785" i="1"/>
  <c r="M785" i="1"/>
  <c r="C142" i="1"/>
  <c r="D142" i="1"/>
  <c r="E142" i="1"/>
  <c r="F142" i="1"/>
  <c r="G142" i="1"/>
  <c r="J142" i="1"/>
  <c r="K142" i="1"/>
  <c r="L142" i="1"/>
  <c r="M142" i="1"/>
  <c r="C800" i="1"/>
  <c r="D800" i="1"/>
  <c r="E800" i="1"/>
  <c r="F800" i="1"/>
  <c r="G800" i="1"/>
  <c r="J800" i="1"/>
  <c r="K800" i="1"/>
  <c r="L800" i="1"/>
  <c r="M800" i="1"/>
  <c r="C293" i="1"/>
  <c r="D293" i="1"/>
  <c r="E293" i="1"/>
  <c r="F293" i="1"/>
  <c r="G293" i="1"/>
  <c r="J293" i="1"/>
  <c r="K293" i="1"/>
  <c r="L293" i="1"/>
  <c r="M293" i="1"/>
  <c r="C789" i="1"/>
  <c r="D789" i="1"/>
  <c r="E789" i="1"/>
  <c r="F789" i="1"/>
  <c r="G789" i="1"/>
  <c r="J789" i="1"/>
  <c r="K789" i="1"/>
  <c r="L789" i="1"/>
  <c r="M789" i="1"/>
  <c r="C356" i="1"/>
  <c r="D356" i="1"/>
  <c r="E356" i="1"/>
  <c r="F356" i="1"/>
  <c r="G356" i="1"/>
  <c r="J356" i="1"/>
  <c r="K356" i="1"/>
  <c r="L356" i="1"/>
  <c r="M356" i="1"/>
  <c r="C468" i="1"/>
  <c r="D468" i="1"/>
  <c r="E468" i="1"/>
  <c r="F468" i="1"/>
  <c r="G468" i="1"/>
  <c r="J468" i="1"/>
  <c r="K468" i="1"/>
  <c r="L468" i="1"/>
  <c r="M468" i="1"/>
  <c r="C606" i="1"/>
  <c r="D606" i="1"/>
  <c r="E606" i="1"/>
  <c r="F606" i="1"/>
  <c r="G606" i="1"/>
  <c r="J606" i="1"/>
  <c r="K606" i="1"/>
  <c r="L606" i="1"/>
  <c r="M606" i="1"/>
  <c r="C607" i="1"/>
  <c r="D607" i="1"/>
  <c r="E607" i="1"/>
  <c r="F607" i="1"/>
  <c r="G607" i="1"/>
  <c r="J607" i="1"/>
  <c r="K607" i="1"/>
  <c r="L607" i="1"/>
  <c r="M607" i="1"/>
  <c r="C860" i="1"/>
  <c r="D860" i="1"/>
  <c r="E860" i="1"/>
  <c r="F860" i="1"/>
  <c r="G860" i="1"/>
  <c r="J860" i="1"/>
  <c r="K860" i="1"/>
  <c r="L860" i="1"/>
  <c r="M860" i="1"/>
  <c r="C446" i="1"/>
  <c r="D446" i="1"/>
  <c r="E446" i="1"/>
  <c r="F446" i="1"/>
  <c r="G446" i="1"/>
  <c r="J446" i="1"/>
  <c r="K446" i="1"/>
  <c r="L446" i="1"/>
  <c r="M446" i="1"/>
  <c r="C759" i="1"/>
  <c r="D759" i="1"/>
  <c r="E759" i="1"/>
  <c r="F759" i="1"/>
  <c r="G759" i="1"/>
  <c r="J759" i="1"/>
  <c r="K759" i="1"/>
  <c r="L759" i="1"/>
  <c r="M759" i="1"/>
  <c r="C161" i="1"/>
  <c r="D161" i="1"/>
  <c r="E161" i="1"/>
  <c r="F161" i="1"/>
  <c r="G161" i="1"/>
  <c r="J161" i="1"/>
  <c r="K161" i="1"/>
  <c r="L161" i="1"/>
  <c r="M161" i="1"/>
  <c r="C291" i="1"/>
  <c r="D291" i="1"/>
  <c r="E291" i="1"/>
  <c r="F291" i="1"/>
  <c r="G291" i="1"/>
  <c r="J291" i="1"/>
  <c r="K291" i="1"/>
  <c r="L291" i="1"/>
  <c r="M291" i="1"/>
  <c r="C653" i="1"/>
  <c r="D653" i="1"/>
  <c r="E653" i="1"/>
  <c r="F653" i="1"/>
  <c r="G653" i="1"/>
  <c r="J653" i="1"/>
  <c r="K653" i="1"/>
  <c r="L653" i="1"/>
  <c r="M653" i="1"/>
  <c r="C603" i="1"/>
  <c r="D603" i="1"/>
  <c r="E603" i="1"/>
  <c r="F603" i="1"/>
  <c r="G603" i="1"/>
  <c r="J603" i="1"/>
  <c r="K603" i="1"/>
  <c r="L603" i="1"/>
  <c r="M603" i="1"/>
  <c r="C713" i="1"/>
  <c r="D713" i="1"/>
  <c r="E713" i="1"/>
  <c r="F713" i="1"/>
  <c r="G713" i="1"/>
  <c r="J713" i="1"/>
  <c r="K713" i="1"/>
  <c r="L713" i="1"/>
  <c r="M713" i="1"/>
  <c r="C328" i="1"/>
  <c r="D328" i="1"/>
  <c r="E328" i="1"/>
  <c r="F328" i="1"/>
  <c r="G328" i="1"/>
  <c r="J328" i="1"/>
  <c r="K328" i="1"/>
  <c r="L328" i="1"/>
  <c r="M328" i="1"/>
  <c r="C433" i="1"/>
  <c r="D433" i="1"/>
  <c r="E433" i="1"/>
  <c r="F433" i="1"/>
  <c r="G433" i="1"/>
  <c r="J433" i="1"/>
  <c r="K433" i="1"/>
  <c r="L433" i="1"/>
  <c r="M433" i="1"/>
  <c r="C45" i="1"/>
  <c r="D45" i="1"/>
  <c r="E45" i="1"/>
  <c r="F45" i="1"/>
  <c r="G45" i="1"/>
  <c r="J45" i="1"/>
  <c r="K45" i="1"/>
  <c r="L45" i="1"/>
  <c r="M45" i="1"/>
  <c r="C899" i="1"/>
  <c r="D899" i="1"/>
  <c r="E899" i="1"/>
  <c r="F899" i="1"/>
  <c r="G899" i="1"/>
  <c r="J899" i="1"/>
  <c r="K899" i="1"/>
  <c r="L899" i="1"/>
  <c r="M899" i="1"/>
  <c r="C349" i="1"/>
  <c r="D349" i="1"/>
  <c r="E349" i="1"/>
  <c r="F349" i="1"/>
  <c r="G349" i="1"/>
  <c r="J349" i="1"/>
  <c r="K349" i="1"/>
  <c r="L349" i="1"/>
  <c r="M349" i="1"/>
  <c r="C6" i="1"/>
  <c r="D6" i="1"/>
  <c r="E6" i="1"/>
  <c r="F6" i="1"/>
  <c r="G6" i="1"/>
  <c r="J6" i="1"/>
  <c r="K6" i="1"/>
  <c r="L6" i="1"/>
  <c r="M6" i="1"/>
  <c r="C330" i="1"/>
  <c r="D330" i="1"/>
  <c r="E330" i="1"/>
  <c r="F330" i="1"/>
  <c r="G330" i="1"/>
  <c r="J330" i="1"/>
  <c r="K330" i="1"/>
  <c r="L330" i="1"/>
  <c r="M330" i="1"/>
  <c r="C144" i="1"/>
  <c r="D144" i="1"/>
  <c r="E144" i="1"/>
  <c r="F144" i="1"/>
  <c r="G144" i="1"/>
  <c r="J144" i="1"/>
  <c r="K144" i="1"/>
  <c r="L144" i="1"/>
  <c r="M144" i="1"/>
  <c r="C170" i="1"/>
  <c r="D170" i="1"/>
  <c r="E170" i="1"/>
  <c r="F170" i="1"/>
  <c r="G170" i="1"/>
  <c r="J170" i="1"/>
  <c r="K170" i="1"/>
  <c r="L170" i="1"/>
  <c r="M170" i="1"/>
  <c r="C543" i="1"/>
  <c r="D543" i="1"/>
  <c r="E543" i="1"/>
  <c r="F543" i="1"/>
  <c r="G543" i="1"/>
  <c r="J543" i="1"/>
  <c r="K543" i="1"/>
  <c r="L543" i="1"/>
  <c r="M543" i="1"/>
  <c r="C86" i="1"/>
  <c r="D86" i="1"/>
  <c r="E86" i="1"/>
  <c r="F86" i="1"/>
  <c r="G86" i="1"/>
  <c r="J86" i="1"/>
  <c r="K86" i="1"/>
  <c r="L86" i="1"/>
  <c r="M86" i="1"/>
  <c r="C732" i="1"/>
  <c r="D732" i="1"/>
  <c r="E732" i="1"/>
  <c r="F732" i="1"/>
  <c r="G732" i="1"/>
  <c r="J732" i="1"/>
  <c r="K732" i="1"/>
  <c r="L732" i="1"/>
  <c r="M732" i="1"/>
  <c r="C413" i="1"/>
  <c r="D413" i="1"/>
  <c r="E413" i="1"/>
  <c r="F413" i="1"/>
  <c r="G413" i="1"/>
  <c r="J413" i="1"/>
  <c r="K413" i="1"/>
  <c r="L413" i="1"/>
  <c r="M413" i="1"/>
  <c r="C611" i="1"/>
  <c r="D611" i="1"/>
  <c r="E611" i="1"/>
  <c r="F611" i="1"/>
  <c r="G611" i="1"/>
  <c r="J611" i="1"/>
  <c r="K611" i="1"/>
  <c r="L611" i="1"/>
  <c r="M611" i="1"/>
  <c r="C275" i="1"/>
  <c r="D275" i="1"/>
  <c r="E275" i="1"/>
  <c r="F275" i="1"/>
  <c r="G275" i="1"/>
  <c r="J275" i="1"/>
  <c r="K275" i="1"/>
  <c r="L275" i="1"/>
  <c r="M275" i="1"/>
  <c r="C466" i="1"/>
  <c r="D466" i="1"/>
  <c r="E466" i="1"/>
  <c r="F466" i="1"/>
  <c r="G466" i="1"/>
  <c r="J466" i="1"/>
  <c r="K466" i="1"/>
  <c r="L466" i="1"/>
  <c r="M466" i="1"/>
  <c r="C165" i="1"/>
  <c r="D165" i="1"/>
  <c r="E165" i="1"/>
  <c r="F165" i="1"/>
  <c r="G165" i="1"/>
  <c r="J165" i="1"/>
  <c r="K165" i="1"/>
  <c r="L165" i="1"/>
  <c r="M165" i="1"/>
  <c r="C416" i="1"/>
  <c r="D416" i="1"/>
  <c r="E416" i="1"/>
  <c r="F416" i="1"/>
  <c r="G416" i="1"/>
  <c r="J416" i="1"/>
  <c r="K416" i="1"/>
  <c r="L416" i="1"/>
  <c r="M416" i="1"/>
  <c r="C613" i="1"/>
  <c r="D613" i="1"/>
  <c r="E613" i="1"/>
  <c r="F613" i="1"/>
  <c r="G613" i="1"/>
  <c r="J613" i="1"/>
  <c r="K613" i="1"/>
  <c r="L613" i="1"/>
  <c r="M613" i="1"/>
  <c r="C64" i="1"/>
  <c r="D64" i="1"/>
  <c r="E64" i="1"/>
  <c r="F64" i="1"/>
  <c r="G64" i="1"/>
  <c r="J64" i="1"/>
  <c r="K64" i="1"/>
  <c r="L64" i="1"/>
  <c r="M64" i="1"/>
  <c r="C612" i="1"/>
  <c r="D612" i="1"/>
  <c r="E612" i="1"/>
  <c r="F612" i="1"/>
  <c r="G612" i="1"/>
  <c r="J612" i="1"/>
  <c r="K612" i="1"/>
  <c r="L612" i="1"/>
  <c r="M612" i="1"/>
  <c r="C630" i="1"/>
  <c r="D630" i="1"/>
  <c r="E630" i="1"/>
  <c r="F630" i="1"/>
  <c r="G630" i="1"/>
  <c r="J630" i="1"/>
  <c r="K630" i="1"/>
  <c r="L630" i="1"/>
  <c r="M630" i="1"/>
  <c r="C571" i="1"/>
  <c r="D571" i="1"/>
  <c r="E571" i="1"/>
  <c r="F571" i="1"/>
  <c r="G571" i="1"/>
  <c r="J571" i="1"/>
  <c r="K571" i="1"/>
  <c r="L571" i="1"/>
  <c r="M571" i="1"/>
  <c r="C549" i="1"/>
  <c r="D549" i="1"/>
  <c r="E549" i="1"/>
  <c r="F549" i="1"/>
  <c r="G549" i="1"/>
  <c r="J549" i="1"/>
  <c r="K549" i="1"/>
  <c r="L549" i="1"/>
  <c r="M549" i="1"/>
  <c r="C191" i="1"/>
  <c r="D191" i="1"/>
  <c r="E191" i="1"/>
  <c r="F191" i="1"/>
  <c r="G191" i="1"/>
  <c r="J191" i="1"/>
  <c r="K191" i="1"/>
  <c r="L191" i="1"/>
  <c r="M191" i="1"/>
  <c r="C666" i="1"/>
  <c r="D666" i="1"/>
  <c r="E666" i="1"/>
  <c r="F666" i="1"/>
  <c r="G666" i="1"/>
  <c r="J666" i="1"/>
  <c r="K666" i="1"/>
  <c r="L666" i="1"/>
  <c r="M666" i="1"/>
  <c r="C881" i="1"/>
  <c r="D881" i="1"/>
  <c r="E881" i="1"/>
  <c r="F881" i="1"/>
  <c r="G881" i="1"/>
  <c r="J881" i="1"/>
  <c r="K881" i="1"/>
  <c r="L881" i="1"/>
  <c r="M881" i="1"/>
  <c r="C414" i="1"/>
  <c r="D414" i="1"/>
  <c r="E414" i="1"/>
  <c r="F414" i="1"/>
  <c r="G414" i="1"/>
  <c r="J414" i="1"/>
  <c r="K414" i="1"/>
  <c r="L414" i="1"/>
  <c r="M414" i="1"/>
  <c r="C295" i="1"/>
  <c r="D295" i="1"/>
  <c r="E295" i="1"/>
  <c r="F295" i="1"/>
  <c r="G295" i="1"/>
  <c r="J295" i="1"/>
  <c r="K295" i="1"/>
  <c r="L295" i="1"/>
  <c r="M295" i="1"/>
  <c r="C786" i="1"/>
  <c r="D786" i="1"/>
  <c r="E786" i="1"/>
  <c r="F786" i="1"/>
  <c r="G786" i="1"/>
  <c r="J786" i="1"/>
  <c r="K786" i="1"/>
  <c r="L786" i="1"/>
  <c r="M786" i="1"/>
  <c r="C127" i="1"/>
  <c r="D127" i="1"/>
  <c r="E127" i="1"/>
  <c r="F127" i="1"/>
  <c r="G127" i="1"/>
  <c r="J127" i="1"/>
  <c r="K127" i="1"/>
  <c r="L127" i="1"/>
  <c r="M127" i="1"/>
  <c r="C900" i="1"/>
  <c r="D900" i="1"/>
  <c r="E900" i="1"/>
  <c r="F900" i="1"/>
  <c r="G900" i="1"/>
  <c r="J900" i="1"/>
  <c r="K900" i="1"/>
  <c r="L900" i="1"/>
  <c r="M900" i="1"/>
  <c r="C923" i="1"/>
  <c r="D923" i="1"/>
  <c r="E923" i="1"/>
  <c r="F923" i="1"/>
  <c r="G923" i="1"/>
  <c r="J923" i="1"/>
  <c r="K923" i="1"/>
  <c r="L923" i="1"/>
  <c r="M923" i="1"/>
</calcChain>
</file>

<file path=xl/sharedStrings.xml><?xml version="1.0" encoding="utf-8"?>
<sst xmlns="http://schemas.openxmlformats.org/spreadsheetml/2006/main" count="5" uniqueCount="5">
  <si>
    <t>Nome</t>
  </si>
  <si>
    <t>Prazo</t>
  </si>
  <si>
    <t>Atraso</t>
  </si>
  <si>
    <t>emissão</t>
  </si>
  <si>
    <t>vencimento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</si>
</sst>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11" fontId="14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3"/>
  <sheetViews>
    <sheetView tabSelected="1" workbookViewId="0">
      <selection activeCell="E115" sqref="E115"/>
    </sheetView>
  </sheetViews>
  <sheetFormatPr defaultRowHeight="15" x14ac:dyDescent="0.25"/>
  <cols>
    <col min="5" max="5" width="40.140625" customWidth="1"/>
    <col min="8" max="8" width="5.85546875" bestFit="1" customWidth="1"/>
    <col min="9" max="9" width="9.140625" style="1"/>
    <col min="10" max="10" width="10.7109375" bestFit="1" customWidth="1"/>
    <col min="11" max="11" width="11.5703125" bestFit="1" customWidth="1"/>
  </cols>
  <sheetData>
    <row r="1" spans="1:16" x14ac:dyDescent="0.25">
      <c r="A1" s="1"/>
      <c r="B1" s="1"/>
      <c r="C1" s="1"/>
      <c r="D1" s="1"/>
      <c r="E1" s="1" t="s">
        <v>0</v>
      </c>
      <c r="F1" s="1"/>
      <c r="G1" s="1"/>
      <c r="H1" s="1" t="s">
        <v>1</v>
      </c>
      <c r="I1" s="1" t="s">
        <v>2</v>
      </c>
      <c r="J1" s="1" t="s">
        <v>3</v>
      </c>
      <c r="K1" s="1" t="s">
        <v>4</v>
      </c>
      <c r="L1" s="1"/>
      <c r="M1" s="1"/>
      <c r="N1" s="1"/>
      <c r="O1" s="1"/>
      <c r="P1" s="1"/>
    </row>
    <row r="2" spans="1:16" s="3" customFormat="1" x14ac:dyDescent="0.25">
      <c r="A2" s="2">
        <v>48563372</v>
      </c>
      <c r="B2" s="2">
        <v>48563627</v>
      </c>
      <c r="C2" s="2" t="str">
        <f>"UNIMEDSJN"</f>
        <v>UNIMEDSJN</v>
      </c>
      <c r="D2" s="2" t="str">
        <f>"DH"</f>
        <v>DH</v>
      </c>
      <c r="E2" s="2" t="str">
        <f>"ABRAAO TOMAZ ANASTACIO"</f>
        <v>ABRAAO TOMAZ ANASTACIO</v>
      </c>
      <c r="F2" s="2" t="str">
        <f>"48563372-1/1"</f>
        <v>48563372-1/1</v>
      </c>
      <c r="G2" s="2" t="str">
        <f>"Carteira 21"</f>
        <v>Carteira 21</v>
      </c>
      <c r="H2" s="2">
        <v>13</v>
      </c>
      <c r="I2" s="3">
        <v>89</v>
      </c>
      <c r="J2" s="2" t="str">
        <f>"02/01/2020"</f>
        <v>02/01/2020</v>
      </c>
      <c r="K2" s="2" t="str">
        <f>"15/01/2020"</f>
        <v>15/01/2020</v>
      </c>
      <c r="L2" s="2" t="str">
        <f>"17/02/2020"</f>
        <v>17/02/2020</v>
      </c>
      <c r="M2" s="2" t="str">
        <f>"18/02/2020"</f>
        <v>18/02/2020</v>
      </c>
      <c r="N2" s="2">
        <v>202.08</v>
      </c>
      <c r="O2" s="2">
        <v>208.32</v>
      </c>
      <c r="P2" s="2">
        <v>2.0000000000010201E-2</v>
      </c>
    </row>
    <row r="3" spans="1:16" x14ac:dyDescent="0.25">
      <c r="A3">
        <v>48615604</v>
      </c>
      <c r="B3">
        <v>48615611</v>
      </c>
      <c r="C3" t="str">
        <f>"UNIMEDSJN"</f>
        <v>UNIMEDSJN</v>
      </c>
      <c r="D3" t="str">
        <f>"DH"</f>
        <v>DH</v>
      </c>
      <c r="E3" t="str">
        <f>"ADEMIR JOSE CASARIM"</f>
        <v>ADEMIR JOSE CASARIM</v>
      </c>
      <c r="F3" t="str">
        <f>"48615604-1/1"</f>
        <v>48615604-1/1</v>
      </c>
      <c r="G3" t="str">
        <f>"Carteira 21"</f>
        <v>Carteira 21</v>
      </c>
      <c r="H3">
        <v>37</v>
      </c>
      <c r="I3" s="1">
        <v>47</v>
      </c>
      <c r="J3" t="str">
        <f>"20/01/2020"</f>
        <v>20/01/2020</v>
      </c>
      <c r="K3" t="str">
        <f>"26/02/2020"</f>
        <v>26/02/2020</v>
      </c>
      <c r="L3" t="str">
        <f>"26/02/2020"</f>
        <v>26/02/2020</v>
      </c>
      <c r="M3" t="str">
        <f>"27/02/2020"</f>
        <v>27/02/2020</v>
      </c>
      <c r="N3">
        <v>346.01</v>
      </c>
      <c r="O3">
        <v>346.01</v>
      </c>
      <c r="P3">
        <v>0</v>
      </c>
    </row>
    <row r="4" spans="1:16" s="2" customFormat="1" x14ac:dyDescent="0.25">
      <c r="A4" s="2">
        <v>47504400</v>
      </c>
      <c r="B4" s="2">
        <v>47504405</v>
      </c>
      <c r="C4" s="2" t="str">
        <f>"UNIMEDSJN"</f>
        <v>UNIMEDSJN</v>
      </c>
      <c r="D4" s="2" t="str">
        <f>"DH"</f>
        <v>DH</v>
      </c>
      <c r="E4" s="2" t="str">
        <f>"Adriana Aparecida Dias Xavier"</f>
        <v>Adriana Aparecida Dias Xavier</v>
      </c>
      <c r="F4" s="2" t="str">
        <f>"47504400-1/1"</f>
        <v>47504400-1/1</v>
      </c>
      <c r="G4" s="2" t="str">
        <f>"Carteira 21"</f>
        <v>Carteira 21</v>
      </c>
      <c r="H4" s="2">
        <v>24</v>
      </c>
      <c r="I4" s="3">
        <v>110</v>
      </c>
      <c r="J4" s="2" t="str">
        <f>"01/12/2019"</f>
        <v>01/12/2019</v>
      </c>
      <c r="K4" s="2" t="str">
        <f>"25/12/2019"</f>
        <v>25/12/2019</v>
      </c>
      <c r="L4" s="2" t="str">
        <f>"26/02/2020"</f>
        <v>26/02/2020</v>
      </c>
      <c r="M4" s="2" t="str">
        <f>"27/02/2020"</f>
        <v>27/02/2020</v>
      </c>
      <c r="N4" s="2">
        <v>149.85</v>
      </c>
      <c r="O4" s="2">
        <v>155.97</v>
      </c>
      <c r="P4" s="2">
        <v>3.0000000000001099E-2</v>
      </c>
    </row>
    <row r="5" spans="1:16" s="2" customFormat="1" x14ac:dyDescent="0.25">
      <c r="A5" s="2">
        <v>48580736</v>
      </c>
      <c r="B5" s="2">
        <v>48580743</v>
      </c>
      <c r="C5" s="2" t="str">
        <f>"UNIMEDSJN"</f>
        <v>UNIMEDSJN</v>
      </c>
      <c r="D5" s="2" t="str">
        <f>"DH"</f>
        <v>DH</v>
      </c>
      <c r="E5" s="2" t="str">
        <f>"Adriana Aparecida Dias Xavier"</f>
        <v>Adriana Aparecida Dias Xavier</v>
      </c>
      <c r="F5" s="2" t="str">
        <f>"48580736-1/1"</f>
        <v>48580736-1/1</v>
      </c>
      <c r="G5" s="2" t="str">
        <f>"Carteira 21"</f>
        <v>Carteira 21</v>
      </c>
      <c r="H5" s="2">
        <v>23</v>
      </c>
      <c r="I5" s="3">
        <v>79</v>
      </c>
      <c r="J5" s="2" t="str">
        <f>"02/01/2020"</f>
        <v>02/01/2020</v>
      </c>
      <c r="K5" s="2" t="str">
        <f>"25/01/2020"</f>
        <v>25/01/2020</v>
      </c>
      <c r="L5" s="2" t="str">
        <f>"20/03/2020"</f>
        <v>20/03/2020</v>
      </c>
      <c r="M5" s="2" t="str">
        <f>"23/03/2020"</f>
        <v>23/03/2020</v>
      </c>
      <c r="N5" s="2">
        <v>149.85</v>
      </c>
      <c r="O5" s="2">
        <v>155.47</v>
      </c>
      <c r="P5" s="2">
        <v>0.12999999999999501</v>
      </c>
    </row>
    <row r="6" spans="1:16" x14ac:dyDescent="0.25">
      <c r="A6">
        <v>48793962</v>
      </c>
      <c r="B6">
        <v>48793974</v>
      </c>
      <c r="C6" t="str">
        <f>"UNIMEDSJN"</f>
        <v>UNIMEDSJN</v>
      </c>
      <c r="D6" t="str">
        <f>"DH"</f>
        <v>DH</v>
      </c>
      <c r="E6" t="str">
        <f>"AFONSO ALVES FURTADO"</f>
        <v>AFONSO ALVES FURTADO</v>
      </c>
      <c r="F6" t="str">
        <f>"48793962-1/1"</f>
        <v>48793962-1/1</v>
      </c>
      <c r="G6" t="str">
        <f>"Carteira 21"</f>
        <v>Carteira 21</v>
      </c>
      <c r="H6">
        <v>37</v>
      </c>
      <c r="I6" s="1">
        <v>47</v>
      </c>
      <c r="J6" t="str">
        <f>"20/01/2020"</f>
        <v>20/01/2020</v>
      </c>
      <c r="K6" t="str">
        <f>"26/02/2020"</f>
        <v>26/02/2020</v>
      </c>
      <c r="L6" t="str">
        <f>"26/02/2020"</f>
        <v>26/02/2020</v>
      </c>
      <c r="M6" t="str">
        <f>"27/02/2020"</f>
        <v>27/02/2020</v>
      </c>
      <c r="N6">
        <v>1029.82</v>
      </c>
      <c r="O6">
        <v>1029.82</v>
      </c>
      <c r="P6">
        <v>0</v>
      </c>
    </row>
    <row r="7" spans="1:16" s="2" customFormat="1" x14ac:dyDescent="0.25">
      <c r="A7" s="2">
        <v>47509036</v>
      </c>
      <c r="B7" s="2">
        <v>47509056</v>
      </c>
      <c r="C7" s="2" t="str">
        <f>"UNIMEDSJN"</f>
        <v>UNIMEDSJN</v>
      </c>
      <c r="D7" s="2" t="str">
        <f>"DH"</f>
        <v>DH</v>
      </c>
      <c r="E7" s="2" t="str">
        <f>"ALAN ANTUNES CAMPOS"</f>
        <v>ALAN ANTUNES CAMPOS</v>
      </c>
      <c r="F7" s="2" t="str">
        <f>"47509036-1/1"</f>
        <v>47509036-1/1</v>
      </c>
      <c r="G7" s="2" t="str">
        <f>"Carteira 21"</f>
        <v>Carteira 21</v>
      </c>
      <c r="H7" s="2">
        <v>24</v>
      </c>
      <c r="I7" s="3">
        <v>110</v>
      </c>
      <c r="J7" s="2" t="str">
        <f>"01/12/2019"</f>
        <v>01/12/2019</v>
      </c>
      <c r="K7" s="2" t="str">
        <f>"25/12/2019"</f>
        <v>25/12/2019</v>
      </c>
      <c r="L7" s="2" t="str">
        <f>"26/02/2020"</f>
        <v>26/02/2020</v>
      </c>
      <c r="M7" s="2" t="str">
        <f>"27/02/2020"</f>
        <v>27/02/2020</v>
      </c>
      <c r="N7" s="2">
        <v>761.16</v>
      </c>
      <c r="O7" s="2">
        <v>792.2</v>
      </c>
      <c r="P7" s="2">
        <v>0.159999999999968</v>
      </c>
    </row>
    <row r="8" spans="1:16" s="2" customFormat="1" x14ac:dyDescent="0.25">
      <c r="A8" s="2">
        <v>48581107</v>
      </c>
      <c r="B8" s="2">
        <v>48581114</v>
      </c>
      <c r="C8" s="2" t="str">
        <f>"UNIMEDSJN"</f>
        <v>UNIMEDSJN</v>
      </c>
      <c r="D8" s="2" t="str">
        <f>"DH"</f>
        <v>DH</v>
      </c>
      <c r="E8" s="2" t="str">
        <f>"Alan Bruno de Oliveira Moura"</f>
        <v>Alan Bruno de Oliveira Moura</v>
      </c>
      <c r="F8" s="2" t="str">
        <f>"48581107-1/1"</f>
        <v>48581107-1/1</v>
      </c>
      <c r="G8" s="2" t="str">
        <f>"Carteira 21"</f>
        <v>Carteira 21</v>
      </c>
      <c r="H8" s="2">
        <v>23</v>
      </c>
      <c r="I8" s="3">
        <v>79</v>
      </c>
      <c r="J8" s="2" t="str">
        <f>"02/01/2020"</f>
        <v>02/01/2020</v>
      </c>
      <c r="K8" s="2" t="str">
        <f>"25/01/2020"</f>
        <v>25/01/2020</v>
      </c>
      <c r="L8" s="2" t="str">
        <f>"27/01/2020"</f>
        <v>27/01/2020</v>
      </c>
      <c r="M8" s="2" t="str">
        <f>"27/12/2019"</f>
        <v>27/12/2019</v>
      </c>
      <c r="N8" s="2">
        <v>139.9</v>
      </c>
      <c r="O8" s="2">
        <v>139.9</v>
      </c>
      <c r="P8" s="2">
        <v>0</v>
      </c>
    </row>
    <row r="9" spans="1:16" s="2" customFormat="1" x14ac:dyDescent="0.25">
      <c r="A9" s="2">
        <v>48568049</v>
      </c>
      <c r="B9" s="2">
        <v>48568062</v>
      </c>
      <c r="C9" s="2" t="str">
        <f>"UNIMEDSJN"</f>
        <v>UNIMEDSJN</v>
      </c>
      <c r="D9" s="2" t="str">
        <f>"DH"</f>
        <v>DH</v>
      </c>
      <c r="E9" s="2" t="str">
        <f>"ALBERTO DOUGLAS ALVES RAMIRO"</f>
        <v>ALBERTO DOUGLAS ALVES RAMIRO</v>
      </c>
      <c r="F9" s="2" t="str">
        <f>"48568049-1/1"</f>
        <v>48568049-1/1</v>
      </c>
      <c r="G9" s="2" t="str">
        <f>"Carteira 21"</f>
        <v>Carteira 21</v>
      </c>
      <c r="H9" s="2">
        <v>23</v>
      </c>
      <c r="I9" s="3">
        <v>79</v>
      </c>
      <c r="J9" s="2" t="str">
        <f>"02/01/2020"</f>
        <v>02/01/2020</v>
      </c>
      <c r="K9" s="2" t="str">
        <f>"25/01/2020"</f>
        <v>25/01/2020</v>
      </c>
      <c r="L9" s="2" t="str">
        <f>"10/02/2020"</f>
        <v>10/02/2020</v>
      </c>
      <c r="M9" s="2" t="str">
        <f>"11/02/2020"</f>
        <v>11/02/2020</v>
      </c>
      <c r="N9" s="2">
        <v>261.77</v>
      </c>
      <c r="O9" s="2">
        <v>268.22000000000003</v>
      </c>
      <c r="P9" s="2">
        <v>0.18999999999994099</v>
      </c>
    </row>
    <row r="10" spans="1:16" s="2" customFormat="1" x14ac:dyDescent="0.25">
      <c r="A10" s="2">
        <v>48570657</v>
      </c>
      <c r="B10" s="2">
        <v>48570675</v>
      </c>
      <c r="C10" s="2" t="str">
        <f>"UNIMEDSJN"</f>
        <v>UNIMEDSJN</v>
      </c>
      <c r="D10" s="2" t="str">
        <f>"DH"</f>
        <v>DH</v>
      </c>
      <c r="E10" s="2" t="str">
        <f>"Alberto Mattosinhos Callegaro"</f>
        <v>Alberto Mattosinhos Callegaro</v>
      </c>
      <c r="F10" s="2" t="str">
        <f>"48570657-1/1"</f>
        <v>48570657-1/1</v>
      </c>
      <c r="G10" s="2" t="str">
        <f>"Carteira 21"</f>
        <v>Carteira 21</v>
      </c>
      <c r="H10" s="2">
        <v>23</v>
      </c>
      <c r="I10" s="3">
        <v>79</v>
      </c>
      <c r="J10" s="2" t="str">
        <f>"02/01/2020"</f>
        <v>02/01/2020</v>
      </c>
      <c r="K10" s="2" t="str">
        <f>"25/01/2020"</f>
        <v>25/01/2020</v>
      </c>
      <c r="L10" s="2" t="str">
        <f>"04/02/2020"</f>
        <v>04/02/2020</v>
      </c>
      <c r="M10" s="2" t="str">
        <f>"05/02/2020"</f>
        <v>05/02/2020</v>
      </c>
      <c r="N10" s="2">
        <v>179.17</v>
      </c>
      <c r="O10" s="2">
        <v>183.22</v>
      </c>
      <c r="P10" s="2">
        <v>0.13000000000002401</v>
      </c>
    </row>
    <row r="11" spans="1:16" s="2" customFormat="1" x14ac:dyDescent="0.25">
      <c r="A11" s="2">
        <v>45928826</v>
      </c>
      <c r="B11" s="2">
        <v>45928831</v>
      </c>
      <c r="C11" s="2" t="str">
        <f>"UNIMEDSJN"</f>
        <v>UNIMEDSJN</v>
      </c>
      <c r="D11" s="2" t="str">
        <f>"DH"</f>
        <v>DH</v>
      </c>
      <c r="E11" s="2" t="str">
        <f>"ALDO LUIZ GONCALVES FERREIRA"</f>
        <v>ALDO LUIZ GONCALVES FERREIRA</v>
      </c>
      <c r="F11" s="2" t="str">
        <f>"45928826-1/1"</f>
        <v>45928826-1/1</v>
      </c>
      <c r="G11" s="2" t="str">
        <f>"Carteira 21"</f>
        <v>Carteira 21</v>
      </c>
      <c r="H11" s="2">
        <v>24</v>
      </c>
      <c r="I11" s="3">
        <v>140</v>
      </c>
      <c r="J11" s="2" t="str">
        <f>"01/11/2019"</f>
        <v>01/11/2019</v>
      </c>
      <c r="K11" s="2" t="str">
        <f>"25/11/2019"</f>
        <v>25/11/2019</v>
      </c>
      <c r="L11" s="2" t="str">
        <f>"20/02/2020"</f>
        <v>20/02/2020</v>
      </c>
      <c r="M11" s="2" t="str">
        <f>"21/02/2020"</f>
        <v>21/02/2020</v>
      </c>
      <c r="N11" s="2">
        <v>191.72</v>
      </c>
      <c r="O11" s="2">
        <v>201.05</v>
      </c>
      <c r="P11" s="2">
        <v>5.9999999999973803E-2</v>
      </c>
    </row>
    <row r="12" spans="1:16" s="2" customFormat="1" x14ac:dyDescent="0.25">
      <c r="A12" s="2">
        <v>47506740</v>
      </c>
      <c r="B12" s="2">
        <v>47506745</v>
      </c>
      <c r="C12" s="2" t="str">
        <f>"UNIMEDSJN"</f>
        <v>UNIMEDSJN</v>
      </c>
      <c r="D12" s="2" t="str">
        <f>"DH"</f>
        <v>DH</v>
      </c>
      <c r="E12" s="2" t="str">
        <f>"ALDO LUIZ GONCALVES FERREIRA"</f>
        <v>ALDO LUIZ GONCALVES FERREIRA</v>
      </c>
      <c r="F12" s="2" t="str">
        <f>"47506740-1/1"</f>
        <v>47506740-1/1</v>
      </c>
      <c r="G12" s="2" t="str">
        <f>"Carteira 21"</f>
        <v>Carteira 21</v>
      </c>
      <c r="H12" s="2">
        <v>24</v>
      </c>
      <c r="I12" s="3">
        <v>110</v>
      </c>
      <c r="J12" s="2" t="str">
        <f>"01/12/2019"</f>
        <v>01/12/2019</v>
      </c>
      <c r="K12" s="2" t="str">
        <f>"25/12/2019"</f>
        <v>25/12/2019</v>
      </c>
      <c r="L12" s="2" t="str">
        <f>"24/03/2020"</f>
        <v>24/03/2020</v>
      </c>
      <c r="M12" s="2" t="str">
        <f>"25/03/2020"</f>
        <v>25/03/2020</v>
      </c>
      <c r="N12" s="2">
        <v>191.72</v>
      </c>
      <c r="O12" s="2">
        <v>201.24</v>
      </c>
      <c r="P12" s="2">
        <v>6.0000000000002301E-2</v>
      </c>
    </row>
    <row r="13" spans="1:16" s="2" customFormat="1" x14ac:dyDescent="0.25">
      <c r="A13" s="2">
        <v>48583047</v>
      </c>
      <c r="B13" s="2">
        <v>48583057</v>
      </c>
      <c r="C13" s="2" t="str">
        <f>"UNIMEDSJN"</f>
        <v>UNIMEDSJN</v>
      </c>
      <c r="D13" s="2" t="str">
        <f>"DH"</f>
        <v>DH</v>
      </c>
      <c r="E13" s="2" t="str">
        <f>"ALDO LUIZ GONCALVES FERREIRA"</f>
        <v>ALDO LUIZ GONCALVES FERREIRA</v>
      </c>
      <c r="F13" s="2" t="str">
        <f>"48583047-1/1"</f>
        <v>48583047-1/1</v>
      </c>
      <c r="G13" s="2" t="str">
        <f>"Carteira 21"</f>
        <v>Carteira 21</v>
      </c>
      <c r="H13" s="2">
        <v>23</v>
      </c>
      <c r="I13" s="3">
        <v>79</v>
      </c>
      <c r="J13" s="2" t="str">
        <f>"02/01/2020"</f>
        <v>02/01/2020</v>
      </c>
      <c r="K13" s="2" t="str">
        <f>"25/01/2020"</f>
        <v>25/01/2020</v>
      </c>
      <c r="L13" s="2" t="str">
        <f>"27/01/2020"</f>
        <v>27/01/2020</v>
      </c>
      <c r="M13" s="2" t="str">
        <f>"27/12/2019"</f>
        <v>27/12/2019</v>
      </c>
      <c r="N13" s="2">
        <v>191.72</v>
      </c>
      <c r="O13" s="2">
        <v>191.72</v>
      </c>
      <c r="P13" s="2">
        <v>0</v>
      </c>
    </row>
    <row r="14" spans="1:16" s="2" customFormat="1" x14ac:dyDescent="0.25">
      <c r="A14" s="2">
        <v>44318992</v>
      </c>
      <c r="B14" s="2">
        <v>44320001</v>
      </c>
      <c r="C14" s="2" t="str">
        <f>"UNIMEDSJN"</f>
        <v>UNIMEDSJN</v>
      </c>
      <c r="D14" s="2" t="str">
        <f>"DH"</f>
        <v>DH</v>
      </c>
      <c r="E14" s="2" t="str">
        <f>"Alessandra Aparecida Faria de Oliveira"</f>
        <v>Alessandra Aparecida Faria de Oliveira</v>
      </c>
      <c r="F14" s="2" t="str">
        <f>"44318992-1/1"</f>
        <v>44318992-1/1</v>
      </c>
      <c r="G14" s="2" t="str">
        <f>"CARTEIRA PERDA"</f>
        <v>CARTEIRA PERDA</v>
      </c>
      <c r="H14" s="2">
        <v>24</v>
      </c>
      <c r="I14" s="3">
        <v>232</v>
      </c>
      <c r="J14" s="2" t="str">
        <f>"01/08/2019"</f>
        <v>01/08/2019</v>
      </c>
      <c r="K14" s="2" t="str">
        <f>"25/08/2019"</f>
        <v>25/08/2019</v>
      </c>
      <c r="L14" s="2" t="str">
        <f>"26/08/2019"</f>
        <v>26/08/2019</v>
      </c>
      <c r="M14" s="2" t="str">
        <f>"05/03/2020"</f>
        <v>05/03/2020</v>
      </c>
      <c r="N14" s="2">
        <v>139.9</v>
      </c>
      <c r="O14" s="2">
        <v>139.9</v>
      </c>
      <c r="P14" s="2">
        <v>0</v>
      </c>
    </row>
    <row r="15" spans="1:16" s="2" customFormat="1" x14ac:dyDescent="0.25">
      <c r="A15" s="2">
        <v>44972841</v>
      </c>
      <c r="B15" s="2">
        <v>44972852</v>
      </c>
      <c r="C15" s="2" t="str">
        <f>"UNIMEDSJN"</f>
        <v>UNIMEDSJN</v>
      </c>
      <c r="D15" s="2" t="str">
        <f>"DH"</f>
        <v>DH</v>
      </c>
      <c r="E15" s="2" t="str">
        <f>"Alessandra Aparecida Faria de Oliveira"</f>
        <v>Alessandra Aparecida Faria de Oliveira</v>
      </c>
      <c r="F15" s="2" t="str">
        <f>"44972841-1/1"</f>
        <v>44972841-1/1</v>
      </c>
      <c r="G15" s="2" t="str">
        <f>"CARTEIRA PERDA"</f>
        <v>CARTEIRA PERDA</v>
      </c>
      <c r="H15" s="2">
        <v>24</v>
      </c>
      <c r="I15" s="3">
        <v>201</v>
      </c>
      <c r="J15" s="2" t="str">
        <f>"01/09/2019"</f>
        <v>01/09/2019</v>
      </c>
      <c r="K15" s="2" t="str">
        <f>"25/09/2019"</f>
        <v>25/09/2019</v>
      </c>
      <c r="L15" s="2" t="str">
        <f>"25/09/2019"</f>
        <v>25/09/2019</v>
      </c>
      <c r="M15" s="2" t="str">
        <f>"05/03/2020"</f>
        <v>05/03/2020</v>
      </c>
      <c r="N15" s="2">
        <v>139.9</v>
      </c>
      <c r="O15" s="2">
        <v>139.9</v>
      </c>
      <c r="P15" s="2">
        <v>0</v>
      </c>
    </row>
    <row r="16" spans="1:16" s="2" customFormat="1" x14ac:dyDescent="0.25">
      <c r="A16" s="2">
        <v>45465809</v>
      </c>
      <c r="B16" s="2">
        <v>45465821</v>
      </c>
      <c r="C16" s="2" t="str">
        <f>"UNIMEDSJN"</f>
        <v>UNIMEDSJN</v>
      </c>
      <c r="D16" s="2" t="str">
        <f>"DH"</f>
        <v>DH</v>
      </c>
      <c r="E16" s="2" t="str">
        <f>"Alessandra Aparecida Faria de Oliveira"</f>
        <v>Alessandra Aparecida Faria de Oliveira</v>
      </c>
      <c r="F16" s="2" t="str">
        <f>"45465809-1/1"</f>
        <v>45465809-1/1</v>
      </c>
      <c r="G16" s="2" t="str">
        <f>"CARTEIRA PERDA"</f>
        <v>CARTEIRA PERDA</v>
      </c>
      <c r="H16" s="2">
        <v>24</v>
      </c>
      <c r="I16" s="3">
        <v>171</v>
      </c>
      <c r="J16" s="2" t="str">
        <f>"01/10/2019"</f>
        <v>01/10/2019</v>
      </c>
      <c r="K16" s="2" t="str">
        <f>"25/10/2019"</f>
        <v>25/10/2019</v>
      </c>
      <c r="L16" s="2" t="str">
        <f>"25/10/2019"</f>
        <v>25/10/2019</v>
      </c>
      <c r="M16" s="2" t="str">
        <f>"05/03/2020"</f>
        <v>05/03/2020</v>
      </c>
      <c r="N16" s="2">
        <v>139.9</v>
      </c>
      <c r="O16" s="2">
        <v>139.9</v>
      </c>
      <c r="P16" s="2">
        <v>0</v>
      </c>
    </row>
    <row r="17" spans="1:16" s="2" customFormat="1" x14ac:dyDescent="0.25">
      <c r="A17" s="2">
        <v>45912377</v>
      </c>
      <c r="B17" s="2">
        <v>45912389</v>
      </c>
      <c r="C17" s="2" t="str">
        <f>"UNIMEDSJN"</f>
        <v>UNIMEDSJN</v>
      </c>
      <c r="D17" s="2" t="str">
        <f>"DH"</f>
        <v>DH</v>
      </c>
      <c r="E17" s="2" t="str">
        <f>"Alessandra Aparecida Faria de Oliveira"</f>
        <v>Alessandra Aparecida Faria de Oliveira</v>
      </c>
      <c r="F17" s="2" t="str">
        <f>"45912377-1/1"</f>
        <v>45912377-1/1</v>
      </c>
      <c r="G17" s="2" t="str">
        <f>"CARTEIRA PERDA"</f>
        <v>CARTEIRA PERDA</v>
      </c>
      <c r="H17" s="2">
        <v>24</v>
      </c>
      <c r="I17" s="3">
        <v>140</v>
      </c>
      <c r="J17" s="2" t="str">
        <f>"01/11/2019"</f>
        <v>01/11/2019</v>
      </c>
      <c r="K17" s="2" t="str">
        <f>"25/11/2019"</f>
        <v>25/11/2019</v>
      </c>
      <c r="L17" s="2" t="str">
        <f>"25/11/2019"</f>
        <v>25/11/2019</v>
      </c>
      <c r="M17" s="2" t="str">
        <f>"05/03/2020"</f>
        <v>05/03/2020</v>
      </c>
      <c r="N17" s="2">
        <v>139.9</v>
      </c>
      <c r="O17" s="2">
        <v>139.9</v>
      </c>
      <c r="P17" s="2">
        <v>0</v>
      </c>
    </row>
    <row r="18" spans="1:16" s="2" customFormat="1" x14ac:dyDescent="0.25">
      <c r="A18" s="2">
        <v>47505390</v>
      </c>
      <c r="B18" s="2">
        <v>47505397</v>
      </c>
      <c r="C18" s="2" t="str">
        <f>"UNIMEDSJN"</f>
        <v>UNIMEDSJN</v>
      </c>
      <c r="D18" s="2" t="str">
        <f>"DH"</f>
        <v>DH</v>
      </c>
      <c r="E18" s="2" t="str">
        <f>"Alessandra Aparecida Faria de Oliveira"</f>
        <v>Alessandra Aparecida Faria de Oliveira</v>
      </c>
      <c r="F18" s="2" t="str">
        <f>"47505390-1/1"</f>
        <v>47505390-1/1</v>
      </c>
      <c r="G18" s="2" t="str">
        <f>"CARTEIRA PERDA"</f>
        <v>CARTEIRA PERDA</v>
      </c>
      <c r="H18" s="2">
        <v>24</v>
      </c>
      <c r="I18" s="3">
        <v>110</v>
      </c>
      <c r="J18" s="2" t="str">
        <f>"01/12/2019"</f>
        <v>01/12/2019</v>
      </c>
      <c r="K18" s="2" t="str">
        <f>"25/12/2019"</f>
        <v>25/12/2019</v>
      </c>
      <c r="L18" s="2" t="str">
        <f>"25/12/2019"</f>
        <v>25/12/2019</v>
      </c>
      <c r="M18" s="2" t="str">
        <f>"05/03/2020"</f>
        <v>05/03/2020</v>
      </c>
      <c r="N18" s="2">
        <v>139.9</v>
      </c>
      <c r="O18" s="2">
        <v>139.9</v>
      </c>
      <c r="P18" s="2">
        <v>0</v>
      </c>
    </row>
    <row r="19" spans="1:16" s="2" customFormat="1" x14ac:dyDescent="0.25">
      <c r="A19" s="2">
        <v>47499177</v>
      </c>
      <c r="B19" s="2">
        <v>47499194</v>
      </c>
      <c r="C19" s="2" t="str">
        <f>"UNIMEDSJN"</f>
        <v>UNIMEDSJN</v>
      </c>
      <c r="D19" s="2" t="str">
        <f>"DH"</f>
        <v>DH</v>
      </c>
      <c r="E19" s="2" t="str">
        <f>"Alex da Costa Silva"</f>
        <v>Alex da Costa Silva</v>
      </c>
      <c r="F19" s="2" t="str">
        <f>"47499177-1/1"</f>
        <v>47499177-1/1</v>
      </c>
      <c r="G19" s="2" t="str">
        <f>"Carteira 21"</f>
        <v>Carteira 21</v>
      </c>
      <c r="H19" s="2">
        <v>24</v>
      </c>
      <c r="I19" s="3">
        <v>110</v>
      </c>
      <c r="J19" s="2" t="str">
        <f>"01/12/2019"</f>
        <v>01/12/2019</v>
      </c>
      <c r="K19" s="2" t="str">
        <f>"25/12/2019"</f>
        <v>25/12/2019</v>
      </c>
      <c r="L19" s="2" t="str">
        <f>"27/02/2020"</f>
        <v>27/02/2020</v>
      </c>
      <c r="M19" s="2" t="str">
        <f>"28/02/2020"</f>
        <v>28/02/2020</v>
      </c>
      <c r="N19" s="2">
        <v>123.03</v>
      </c>
      <c r="O19" s="2">
        <v>128.09</v>
      </c>
      <c r="P19" s="2">
        <v>1.9999999999996E-2</v>
      </c>
    </row>
    <row r="20" spans="1:16" s="2" customFormat="1" x14ac:dyDescent="0.25">
      <c r="A20" s="2">
        <v>48575091</v>
      </c>
      <c r="B20" s="2">
        <v>48575105</v>
      </c>
      <c r="C20" s="2" t="str">
        <f>"UNIMEDSJN"</f>
        <v>UNIMEDSJN</v>
      </c>
      <c r="D20" s="2" t="str">
        <f>"DH"</f>
        <v>DH</v>
      </c>
      <c r="E20" s="2" t="str">
        <f>"Alex da Costa Silva"</f>
        <v>Alex da Costa Silva</v>
      </c>
      <c r="F20" s="2" t="str">
        <f>"48575091-1/1"</f>
        <v>48575091-1/1</v>
      </c>
      <c r="G20" s="2" t="str">
        <f>"Carteira 21"</f>
        <v>Carteira 21</v>
      </c>
      <c r="H20" s="2">
        <v>23</v>
      </c>
      <c r="I20" s="3">
        <v>79</v>
      </c>
      <c r="J20" s="2" t="str">
        <f>"02/01/2020"</f>
        <v>02/01/2020</v>
      </c>
      <c r="K20" s="2" t="str">
        <f>"25/01/2020"</f>
        <v>25/01/2020</v>
      </c>
      <c r="L20" s="2" t="str">
        <f>"27/03/2020"</f>
        <v>27/03/2020</v>
      </c>
      <c r="M20" s="2" t="str">
        <f>"30/03/2020"</f>
        <v>30/03/2020</v>
      </c>
      <c r="N20" s="2">
        <v>123.03</v>
      </c>
      <c r="O20" s="2">
        <v>127.92</v>
      </c>
      <c r="P20" s="2">
        <v>0.109999999999999</v>
      </c>
    </row>
    <row r="21" spans="1:16" s="2" customFormat="1" x14ac:dyDescent="0.25">
      <c r="A21" s="2">
        <v>47505499</v>
      </c>
      <c r="B21" s="2">
        <v>47505506</v>
      </c>
      <c r="C21" s="2" t="str">
        <f>"UNIMEDSJN"</f>
        <v>UNIMEDSJN</v>
      </c>
      <c r="D21" s="2" t="str">
        <f>"DH"</f>
        <v>DH</v>
      </c>
      <c r="E21" s="2" t="str">
        <f>"Alexandra Gabriel de Carvalho"</f>
        <v>Alexandra Gabriel de Carvalho</v>
      </c>
      <c r="F21" s="2" t="str">
        <f>"47505499-1/1"</f>
        <v>47505499-1/1</v>
      </c>
      <c r="G21" s="2" t="str">
        <f>"Carteira 21"</f>
        <v>Carteira 21</v>
      </c>
      <c r="H21" s="2">
        <v>24</v>
      </c>
      <c r="I21" s="3">
        <v>110</v>
      </c>
      <c r="J21" s="2" t="str">
        <f>"01/12/2019"</f>
        <v>01/12/2019</v>
      </c>
      <c r="K21" s="2" t="str">
        <f>"25/12/2019"</f>
        <v>25/12/2019</v>
      </c>
      <c r="L21" s="2" t="str">
        <f>"05/02/2020"</f>
        <v>05/02/2020</v>
      </c>
      <c r="M21" s="2" t="str">
        <f>"06/02/2020"</f>
        <v>06/02/2020</v>
      </c>
      <c r="N21" s="2">
        <v>149.85</v>
      </c>
      <c r="O21" s="2">
        <v>154.91999999999999</v>
      </c>
      <c r="P21" s="2">
        <v>2.9999999999972701E-2</v>
      </c>
    </row>
    <row r="22" spans="1:16" s="2" customFormat="1" x14ac:dyDescent="0.25">
      <c r="A22" s="2">
        <v>48582224</v>
      </c>
      <c r="B22" s="2">
        <v>48582229</v>
      </c>
      <c r="C22" s="2" t="str">
        <f>"UNIMEDSJN"</f>
        <v>UNIMEDSJN</v>
      </c>
      <c r="D22" s="2" t="str">
        <f>"DH"</f>
        <v>DH</v>
      </c>
      <c r="E22" s="2" t="str">
        <f>"Alexandra Gabriel de Carvalho"</f>
        <v>Alexandra Gabriel de Carvalho</v>
      </c>
      <c r="F22" s="2" t="str">
        <f>"48582224-1/1"</f>
        <v>48582224-1/1</v>
      </c>
      <c r="G22" s="2" t="str">
        <f>"Carteira 21"</f>
        <v>Carteira 21</v>
      </c>
      <c r="H22" s="2">
        <v>23</v>
      </c>
      <c r="I22" s="3">
        <v>79</v>
      </c>
      <c r="J22" s="2" t="str">
        <f>"02/01/2020"</f>
        <v>02/01/2020</v>
      </c>
      <c r="K22" s="2" t="str">
        <f>"25/01/2020"</f>
        <v>25/01/2020</v>
      </c>
      <c r="L22" s="2" t="str">
        <f>"03/03/2020"</f>
        <v>03/03/2020</v>
      </c>
      <c r="M22" s="2" t="str">
        <f>"04/03/2020"</f>
        <v>04/03/2020</v>
      </c>
      <c r="N22" s="2">
        <v>149.85</v>
      </c>
      <c r="O22" s="2">
        <v>154.63</v>
      </c>
      <c r="P22" s="2">
        <v>0.12000000000000501</v>
      </c>
    </row>
    <row r="23" spans="1:16" s="2" customFormat="1" x14ac:dyDescent="0.25">
      <c r="A23" s="2">
        <v>48574926</v>
      </c>
      <c r="B23" s="2">
        <v>48574940</v>
      </c>
      <c r="C23" s="2" t="str">
        <f>"UNIMEDSJN"</f>
        <v>UNIMEDSJN</v>
      </c>
      <c r="D23" s="2" t="str">
        <f>"DH"</f>
        <v>DH</v>
      </c>
      <c r="E23" s="2" t="str">
        <f>"Alexandra Pelison Palmeira Fonseca"</f>
        <v>Alexandra Pelison Palmeira Fonseca</v>
      </c>
      <c r="F23" s="2" t="str">
        <f>"48574926-1/1"</f>
        <v>48574926-1/1</v>
      </c>
      <c r="G23" s="2" t="str">
        <f>"Carteira 21"</f>
        <v>Carteira 21</v>
      </c>
      <c r="H23" s="2">
        <v>23</v>
      </c>
      <c r="I23" s="3">
        <v>79</v>
      </c>
      <c r="J23" s="2" t="str">
        <f>"02/01/2020"</f>
        <v>02/01/2020</v>
      </c>
      <c r="K23" s="2" t="str">
        <f>"25/01/2020"</f>
        <v>25/01/2020</v>
      </c>
      <c r="L23" s="2" t="str">
        <f>"10/02/2020"</f>
        <v>10/02/2020</v>
      </c>
      <c r="M23" s="2" t="str">
        <f>"11/02/2020"</f>
        <v>11/02/2020</v>
      </c>
      <c r="N23" s="2">
        <v>82.39</v>
      </c>
      <c r="O23" s="2">
        <v>84.42</v>
      </c>
      <c r="P23" s="2">
        <v>6.0000000000002301E-2</v>
      </c>
    </row>
    <row r="24" spans="1:16" s="2" customFormat="1" x14ac:dyDescent="0.25">
      <c r="A24" s="2">
        <v>47496836</v>
      </c>
      <c r="B24" s="2">
        <v>47496851</v>
      </c>
      <c r="C24" s="2" t="str">
        <f>"UNIMEDSJN"</f>
        <v>UNIMEDSJN</v>
      </c>
      <c r="D24" s="2" t="str">
        <f>"DH"</f>
        <v>DH</v>
      </c>
      <c r="E24" s="2" t="str">
        <f>"Alexandre da Silva Guedes"</f>
        <v>Alexandre da Silva Guedes</v>
      </c>
      <c r="F24" s="2" t="str">
        <f>"47496836-1/1"</f>
        <v>47496836-1/1</v>
      </c>
      <c r="G24" s="2" t="str">
        <f>"Carteira 21"</f>
        <v>Carteira 21</v>
      </c>
      <c r="H24" s="2">
        <v>14</v>
      </c>
      <c r="I24" s="3">
        <v>120</v>
      </c>
      <c r="J24" s="2" t="str">
        <f>"01/12/2019"</f>
        <v>01/12/2019</v>
      </c>
      <c r="K24" s="2" t="str">
        <f>"15/12/2019"</f>
        <v>15/12/2019</v>
      </c>
      <c r="L24" s="2" t="str">
        <f>"20/02/2020"</f>
        <v>20/02/2020</v>
      </c>
      <c r="M24" s="2" t="str">
        <f>"21/02/2020"</f>
        <v>21/02/2020</v>
      </c>
      <c r="N24" s="2">
        <v>241.86</v>
      </c>
      <c r="O24" s="2">
        <v>251.97</v>
      </c>
      <c r="P24" s="2">
        <v>0.13000000000002401</v>
      </c>
    </row>
    <row r="25" spans="1:16" s="2" customFormat="1" x14ac:dyDescent="0.25">
      <c r="A25" s="2">
        <v>48573146</v>
      </c>
      <c r="B25" s="2">
        <v>48573155</v>
      </c>
      <c r="C25" s="2" t="str">
        <f>"UNIMEDSJN"</f>
        <v>UNIMEDSJN</v>
      </c>
      <c r="D25" s="2" t="str">
        <f>"DH"</f>
        <v>DH</v>
      </c>
      <c r="E25" s="2" t="str">
        <f>"Alexandre da Silva Guedes"</f>
        <v>Alexandre da Silva Guedes</v>
      </c>
      <c r="F25" s="2" t="str">
        <f>"48573146-1/1"</f>
        <v>48573146-1/1</v>
      </c>
      <c r="G25" s="2" t="str">
        <f>"Carteira 21"</f>
        <v>Carteira 21</v>
      </c>
      <c r="H25" s="2">
        <v>13</v>
      </c>
      <c r="I25" s="3">
        <v>89</v>
      </c>
      <c r="J25" s="2" t="str">
        <f>"02/01/2020"</f>
        <v>02/01/2020</v>
      </c>
      <c r="K25" s="2" t="str">
        <f>"15/01/2020"</f>
        <v>15/01/2020</v>
      </c>
      <c r="L25" s="2" t="str">
        <f>"06/03/2020"</f>
        <v>06/03/2020</v>
      </c>
      <c r="M25" s="2" t="str">
        <f>"09/03/2020"</f>
        <v>09/03/2020</v>
      </c>
      <c r="N25" s="2">
        <v>241.86</v>
      </c>
      <c r="O25" s="2">
        <v>250.77</v>
      </c>
      <c r="P25" s="2">
        <v>3.9999999999992E-2</v>
      </c>
    </row>
    <row r="26" spans="1:16" s="2" customFormat="1" x14ac:dyDescent="0.25">
      <c r="A26" s="2">
        <v>45929471</v>
      </c>
      <c r="B26" s="2">
        <v>45929476</v>
      </c>
      <c r="C26" s="2" t="str">
        <f>"UNIMEDSJN"</f>
        <v>UNIMEDSJN</v>
      </c>
      <c r="D26" s="2" t="str">
        <f>"DH"</f>
        <v>DH</v>
      </c>
      <c r="E26" s="2" t="str">
        <f>"Alexandre Ramos de Mendonca"</f>
        <v>Alexandre Ramos de Mendonca</v>
      </c>
      <c r="F26" s="2" t="str">
        <f>"45929471-1/1"</f>
        <v>45929471-1/1</v>
      </c>
      <c r="G26" s="2" t="str">
        <f>"Carteira 21"</f>
        <v>Carteira 21</v>
      </c>
      <c r="H26" s="2">
        <v>24</v>
      </c>
      <c r="I26" s="3">
        <v>140</v>
      </c>
      <c r="J26" s="2" t="str">
        <f>"01/11/2019"</f>
        <v>01/11/2019</v>
      </c>
      <c r="K26" s="2" t="str">
        <f>"25/11/2019"</f>
        <v>25/11/2019</v>
      </c>
      <c r="L26" s="2" t="str">
        <f>"06/03/2020"</f>
        <v>06/03/2020</v>
      </c>
      <c r="M26" s="2" t="str">
        <f>"09/03/2020"</f>
        <v>09/03/2020</v>
      </c>
      <c r="N26" s="2">
        <v>162.62</v>
      </c>
      <c r="O26" s="2">
        <v>171.34</v>
      </c>
      <c r="P26" s="2">
        <v>6.0000000000002301E-2</v>
      </c>
    </row>
    <row r="27" spans="1:16" s="2" customFormat="1" x14ac:dyDescent="0.25">
      <c r="A27" s="2">
        <v>47509368</v>
      </c>
      <c r="B27" s="2">
        <v>47509625</v>
      </c>
      <c r="C27" s="2" t="str">
        <f>"UNIMEDSJN"</f>
        <v>UNIMEDSJN</v>
      </c>
      <c r="D27" s="2" t="str">
        <f>"DH"</f>
        <v>DH</v>
      </c>
      <c r="E27" s="2" t="str">
        <f>"Alexandre Ramos de Mendonca"</f>
        <v>Alexandre Ramos de Mendonca</v>
      </c>
      <c r="F27" s="2" t="str">
        <f>"47509368-1/1"</f>
        <v>47509368-1/1</v>
      </c>
      <c r="G27" s="2" t="str">
        <f>"Carteira 21"</f>
        <v>Carteira 21</v>
      </c>
      <c r="H27" s="2">
        <v>24</v>
      </c>
      <c r="I27" s="3">
        <v>110</v>
      </c>
      <c r="J27" s="2" t="str">
        <f>"01/12/2019"</f>
        <v>01/12/2019</v>
      </c>
      <c r="K27" s="2" t="str">
        <f>"25/12/2019"</f>
        <v>25/12/2019</v>
      </c>
      <c r="L27" s="2" t="str">
        <f>"25/12/2019"</f>
        <v>25/12/2019</v>
      </c>
      <c r="M27" s="2" t="str">
        <f>"28/11/2019"</f>
        <v>28/11/2019</v>
      </c>
      <c r="N27" s="2">
        <v>174.57</v>
      </c>
      <c r="O27" s="2">
        <v>174.57</v>
      </c>
      <c r="P27" s="2">
        <v>0</v>
      </c>
    </row>
    <row r="28" spans="1:16" s="2" customFormat="1" x14ac:dyDescent="0.25">
      <c r="A28" s="2">
        <v>48585159</v>
      </c>
      <c r="B28" s="2">
        <v>48585164</v>
      </c>
      <c r="C28" s="2" t="str">
        <f>"UNIMEDSJN"</f>
        <v>UNIMEDSJN</v>
      </c>
      <c r="D28" s="2" t="str">
        <f>"DH"</f>
        <v>DH</v>
      </c>
      <c r="E28" s="2" t="str">
        <f>"Alexandre Ramos de Mendonca"</f>
        <v>Alexandre Ramos de Mendonca</v>
      </c>
      <c r="F28" s="2" t="str">
        <f>"48585159-1/1"</f>
        <v>48585159-1/1</v>
      </c>
      <c r="G28" s="2" t="str">
        <f>"Carteira 21"</f>
        <v>Carteira 21</v>
      </c>
      <c r="H28" s="2">
        <v>23</v>
      </c>
      <c r="I28" s="3">
        <v>79</v>
      </c>
      <c r="J28" s="2" t="str">
        <f>"02/01/2020"</f>
        <v>02/01/2020</v>
      </c>
      <c r="K28" s="2" t="str">
        <f>"25/01/2020"</f>
        <v>25/01/2020</v>
      </c>
      <c r="L28" s="2" t="str">
        <f>"27/01/2020"</f>
        <v>27/01/2020</v>
      </c>
      <c r="M28" s="2" t="str">
        <f>"27/12/2019"</f>
        <v>27/12/2019</v>
      </c>
      <c r="N28" s="2">
        <v>174.57</v>
      </c>
      <c r="O28" s="2">
        <v>174.57</v>
      </c>
      <c r="P28" s="2">
        <v>0</v>
      </c>
    </row>
    <row r="29" spans="1:16" s="2" customFormat="1" x14ac:dyDescent="0.25">
      <c r="A29" s="2">
        <v>48583598</v>
      </c>
      <c r="B29" s="2">
        <v>48583605</v>
      </c>
      <c r="C29" s="2" t="str">
        <f>"UNIMEDSJN"</f>
        <v>UNIMEDSJN</v>
      </c>
      <c r="D29" s="2" t="str">
        <f>"DH"</f>
        <v>DH</v>
      </c>
      <c r="E29" s="2" t="str">
        <f>"Aline da Silva Machado Castro"</f>
        <v>Aline da Silva Machado Castro</v>
      </c>
      <c r="F29" s="2" t="str">
        <f>"48583598-1/1"</f>
        <v>48583598-1/1</v>
      </c>
      <c r="G29" s="2" t="str">
        <f>"Carteira 21"</f>
        <v>Carteira 21</v>
      </c>
      <c r="H29" s="2">
        <v>23</v>
      </c>
      <c r="I29" s="3">
        <v>79</v>
      </c>
      <c r="J29" s="2" t="str">
        <f>"02/01/2020"</f>
        <v>02/01/2020</v>
      </c>
      <c r="K29" s="2" t="str">
        <f>"25/01/2020"</f>
        <v>25/01/2020</v>
      </c>
      <c r="L29" s="2" t="str">
        <f>"27/01/2020"</f>
        <v>27/01/2020</v>
      </c>
      <c r="M29" s="2" t="str">
        <f>"27/12/2019"</f>
        <v>27/12/2019</v>
      </c>
      <c r="N29" s="2">
        <v>503.7</v>
      </c>
      <c r="O29" s="2">
        <v>503.7</v>
      </c>
      <c r="P29" s="2">
        <v>0</v>
      </c>
    </row>
    <row r="30" spans="1:16" s="2" customFormat="1" x14ac:dyDescent="0.25">
      <c r="A30" s="2">
        <v>45925782</v>
      </c>
      <c r="B30" s="2">
        <v>45925787</v>
      </c>
      <c r="C30" s="2" t="str">
        <f>"UNIMEDSJN"</f>
        <v>UNIMEDSJN</v>
      </c>
      <c r="D30" s="2" t="str">
        <f>"DH"</f>
        <v>DH</v>
      </c>
      <c r="E30" s="2" t="str">
        <f>"ALINE FURTADO DE OLIVEIRA"</f>
        <v>ALINE FURTADO DE OLIVEIRA</v>
      </c>
      <c r="F30" s="2" t="str">
        <f>"45925782-1/1"</f>
        <v>45925782-1/1</v>
      </c>
      <c r="G30" s="2" t="str">
        <f>"Carteira 21"</f>
        <v>Carteira 21</v>
      </c>
      <c r="H30" s="2">
        <v>24</v>
      </c>
      <c r="I30" s="3">
        <v>140</v>
      </c>
      <c r="J30" s="2" t="str">
        <f>"01/11/2019"</f>
        <v>01/11/2019</v>
      </c>
      <c r="K30" s="2" t="str">
        <f>"25/11/2019"</f>
        <v>25/11/2019</v>
      </c>
      <c r="L30" s="2" t="str">
        <f>"07/02/2020"</f>
        <v>07/02/2020</v>
      </c>
      <c r="M30" s="2" t="str">
        <f>"10/02/2020"</f>
        <v>10/02/2020</v>
      </c>
      <c r="N30" s="2">
        <v>396.42</v>
      </c>
      <c r="O30" s="2">
        <v>414.03</v>
      </c>
      <c r="P30" s="2">
        <v>9.9999999999965894E-2</v>
      </c>
    </row>
    <row r="31" spans="1:16" s="2" customFormat="1" x14ac:dyDescent="0.25">
      <c r="A31" s="2">
        <v>47508218</v>
      </c>
      <c r="B31" s="2">
        <v>47508229</v>
      </c>
      <c r="C31" s="2" t="str">
        <f>"UNIMEDSJN"</f>
        <v>UNIMEDSJN</v>
      </c>
      <c r="D31" s="2" t="str">
        <f>"DH"</f>
        <v>DH</v>
      </c>
      <c r="E31" s="2" t="str">
        <f>"ALINE FURTADO DE OLIVEIRA"</f>
        <v>ALINE FURTADO DE OLIVEIRA</v>
      </c>
      <c r="F31" s="2" t="str">
        <f>"47508218-1/1"</f>
        <v>47508218-1/1</v>
      </c>
      <c r="G31" s="2" t="str">
        <f>"Carteira 21"</f>
        <v>Carteira 21</v>
      </c>
      <c r="H31" s="2">
        <v>24</v>
      </c>
      <c r="I31" s="3">
        <v>110</v>
      </c>
      <c r="J31" s="2" t="str">
        <f>"01/12/2019"</f>
        <v>01/12/2019</v>
      </c>
      <c r="K31" s="2" t="str">
        <f>"25/12/2019"</f>
        <v>25/12/2019</v>
      </c>
      <c r="L31" s="2" t="str">
        <f>"16/03/2020"</f>
        <v>16/03/2020</v>
      </c>
      <c r="M31" s="2" t="str">
        <f>"17/03/2020"</f>
        <v>17/03/2020</v>
      </c>
      <c r="N31" s="2">
        <v>425.56</v>
      </c>
      <c r="O31" s="2">
        <v>445.59</v>
      </c>
      <c r="P31" s="2">
        <v>0.10999999999995699</v>
      </c>
    </row>
    <row r="32" spans="1:16" s="2" customFormat="1" x14ac:dyDescent="0.25">
      <c r="A32" s="2">
        <v>48585625</v>
      </c>
      <c r="B32" s="2">
        <v>48585630</v>
      </c>
      <c r="C32" s="2" t="str">
        <f>"UNIMEDSJN"</f>
        <v>UNIMEDSJN</v>
      </c>
      <c r="D32" s="2" t="str">
        <f>"DH"</f>
        <v>DH</v>
      </c>
      <c r="E32" s="2" t="str">
        <f>"ALINE FURTADO DE OLIVEIRA"</f>
        <v>ALINE FURTADO DE OLIVEIRA</v>
      </c>
      <c r="F32" s="2" t="str">
        <f>"48585625-1/1"</f>
        <v>48585625-1/1</v>
      </c>
      <c r="G32" s="2" t="str">
        <f>"Carteira 21"</f>
        <v>Carteira 21</v>
      </c>
      <c r="H32" s="2">
        <v>23</v>
      </c>
      <c r="I32" s="3">
        <v>79</v>
      </c>
      <c r="J32" s="2" t="str">
        <f>"02/01/2020"</f>
        <v>02/01/2020</v>
      </c>
      <c r="K32" s="2" t="str">
        <f>"25/01/2020"</f>
        <v>25/01/2020</v>
      </c>
      <c r="L32" s="2" t="str">
        <f>"27/01/2020"</f>
        <v>27/01/2020</v>
      </c>
      <c r="M32" s="2" t="str">
        <f>"27/12/2019"</f>
        <v>27/12/2019</v>
      </c>
      <c r="N32" s="2">
        <v>425.56</v>
      </c>
      <c r="O32" s="2">
        <v>425.56</v>
      </c>
      <c r="P32" s="2">
        <v>0</v>
      </c>
    </row>
    <row r="33" spans="1:16" s="2" customFormat="1" x14ac:dyDescent="0.25">
      <c r="A33" s="2">
        <v>47496168</v>
      </c>
      <c r="B33" s="2">
        <v>47496183</v>
      </c>
      <c r="C33" s="2" t="str">
        <f>"UNIMEDSJN"</f>
        <v>UNIMEDSJN</v>
      </c>
      <c r="D33" s="2" t="str">
        <f>"DH"</f>
        <v>DH</v>
      </c>
      <c r="E33" s="2" t="str">
        <f>"ALINE MAURICIO MOREIRA"</f>
        <v>ALINE MAURICIO MOREIRA</v>
      </c>
      <c r="F33" s="2" t="str">
        <f>"47496168-1/1"</f>
        <v>47496168-1/1</v>
      </c>
      <c r="G33" s="2" t="str">
        <f>"Carteira 21"</f>
        <v>Carteira 21</v>
      </c>
      <c r="H33" s="2">
        <v>24</v>
      </c>
      <c r="I33" s="3">
        <v>110</v>
      </c>
      <c r="J33" s="2" t="str">
        <f>"01/12/2019"</f>
        <v>01/12/2019</v>
      </c>
      <c r="K33" s="2" t="str">
        <f>"25/12/2019"</f>
        <v>25/12/2019</v>
      </c>
      <c r="L33" s="2" t="str">
        <f>"12/03/2020"</f>
        <v>12/03/2020</v>
      </c>
      <c r="M33" s="2" t="str">
        <f>"13/03/2020"</f>
        <v>13/03/2020</v>
      </c>
      <c r="N33" s="2">
        <v>452.13</v>
      </c>
      <c r="O33" s="2">
        <v>472.81</v>
      </c>
      <c r="P33" s="2">
        <v>0.12000000000000501</v>
      </c>
    </row>
    <row r="34" spans="1:16" s="2" customFormat="1" x14ac:dyDescent="0.25">
      <c r="A34" s="2">
        <v>48572189</v>
      </c>
      <c r="B34" s="2">
        <v>48572212</v>
      </c>
      <c r="C34" s="2" t="str">
        <f>"UNIMEDSJN"</f>
        <v>UNIMEDSJN</v>
      </c>
      <c r="D34" s="2" t="str">
        <f>"DH"</f>
        <v>DH</v>
      </c>
      <c r="E34" s="2" t="str">
        <f>"ALINE MAURICIO MOREIRA"</f>
        <v>ALINE MAURICIO MOREIRA</v>
      </c>
      <c r="F34" s="2" t="str">
        <f>"48572189-1/1"</f>
        <v>48572189-1/1</v>
      </c>
      <c r="G34" s="2" t="str">
        <f>"Carteira 21"</f>
        <v>Carteira 21</v>
      </c>
      <c r="H34" s="2">
        <v>23</v>
      </c>
      <c r="I34" s="3">
        <v>79</v>
      </c>
      <c r="J34" s="2" t="str">
        <f>"02/01/2020"</f>
        <v>02/01/2020</v>
      </c>
      <c r="K34" s="2" t="str">
        <f>"25/01/2020"</f>
        <v>25/01/2020</v>
      </c>
      <c r="L34" s="2" t="str">
        <f>"18/03/2020"</f>
        <v>18/03/2020</v>
      </c>
      <c r="M34" s="2" t="str">
        <f>"19/03/2020"</f>
        <v>19/03/2020</v>
      </c>
      <c r="N34" s="2">
        <v>452.13</v>
      </c>
      <c r="O34" s="2">
        <v>468.78</v>
      </c>
      <c r="P34" s="2">
        <v>0.37999999999999501</v>
      </c>
    </row>
    <row r="35" spans="1:16" s="2" customFormat="1" x14ac:dyDescent="0.25">
      <c r="A35" s="2">
        <v>47501424</v>
      </c>
      <c r="B35" s="2">
        <v>47501447</v>
      </c>
      <c r="C35" s="2" t="str">
        <f>"UNIMEDSJN"</f>
        <v>UNIMEDSJN</v>
      </c>
      <c r="D35" s="2" t="str">
        <f>"DH"</f>
        <v>DH</v>
      </c>
      <c r="E35" s="2" t="str">
        <f>"ALISIA DE SOUZA MEDEIROS ITABORAHY"</f>
        <v>ALISIA DE SOUZA MEDEIROS ITABORAHY</v>
      </c>
      <c r="F35" s="2" t="str">
        <f>"47501424-1/1"</f>
        <v>47501424-1/1</v>
      </c>
      <c r="G35" s="2" t="str">
        <f>"Carteira 21"</f>
        <v>Carteira 21</v>
      </c>
      <c r="H35" s="2">
        <v>24</v>
      </c>
      <c r="I35" s="3">
        <v>110</v>
      </c>
      <c r="J35" s="2" t="str">
        <f>"01/12/2019"</f>
        <v>01/12/2019</v>
      </c>
      <c r="K35" s="2" t="str">
        <f>"25/12/2019"</f>
        <v>25/12/2019</v>
      </c>
      <c r="L35" s="2" t="str">
        <f>"19/02/2020"</f>
        <v>19/02/2020</v>
      </c>
      <c r="M35" s="2" t="str">
        <f>"20/02/2020"</f>
        <v>20/02/2020</v>
      </c>
      <c r="N35" s="2">
        <v>474</v>
      </c>
      <c r="O35" s="2">
        <v>492.24</v>
      </c>
      <c r="P35" s="2">
        <v>8.9999999999975003E-2</v>
      </c>
    </row>
    <row r="36" spans="1:16" s="2" customFormat="1" x14ac:dyDescent="0.25">
      <c r="A36" s="2">
        <v>48578234</v>
      </c>
      <c r="B36" s="2">
        <v>48578247</v>
      </c>
      <c r="C36" s="2" t="str">
        <f>"UNIMEDSJN"</f>
        <v>UNIMEDSJN</v>
      </c>
      <c r="D36" s="2" t="str">
        <f>"DH"</f>
        <v>DH</v>
      </c>
      <c r="E36" s="2" t="str">
        <f>"ALISIA DE SOUZA MEDEIROS ITABORAHY"</f>
        <v>ALISIA DE SOUZA MEDEIROS ITABORAHY</v>
      </c>
      <c r="F36" s="2" t="str">
        <f>"48578234-1/1"</f>
        <v>48578234-1/1</v>
      </c>
      <c r="G36" s="2" t="str">
        <f>"Carteira 21"</f>
        <v>Carteira 21</v>
      </c>
      <c r="H36" s="2">
        <v>23</v>
      </c>
      <c r="I36" s="3">
        <v>79</v>
      </c>
      <c r="J36" s="2" t="str">
        <f>"02/01/2020"</f>
        <v>02/01/2020</v>
      </c>
      <c r="K36" s="2" t="str">
        <f>"25/01/2020"</f>
        <v>25/01/2020</v>
      </c>
      <c r="L36" s="2" t="str">
        <f>"10/03/2020"</f>
        <v>10/03/2020</v>
      </c>
      <c r="M36" s="2" t="str">
        <f>"11/03/2020"</f>
        <v>11/03/2020</v>
      </c>
      <c r="N36" s="2">
        <v>508.83</v>
      </c>
      <c r="O36" s="2">
        <v>526.24</v>
      </c>
      <c r="P36" s="2">
        <v>0.39999999999997699</v>
      </c>
    </row>
    <row r="37" spans="1:16" s="2" customFormat="1" x14ac:dyDescent="0.25">
      <c r="A37" s="2">
        <v>47497225</v>
      </c>
      <c r="B37" s="2">
        <v>47497237</v>
      </c>
      <c r="C37" s="2" t="str">
        <f>"UNIMEDSJN"</f>
        <v>UNIMEDSJN</v>
      </c>
      <c r="D37" s="2" t="str">
        <f>"DH"</f>
        <v>DH</v>
      </c>
      <c r="E37" s="2" t="str">
        <f>"ALOISIO MARCIO DETONI"</f>
        <v>ALOISIO MARCIO DETONI</v>
      </c>
      <c r="F37" s="2" t="str">
        <f>"47497225-1/1"</f>
        <v>47497225-1/1</v>
      </c>
      <c r="G37" s="2" t="str">
        <f>"Carteira 21"</f>
        <v>Carteira 21</v>
      </c>
      <c r="H37" s="2">
        <v>21</v>
      </c>
      <c r="I37" s="3">
        <v>113</v>
      </c>
      <c r="J37" s="2" t="str">
        <f>"01/12/2019"</f>
        <v>01/12/2019</v>
      </c>
      <c r="K37" s="2" t="str">
        <f>"22/12/2019"</f>
        <v>22/12/2019</v>
      </c>
      <c r="L37" s="2" t="str">
        <f>"23/12/2019"</f>
        <v>23/12/2019</v>
      </c>
      <c r="M37" s="2" t="str">
        <f>"28/11/2019"</f>
        <v>28/11/2019</v>
      </c>
      <c r="N37" s="2">
        <v>208.29</v>
      </c>
      <c r="O37" s="2">
        <v>208.29</v>
      </c>
      <c r="P37" s="2">
        <v>0</v>
      </c>
    </row>
    <row r="38" spans="1:16" s="2" customFormat="1" x14ac:dyDescent="0.25">
      <c r="A38" s="2">
        <v>48574009</v>
      </c>
      <c r="B38" s="2">
        <v>48574024</v>
      </c>
      <c r="C38" s="2" t="str">
        <f>"UNIMEDSJN"</f>
        <v>UNIMEDSJN</v>
      </c>
      <c r="D38" s="2" t="str">
        <f>"DH"</f>
        <v>DH</v>
      </c>
      <c r="E38" s="2" t="str">
        <f>"ALOISIO MARCIO DETONI"</f>
        <v>ALOISIO MARCIO DETONI</v>
      </c>
      <c r="F38" s="2" t="str">
        <f>"48574009-1/1"</f>
        <v>48574009-1/1</v>
      </c>
      <c r="G38" s="2" t="str">
        <f>"Carteira 21"</f>
        <v>Carteira 21</v>
      </c>
      <c r="H38" s="2">
        <v>20</v>
      </c>
      <c r="I38" s="3">
        <v>82</v>
      </c>
      <c r="J38" s="2" t="str">
        <f>"02/01/2020"</f>
        <v>02/01/2020</v>
      </c>
      <c r="K38" s="2" t="str">
        <f>"22/01/2020"</f>
        <v>22/01/2020</v>
      </c>
      <c r="L38" s="2" t="str">
        <f>"22/01/2020"</f>
        <v>22/01/2020</v>
      </c>
      <c r="M38" s="2" t="str">
        <f>"27/12/2019"</f>
        <v>27/12/2019</v>
      </c>
      <c r="N38" s="2">
        <v>208.29</v>
      </c>
      <c r="O38" s="2">
        <v>208.29</v>
      </c>
      <c r="P38" s="2">
        <v>0</v>
      </c>
    </row>
    <row r="39" spans="1:16" s="2" customFormat="1" x14ac:dyDescent="0.25">
      <c r="A39" s="2">
        <v>47505071</v>
      </c>
      <c r="B39" s="2">
        <v>47505079</v>
      </c>
      <c r="C39" s="2" t="str">
        <f>"UNIMEDSJN"</f>
        <v>UNIMEDSJN</v>
      </c>
      <c r="D39" s="2" t="str">
        <f>"DH"</f>
        <v>DH</v>
      </c>
      <c r="E39" s="2" t="str">
        <f>"Alonso Ferreira Callegaro"</f>
        <v>Alonso Ferreira Callegaro</v>
      </c>
      <c r="F39" s="2" t="str">
        <f>"47505071-1/1"</f>
        <v>47505071-1/1</v>
      </c>
      <c r="G39" s="2" t="str">
        <f>"Carteira 21"</f>
        <v>Carteira 21</v>
      </c>
      <c r="H39" s="2">
        <v>24</v>
      </c>
      <c r="I39" s="3">
        <v>110</v>
      </c>
      <c r="J39" s="2" t="str">
        <f>"01/12/2019"</f>
        <v>01/12/2019</v>
      </c>
      <c r="K39" s="2" t="str">
        <f>"25/12/2019"</f>
        <v>25/12/2019</v>
      </c>
      <c r="L39" s="2" t="str">
        <f>"12/02/2020"</f>
        <v>12/02/2020</v>
      </c>
      <c r="M39" s="2" t="str">
        <f>"13/02/2020"</f>
        <v>13/02/2020</v>
      </c>
      <c r="N39" s="2">
        <v>140.82</v>
      </c>
      <c r="O39" s="2">
        <v>145.91999999999999</v>
      </c>
      <c r="P39" s="2">
        <v>1.99999999999818E-2</v>
      </c>
    </row>
    <row r="40" spans="1:16" s="2" customFormat="1" x14ac:dyDescent="0.25">
      <c r="A40" s="2">
        <v>48580275</v>
      </c>
      <c r="B40" s="2">
        <v>48580285</v>
      </c>
      <c r="C40" s="2" t="str">
        <f>"UNIMEDSJN"</f>
        <v>UNIMEDSJN</v>
      </c>
      <c r="D40" s="2" t="str">
        <f>"DH"</f>
        <v>DH</v>
      </c>
      <c r="E40" s="2" t="str">
        <f>"Alonso Ferreira Callegaro"</f>
        <v>Alonso Ferreira Callegaro</v>
      </c>
      <c r="F40" s="2" t="str">
        <f>"48580275-1/1"</f>
        <v>48580275-1/1</v>
      </c>
      <c r="G40" s="2" t="str">
        <f>"Carteira 21"</f>
        <v>Carteira 21</v>
      </c>
      <c r="H40" s="2">
        <v>23</v>
      </c>
      <c r="I40" s="3">
        <v>79</v>
      </c>
      <c r="J40" s="2" t="str">
        <f>"02/01/2020"</f>
        <v>02/01/2020</v>
      </c>
      <c r="K40" s="2" t="str">
        <f>"25/01/2020"</f>
        <v>25/01/2020</v>
      </c>
      <c r="L40" s="2" t="str">
        <f>"12/02/2020"</f>
        <v>12/02/2020</v>
      </c>
      <c r="M40" s="2" t="str">
        <f>"13/02/2020"</f>
        <v>13/02/2020</v>
      </c>
      <c r="N40" s="2">
        <v>140.82</v>
      </c>
      <c r="O40" s="2">
        <v>144.38</v>
      </c>
      <c r="P40" s="2">
        <v>9.9999999999994302E-2</v>
      </c>
    </row>
    <row r="41" spans="1:16" s="2" customFormat="1" x14ac:dyDescent="0.25">
      <c r="A41" s="2">
        <v>48565864</v>
      </c>
      <c r="B41" s="2">
        <v>48565871</v>
      </c>
      <c r="C41" s="2" t="str">
        <f>"UNIMEDSJN"</f>
        <v>UNIMEDSJN</v>
      </c>
      <c r="D41" s="2" t="str">
        <f>"DH"</f>
        <v>DH</v>
      </c>
      <c r="E41" s="2" t="str">
        <f>"ANA CAROLINA LIMA"</f>
        <v>ANA CAROLINA LIMA</v>
      </c>
      <c r="F41" s="2" t="str">
        <f>"48565864-1/1"</f>
        <v>48565864-1/1</v>
      </c>
      <c r="G41" s="2" t="str">
        <f>"Carteira 21"</f>
        <v>Carteira 21</v>
      </c>
      <c r="H41" s="2">
        <v>23</v>
      </c>
      <c r="I41" s="3">
        <v>79</v>
      </c>
      <c r="J41" s="2" t="str">
        <f>"02/01/2020"</f>
        <v>02/01/2020</v>
      </c>
      <c r="K41" s="2" t="str">
        <f>"25/01/2020"</f>
        <v>25/01/2020</v>
      </c>
      <c r="L41" s="2" t="str">
        <f>"10/02/2020"</f>
        <v>10/02/2020</v>
      </c>
      <c r="M41" s="2" t="str">
        <f>"11/02/2020"</f>
        <v>11/02/2020</v>
      </c>
      <c r="N41" s="2">
        <v>374.68</v>
      </c>
      <c r="O41" s="2">
        <v>383.9</v>
      </c>
      <c r="P41" s="2">
        <v>0.26999999999998198</v>
      </c>
    </row>
    <row r="42" spans="1:16" s="2" customFormat="1" x14ac:dyDescent="0.25">
      <c r="A42" s="2">
        <v>48570041</v>
      </c>
      <c r="B42" s="2">
        <v>48570061</v>
      </c>
      <c r="C42" s="2" t="str">
        <f>"UNIMEDSJN"</f>
        <v>UNIMEDSJN</v>
      </c>
      <c r="D42" s="2" t="str">
        <f>"DH"</f>
        <v>DH</v>
      </c>
      <c r="E42" s="2" t="str">
        <f>"ANA CAROLINA MARTINS FERREIRA"</f>
        <v>ANA CAROLINA MARTINS FERREIRA</v>
      </c>
      <c r="F42" s="2" t="str">
        <f>"48570041-1/1"</f>
        <v>48570041-1/1</v>
      </c>
      <c r="G42" s="2" t="str">
        <f>"Carteira 21"</f>
        <v>Carteira 21</v>
      </c>
      <c r="H42" s="2">
        <v>23</v>
      </c>
      <c r="I42" s="3">
        <v>79</v>
      </c>
      <c r="J42" s="2" t="str">
        <f>"02/01/2020"</f>
        <v>02/01/2020</v>
      </c>
      <c r="K42" s="2" t="str">
        <f>"25/01/2020"</f>
        <v>25/01/2020</v>
      </c>
      <c r="L42" s="2" t="str">
        <f>"04/02/2020"</f>
        <v>04/02/2020</v>
      </c>
      <c r="M42" s="2" t="str">
        <f>"05/02/2020"</f>
        <v>05/02/2020</v>
      </c>
      <c r="N42" s="2">
        <v>278.73</v>
      </c>
      <c r="O42" s="2">
        <v>285.04000000000002</v>
      </c>
      <c r="P42" s="2">
        <v>0.189999999999998</v>
      </c>
    </row>
    <row r="43" spans="1:16" s="2" customFormat="1" x14ac:dyDescent="0.25">
      <c r="A43" s="2">
        <v>48581680</v>
      </c>
      <c r="B43" s="2">
        <v>48581690</v>
      </c>
      <c r="C43" s="2" t="str">
        <f>"UNIMEDSJN"</f>
        <v>UNIMEDSJN</v>
      </c>
      <c r="D43" s="2" t="str">
        <f>"DH"</f>
        <v>DH</v>
      </c>
      <c r="E43" s="2" t="str">
        <f>"Ana Eliza de Souza Assis"</f>
        <v>Ana Eliza de Souza Assis</v>
      </c>
      <c r="F43" s="2" t="str">
        <f>"48581680-1/1"</f>
        <v>48581680-1/1</v>
      </c>
      <c r="G43" s="2" t="str">
        <f>"Carteira 21"</f>
        <v>Carteira 21</v>
      </c>
      <c r="H43" s="2">
        <v>23</v>
      </c>
      <c r="I43" s="3">
        <v>79</v>
      </c>
      <c r="J43" s="2" t="str">
        <f>"02/01/2020"</f>
        <v>02/01/2020</v>
      </c>
      <c r="K43" s="2" t="str">
        <f>"25/01/2020"</f>
        <v>25/01/2020</v>
      </c>
      <c r="L43" s="2" t="str">
        <f>"10/02/2020"</f>
        <v>10/02/2020</v>
      </c>
      <c r="M43" s="2" t="str">
        <f>"11/02/2020"</f>
        <v>11/02/2020</v>
      </c>
      <c r="N43" s="2">
        <v>139.9</v>
      </c>
      <c r="O43" s="2">
        <v>143.34</v>
      </c>
      <c r="P43" s="2">
        <v>0.110000000000014</v>
      </c>
    </row>
    <row r="44" spans="1:16" x14ac:dyDescent="0.25">
      <c r="A44">
        <v>48615494</v>
      </c>
      <c r="B44">
        <v>48615501</v>
      </c>
      <c r="C44" t="str">
        <f>"UNIMEDSJN"</f>
        <v>UNIMEDSJN</v>
      </c>
      <c r="D44" t="str">
        <f>"DH"</f>
        <v>DH</v>
      </c>
      <c r="E44" t="str">
        <f>"ANA MARIA DA SILVEIRA"</f>
        <v>ANA MARIA DA SILVEIRA</v>
      </c>
      <c r="F44" t="str">
        <f>"48615494-1/1"</f>
        <v>48615494-1/1</v>
      </c>
      <c r="G44" t="str">
        <f>"Carteira 21"</f>
        <v>Carteira 21</v>
      </c>
      <c r="H44">
        <v>37</v>
      </c>
      <c r="I44" s="1">
        <v>47</v>
      </c>
      <c r="J44" t="str">
        <f>"20/01/2020"</f>
        <v>20/01/2020</v>
      </c>
      <c r="K44" t="str">
        <f>"26/02/2020"</f>
        <v>26/02/2020</v>
      </c>
      <c r="L44" t="str">
        <f>"26/02/2020"</f>
        <v>26/02/2020</v>
      </c>
      <c r="M44" t="str">
        <f>"11/02/2020"</f>
        <v>11/02/2020</v>
      </c>
      <c r="N44">
        <v>367.82</v>
      </c>
      <c r="O44">
        <v>367.82</v>
      </c>
      <c r="P44">
        <v>0</v>
      </c>
    </row>
    <row r="45" spans="1:16" x14ac:dyDescent="0.25">
      <c r="A45">
        <v>48793931</v>
      </c>
      <c r="B45">
        <v>48793938</v>
      </c>
      <c r="C45" t="str">
        <f>"UNIMEDSJN"</f>
        <v>UNIMEDSJN</v>
      </c>
      <c r="D45" t="str">
        <f>"DH"</f>
        <v>DH</v>
      </c>
      <c r="E45" t="str">
        <f>"ANA MARIA HONORATO"</f>
        <v>ANA MARIA HONORATO</v>
      </c>
      <c r="F45" t="str">
        <f>"48793931-1/1"</f>
        <v>48793931-1/1</v>
      </c>
      <c r="G45" t="str">
        <f>"Carteira 21"</f>
        <v>Carteira 21</v>
      </c>
      <c r="H45">
        <v>27</v>
      </c>
      <c r="I45" s="1">
        <v>57</v>
      </c>
      <c r="J45" t="str">
        <f>"20/01/2020"</f>
        <v>20/01/2020</v>
      </c>
      <c r="K45" t="str">
        <f>"16/02/2020"</f>
        <v>16/02/2020</v>
      </c>
      <c r="L45" t="str">
        <f>"17/02/2020"</f>
        <v>17/02/2020</v>
      </c>
      <c r="M45" t="str">
        <f>"18/02/2020"</f>
        <v>18/02/2020</v>
      </c>
      <c r="N45">
        <v>261.64</v>
      </c>
      <c r="O45">
        <v>261.64</v>
      </c>
      <c r="P45">
        <v>0</v>
      </c>
    </row>
    <row r="46" spans="1:16" s="2" customFormat="1" x14ac:dyDescent="0.25">
      <c r="A46" s="2">
        <v>48583139</v>
      </c>
      <c r="B46" s="2">
        <v>48583151</v>
      </c>
      <c r="C46" s="2" t="str">
        <f>"UNIMEDSJN"</f>
        <v>UNIMEDSJN</v>
      </c>
      <c r="D46" s="2" t="str">
        <f>"DH"</f>
        <v>DH</v>
      </c>
      <c r="E46" s="2" t="str">
        <f>"Ana Maria Luercio Badaro"</f>
        <v>Ana Maria Luercio Badaro</v>
      </c>
      <c r="F46" s="2" t="str">
        <f>"48583139-1/1"</f>
        <v>48583139-1/1</v>
      </c>
      <c r="G46" s="2" t="str">
        <f>"Carteira 21"</f>
        <v>Carteira 21</v>
      </c>
      <c r="H46" s="2">
        <v>23</v>
      </c>
      <c r="I46" s="3">
        <v>79</v>
      </c>
      <c r="J46" s="2" t="str">
        <f>"02/01/2020"</f>
        <v>02/01/2020</v>
      </c>
      <c r="K46" s="2" t="str">
        <f>"25/01/2020"</f>
        <v>25/01/2020</v>
      </c>
      <c r="L46" s="2" t="str">
        <f>"11/02/2020"</f>
        <v>11/02/2020</v>
      </c>
      <c r="M46" s="2" t="str">
        <f>"12/02/2020"</f>
        <v>12/02/2020</v>
      </c>
      <c r="N46" s="2">
        <v>900.95</v>
      </c>
      <c r="O46" s="2">
        <v>923.43</v>
      </c>
      <c r="P46" s="2">
        <v>0.64999999999997704</v>
      </c>
    </row>
    <row r="47" spans="1:16" s="2" customFormat="1" x14ac:dyDescent="0.25">
      <c r="A47" s="2">
        <v>48573018</v>
      </c>
      <c r="B47" s="2">
        <v>48573032</v>
      </c>
      <c r="C47" s="2" t="str">
        <f>"UNIMEDSJN"</f>
        <v>UNIMEDSJN</v>
      </c>
      <c r="D47" s="2" t="str">
        <f>"DH"</f>
        <v>DH</v>
      </c>
      <c r="E47" s="2" t="str">
        <f>"ANA PAULA LOURENCO SOARES DE MOURA"</f>
        <v>ANA PAULA LOURENCO SOARES DE MOURA</v>
      </c>
      <c r="F47" s="2" t="str">
        <f>"48573018-1/1"</f>
        <v>48573018-1/1</v>
      </c>
      <c r="G47" s="2" t="str">
        <f>"Carteira 21"</f>
        <v>Carteira 21</v>
      </c>
      <c r="H47" s="2">
        <v>23</v>
      </c>
      <c r="I47" s="3">
        <v>79</v>
      </c>
      <c r="J47" s="2" t="str">
        <f>"02/01/2020"</f>
        <v>02/01/2020</v>
      </c>
      <c r="K47" s="2" t="str">
        <f>"25/01/2020"</f>
        <v>25/01/2020</v>
      </c>
      <c r="L47" s="2" t="str">
        <f>"10/02/2020"</f>
        <v>10/02/2020</v>
      </c>
      <c r="M47" s="2" t="str">
        <f>"11/02/2020"</f>
        <v>11/02/2020</v>
      </c>
      <c r="N47" s="2">
        <v>82.39</v>
      </c>
      <c r="O47" s="2">
        <v>84.42</v>
      </c>
      <c r="P47" s="2">
        <v>6.0000000000002301E-2</v>
      </c>
    </row>
    <row r="48" spans="1:16" s="2" customFormat="1" x14ac:dyDescent="0.25">
      <c r="A48" s="2">
        <v>48580860</v>
      </c>
      <c r="B48" s="2">
        <v>48580872</v>
      </c>
      <c r="C48" s="2" t="str">
        <f>"UNIMEDSJN"</f>
        <v>UNIMEDSJN</v>
      </c>
      <c r="D48" s="2" t="str">
        <f>"DH"</f>
        <v>DH</v>
      </c>
      <c r="E48" s="2" t="str">
        <f>"Anderson Cleiton Pereira Bastos"</f>
        <v>Anderson Cleiton Pereira Bastos</v>
      </c>
      <c r="F48" s="2" t="str">
        <f>"48580860-1/1"</f>
        <v>48580860-1/1</v>
      </c>
      <c r="G48" s="2" t="str">
        <f>"Carteira 21"</f>
        <v>Carteira 21</v>
      </c>
      <c r="H48" s="2">
        <v>23</v>
      </c>
      <c r="I48" s="3">
        <v>79</v>
      </c>
      <c r="J48" s="2" t="str">
        <f>"02/01/2020"</f>
        <v>02/01/2020</v>
      </c>
      <c r="K48" s="2" t="str">
        <f>"25/01/2020"</f>
        <v>25/01/2020</v>
      </c>
      <c r="L48" s="2" t="str">
        <f>"07/02/2020"</f>
        <v>07/02/2020</v>
      </c>
      <c r="M48" s="2" t="str">
        <f>"10/02/2020"</f>
        <v>10/02/2020</v>
      </c>
      <c r="N48" s="2">
        <v>492.33</v>
      </c>
      <c r="O48" s="2">
        <v>503.97</v>
      </c>
      <c r="P48" s="2">
        <v>0.33999999999997499</v>
      </c>
    </row>
    <row r="49" spans="1:16" s="2" customFormat="1" x14ac:dyDescent="0.25">
      <c r="A49" s="2">
        <v>45928418</v>
      </c>
      <c r="B49" s="2">
        <v>45928425</v>
      </c>
      <c r="C49" s="2" t="str">
        <f>"UNIMEDSJN"</f>
        <v>UNIMEDSJN</v>
      </c>
      <c r="D49" s="2" t="str">
        <f>"DH"</f>
        <v>DH</v>
      </c>
      <c r="E49" s="2" t="str">
        <f>"Andre Luis Novaes Candido"</f>
        <v>Andre Luis Novaes Candido</v>
      </c>
      <c r="F49" s="2" t="str">
        <f>"45928418-1/1"</f>
        <v>45928418-1/1</v>
      </c>
      <c r="G49" s="2" t="str">
        <f>"Carteira 21"</f>
        <v>Carteira 21</v>
      </c>
      <c r="H49" s="2">
        <v>24</v>
      </c>
      <c r="I49" s="3">
        <v>140</v>
      </c>
      <c r="J49" s="2" t="str">
        <f>"01/11/2019"</f>
        <v>01/11/2019</v>
      </c>
      <c r="K49" s="2" t="str">
        <f>"25/11/2019"</f>
        <v>25/11/2019</v>
      </c>
      <c r="L49" s="2" t="str">
        <f>"19/02/2020"</f>
        <v>19/02/2020</v>
      </c>
      <c r="M49" s="2" t="str">
        <f>"20/02/2020"</f>
        <v>20/02/2020</v>
      </c>
      <c r="N49" s="2">
        <v>314.17</v>
      </c>
      <c r="O49" s="2">
        <v>329.37</v>
      </c>
      <c r="P49" s="2">
        <v>9.0000000000031805E-2</v>
      </c>
    </row>
    <row r="50" spans="1:16" s="2" customFormat="1" x14ac:dyDescent="0.25">
      <c r="A50" s="2">
        <v>47508574</v>
      </c>
      <c r="B50" s="2">
        <v>47508581</v>
      </c>
      <c r="C50" s="2" t="str">
        <f>"UNIMEDSJN"</f>
        <v>UNIMEDSJN</v>
      </c>
      <c r="D50" s="2" t="str">
        <f>"DH"</f>
        <v>DH</v>
      </c>
      <c r="E50" s="2" t="str">
        <f>"Andre Luis Novaes Candido"</f>
        <v>Andre Luis Novaes Candido</v>
      </c>
      <c r="F50" s="2" t="str">
        <f>"47508574-1/1"</f>
        <v>47508574-1/1</v>
      </c>
      <c r="G50" s="2" t="str">
        <f>"Carteira 21"</f>
        <v>Carteira 21</v>
      </c>
      <c r="H50" s="2">
        <v>24</v>
      </c>
      <c r="I50" s="3">
        <v>110</v>
      </c>
      <c r="J50" s="2" t="str">
        <f>"01/12/2019"</f>
        <v>01/12/2019</v>
      </c>
      <c r="K50" s="2" t="str">
        <f>"25/12/2019"</f>
        <v>25/12/2019</v>
      </c>
      <c r="L50" s="2" t="str">
        <f>"19/02/2020"</f>
        <v>19/02/2020</v>
      </c>
      <c r="M50" s="2" t="str">
        <f>"20/02/2020"</f>
        <v>20/02/2020</v>
      </c>
      <c r="N50" s="2">
        <v>314.17</v>
      </c>
      <c r="O50" s="2">
        <v>326.26</v>
      </c>
      <c r="P50" s="2">
        <v>5.0000000000011403E-2</v>
      </c>
    </row>
    <row r="51" spans="1:16" s="2" customFormat="1" x14ac:dyDescent="0.25">
      <c r="A51" s="2">
        <v>48583688</v>
      </c>
      <c r="B51" s="2">
        <v>48583695</v>
      </c>
      <c r="C51" s="2" t="str">
        <f>"UNIMEDSJN"</f>
        <v>UNIMEDSJN</v>
      </c>
      <c r="D51" s="2" t="str">
        <f>"DH"</f>
        <v>DH</v>
      </c>
      <c r="E51" s="2" t="str">
        <f>"Andre Luis Novaes Candido"</f>
        <v>Andre Luis Novaes Candido</v>
      </c>
      <c r="F51" s="2" t="str">
        <f>"48583688-1/1"</f>
        <v>48583688-1/1</v>
      </c>
      <c r="G51" s="2" t="str">
        <f>"Carteira 21"</f>
        <v>Carteira 21</v>
      </c>
      <c r="H51" s="2">
        <v>23</v>
      </c>
      <c r="I51" s="3">
        <v>79</v>
      </c>
      <c r="J51" s="2" t="str">
        <f>"02/01/2020"</f>
        <v>02/01/2020</v>
      </c>
      <c r="K51" s="2" t="str">
        <f>"25/01/2020"</f>
        <v>25/01/2020</v>
      </c>
      <c r="L51" s="2" t="str">
        <f>"27/01/2020"</f>
        <v>27/01/2020</v>
      </c>
      <c r="M51" s="2" t="str">
        <f>"27/12/2019"</f>
        <v>27/12/2019</v>
      </c>
      <c r="N51" s="2">
        <v>314.17</v>
      </c>
      <c r="O51" s="2">
        <v>314.17</v>
      </c>
      <c r="P51" s="2">
        <v>0</v>
      </c>
    </row>
    <row r="52" spans="1:16" s="2" customFormat="1" x14ac:dyDescent="0.25">
      <c r="A52" s="2">
        <v>48574882</v>
      </c>
      <c r="B52" s="2">
        <v>48574894</v>
      </c>
      <c r="C52" s="2" t="str">
        <f>"UNIMEDSJN"</f>
        <v>UNIMEDSJN</v>
      </c>
      <c r="D52" s="2" t="str">
        <f>"DH"</f>
        <v>DH</v>
      </c>
      <c r="E52" s="2" t="str">
        <f>"Andrea Candida da Costa"</f>
        <v>Andrea Candida da Costa</v>
      </c>
      <c r="F52" s="2" t="str">
        <f>"48574882-1/1"</f>
        <v>48574882-1/1</v>
      </c>
      <c r="G52" s="2" t="str">
        <f>"Carteira 21"</f>
        <v>Carteira 21</v>
      </c>
      <c r="H52" s="2">
        <v>23</v>
      </c>
      <c r="I52" s="3">
        <v>79</v>
      </c>
      <c r="J52" s="2" t="str">
        <f>"02/01/2020"</f>
        <v>02/01/2020</v>
      </c>
      <c r="K52" s="2" t="str">
        <f>"25/01/2020"</f>
        <v>25/01/2020</v>
      </c>
      <c r="L52" s="2" t="str">
        <f>"21/02/2020"</f>
        <v>21/02/2020</v>
      </c>
      <c r="M52" s="2" t="str">
        <f>"24/02/2020"</f>
        <v>24/02/2020</v>
      </c>
      <c r="N52" s="2">
        <v>68.900000000000006</v>
      </c>
      <c r="O52" s="2">
        <v>70.849999999999994</v>
      </c>
      <c r="P52" s="2">
        <v>4.9999999999997199E-2</v>
      </c>
    </row>
    <row r="53" spans="1:16" s="2" customFormat="1" x14ac:dyDescent="0.25">
      <c r="A53" s="2">
        <v>48580401</v>
      </c>
      <c r="B53" s="2">
        <v>48580406</v>
      </c>
      <c r="C53" s="2" t="str">
        <f>"UNIMEDSJN"</f>
        <v>UNIMEDSJN</v>
      </c>
      <c r="D53" s="2" t="str">
        <f>"DH"</f>
        <v>DH</v>
      </c>
      <c r="E53" s="2" t="str">
        <f>"Andrea Candida da Costa"</f>
        <v>Andrea Candida da Costa</v>
      </c>
      <c r="F53" s="2" t="str">
        <f>"48580401-1/1"</f>
        <v>48580401-1/1</v>
      </c>
      <c r="G53" s="2" t="str">
        <f>"Carteira 21"</f>
        <v>Carteira 21</v>
      </c>
      <c r="H53" s="2">
        <v>23</v>
      </c>
      <c r="I53" s="3">
        <v>79</v>
      </c>
      <c r="J53" s="2" t="str">
        <f>"02/01/2020"</f>
        <v>02/01/2020</v>
      </c>
      <c r="K53" s="2" t="str">
        <f>"25/01/2020"</f>
        <v>25/01/2020</v>
      </c>
      <c r="L53" s="2" t="str">
        <f>"21/02/2020"</f>
        <v>21/02/2020</v>
      </c>
      <c r="M53" s="2" t="str">
        <f>"24/02/2020"</f>
        <v>24/02/2020</v>
      </c>
      <c r="N53" s="2">
        <v>149.85</v>
      </c>
      <c r="O53" s="2">
        <v>154.09</v>
      </c>
      <c r="P53" s="2">
        <v>0.109999999999985</v>
      </c>
    </row>
    <row r="54" spans="1:16" s="2" customFormat="1" x14ac:dyDescent="0.25">
      <c r="A54" s="2">
        <v>47492530</v>
      </c>
      <c r="B54" s="2">
        <v>47492542</v>
      </c>
      <c r="C54" s="2" t="str">
        <f>"UNIMEDSJN"</f>
        <v>UNIMEDSJN</v>
      </c>
      <c r="D54" s="2" t="str">
        <f>"DH"</f>
        <v>DH</v>
      </c>
      <c r="E54" s="2" t="str">
        <f>"ANDREA DE CARVALHO REZENDE MACHADO"</f>
        <v>ANDREA DE CARVALHO REZENDE MACHADO</v>
      </c>
      <c r="F54" s="2" t="str">
        <f>"47492530-1/1"</f>
        <v>47492530-1/1</v>
      </c>
      <c r="G54" s="2" t="str">
        <f>"Carteira 21"</f>
        <v>Carteira 21</v>
      </c>
      <c r="H54" s="2">
        <v>14</v>
      </c>
      <c r="I54" s="3">
        <v>120</v>
      </c>
      <c r="J54" s="2" t="str">
        <f>"01/12/2019"</f>
        <v>01/12/2019</v>
      </c>
      <c r="K54" s="2" t="str">
        <f>"15/12/2019"</f>
        <v>15/12/2019</v>
      </c>
      <c r="L54" s="2" t="str">
        <f>"26/02/2020"</f>
        <v>26/02/2020</v>
      </c>
      <c r="M54" s="2" t="str">
        <f>"27/02/2020"</f>
        <v>27/02/2020</v>
      </c>
      <c r="N54" s="2">
        <v>588.17999999999995</v>
      </c>
      <c r="O54" s="2">
        <v>613.91999999999996</v>
      </c>
      <c r="P54" s="2">
        <v>0.330000000000155</v>
      </c>
    </row>
    <row r="55" spans="1:16" s="2" customFormat="1" x14ac:dyDescent="0.25">
      <c r="A55" s="2">
        <v>48567294</v>
      </c>
      <c r="B55" s="2">
        <v>48567305</v>
      </c>
      <c r="C55" s="2" t="str">
        <f>"UNIMEDSJN"</f>
        <v>UNIMEDSJN</v>
      </c>
      <c r="D55" s="2" t="str">
        <f>"DH"</f>
        <v>DH</v>
      </c>
      <c r="E55" s="2" t="str">
        <f>"ANDREA DE CARVALHO REZENDE MACHADO"</f>
        <v>ANDREA DE CARVALHO REZENDE MACHADO</v>
      </c>
      <c r="F55" s="2" t="str">
        <f>"48567294-1/1"</f>
        <v>48567294-1/1</v>
      </c>
      <c r="G55" s="2" t="str">
        <f>"Carteira 21"</f>
        <v>Carteira 21</v>
      </c>
      <c r="H55" s="2">
        <v>13</v>
      </c>
      <c r="I55" s="3">
        <v>89</v>
      </c>
      <c r="J55" s="2" t="str">
        <f>"02/01/2020"</f>
        <v>02/01/2020</v>
      </c>
      <c r="K55" s="2" t="str">
        <f>"15/01/2020"</f>
        <v>15/01/2020</v>
      </c>
      <c r="L55" s="2" t="str">
        <f>"26/02/2020"</f>
        <v>26/02/2020</v>
      </c>
      <c r="M55" s="2" t="str">
        <f>"27/02/2020"</f>
        <v>27/02/2020</v>
      </c>
      <c r="N55" s="2">
        <v>631.41</v>
      </c>
      <c r="O55" s="2">
        <v>652.79</v>
      </c>
      <c r="P55" s="2">
        <v>9.0000000000031805E-2</v>
      </c>
    </row>
    <row r="56" spans="1:16" s="2" customFormat="1" x14ac:dyDescent="0.25">
      <c r="A56" s="2">
        <v>45929196</v>
      </c>
      <c r="B56" s="2">
        <v>45929201</v>
      </c>
      <c r="C56" s="2" t="str">
        <f>"UNIMEDSJN"</f>
        <v>UNIMEDSJN</v>
      </c>
      <c r="D56" s="2" t="str">
        <f>"DH"</f>
        <v>DH</v>
      </c>
      <c r="E56" s="2" t="str">
        <f>"Andrea Silva Guilhermino Correa"</f>
        <v>Andrea Silva Guilhermino Correa</v>
      </c>
      <c r="F56" s="2" t="str">
        <f>"45929196-1/1"</f>
        <v>45929196-1/1</v>
      </c>
      <c r="G56" s="2" t="str">
        <f>"Carteira 21"</f>
        <v>Carteira 21</v>
      </c>
      <c r="H56" s="2">
        <v>24</v>
      </c>
      <c r="I56" s="3">
        <v>140</v>
      </c>
      <c r="J56" s="2" t="str">
        <f>"01/11/2019"</f>
        <v>01/11/2019</v>
      </c>
      <c r="K56" s="2" t="str">
        <f>"25/11/2019"</f>
        <v>25/11/2019</v>
      </c>
      <c r="L56" s="2" t="str">
        <f>"07/02/2020"</f>
        <v>07/02/2020</v>
      </c>
      <c r="M56" s="2" t="str">
        <f>"10/02/2020"</f>
        <v>10/02/2020</v>
      </c>
      <c r="N56" s="2">
        <v>184.73</v>
      </c>
      <c r="O56" s="2">
        <v>192.93</v>
      </c>
      <c r="P56" s="2">
        <v>4.9999999999982898E-2</v>
      </c>
    </row>
    <row r="57" spans="1:16" s="2" customFormat="1" x14ac:dyDescent="0.25">
      <c r="A57" s="2">
        <v>47510573</v>
      </c>
      <c r="B57" s="2">
        <v>47510580</v>
      </c>
      <c r="C57" s="2" t="str">
        <f>"UNIMEDSJN"</f>
        <v>UNIMEDSJN</v>
      </c>
      <c r="D57" s="2" t="str">
        <f>"DH"</f>
        <v>DH</v>
      </c>
      <c r="E57" s="2" t="str">
        <f>"Andrea Silva Guilhermino Correa"</f>
        <v>Andrea Silva Guilhermino Correa</v>
      </c>
      <c r="F57" s="2" t="str">
        <f>"47510573-1/1"</f>
        <v>47510573-1/1</v>
      </c>
      <c r="G57" s="2" t="str">
        <f>"Carteira 21"</f>
        <v>Carteira 21</v>
      </c>
      <c r="H57" s="2">
        <v>24</v>
      </c>
      <c r="I57" s="3">
        <v>110</v>
      </c>
      <c r="J57" s="2" t="str">
        <f>"01/12/2019"</f>
        <v>01/12/2019</v>
      </c>
      <c r="K57" s="2" t="str">
        <f>"25/12/2019"</f>
        <v>25/12/2019</v>
      </c>
      <c r="L57" s="2" t="str">
        <f>"07/02/2020"</f>
        <v>07/02/2020</v>
      </c>
      <c r="M57" s="2" t="str">
        <f>"10/02/2020"</f>
        <v>10/02/2020</v>
      </c>
      <c r="N57" s="2">
        <v>184.73</v>
      </c>
      <c r="O57" s="2">
        <v>191.1</v>
      </c>
      <c r="P57" s="2">
        <v>3.0000000000001099E-2</v>
      </c>
    </row>
    <row r="58" spans="1:16" s="2" customFormat="1" x14ac:dyDescent="0.25">
      <c r="A58" s="2">
        <v>48584529</v>
      </c>
      <c r="B58" s="2">
        <v>48584536</v>
      </c>
      <c r="C58" s="2" t="str">
        <f>"UNIMEDSJN"</f>
        <v>UNIMEDSJN</v>
      </c>
      <c r="D58" s="2" t="str">
        <f>"DH"</f>
        <v>DH</v>
      </c>
      <c r="E58" s="2" t="str">
        <f>"Andrea Silva Guilhermino Correa"</f>
        <v>Andrea Silva Guilhermino Correa</v>
      </c>
      <c r="F58" s="2" t="str">
        <f>"48584529-1/1"</f>
        <v>48584529-1/1</v>
      </c>
      <c r="G58" s="2" t="str">
        <f>"Carteira 21"</f>
        <v>Carteira 21</v>
      </c>
      <c r="H58" s="2">
        <v>23</v>
      </c>
      <c r="I58" s="3">
        <v>79</v>
      </c>
      <c r="J58" s="2" t="str">
        <f>"02/01/2020"</f>
        <v>02/01/2020</v>
      </c>
      <c r="K58" s="2" t="str">
        <f>"25/01/2020"</f>
        <v>25/01/2020</v>
      </c>
      <c r="L58" s="2" t="str">
        <f>"07/02/2020"</f>
        <v>07/02/2020</v>
      </c>
      <c r="M58" s="2" t="str">
        <f>"10/02/2020"</f>
        <v>10/02/2020</v>
      </c>
      <c r="N58" s="2">
        <v>198.31</v>
      </c>
      <c r="O58" s="2">
        <v>203</v>
      </c>
      <c r="P58" s="2">
        <v>0.140000000000015</v>
      </c>
    </row>
    <row r="59" spans="1:16" s="2" customFormat="1" x14ac:dyDescent="0.25">
      <c r="A59" s="2">
        <v>48579406</v>
      </c>
      <c r="B59" s="2">
        <v>48579416</v>
      </c>
      <c r="C59" s="2" t="str">
        <f>"UNIMEDSJN"</f>
        <v>UNIMEDSJN</v>
      </c>
      <c r="D59" s="2" t="str">
        <f>"DH"</f>
        <v>DH</v>
      </c>
      <c r="E59" s="2" t="str">
        <f>"ANDREIA MARIA JUSTINO DA COSTA"</f>
        <v>ANDREIA MARIA JUSTINO DA COSTA</v>
      </c>
      <c r="F59" s="2" t="str">
        <f>"48579406-1/1"</f>
        <v>48579406-1/1</v>
      </c>
      <c r="G59" s="2" t="str">
        <f>"Carteira 21"</f>
        <v>Carteira 21</v>
      </c>
      <c r="H59" s="2">
        <v>23</v>
      </c>
      <c r="I59" s="3">
        <v>79</v>
      </c>
      <c r="J59" s="2" t="str">
        <f>"02/01/2020"</f>
        <v>02/01/2020</v>
      </c>
      <c r="K59" s="2" t="str">
        <f>"25/01/2020"</f>
        <v>25/01/2020</v>
      </c>
      <c r="L59" s="2" t="str">
        <f>"10/02/2020"</f>
        <v>10/02/2020</v>
      </c>
      <c r="M59" s="2" t="str">
        <f>"11/02/2020"</f>
        <v>11/02/2020</v>
      </c>
      <c r="N59" s="2">
        <v>149.85</v>
      </c>
      <c r="O59" s="2">
        <v>153.54</v>
      </c>
      <c r="P59" s="2">
        <v>0.110000000000014</v>
      </c>
    </row>
    <row r="60" spans="1:16" x14ac:dyDescent="0.25">
      <c r="A60">
        <v>48615530</v>
      </c>
      <c r="B60">
        <v>48615538</v>
      </c>
      <c r="C60" t="str">
        <f>"UNIMEDSJN"</f>
        <v>UNIMEDSJN</v>
      </c>
      <c r="D60" t="str">
        <f>"DH"</f>
        <v>DH</v>
      </c>
      <c r="E60" t="str">
        <f>"ANGELA AUGUSTA CORREA DE OLIVEIRA"</f>
        <v>ANGELA AUGUSTA CORREA DE OLIVEIRA</v>
      </c>
      <c r="F60" t="str">
        <f>"48615530-1/1"</f>
        <v>48615530-1/1</v>
      </c>
      <c r="G60" t="str">
        <f>"Carteira 21"</f>
        <v>Carteira 21</v>
      </c>
      <c r="H60">
        <v>27</v>
      </c>
      <c r="I60" s="1">
        <v>57</v>
      </c>
      <c r="J60" t="str">
        <f>"20/01/2020"</f>
        <v>20/01/2020</v>
      </c>
      <c r="K60" t="str">
        <f>"16/02/2020"</f>
        <v>16/02/2020</v>
      </c>
      <c r="L60" t="str">
        <f>"17/02/2020"</f>
        <v>17/02/2020</v>
      </c>
      <c r="M60" t="str">
        <f>"07/02/2020"</f>
        <v>07/02/2020</v>
      </c>
      <c r="N60">
        <v>832.59</v>
      </c>
      <c r="O60">
        <v>832.59</v>
      </c>
      <c r="P60">
        <v>0</v>
      </c>
    </row>
    <row r="61" spans="1:16" s="2" customFormat="1" x14ac:dyDescent="0.25">
      <c r="A61" s="2">
        <v>45928840</v>
      </c>
      <c r="B61" s="2">
        <v>45928851</v>
      </c>
      <c r="C61" s="2" t="str">
        <f>"UNIMEDSJN"</f>
        <v>UNIMEDSJN</v>
      </c>
      <c r="D61" s="2" t="str">
        <f>"DH"</f>
        <v>DH</v>
      </c>
      <c r="E61" s="2" t="str">
        <f>"ANGELA DE LOURDES MENDES EGYDIO"</f>
        <v>ANGELA DE LOURDES MENDES EGYDIO</v>
      </c>
      <c r="F61" s="2" t="str">
        <f>"45928840-1/1"</f>
        <v>45928840-1/1</v>
      </c>
      <c r="G61" s="2" t="str">
        <f>"Carteira 21"</f>
        <v>Carteira 21</v>
      </c>
      <c r="H61" s="2">
        <v>24</v>
      </c>
      <c r="I61" s="3">
        <v>140</v>
      </c>
      <c r="J61" s="2" t="str">
        <f>"01/11/2019"</f>
        <v>01/11/2019</v>
      </c>
      <c r="K61" s="2" t="str">
        <f>"25/11/2019"</f>
        <v>25/11/2019</v>
      </c>
      <c r="L61" s="2" t="str">
        <f>"04/02/2020"</f>
        <v>04/02/2020</v>
      </c>
      <c r="M61" s="2" t="str">
        <f>"05/02/2020"</f>
        <v>05/02/2020</v>
      </c>
      <c r="N61" s="2">
        <v>1160.1199999999999</v>
      </c>
      <c r="O61" s="2">
        <v>1210.5</v>
      </c>
      <c r="P61" s="2">
        <v>0.28000000000019998</v>
      </c>
    </row>
    <row r="62" spans="1:16" s="2" customFormat="1" x14ac:dyDescent="0.25">
      <c r="A62" s="2">
        <v>47509079</v>
      </c>
      <c r="B62" s="2">
        <v>47509097</v>
      </c>
      <c r="C62" s="2" t="str">
        <f>"UNIMEDSJN"</f>
        <v>UNIMEDSJN</v>
      </c>
      <c r="D62" s="2" t="str">
        <f>"DH"</f>
        <v>DH</v>
      </c>
      <c r="E62" s="2" t="str">
        <f>"ANGELA DE LOURDES MENDES EGYDIO"</f>
        <v>ANGELA DE LOURDES MENDES EGYDIO</v>
      </c>
      <c r="F62" s="2" t="str">
        <f>"47509079-1/1"</f>
        <v>47509079-1/1</v>
      </c>
      <c r="G62" s="2" t="str">
        <f>"Carteira 21"</f>
        <v>Carteira 21</v>
      </c>
      <c r="H62" s="2">
        <v>24</v>
      </c>
      <c r="I62" s="3">
        <v>110</v>
      </c>
      <c r="J62" s="2" t="str">
        <f>"01/12/2019"</f>
        <v>01/12/2019</v>
      </c>
      <c r="K62" s="2" t="str">
        <f>"25/12/2019"</f>
        <v>25/12/2019</v>
      </c>
      <c r="L62" s="2" t="str">
        <f>"13/03/2020"</f>
        <v>13/03/2020</v>
      </c>
      <c r="M62" s="2" t="str">
        <f>"16/03/2020"</f>
        <v>16/03/2020</v>
      </c>
      <c r="N62" s="2">
        <v>1160.1199999999999</v>
      </c>
      <c r="O62" s="2">
        <v>1213.56</v>
      </c>
      <c r="P62" s="2">
        <v>0.31000000000017303</v>
      </c>
    </row>
    <row r="63" spans="1:16" s="2" customFormat="1" x14ac:dyDescent="0.25">
      <c r="A63" s="2">
        <v>48583362</v>
      </c>
      <c r="B63" s="2">
        <v>48583373</v>
      </c>
      <c r="C63" s="2" t="str">
        <f>"UNIMEDSJN"</f>
        <v>UNIMEDSJN</v>
      </c>
      <c r="D63" s="2" t="str">
        <f>"DH"</f>
        <v>DH</v>
      </c>
      <c r="E63" s="2" t="str">
        <f>"ANGELA DE LOURDES MENDES EGYDIO"</f>
        <v>ANGELA DE LOURDES MENDES EGYDIO</v>
      </c>
      <c r="F63" s="2" t="str">
        <f>"48583362-1/1"</f>
        <v>48583362-1/1</v>
      </c>
      <c r="G63" s="2" t="str">
        <f>"Carteira 21"</f>
        <v>Carteira 21</v>
      </c>
      <c r="H63" s="2">
        <v>23</v>
      </c>
      <c r="I63" s="3">
        <v>79</v>
      </c>
      <c r="J63" s="2" t="str">
        <f>"02/01/2020"</f>
        <v>02/01/2020</v>
      </c>
      <c r="K63" s="2" t="str">
        <f>"25/01/2020"</f>
        <v>25/01/2020</v>
      </c>
      <c r="L63" s="2" t="str">
        <f>"03/04/2020"</f>
        <v>03/04/2020</v>
      </c>
      <c r="M63" s="2" t="str">
        <f>"06/04/2020"</f>
        <v>06/04/2020</v>
      </c>
      <c r="N63" s="2">
        <v>1160.1199999999999</v>
      </c>
      <c r="O63" s="2">
        <v>1208.97</v>
      </c>
      <c r="P63" s="2">
        <v>1.0299999999999701</v>
      </c>
    </row>
    <row r="64" spans="1:16" x14ac:dyDescent="0.25">
      <c r="A64">
        <v>48794107</v>
      </c>
      <c r="B64">
        <v>48798386</v>
      </c>
      <c r="C64" t="str">
        <f>"UNIMEDSJN"</f>
        <v>UNIMEDSJN</v>
      </c>
      <c r="D64" t="str">
        <f>"DH"</f>
        <v>DH</v>
      </c>
      <c r="E64" t="str">
        <f>"ANGELA MARIA BRAGA MENDONCA"</f>
        <v>ANGELA MARIA BRAGA MENDONCA</v>
      </c>
      <c r="F64" t="str">
        <f>"48794107-1/1"</f>
        <v>48794107-1/1</v>
      </c>
      <c r="G64" t="str">
        <f>"Carteira 21"</f>
        <v>Carteira 21</v>
      </c>
      <c r="H64">
        <v>31</v>
      </c>
      <c r="I64" s="1">
        <v>53</v>
      </c>
      <c r="J64" t="str">
        <f>"20/01/2020"</f>
        <v>20/01/2020</v>
      </c>
      <c r="K64" t="str">
        <f>"20/02/2020"</f>
        <v>20/02/2020</v>
      </c>
      <c r="L64" t="str">
        <f>"20/02/2020"</f>
        <v>20/02/2020</v>
      </c>
      <c r="M64" t="str">
        <f>"18/02/2020"</f>
        <v>18/02/2020</v>
      </c>
      <c r="N64">
        <v>451.29</v>
      </c>
      <c r="O64">
        <v>451.29</v>
      </c>
      <c r="P64">
        <v>0</v>
      </c>
    </row>
    <row r="65" spans="1:16" x14ac:dyDescent="0.25">
      <c r="A65">
        <v>48615478</v>
      </c>
      <c r="B65">
        <v>48615486</v>
      </c>
      <c r="C65" t="str">
        <f>"UNIMEDSJN"</f>
        <v>UNIMEDSJN</v>
      </c>
      <c r="D65" t="str">
        <f>"DH"</f>
        <v>DH</v>
      </c>
      <c r="E65" t="str">
        <f>"Angela Maria Verardo de Souza"</f>
        <v>Angela Maria Verardo de Souza</v>
      </c>
      <c r="F65" t="str">
        <f>"48615478-1/1"</f>
        <v>48615478-1/1</v>
      </c>
      <c r="G65" t="str">
        <f>"Carteira 21"</f>
        <v>Carteira 21</v>
      </c>
      <c r="H65">
        <v>37</v>
      </c>
      <c r="I65" s="1">
        <v>47</v>
      </c>
      <c r="J65" t="str">
        <f>"20/01/2020"</f>
        <v>20/01/2020</v>
      </c>
      <c r="K65" t="str">
        <f>"26/02/2020"</f>
        <v>26/02/2020</v>
      </c>
      <c r="L65" t="str">
        <f>"26/02/2020"</f>
        <v>26/02/2020</v>
      </c>
      <c r="M65" t="str">
        <f>"04/02/2020"</f>
        <v>04/02/2020</v>
      </c>
      <c r="N65">
        <v>270.67</v>
      </c>
      <c r="O65">
        <v>270.67</v>
      </c>
      <c r="P65">
        <v>0</v>
      </c>
    </row>
    <row r="66" spans="1:16" s="2" customFormat="1" x14ac:dyDescent="0.25">
      <c r="A66" s="2">
        <v>44960467</v>
      </c>
      <c r="B66" s="2">
        <v>44960478</v>
      </c>
      <c r="C66" s="2" t="str">
        <f>"UNIMEDSJN"</f>
        <v>UNIMEDSJN</v>
      </c>
      <c r="D66" s="2" t="str">
        <f>"DH"</f>
        <v>DH</v>
      </c>
      <c r="E66" s="2" t="str">
        <f>"Angelica Danelon Silva"</f>
        <v>Angelica Danelon Silva</v>
      </c>
      <c r="F66" s="2" t="str">
        <f>"44960467-1/1"</f>
        <v>44960467-1/1</v>
      </c>
      <c r="G66" s="2" t="str">
        <f>"CARTEIRA PERDA"</f>
        <v>CARTEIRA PERDA</v>
      </c>
      <c r="H66" s="2">
        <v>24</v>
      </c>
      <c r="I66" s="3">
        <v>201</v>
      </c>
      <c r="J66" s="2" t="str">
        <f>"01/09/2019"</f>
        <v>01/09/2019</v>
      </c>
      <c r="K66" s="2" t="str">
        <f>"25/09/2019"</f>
        <v>25/09/2019</v>
      </c>
      <c r="L66" s="2" t="str">
        <f>"25/09/2019"</f>
        <v>25/09/2019</v>
      </c>
      <c r="M66" s="2" t="str">
        <f>"05/03/2020"</f>
        <v>05/03/2020</v>
      </c>
      <c r="N66" s="2">
        <v>72.11</v>
      </c>
      <c r="O66" s="2">
        <v>72.11</v>
      </c>
      <c r="P66" s="2">
        <v>0</v>
      </c>
    </row>
    <row r="67" spans="1:16" s="2" customFormat="1" x14ac:dyDescent="0.25">
      <c r="A67" s="2">
        <v>45085080</v>
      </c>
      <c r="B67" s="2">
        <v>45085089</v>
      </c>
      <c r="C67" s="2" t="str">
        <f>"UNIMEDSJN"</f>
        <v>UNIMEDSJN</v>
      </c>
      <c r="D67" s="2" t="str">
        <f>"DH"</f>
        <v>DH</v>
      </c>
      <c r="E67" s="2" t="str">
        <f>"Angelica Danelon Silva"</f>
        <v>Angelica Danelon Silva</v>
      </c>
      <c r="F67" s="2" t="str">
        <f>"45085080-1/1"</f>
        <v>45085080-1/1</v>
      </c>
      <c r="G67" s="2" t="str">
        <f>"CARTEIRA PERDA"</f>
        <v>CARTEIRA PERDA</v>
      </c>
      <c r="H67" s="2">
        <v>20</v>
      </c>
      <c r="I67" s="3">
        <v>201</v>
      </c>
      <c r="J67" s="2" t="str">
        <f>"05/09/2019"</f>
        <v>05/09/2019</v>
      </c>
      <c r="K67" s="2" t="str">
        <f>"25/09/2019"</f>
        <v>25/09/2019</v>
      </c>
      <c r="L67" s="2" t="str">
        <f>"25/09/2019"</f>
        <v>25/09/2019</v>
      </c>
      <c r="M67" s="2" t="str">
        <f>"05/03/2020"</f>
        <v>05/03/2020</v>
      </c>
      <c r="N67" s="2">
        <v>87.11</v>
      </c>
      <c r="O67" s="2">
        <v>87.11</v>
      </c>
      <c r="P67" s="2">
        <v>0</v>
      </c>
    </row>
    <row r="68" spans="1:16" s="2" customFormat="1" x14ac:dyDescent="0.25">
      <c r="A68" s="2">
        <v>45444686</v>
      </c>
      <c r="B68" s="2">
        <v>45444695</v>
      </c>
      <c r="C68" s="2" t="str">
        <f>"UNIMEDSJN"</f>
        <v>UNIMEDSJN</v>
      </c>
      <c r="D68" s="2" t="str">
        <f>"DH"</f>
        <v>DH</v>
      </c>
      <c r="E68" s="2" t="str">
        <f>"Angelica Danelon Silva"</f>
        <v>Angelica Danelon Silva</v>
      </c>
      <c r="F68" s="2" t="str">
        <f>"45444686-1/1"</f>
        <v>45444686-1/1</v>
      </c>
      <c r="G68" s="2" t="str">
        <f>"CARTEIRA PERDA"</f>
        <v>CARTEIRA PERDA</v>
      </c>
      <c r="H68" s="2">
        <v>24</v>
      </c>
      <c r="I68" s="3">
        <v>171</v>
      </c>
      <c r="J68" s="2" t="str">
        <f>"01/10/2019"</f>
        <v>01/10/2019</v>
      </c>
      <c r="K68" s="2" t="str">
        <f>"25/10/2019"</f>
        <v>25/10/2019</v>
      </c>
      <c r="L68" s="2" t="str">
        <f>"25/10/2019"</f>
        <v>25/10/2019</v>
      </c>
      <c r="M68" s="2" t="str">
        <f>"05/03/2020"</f>
        <v>05/03/2020</v>
      </c>
      <c r="N68" s="2">
        <v>72.11</v>
      </c>
      <c r="O68" s="2">
        <v>72.11</v>
      </c>
      <c r="P68" s="2">
        <v>0</v>
      </c>
    </row>
    <row r="69" spans="1:16" s="2" customFormat="1" x14ac:dyDescent="0.25">
      <c r="A69" s="2">
        <v>45444715</v>
      </c>
      <c r="B69" s="2">
        <v>45444724</v>
      </c>
      <c r="C69" s="2" t="str">
        <f>"UNIMEDSJN"</f>
        <v>UNIMEDSJN</v>
      </c>
      <c r="D69" s="2" t="str">
        <f>"DH"</f>
        <v>DH</v>
      </c>
      <c r="E69" s="2" t="str">
        <f>"Angelica Danelon Silva"</f>
        <v>Angelica Danelon Silva</v>
      </c>
      <c r="F69" s="2" t="str">
        <f>"45444715-1/1"</f>
        <v>45444715-1/1</v>
      </c>
      <c r="G69" s="2" t="str">
        <f>"CARTEIRA PERDA"</f>
        <v>CARTEIRA PERDA</v>
      </c>
      <c r="H69" s="2">
        <v>24</v>
      </c>
      <c r="I69" s="3">
        <v>171</v>
      </c>
      <c r="J69" s="2" t="str">
        <f>"01/10/2019"</f>
        <v>01/10/2019</v>
      </c>
      <c r="K69" s="2" t="str">
        <f>"25/10/2019"</f>
        <v>25/10/2019</v>
      </c>
      <c r="L69" s="2" t="str">
        <f>"25/10/2019"</f>
        <v>25/10/2019</v>
      </c>
      <c r="M69" s="2" t="str">
        <f>"05/03/2020"</f>
        <v>05/03/2020</v>
      </c>
      <c r="N69" s="2">
        <v>72.11</v>
      </c>
      <c r="O69" s="2">
        <v>72.11</v>
      </c>
      <c r="P69" s="2">
        <v>0</v>
      </c>
    </row>
    <row r="70" spans="1:16" s="2" customFormat="1" x14ac:dyDescent="0.25">
      <c r="A70" s="2">
        <v>45922543</v>
      </c>
      <c r="B70" s="2">
        <v>45922559</v>
      </c>
      <c r="C70" s="2" t="str">
        <f>"UNIMEDSJN"</f>
        <v>UNIMEDSJN</v>
      </c>
      <c r="D70" s="2" t="str">
        <f>"DH"</f>
        <v>DH</v>
      </c>
      <c r="E70" s="2" t="str">
        <f>"Angelica Danelon Silva"</f>
        <v>Angelica Danelon Silva</v>
      </c>
      <c r="F70" s="2" t="str">
        <f>"45922543-1/1"</f>
        <v>45922543-1/1</v>
      </c>
      <c r="G70" s="2" t="str">
        <f>"CARTEIRA PERDA"</f>
        <v>CARTEIRA PERDA</v>
      </c>
      <c r="H70" s="2">
        <v>24</v>
      </c>
      <c r="I70" s="3">
        <v>140</v>
      </c>
      <c r="J70" s="2" t="str">
        <f>"01/11/2019"</f>
        <v>01/11/2019</v>
      </c>
      <c r="K70" s="2" t="str">
        <f>"25/11/2019"</f>
        <v>25/11/2019</v>
      </c>
      <c r="L70" s="2" t="str">
        <f>"25/11/2019"</f>
        <v>25/11/2019</v>
      </c>
      <c r="M70" s="2" t="str">
        <f>"05/03/2020"</f>
        <v>05/03/2020</v>
      </c>
      <c r="N70" s="2">
        <v>72.11</v>
      </c>
      <c r="O70" s="2">
        <v>72.11</v>
      </c>
      <c r="P70" s="2">
        <v>0</v>
      </c>
    </row>
    <row r="71" spans="1:16" s="2" customFormat="1" x14ac:dyDescent="0.25">
      <c r="A71" s="2">
        <v>45922569</v>
      </c>
      <c r="B71" s="2">
        <v>45922593</v>
      </c>
      <c r="C71" s="2" t="str">
        <f>"UNIMEDSJN"</f>
        <v>UNIMEDSJN</v>
      </c>
      <c r="D71" s="2" t="str">
        <f>"DH"</f>
        <v>DH</v>
      </c>
      <c r="E71" s="2" t="str">
        <f>"Angelica Danelon Silva"</f>
        <v>Angelica Danelon Silva</v>
      </c>
      <c r="F71" s="2" t="str">
        <f>"45922569-1/1"</f>
        <v>45922569-1/1</v>
      </c>
      <c r="G71" s="2" t="str">
        <f>"CARTEIRA PERDA"</f>
        <v>CARTEIRA PERDA</v>
      </c>
      <c r="H71" s="2">
        <v>24</v>
      </c>
      <c r="I71" s="3">
        <v>140</v>
      </c>
      <c r="J71" s="2" t="str">
        <f>"01/11/2019"</f>
        <v>01/11/2019</v>
      </c>
      <c r="K71" s="2" t="str">
        <f>"25/11/2019"</f>
        <v>25/11/2019</v>
      </c>
      <c r="L71" s="2" t="str">
        <f>"25/11/2019"</f>
        <v>25/11/2019</v>
      </c>
      <c r="M71" s="2" t="str">
        <f>"05/03/2020"</f>
        <v>05/03/2020</v>
      </c>
      <c r="N71" s="2">
        <v>72.11</v>
      </c>
      <c r="O71" s="2">
        <v>72.11</v>
      </c>
      <c r="P71" s="2">
        <v>0</v>
      </c>
    </row>
    <row r="72" spans="1:16" s="2" customFormat="1" x14ac:dyDescent="0.25">
      <c r="A72" s="2">
        <v>47498168</v>
      </c>
      <c r="B72" s="2">
        <v>47498193</v>
      </c>
      <c r="C72" s="2" t="str">
        <f>"UNIMEDSJN"</f>
        <v>UNIMEDSJN</v>
      </c>
      <c r="D72" s="2" t="str">
        <f>"DH"</f>
        <v>DH</v>
      </c>
      <c r="E72" s="2" t="str">
        <f>"Angelica Danelon Silva"</f>
        <v>Angelica Danelon Silva</v>
      </c>
      <c r="F72" s="2" t="str">
        <f>"47498168-1/1"</f>
        <v>47498168-1/1</v>
      </c>
      <c r="G72" s="2" t="str">
        <f>"CARTEIRA PERDA"</f>
        <v>CARTEIRA PERDA</v>
      </c>
      <c r="H72" s="2">
        <v>24</v>
      </c>
      <c r="I72" s="3">
        <v>110</v>
      </c>
      <c r="J72" s="2" t="str">
        <f>"01/12/2019"</f>
        <v>01/12/2019</v>
      </c>
      <c r="K72" s="2" t="str">
        <f>"25/12/2019"</f>
        <v>25/12/2019</v>
      </c>
      <c r="L72" s="2" t="str">
        <f>"25/12/2019"</f>
        <v>25/12/2019</v>
      </c>
      <c r="M72" s="2" t="str">
        <f>"05/03/2020"</f>
        <v>05/03/2020</v>
      </c>
      <c r="N72" s="2">
        <v>72.11</v>
      </c>
      <c r="O72" s="2">
        <v>72.11</v>
      </c>
      <c r="P72" s="2">
        <v>0</v>
      </c>
    </row>
    <row r="73" spans="1:16" s="2" customFormat="1" x14ac:dyDescent="0.25">
      <c r="A73" s="2">
        <v>47498213</v>
      </c>
      <c r="B73" s="2">
        <v>47498230</v>
      </c>
      <c r="C73" s="2" t="str">
        <f>"UNIMEDSJN"</f>
        <v>UNIMEDSJN</v>
      </c>
      <c r="D73" s="2" t="str">
        <f>"DH"</f>
        <v>DH</v>
      </c>
      <c r="E73" s="2" t="str">
        <f>"Angelica Danelon Silva"</f>
        <v>Angelica Danelon Silva</v>
      </c>
      <c r="F73" s="2" t="str">
        <f>"47498213-1/1"</f>
        <v>47498213-1/1</v>
      </c>
      <c r="G73" s="2" t="str">
        <f>"CARTEIRA PERDA"</f>
        <v>CARTEIRA PERDA</v>
      </c>
      <c r="H73" s="2">
        <v>24</v>
      </c>
      <c r="I73" s="3">
        <v>110</v>
      </c>
      <c r="J73" s="2" t="str">
        <f>"01/12/2019"</f>
        <v>01/12/2019</v>
      </c>
      <c r="K73" s="2" t="str">
        <f>"25/12/2019"</f>
        <v>25/12/2019</v>
      </c>
      <c r="L73" s="2" t="str">
        <f>"25/12/2019"</f>
        <v>25/12/2019</v>
      </c>
      <c r="M73" s="2" t="str">
        <f>"05/03/2020"</f>
        <v>05/03/2020</v>
      </c>
      <c r="N73" s="2">
        <v>72.11</v>
      </c>
      <c r="O73" s="2">
        <v>72.11</v>
      </c>
      <c r="P73" s="2">
        <v>0</v>
      </c>
    </row>
    <row r="74" spans="1:16" s="2" customFormat="1" x14ac:dyDescent="0.25">
      <c r="A74" s="2">
        <v>48575125</v>
      </c>
      <c r="B74" s="2">
        <v>48575139</v>
      </c>
      <c r="C74" s="2" t="str">
        <f>"UNIMEDSJN"</f>
        <v>UNIMEDSJN</v>
      </c>
      <c r="D74" s="2" t="str">
        <f>"DH"</f>
        <v>DH</v>
      </c>
      <c r="E74" s="2" t="str">
        <f>"Angelica Danelon Silva"</f>
        <v>Angelica Danelon Silva</v>
      </c>
      <c r="F74" s="2" t="str">
        <f>"48575125-1/1"</f>
        <v>48575125-1/1</v>
      </c>
      <c r="G74" s="2" t="str">
        <f>"CARTEIRA PERDA"</f>
        <v>CARTEIRA PERDA</v>
      </c>
      <c r="H74" s="2">
        <v>23</v>
      </c>
      <c r="I74" s="3">
        <v>79</v>
      </c>
      <c r="J74" s="2" t="str">
        <f>"02/01/2020"</f>
        <v>02/01/2020</v>
      </c>
      <c r="K74" s="2" t="str">
        <f>"25/01/2020"</f>
        <v>25/01/2020</v>
      </c>
      <c r="L74" s="2" t="str">
        <f>"27/01/2020"</f>
        <v>27/01/2020</v>
      </c>
      <c r="M74" s="2" t="str">
        <f>"05/03/2020"</f>
        <v>05/03/2020</v>
      </c>
      <c r="N74" s="2">
        <v>72.11</v>
      </c>
      <c r="O74" s="2">
        <v>72.11</v>
      </c>
      <c r="P74" s="2">
        <v>0</v>
      </c>
    </row>
    <row r="75" spans="1:16" s="2" customFormat="1" x14ac:dyDescent="0.25">
      <c r="A75" s="2">
        <v>48575155</v>
      </c>
      <c r="B75" s="2">
        <v>48575169</v>
      </c>
      <c r="C75" s="2" t="str">
        <f>"UNIMEDSJN"</f>
        <v>UNIMEDSJN</v>
      </c>
      <c r="D75" s="2" t="str">
        <f>"DH"</f>
        <v>DH</v>
      </c>
      <c r="E75" s="2" t="str">
        <f>"Angelica Danelon Silva"</f>
        <v>Angelica Danelon Silva</v>
      </c>
      <c r="F75" s="2" t="str">
        <f>"48575155-1/1"</f>
        <v>48575155-1/1</v>
      </c>
      <c r="G75" s="2" t="str">
        <f>"CARTEIRA PERDA"</f>
        <v>CARTEIRA PERDA</v>
      </c>
      <c r="H75" s="2">
        <v>23</v>
      </c>
      <c r="I75" s="3">
        <v>79</v>
      </c>
      <c r="J75" s="2" t="str">
        <f>"02/01/2020"</f>
        <v>02/01/2020</v>
      </c>
      <c r="K75" s="2" t="str">
        <f>"25/01/2020"</f>
        <v>25/01/2020</v>
      </c>
      <c r="L75" s="2" t="str">
        <f>"27/01/2020"</f>
        <v>27/01/2020</v>
      </c>
      <c r="M75" s="2" t="str">
        <f>"05/03/2020"</f>
        <v>05/03/2020</v>
      </c>
      <c r="N75" s="2">
        <v>72.11</v>
      </c>
      <c r="O75" s="2">
        <v>72.11</v>
      </c>
      <c r="P75" s="2">
        <v>0</v>
      </c>
    </row>
    <row r="76" spans="1:16" s="2" customFormat="1" x14ac:dyDescent="0.25">
      <c r="A76" s="2">
        <v>45923309</v>
      </c>
      <c r="B76" s="2">
        <v>45923314</v>
      </c>
      <c r="C76" s="2" t="str">
        <f>"UNIMEDSJN"</f>
        <v>UNIMEDSJN</v>
      </c>
      <c r="D76" s="2" t="str">
        <f>"DH"</f>
        <v>DH</v>
      </c>
      <c r="E76" s="2" t="str">
        <f>"ANGELICA DE SOUZA REIS"</f>
        <v>ANGELICA DE SOUZA REIS</v>
      </c>
      <c r="F76" s="2" t="str">
        <f>"45923309-1/1"</f>
        <v>45923309-1/1</v>
      </c>
      <c r="G76" s="2" t="str">
        <f>"Carteira 21"</f>
        <v>Carteira 21</v>
      </c>
      <c r="H76" s="2">
        <v>24</v>
      </c>
      <c r="I76" s="3">
        <v>140</v>
      </c>
      <c r="J76" s="2" t="str">
        <f>"01/11/2019"</f>
        <v>01/11/2019</v>
      </c>
      <c r="K76" s="2" t="str">
        <f>"25/11/2019"</f>
        <v>25/11/2019</v>
      </c>
      <c r="L76" s="2" t="str">
        <f>"11/03/2020"</f>
        <v>11/03/2020</v>
      </c>
      <c r="M76" s="2" t="str">
        <f>"12/03/2020"</f>
        <v>12/03/2020</v>
      </c>
      <c r="N76" s="2">
        <v>273.3</v>
      </c>
      <c r="O76" s="2">
        <v>288.42</v>
      </c>
      <c r="P76" s="2">
        <v>9.9999999999965894E-2</v>
      </c>
    </row>
    <row r="77" spans="1:16" s="2" customFormat="1" x14ac:dyDescent="0.25">
      <c r="A77" s="2">
        <v>47499451</v>
      </c>
      <c r="B77" s="2">
        <v>47499462</v>
      </c>
      <c r="C77" s="2" t="str">
        <f>"UNIMEDSJN"</f>
        <v>UNIMEDSJN</v>
      </c>
      <c r="D77" s="2" t="str">
        <f>"DH"</f>
        <v>DH</v>
      </c>
      <c r="E77" s="2" t="str">
        <f>"ANGELICA DE SOUZA REIS"</f>
        <v>ANGELICA DE SOUZA REIS</v>
      </c>
      <c r="F77" s="2" t="str">
        <f>"47499451-1/1"</f>
        <v>47499451-1/1</v>
      </c>
      <c r="G77" s="2" t="str">
        <f>"Carteira 21"</f>
        <v>Carteira 21</v>
      </c>
      <c r="H77" s="2">
        <v>24</v>
      </c>
      <c r="I77" s="3">
        <v>110</v>
      </c>
      <c r="J77" s="2" t="str">
        <f>"01/12/2019"</f>
        <v>01/12/2019</v>
      </c>
      <c r="K77" s="2" t="str">
        <f>"25/12/2019"</f>
        <v>25/12/2019</v>
      </c>
      <c r="L77" s="2" t="str">
        <f>"11/03/2020"</f>
        <v>11/03/2020</v>
      </c>
      <c r="M77" s="2" t="str">
        <f>"12/03/2020"</f>
        <v>12/03/2020</v>
      </c>
      <c r="N77" s="2">
        <v>273.3</v>
      </c>
      <c r="O77" s="2">
        <v>285.72000000000003</v>
      </c>
      <c r="P77" s="2">
        <v>6.0000000000002301E-2</v>
      </c>
    </row>
    <row r="78" spans="1:16" s="2" customFormat="1" x14ac:dyDescent="0.25">
      <c r="A78" s="2">
        <v>48570286</v>
      </c>
      <c r="B78" s="2">
        <v>48570301</v>
      </c>
      <c r="C78" s="2" t="str">
        <f>"UNIMEDSJN"</f>
        <v>UNIMEDSJN</v>
      </c>
      <c r="D78" s="2" t="str">
        <f>"DH"</f>
        <v>DH</v>
      </c>
      <c r="E78" s="2" t="str">
        <f>"Anna Carolina Medina Cataldi"</f>
        <v>Anna Carolina Medina Cataldi</v>
      </c>
      <c r="F78" s="2" t="str">
        <f>"48570286-1/1"</f>
        <v>48570286-1/1</v>
      </c>
      <c r="G78" s="2" t="str">
        <f>"Carteira 21"</f>
        <v>Carteira 21</v>
      </c>
      <c r="H78" s="2">
        <v>23</v>
      </c>
      <c r="I78" s="3">
        <v>79</v>
      </c>
      <c r="J78" s="2" t="str">
        <f>"02/01/2020"</f>
        <v>02/01/2020</v>
      </c>
      <c r="K78" s="2" t="str">
        <f>"25/01/2020"</f>
        <v>25/01/2020</v>
      </c>
      <c r="L78" s="2" t="str">
        <f>"27/03/2020"</f>
        <v>27/03/2020</v>
      </c>
      <c r="M78" s="2" t="str">
        <f>"30/03/2020"</f>
        <v>30/03/2020</v>
      </c>
      <c r="N78" s="2">
        <v>162.47</v>
      </c>
      <c r="O78" s="2">
        <v>168.94</v>
      </c>
      <c r="P78" s="2">
        <v>0.140000000000015</v>
      </c>
    </row>
    <row r="79" spans="1:16" s="2" customFormat="1" x14ac:dyDescent="0.25">
      <c r="A79" s="2">
        <v>48578141</v>
      </c>
      <c r="B79" s="2">
        <v>48578154</v>
      </c>
      <c r="C79" s="2" t="str">
        <f>"UNIMEDSJN"</f>
        <v>UNIMEDSJN</v>
      </c>
      <c r="D79" s="2" t="str">
        <f>"DH"</f>
        <v>DH</v>
      </c>
      <c r="E79" s="2" t="str">
        <f>"ANTHONY SILVEIRA MATHIAS"</f>
        <v>ANTHONY SILVEIRA MATHIAS</v>
      </c>
      <c r="F79" s="2" t="str">
        <f>"48578141-1/1"</f>
        <v>48578141-1/1</v>
      </c>
      <c r="G79" s="2" t="str">
        <f>"Carteira 21"</f>
        <v>Carteira 21</v>
      </c>
      <c r="H79" s="2">
        <v>23</v>
      </c>
      <c r="I79" s="3">
        <v>79</v>
      </c>
      <c r="J79" s="2" t="str">
        <f>"02/01/2020"</f>
        <v>02/01/2020</v>
      </c>
      <c r="K79" s="2" t="str">
        <f>"25/01/2020"</f>
        <v>25/01/2020</v>
      </c>
      <c r="L79" s="2" t="str">
        <f>"05/02/2020"</f>
        <v>05/02/2020</v>
      </c>
      <c r="M79" s="2" t="str">
        <f>"06/02/2020"</f>
        <v>06/02/2020</v>
      </c>
      <c r="N79" s="2">
        <v>150.71</v>
      </c>
      <c r="O79" s="2">
        <v>154.16999999999999</v>
      </c>
      <c r="P79" s="2">
        <v>9.9999999999994302E-2</v>
      </c>
    </row>
    <row r="80" spans="1:16" s="2" customFormat="1" x14ac:dyDescent="0.25">
      <c r="A80" s="2">
        <v>45444118</v>
      </c>
      <c r="B80" s="2">
        <v>45444876</v>
      </c>
      <c r="C80" s="2" t="str">
        <f>"UNIMEDSJN"</f>
        <v>UNIMEDSJN</v>
      </c>
      <c r="D80" s="2" t="str">
        <f>"DH"</f>
        <v>DH</v>
      </c>
      <c r="E80" s="2" t="str">
        <f>"Antonio Abdias de Oliveira"</f>
        <v>Antonio Abdias de Oliveira</v>
      </c>
      <c r="F80" s="2" t="str">
        <f>"45444118-1/1"</f>
        <v>45444118-1/1</v>
      </c>
      <c r="G80" s="2" t="str">
        <f>"Carteira 21"</f>
        <v>Carteira 21</v>
      </c>
      <c r="H80" s="2">
        <v>24</v>
      </c>
      <c r="I80" s="3">
        <v>171</v>
      </c>
      <c r="J80" s="2" t="str">
        <f>"01/10/2019"</f>
        <v>01/10/2019</v>
      </c>
      <c r="K80" s="2" t="str">
        <f>"25/10/2019"</f>
        <v>25/10/2019</v>
      </c>
      <c r="L80" s="2" t="str">
        <f>"25/10/2019"</f>
        <v>25/10/2019</v>
      </c>
      <c r="M80" s="2" t="str">
        <f>"27/09/2019"</f>
        <v>27/09/2019</v>
      </c>
      <c r="N80" s="2">
        <v>68.900000000000006</v>
      </c>
      <c r="O80" s="2">
        <v>68.900000000000006</v>
      </c>
      <c r="P80" s="2">
        <v>0</v>
      </c>
    </row>
    <row r="81" spans="1:16" s="2" customFormat="1" x14ac:dyDescent="0.25">
      <c r="A81" s="2">
        <v>45422453</v>
      </c>
      <c r="B81" s="2">
        <v>45422460</v>
      </c>
      <c r="C81" s="2" t="str">
        <f>"UNIMEDSJN"</f>
        <v>UNIMEDSJN</v>
      </c>
      <c r="D81" s="2" t="str">
        <f>"DH"</f>
        <v>DH</v>
      </c>
      <c r="E81" s="2" t="str">
        <f>"APARECIDA DE FATIMA NICODEMOS MENEZES"</f>
        <v>APARECIDA DE FATIMA NICODEMOS MENEZES</v>
      </c>
      <c r="F81" s="2" t="str">
        <f>"45422453-1/1"</f>
        <v>45422453-1/1</v>
      </c>
      <c r="G81" s="2" t="str">
        <f>"Carteira 21"</f>
        <v>Carteira 21</v>
      </c>
      <c r="H81" s="2">
        <v>14</v>
      </c>
      <c r="I81" s="3">
        <v>181</v>
      </c>
      <c r="J81" s="2" t="str">
        <f>"01/10/2019"</f>
        <v>01/10/2019</v>
      </c>
      <c r="K81" s="2" t="str">
        <f>"15/10/2019"</f>
        <v>15/10/2019</v>
      </c>
      <c r="L81" s="2" t="str">
        <f>"17/02/2020"</f>
        <v>17/02/2020</v>
      </c>
      <c r="M81" s="2" t="str">
        <f>"18/02/2020"</f>
        <v>18/02/2020</v>
      </c>
      <c r="N81" s="2">
        <v>637.27</v>
      </c>
      <c r="O81" s="2">
        <v>676.31</v>
      </c>
      <c r="P81" s="2">
        <v>0.259999999999877</v>
      </c>
    </row>
    <row r="82" spans="1:16" s="2" customFormat="1" x14ac:dyDescent="0.25">
      <c r="A82" s="2">
        <v>48582963</v>
      </c>
      <c r="B82" s="2">
        <v>48582979</v>
      </c>
      <c r="C82" s="2" t="str">
        <f>"UNIMEDSJN"</f>
        <v>UNIMEDSJN</v>
      </c>
      <c r="D82" s="2" t="str">
        <f>"DH"</f>
        <v>DH</v>
      </c>
      <c r="E82" s="2" t="str">
        <f>"ARICESIO DA SILVA NOGUEIRA"</f>
        <v>ARICESIO DA SILVA NOGUEIRA</v>
      </c>
      <c r="F82" s="2" t="str">
        <f>"48582963-1/1"</f>
        <v>48582963-1/1</v>
      </c>
      <c r="G82" s="2" t="str">
        <f>"Carteira 21"</f>
        <v>Carteira 21</v>
      </c>
      <c r="H82" s="2">
        <v>23</v>
      </c>
      <c r="I82" s="3">
        <v>79</v>
      </c>
      <c r="J82" s="2" t="str">
        <f>"02/01/2020"</f>
        <v>02/01/2020</v>
      </c>
      <c r="K82" s="2" t="str">
        <f>"25/01/2020"</f>
        <v>25/01/2020</v>
      </c>
      <c r="L82" s="2" t="str">
        <f>"03/02/2020"</f>
        <v>03/02/2020</v>
      </c>
      <c r="M82" s="2" t="str">
        <f>"04/02/2020"</f>
        <v>04/02/2020</v>
      </c>
      <c r="N82" s="2">
        <v>677.76</v>
      </c>
      <c r="O82" s="2">
        <v>692.89</v>
      </c>
      <c r="P82" s="2">
        <v>0.46000000000003599</v>
      </c>
    </row>
    <row r="83" spans="1:16" s="2" customFormat="1" x14ac:dyDescent="0.25">
      <c r="A83" s="2">
        <v>48571424</v>
      </c>
      <c r="B83" s="2">
        <v>48571431</v>
      </c>
      <c r="C83" s="2" t="str">
        <f>"UNIMEDSJN"</f>
        <v>UNIMEDSJN</v>
      </c>
      <c r="D83" s="2" t="str">
        <f>"DH"</f>
        <v>DH</v>
      </c>
      <c r="E83" s="2" t="str">
        <f>"ARTHUR GOMES BARBOSA"</f>
        <v>ARTHUR GOMES BARBOSA</v>
      </c>
      <c r="F83" s="2" t="str">
        <f>"48571424-1/1"</f>
        <v>48571424-1/1</v>
      </c>
      <c r="G83" s="2" t="str">
        <f>"Carteira 21"</f>
        <v>Carteira 21</v>
      </c>
      <c r="H83" s="2">
        <v>23</v>
      </c>
      <c r="I83" s="3">
        <v>79</v>
      </c>
      <c r="J83" s="2" t="str">
        <f>"02/01/2020"</f>
        <v>02/01/2020</v>
      </c>
      <c r="K83" s="2" t="str">
        <f>"25/01/2020"</f>
        <v>25/01/2020</v>
      </c>
      <c r="L83" s="2" t="str">
        <f>"17/02/2020"</f>
        <v>17/02/2020</v>
      </c>
      <c r="M83" s="2" t="str">
        <f>"18/02/2020"</f>
        <v>18/02/2020</v>
      </c>
      <c r="N83" s="2">
        <v>269.02999999999997</v>
      </c>
      <c r="O83" s="2">
        <v>276.27</v>
      </c>
      <c r="P83" s="2">
        <v>0.200000000000045</v>
      </c>
    </row>
    <row r="84" spans="1:16" s="2" customFormat="1" x14ac:dyDescent="0.25">
      <c r="A84" s="2">
        <v>48585672</v>
      </c>
      <c r="B84" s="2">
        <v>48585679</v>
      </c>
      <c r="C84" s="2" t="str">
        <f>"UNIMEDSJN"</f>
        <v>UNIMEDSJN</v>
      </c>
      <c r="D84" s="2" t="str">
        <f>"DH"</f>
        <v>DH</v>
      </c>
      <c r="E84" s="2" t="str">
        <f>"Arthur Luis Romagnoli"</f>
        <v>Arthur Luis Romagnoli</v>
      </c>
      <c r="F84" s="2" t="str">
        <f>"48585672-1/1"</f>
        <v>48585672-1/1</v>
      </c>
      <c r="G84" s="2" t="str">
        <f>"Carteira 21"</f>
        <v>Carteira 21</v>
      </c>
      <c r="H84" s="2">
        <v>23</v>
      </c>
      <c r="I84" s="3">
        <v>79</v>
      </c>
      <c r="J84" s="2" t="str">
        <f>"02/01/2020"</f>
        <v>02/01/2020</v>
      </c>
      <c r="K84" s="2" t="str">
        <f>"25/01/2020"</f>
        <v>25/01/2020</v>
      </c>
      <c r="L84" s="2" t="str">
        <f>"17/02/2020"</f>
        <v>17/02/2020</v>
      </c>
      <c r="M84" s="2" t="str">
        <f>"18/02/2020"</f>
        <v>18/02/2020</v>
      </c>
      <c r="N84" s="2">
        <v>186.68</v>
      </c>
      <c r="O84" s="2">
        <v>191.7</v>
      </c>
      <c r="P84" s="2">
        <v>0.139999999999986</v>
      </c>
    </row>
    <row r="85" spans="1:16" s="2" customFormat="1" x14ac:dyDescent="0.25">
      <c r="A85" s="2">
        <v>48577589</v>
      </c>
      <c r="B85" s="2">
        <v>48577600</v>
      </c>
      <c r="C85" s="2" t="str">
        <f>"UNIMEDSJN"</f>
        <v>UNIMEDSJN</v>
      </c>
      <c r="D85" s="2" t="str">
        <f>"DH"</f>
        <v>DH</v>
      </c>
      <c r="E85" s="2" t="str">
        <f>"ARY DE OLIVEIRA COSTA NETO"</f>
        <v>ARY DE OLIVEIRA COSTA NETO</v>
      </c>
      <c r="F85" s="2" t="str">
        <f>"48577589-1/1"</f>
        <v>48577589-1/1</v>
      </c>
      <c r="G85" s="2" t="str">
        <f>"Carteira 21"</f>
        <v>Carteira 21</v>
      </c>
      <c r="H85" s="2">
        <v>23</v>
      </c>
      <c r="I85" s="3">
        <v>79</v>
      </c>
      <c r="J85" s="2" t="str">
        <f>"02/01/2020"</f>
        <v>02/01/2020</v>
      </c>
      <c r="K85" s="2" t="str">
        <f>"25/01/2020"</f>
        <v>25/01/2020</v>
      </c>
      <c r="L85" s="2" t="str">
        <f>"10/02/2020"</f>
        <v>10/02/2020</v>
      </c>
      <c r="M85" s="2" t="str">
        <f>"11/02/2020"</f>
        <v>11/02/2020</v>
      </c>
      <c r="N85" s="2">
        <v>152.87</v>
      </c>
      <c r="O85" s="2">
        <v>156.63999999999999</v>
      </c>
      <c r="P85" s="2">
        <v>0.109999999999985</v>
      </c>
    </row>
    <row r="86" spans="1:16" x14ac:dyDescent="0.25">
      <c r="A86">
        <v>48794011</v>
      </c>
      <c r="B86">
        <v>48794020</v>
      </c>
      <c r="C86" t="str">
        <f>"UNIMEDSJN"</f>
        <v>UNIMEDSJN</v>
      </c>
      <c r="D86" t="str">
        <f>"DH"</f>
        <v>DH</v>
      </c>
      <c r="E86" t="str">
        <f>"AUGUSTO INACIO DE OLIVEIRA"</f>
        <v>AUGUSTO INACIO DE OLIVEIRA</v>
      </c>
      <c r="F86" t="str">
        <f>"48794011-1/1"</f>
        <v>48794011-1/1</v>
      </c>
      <c r="G86" t="str">
        <f>"Carteira 21"</f>
        <v>Carteira 21</v>
      </c>
      <c r="H86">
        <v>37</v>
      </c>
      <c r="I86" s="1">
        <v>47</v>
      </c>
      <c r="J86" t="str">
        <f>"20/01/2020"</f>
        <v>20/01/2020</v>
      </c>
      <c r="K86" t="str">
        <f>"26/02/2020"</f>
        <v>26/02/2020</v>
      </c>
      <c r="L86" t="str">
        <f>"26/02/2020"</f>
        <v>26/02/2020</v>
      </c>
      <c r="M86" t="str">
        <f>"24/02/2020"</f>
        <v>24/02/2020</v>
      </c>
      <c r="N86">
        <v>370.87</v>
      </c>
      <c r="O86">
        <v>370.87</v>
      </c>
      <c r="P86">
        <v>0</v>
      </c>
    </row>
    <row r="87" spans="1:16" s="2" customFormat="1" x14ac:dyDescent="0.25">
      <c r="A87" s="2">
        <v>47509004</v>
      </c>
      <c r="B87" s="2">
        <v>47509009</v>
      </c>
      <c r="C87" s="2" t="str">
        <f>"UNIMEDSJN"</f>
        <v>UNIMEDSJN</v>
      </c>
      <c r="D87" s="2" t="str">
        <f>"DH"</f>
        <v>DH</v>
      </c>
      <c r="E87" s="2" t="str">
        <f>"AUGUSTO PEREIRA DE REZENDE"</f>
        <v>AUGUSTO PEREIRA DE REZENDE</v>
      </c>
      <c r="F87" s="2" t="str">
        <f>"47509004-1/1"</f>
        <v>47509004-1/1</v>
      </c>
      <c r="G87" s="2" t="str">
        <f>"Carteira 21"</f>
        <v>Carteira 21</v>
      </c>
      <c r="H87" s="2">
        <v>24</v>
      </c>
      <c r="I87" s="3">
        <v>110</v>
      </c>
      <c r="J87" s="2" t="str">
        <f>"01/12/2019"</f>
        <v>01/12/2019</v>
      </c>
      <c r="K87" s="2" t="str">
        <f>"25/12/2019"</f>
        <v>25/12/2019</v>
      </c>
      <c r="L87" s="2" t="str">
        <f>"07/02/2020"</f>
        <v>07/02/2020</v>
      </c>
      <c r="M87" s="2" t="str">
        <f>"10/02/2020"</f>
        <v>10/02/2020</v>
      </c>
      <c r="N87" s="2">
        <v>1108.8800000000001</v>
      </c>
      <c r="O87" s="2">
        <v>1147.1600000000001</v>
      </c>
      <c r="P87" s="2">
        <v>0.16000000000008199</v>
      </c>
    </row>
    <row r="88" spans="1:16" s="2" customFormat="1" x14ac:dyDescent="0.25">
      <c r="A88" s="2">
        <v>48583743</v>
      </c>
      <c r="B88" s="2">
        <v>48583753</v>
      </c>
      <c r="C88" s="2" t="str">
        <f>"UNIMEDSJN"</f>
        <v>UNIMEDSJN</v>
      </c>
      <c r="D88" s="2" t="str">
        <f>"DH"</f>
        <v>DH</v>
      </c>
      <c r="E88" s="2" t="str">
        <f>"AUGUSTO PEREIRA DE REZENDE"</f>
        <v>AUGUSTO PEREIRA DE REZENDE</v>
      </c>
      <c r="F88" s="2" t="str">
        <f>"48583743-1/1"</f>
        <v>48583743-1/1</v>
      </c>
      <c r="G88" s="2" t="str">
        <f>"Carteira 21"</f>
        <v>Carteira 21</v>
      </c>
      <c r="H88" s="2">
        <v>23</v>
      </c>
      <c r="I88" s="3">
        <v>79</v>
      </c>
      <c r="J88" s="2" t="str">
        <f>"02/01/2020"</f>
        <v>02/01/2020</v>
      </c>
      <c r="K88" s="2" t="str">
        <f>"25/01/2020"</f>
        <v>25/01/2020</v>
      </c>
      <c r="L88" s="2" t="str">
        <f>"06/03/2020"</f>
        <v>06/03/2020</v>
      </c>
      <c r="M88" s="2" t="str">
        <f>"09/03/2020"</f>
        <v>09/03/2020</v>
      </c>
      <c r="N88" s="2">
        <v>1108.8800000000001</v>
      </c>
      <c r="O88" s="2">
        <v>1145.33</v>
      </c>
      <c r="P88" s="2">
        <v>0.88000000000010903</v>
      </c>
    </row>
    <row r="89" spans="1:16" s="2" customFormat="1" x14ac:dyDescent="0.25">
      <c r="A89" s="2">
        <v>45909222</v>
      </c>
      <c r="B89" s="2">
        <v>45909229</v>
      </c>
      <c r="C89" s="2" t="str">
        <f>"UNIMEDSJN"</f>
        <v>UNIMEDSJN</v>
      </c>
      <c r="D89" s="2" t="str">
        <f>"DH"</f>
        <v>DH</v>
      </c>
      <c r="E89" s="2" t="str">
        <f>"BARBARA MARIA DA COSTA DORNELAS"</f>
        <v>BARBARA MARIA DA COSTA DORNELAS</v>
      </c>
      <c r="F89" s="2" t="str">
        <f>"45909222-1/1"</f>
        <v>45909222-1/1</v>
      </c>
      <c r="G89" s="2" t="str">
        <f>"Carteira 21"</f>
        <v>Carteira 21</v>
      </c>
      <c r="H89" s="2">
        <v>24</v>
      </c>
      <c r="I89" s="3">
        <v>140</v>
      </c>
      <c r="J89" s="2" t="str">
        <f>"01/11/2019"</f>
        <v>01/11/2019</v>
      </c>
      <c r="K89" s="2" t="str">
        <f>"25/11/2019"</f>
        <v>25/11/2019</v>
      </c>
      <c r="L89" s="2" t="str">
        <f>"25/11/2019"</f>
        <v>25/11/2019</v>
      </c>
      <c r="M89" s="2" t="str">
        <f>"31/10/2019"</f>
        <v>31/10/2019</v>
      </c>
      <c r="N89" s="2">
        <v>241.88</v>
      </c>
      <c r="O89" s="2">
        <v>241.88</v>
      </c>
      <c r="P89" s="2">
        <v>0</v>
      </c>
    </row>
    <row r="90" spans="1:16" s="2" customFormat="1" x14ac:dyDescent="0.25">
      <c r="A90" s="2">
        <v>47505793</v>
      </c>
      <c r="B90" s="2">
        <v>47505803</v>
      </c>
      <c r="C90" s="2" t="str">
        <f>"UNIMEDSJN"</f>
        <v>UNIMEDSJN</v>
      </c>
      <c r="D90" s="2" t="str">
        <f>"DH"</f>
        <v>DH</v>
      </c>
      <c r="E90" s="2" t="str">
        <f>"BARBARA MARIA DA COSTA DORNELAS"</f>
        <v>BARBARA MARIA DA COSTA DORNELAS</v>
      </c>
      <c r="F90" s="2" t="str">
        <f>"47505793-1/1"</f>
        <v>47505793-1/1</v>
      </c>
      <c r="G90" s="2" t="str">
        <f>"Carteira 21"</f>
        <v>Carteira 21</v>
      </c>
      <c r="H90" s="2">
        <v>24</v>
      </c>
      <c r="I90" s="3">
        <v>110</v>
      </c>
      <c r="J90" s="2" t="str">
        <f>"01/12/2019"</f>
        <v>01/12/2019</v>
      </c>
      <c r="K90" s="2" t="str">
        <f>"25/12/2019"</f>
        <v>25/12/2019</v>
      </c>
      <c r="L90" s="2" t="str">
        <f>"25/12/2019"</f>
        <v>25/12/2019</v>
      </c>
      <c r="M90" s="2" t="str">
        <f>"28/11/2019"</f>
        <v>28/11/2019</v>
      </c>
      <c r="N90" s="2">
        <v>241.88</v>
      </c>
      <c r="O90" s="2">
        <v>241.88</v>
      </c>
      <c r="P90" s="2">
        <v>0</v>
      </c>
    </row>
    <row r="91" spans="1:16" s="2" customFormat="1" x14ac:dyDescent="0.25">
      <c r="A91" s="2">
        <v>48582383</v>
      </c>
      <c r="B91" s="2">
        <v>48582388</v>
      </c>
      <c r="C91" s="2" t="str">
        <f>"UNIMEDSJN"</f>
        <v>UNIMEDSJN</v>
      </c>
      <c r="D91" s="2" t="str">
        <f>"DH"</f>
        <v>DH</v>
      </c>
      <c r="E91" s="2" t="str">
        <f>"BARBARA MARIA DA COSTA DORNELAS"</f>
        <v>BARBARA MARIA DA COSTA DORNELAS</v>
      </c>
      <c r="F91" s="2" t="str">
        <f>"48582383-1/1"</f>
        <v>48582383-1/1</v>
      </c>
      <c r="G91" s="2" t="str">
        <f>"Carteira 21"</f>
        <v>Carteira 21</v>
      </c>
      <c r="H91" s="2">
        <v>23</v>
      </c>
      <c r="I91" s="3">
        <v>79</v>
      </c>
      <c r="J91" s="2" t="str">
        <f>"02/01/2020"</f>
        <v>02/01/2020</v>
      </c>
      <c r="K91" s="2" t="str">
        <f>"25/01/2020"</f>
        <v>25/01/2020</v>
      </c>
      <c r="L91" s="2" t="str">
        <f>"27/01/2020"</f>
        <v>27/01/2020</v>
      </c>
      <c r="M91" s="2" t="str">
        <f>"27/12/2019"</f>
        <v>27/12/2019</v>
      </c>
      <c r="N91" s="2">
        <v>241.88</v>
      </c>
      <c r="O91" s="2">
        <v>241.88</v>
      </c>
      <c r="P91" s="2">
        <v>0</v>
      </c>
    </row>
    <row r="92" spans="1:16" s="2" customFormat="1" x14ac:dyDescent="0.25">
      <c r="A92" s="2">
        <v>48579637</v>
      </c>
      <c r="B92" s="2">
        <v>48579649</v>
      </c>
      <c r="C92" s="2" t="str">
        <f>"UNIMEDSJN"</f>
        <v>UNIMEDSJN</v>
      </c>
      <c r="D92" s="2" t="str">
        <f>"DH"</f>
        <v>DH</v>
      </c>
      <c r="E92" s="2" t="str">
        <f>"BERNADETE DE SOUZA QUEIROZ"</f>
        <v>BERNADETE DE SOUZA QUEIROZ</v>
      </c>
      <c r="F92" s="2" t="str">
        <f>"48579637-1/1"</f>
        <v>48579637-1/1</v>
      </c>
      <c r="G92" s="2" t="str">
        <f>"Carteira 21"</f>
        <v>Carteira 21</v>
      </c>
      <c r="H92" s="2">
        <v>23</v>
      </c>
      <c r="I92" s="3">
        <v>79</v>
      </c>
      <c r="J92" s="2" t="str">
        <f>"02/01/2020"</f>
        <v>02/01/2020</v>
      </c>
      <c r="K92" s="2" t="str">
        <f>"25/01/2020"</f>
        <v>25/01/2020</v>
      </c>
      <c r="L92" s="2" t="str">
        <f>"28/02/2020"</f>
        <v>28/02/2020</v>
      </c>
      <c r="M92" s="2" t="str">
        <f>"13/03/2020"</f>
        <v>13/03/2020</v>
      </c>
      <c r="N92" s="2">
        <v>150.18</v>
      </c>
      <c r="O92" s="2">
        <v>154.76</v>
      </c>
      <c r="P92" s="2">
        <v>0.12000000000000501</v>
      </c>
    </row>
    <row r="93" spans="1:16" s="2" customFormat="1" x14ac:dyDescent="0.25">
      <c r="A93" s="2">
        <v>45926625</v>
      </c>
      <c r="B93" s="2">
        <v>45926637</v>
      </c>
      <c r="C93" s="2" t="str">
        <f>"UNIMEDSJN"</f>
        <v>UNIMEDSJN</v>
      </c>
      <c r="D93" s="2" t="str">
        <f>"DH"</f>
        <v>DH</v>
      </c>
      <c r="E93" s="2" t="str">
        <f>"BRENDA LI DE SOUZA"</f>
        <v>BRENDA LI DE SOUZA</v>
      </c>
      <c r="F93" s="2" t="str">
        <f>"45926625-1/1"</f>
        <v>45926625-1/1</v>
      </c>
      <c r="G93" s="2" t="str">
        <f>"Carteira 21"</f>
        <v>Carteira 21</v>
      </c>
      <c r="H93" s="2">
        <v>24</v>
      </c>
      <c r="I93" s="3">
        <v>140</v>
      </c>
      <c r="J93" s="2" t="str">
        <f>"01/11/2019"</f>
        <v>01/11/2019</v>
      </c>
      <c r="K93" s="2" t="str">
        <f>"25/11/2019"</f>
        <v>25/11/2019</v>
      </c>
      <c r="L93" s="2" t="str">
        <f>"20/02/2020"</f>
        <v>20/02/2020</v>
      </c>
      <c r="M93" s="2" t="str">
        <f>"21/02/2020"</f>
        <v>21/02/2020</v>
      </c>
      <c r="N93" s="2">
        <v>229.29</v>
      </c>
      <c r="O93" s="2">
        <v>240.46</v>
      </c>
      <c r="P93" s="2">
        <v>6.9999999999993207E-2</v>
      </c>
    </row>
    <row r="94" spans="1:16" s="2" customFormat="1" x14ac:dyDescent="0.25">
      <c r="A94" s="2">
        <v>48578342</v>
      </c>
      <c r="B94" s="2">
        <v>48578352</v>
      </c>
      <c r="C94" s="2" t="str">
        <f>"UNIMEDSJN"</f>
        <v>UNIMEDSJN</v>
      </c>
      <c r="D94" s="2" t="str">
        <f>"DH"</f>
        <v>DH</v>
      </c>
      <c r="E94" s="2" t="str">
        <f>"BRENDA LI DE SOUZA"</f>
        <v>BRENDA LI DE SOUZA</v>
      </c>
      <c r="F94" s="2" t="str">
        <f>"48578342-1/1"</f>
        <v>48578342-1/1</v>
      </c>
      <c r="G94" s="2" t="str">
        <f>"Carteira 21"</f>
        <v>Carteira 21</v>
      </c>
      <c r="H94" s="2">
        <v>23</v>
      </c>
      <c r="I94" s="3">
        <v>79</v>
      </c>
      <c r="J94" s="2" t="str">
        <f>"02/01/2020"</f>
        <v>02/01/2020</v>
      </c>
      <c r="K94" s="2" t="str">
        <f>"25/01/2020"</f>
        <v>25/01/2020</v>
      </c>
      <c r="L94" s="2" t="str">
        <f>"27/01/2020"</f>
        <v>27/01/2020</v>
      </c>
      <c r="M94" s="2" t="str">
        <f>"27/12/2019"</f>
        <v>27/12/2019</v>
      </c>
      <c r="N94" s="2">
        <v>229.29</v>
      </c>
      <c r="O94" s="2">
        <v>229.29</v>
      </c>
      <c r="P94" s="2">
        <v>0</v>
      </c>
    </row>
    <row r="95" spans="1:16" x14ac:dyDescent="0.25">
      <c r="A95">
        <v>48580514</v>
      </c>
      <c r="B95">
        <v>48580526</v>
      </c>
      <c r="C95" t="str">
        <f>"UNIMEDSJN"</f>
        <v>UNIMEDSJN</v>
      </c>
      <c r="D95" t="str">
        <f>"DH"</f>
        <v>DH</v>
      </c>
      <c r="E95" t="str">
        <f>"Bruna Cristina Pereira Ferreira"</f>
        <v>Bruna Cristina Pereira Ferreira</v>
      </c>
      <c r="F95" t="str">
        <f>"48580514-1/1"</f>
        <v>48580514-1/1</v>
      </c>
      <c r="G95" t="str">
        <f>"Carteira 21"</f>
        <v>Carteira 21</v>
      </c>
      <c r="H95">
        <v>53</v>
      </c>
      <c r="I95" s="1">
        <v>49</v>
      </c>
      <c r="J95" t="str">
        <f>"02/01/2020"</f>
        <v>02/01/2020</v>
      </c>
      <c r="K95" t="str">
        <f>"24/02/2020"</f>
        <v>24/02/2020</v>
      </c>
      <c r="L95" t="str">
        <f>"30/03/2020"</f>
        <v>30/03/2020</v>
      </c>
      <c r="M95" t="str">
        <f>"31/03/2020"</f>
        <v>31/03/2020</v>
      </c>
      <c r="N95">
        <v>249.27</v>
      </c>
      <c r="O95">
        <v>259.44</v>
      </c>
      <c r="P95">
        <v>-2.26999999999998</v>
      </c>
    </row>
    <row r="96" spans="1:16" s="2" customFormat="1" x14ac:dyDescent="0.25">
      <c r="A96" s="2">
        <v>45926334</v>
      </c>
      <c r="B96" s="2">
        <v>45926342</v>
      </c>
      <c r="C96" s="2" t="str">
        <f>"UNIMEDSJN"</f>
        <v>UNIMEDSJN</v>
      </c>
      <c r="D96" s="2" t="str">
        <f>"DH"</f>
        <v>DH</v>
      </c>
      <c r="E96" s="2" t="str">
        <f>"Bruno Cestaro"</f>
        <v>Bruno Cestaro</v>
      </c>
      <c r="F96" s="2" t="str">
        <f>"45926334-1/1"</f>
        <v>45926334-1/1</v>
      </c>
      <c r="G96" s="2" t="str">
        <f>"Carteira 21"</f>
        <v>Carteira 21</v>
      </c>
      <c r="H96" s="2">
        <v>24</v>
      </c>
      <c r="I96" s="3">
        <v>140</v>
      </c>
      <c r="J96" s="2" t="str">
        <f>"01/11/2019"</f>
        <v>01/11/2019</v>
      </c>
      <c r="K96" s="2" t="str">
        <f>"25/11/2019"</f>
        <v>25/11/2019</v>
      </c>
      <c r="L96" s="2" t="str">
        <f>"25/11/2019"</f>
        <v>25/11/2019</v>
      </c>
      <c r="M96" s="2" t="str">
        <f>"31/10/2019"</f>
        <v>31/10/2019</v>
      </c>
      <c r="N96" s="2">
        <v>139.9</v>
      </c>
      <c r="O96" s="2">
        <v>139.9</v>
      </c>
      <c r="P96" s="2">
        <v>0</v>
      </c>
    </row>
    <row r="97" spans="1:16" s="2" customFormat="1" x14ac:dyDescent="0.25">
      <c r="A97" s="2">
        <v>47505590</v>
      </c>
      <c r="B97" s="2">
        <v>47505597</v>
      </c>
      <c r="C97" s="2" t="str">
        <f>"UNIMEDSJN"</f>
        <v>UNIMEDSJN</v>
      </c>
      <c r="D97" s="2" t="str">
        <f>"DH"</f>
        <v>DH</v>
      </c>
      <c r="E97" s="2" t="str">
        <f>"Bruno Cestaro"</f>
        <v>Bruno Cestaro</v>
      </c>
      <c r="F97" s="2" t="str">
        <f>"47505590-1/1"</f>
        <v>47505590-1/1</v>
      </c>
      <c r="G97" s="2" t="str">
        <f>"Carteira 21"</f>
        <v>Carteira 21</v>
      </c>
      <c r="H97" s="2">
        <v>24</v>
      </c>
      <c r="I97" s="3">
        <v>110</v>
      </c>
      <c r="J97" s="2" t="str">
        <f>"01/12/2019"</f>
        <v>01/12/2019</v>
      </c>
      <c r="K97" s="2" t="str">
        <f>"25/12/2019"</f>
        <v>25/12/2019</v>
      </c>
      <c r="L97" s="2" t="str">
        <f>"25/12/2019"</f>
        <v>25/12/2019</v>
      </c>
      <c r="M97" s="2" t="str">
        <f>"28/11/2019"</f>
        <v>28/11/2019</v>
      </c>
      <c r="N97" s="2">
        <v>139.9</v>
      </c>
      <c r="O97" s="2">
        <v>139.9</v>
      </c>
      <c r="P97" s="2">
        <v>0</v>
      </c>
    </row>
    <row r="98" spans="1:16" s="2" customFormat="1" x14ac:dyDescent="0.25">
      <c r="A98" s="2">
        <v>48581666</v>
      </c>
      <c r="B98" s="2">
        <v>48581678</v>
      </c>
      <c r="C98" s="2" t="str">
        <f>"UNIMEDSJN"</f>
        <v>UNIMEDSJN</v>
      </c>
      <c r="D98" s="2" t="str">
        <f>"DH"</f>
        <v>DH</v>
      </c>
      <c r="E98" s="2" t="str">
        <f>"Bruno Cestaro"</f>
        <v>Bruno Cestaro</v>
      </c>
      <c r="F98" s="2" t="str">
        <f>"48581666-1/1"</f>
        <v>48581666-1/1</v>
      </c>
      <c r="G98" s="2" t="str">
        <f>"Carteira 21"</f>
        <v>Carteira 21</v>
      </c>
      <c r="H98" s="2">
        <v>23</v>
      </c>
      <c r="I98" s="3">
        <v>79</v>
      </c>
      <c r="J98" s="2" t="str">
        <f>"02/01/2020"</f>
        <v>02/01/2020</v>
      </c>
      <c r="K98" s="2" t="str">
        <f>"25/01/2020"</f>
        <v>25/01/2020</v>
      </c>
      <c r="L98" s="2" t="str">
        <f>"27/01/2020"</f>
        <v>27/01/2020</v>
      </c>
      <c r="M98" s="2" t="str">
        <f>"27/12/2019"</f>
        <v>27/12/2019</v>
      </c>
      <c r="N98" s="2">
        <v>139.9</v>
      </c>
      <c r="O98" s="2">
        <v>139.9</v>
      </c>
      <c r="P98" s="2">
        <v>0</v>
      </c>
    </row>
    <row r="99" spans="1:16" s="2" customFormat="1" x14ac:dyDescent="0.25">
      <c r="A99" s="2">
        <v>48583314</v>
      </c>
      <c r="B99" s="2">
        <v>48583321</v>
      </c>
      <c r="C99" s="2" t="str">
        <f>"UNIMEDSJN"</f>
        <v>UNIMEDSJN</v>
      </c>
      <c r="D99" s="2" t="str">
        <f>"DH"</f>
        <v>DH</v>
      </c>
      <c r="E99" s="2" t="str">
        <f>"Bruno Herley Ribeiro"</f>
        <v>Bruno Herley Ribeiro</v>
      </c>
      <c r="F99" s="2" t="str">
        <f>"48583314-1/1"</f>
        <v>48583314-1/1</v>
      </c>
      <c r="G99" s="2" t="str">
        <f>"Carteira 21"</f>
        <v>Carteira 21</v>
      </c>
      <c r="H99" s="2">
        <v>23</v>
      </c>
      <c r="I99" s="3">
        <v>79</v>
      </c>
      <c r="J99" s="2" t="str">
        <f>"02/01/2020"</f>
        <v>02/01/2020</v>
      </c>
      <c r="K99" s="2" t="str">
        <f>"25/01/2020"</f>
        <v>25/01/2020</v>
      </c>
      <c r="L99" s="2" t="str">
        <f>"17/02/2020"</f>
        <v>17/02/2020</v>
      </c>
      <c r="M99" s="2" t="str">
        <f>"18/02/2020"</f>
        <v>18/02/2020</v>
      </c>
      <c r="N99" s="2">
        <v>139.9</v>
      </c>
      <c r="O99" s="2">
        <v>143.66999999999999</v>
      </c>
      <c r="P99" s="2">
        <v>9.9999999999994302E-2</v>
      </c>
    </row>
    <row r="100" spans="1:16" s="2" customFormat="1" x14ac:dyDescent="0.25">
      <c r="A100" s="2">
        <v>47499604</v>
      </c>
      <c r="B100" s="2">
        <v>47499615</v>
      </c>
      <c r="C100" s="2" t="str">
        <f>"UNIMEDSJN"</f>
        <v>UNIMEDSJN</v>
      </c>
      <c r="D100" s="2" t="str">
        <f>"DH"</f>
        <v>DH</v>
      </c>
      <c r="E100" s="2" t="str">
        <f>"Bruno Pereira Nunes de Souza"</f>
        <v>Bruno Pereira Nunes de Souza</v>
      </c>
      <c r="F100" s="2" t="str">
        <f>"47499604-1/1"</f>
        <v>47499604-1/1</v>
      </c>
      <c r="G100" s="2" t="str">
        <f>"Carteira 21"</f>
        <v>Carteira 21</v>
      </c>
      <c r="H100" s="2">
        <v>14</v>
      </c>
      <c r="I100" s="3">
        <v>120</v>
      </c>
      <c r="J100" s="2" t="str">
        <f>"01/12/2019"</f>
        <v>01/12/2019</v>
      </c>
      <c r="K100" s="2" t="str">
        <f>"15/12/2019"</f>
        <v>15/12/2019</v>
      </c>
      <c r="L100" s="2" t="str">
        <f>"13/02/2020"</f>
        <v>13/02/2020</v>
      </c>
      <c r="M100" s="2" t="str">
        <f>"14/02/2020"</f>
        <v>14/02/2020</v>
      </c>
      <c r="N100" s="2">
        <v>105.95</v>
      </c>
      <c r="O100" s="2">
        <v>110.13</v>
      </c>
      <c r="P100" s="2">
        <v>6.0000000000002301E-2</v>
      </c>
    </row>
    <row r="101" spans="1:16" s="2" customFormat="1" x14ac:dyDescent="0.25">
      <c r="A101" s="2">
        <v>48575255</v>
      </c>
      <c r="B101" s="2">
        <v>48575271</v>
      </c>
      <c r="C101" s="2" t="str">
        <f>"UNIMEDSJN"</f>
        <v>UNIMEDSJN</v>
      </c>
      <c r="D101" s="2" t="str">
        <f>"DH"</f>
        <v>DH</v>
      </c>
      <c r="E101" s="2" t="str">
        <f>"Bruno Pereira Nunes de Souza"</f>
        <v>Bruno Pereira Nunes de Souza</v>
      </c>
      <c r="F101" s="2" t="str">
        <f>"48575255-1/1"</f>
        <v>48575255-1/1</v>
      </c>
      <c r="G101" s="2" t="str">
        <f>"Carteira 21"</f>
        <v>Carteira 21</v>
      </c>
      <c r="H101" s="2">
        <v>13</v>
      </c>
      <c r="I101" s="3">
        <v>89</v>
      </c>
      <c r="J101" s="2" t="str">
        <f>"02/01/2020"</f>
        <v>02/01/2020</v>
      </c>
      <c r="K101" s="2" t="str">
        <f>"15/01/2020"</f>
        <v>15/01/2020</v>
      </c>
      <c r="L101" s="2" t="str">
        <f>"13/02/2020"</f>
        <v>13/02/2020</v>
      </c>
      <c r="M101" s="2" t="str">
        <f>"14/02/2020"</f>
        <v>14/02/2020</v>
      </c>
      <c r="N101" s="2">
        <v>105.95</v>
      </c>
      <c r="O101" s="2">
        <v>109.08</v>
      </c>
      <c r="P101" s="2">
        <v>1.00000000000051E-2</v>
      </c>
    </row>
    <row r="102" spans="1:16" s="2" customFormat="1" x14ac:dyDescent="0.25">
      <c r="A102" s="2">
        <v>45905803</v>
      </c>
      <c r="B102" s="2">
        <v>45905815</v>
      </c>
      <c r="C102" s="2" t="str">
        <f>"UNIMEDSJN"</f>
        <v>UNIMEDSJN</v>
      </c>
      <c r="D102" s="2" t="str">
        <f>"DH"</f>
        <v>DH</v>
      </c>
      <c r="E102" s="2" t="str">
        <f>"CAIO BARBOSA TEODORO"</f>
        <v>CAIO BARBOSA TEODORO</v>
      </c>
      <c r="F102" s="2" t="str">
        <f>"45905803-1/1"</f>
        <v>45905803-1/1</v>
      </c>
      <c r="G102" s="2" t="str">
        <f>"Carteira 21"</f>
        <v>Carteira 21</v>
      </c>
      <c r="H102" s="2">
        <v>14</v>
      </c>
      <c r="I102" s="3">
        <v>150</v>
      </c>
      <c r="J102" s="2" t="str">
        <f>"01/11/2019"</f>
        <v>01/11/2019</v>
      </c>
      <c r="K102" s="2" t="str">
        <f>"15/11/2019"</f>
        <v>15/11/2019</v>
      </c>
      <c r="L102" s="2" t="str">
        <f>"03/02/2020"</f>
        <v>03/02/2020</v>
      </c>
      <c r="M102" s="2" t="str">
        <f>"04/02/2020"</f>
        <v>04/02/2020</v>
      </c>
      <c r="N102" s="2">
        <v>141.1</v>
      </c>
      <c r="O102" s="2">
        <v>147.65</v>
      </c>
      <c r="P102" s="2">
        <v>3.0000000000001099E-2</v>
      </c>
    </row>
    <row r="103" spans="1:16" s="2" customFormat="1" x14ac:dyDescent="0.25">
      <c r="A103" s="2">
        <v>47491753</v>
      </c>
      <c r="B103" s="2">
        <v>47491765</v>
      </c>
      <c r="C103" s="2" t="str">
        <f>"UNIMEDSJN"</f>
        <v>UNIMEDSJN</v>
      </c>
      <c r="D103" s="2" t="str">
        <f>"DH"</f>
        <v>DH</v>
      </c>
      <c r="E103" s="2" t="str">
        <f>"CAIO BARBOSA TEODORO"</f>
        <v>CAIO BARBOSA TEODORO</v>
      </c>
      <c r="F103" s="2" t="str">
        <f>"47491753-1/1"</f>
        <v>47491753-1/1</v>
      </c>
      <c r="G103" s="2" t="str">
        <f>"Carteira 21"</f>
        <v>Carteira 21</v>
      </c>
      <c r="H103" s="2">
        <v>14</v>
      </c>
      <c r="I103" s="3">
        <v>120</v>
      </c>
      <c r="J103" s="2" t="str">
        <f>"01/12/2019"</f>
        <v>01/12/2019</v>
      </c>
      <c r="K103" s="2" t="str">
        <f>"15/12/2019"</f>
        <v>15/12/2019</v>
      </c>
      <c r="L103" s="2" t="str">
        <f>"02/03/2020"</f>
        <v>02/03/2020</v>
      </c>
      <c r="M103" s="2" t="str">
        <f>"03/03/2020"</f>
        <v>03/03/2020</v>
      </c>
      <c r="N103" s="2">
        <v>141.1</v>
      </c>
      <c r="O103" s="2">
        <v>147.51</v>
      </c>
      <c r="P103" s="2">
        <v>8.0000000000012506E-2</v>
      </c>
    </row>
    <row r="104" spans="1:16" s="2" customFormat="1" x14ac:dyDescent="0.25">
      <c r="A104" s="2">
        <v>48566490</v>
      </c>
      <c r="B104" s="2">
        <v>48566504</v>
      </c>
      <c r="C104" s="2" t="str">
        <f>"UNIMEDSJN"</f>
        <v>UNIMEDSJN</v>
      </c>
      <c r="D104" s="2" t="str">
        <f>"DH"</f>
        <v>DH</v>
      </c>
      <c r="E104" s="2" t="str">
        <f>"CAIO BARBOSA TEODORO"</f>
        <v>CAIO BARBOSA TEODORO</v>
      </c>
      <c r="F104" s="2" t="str">
        <f>"48566490-1/1"</f>
        <v>48566490-1/1</v>
      </c>
      <c r="G104" s="2" t="str">
        <f>"Carteira 21"</f>
        <v>Carteira 21</v>
      </c>
      <c r="H104" s="2">
        <v>13</v>
      </c>
      <c r="I104" s="3">
        <v>89</v>
      </c>
      <c r="J104" s="2" t="str">
        <f>"02/01/2020"</f>
        <v>02/01/2020</v>
      </c>
      <c r="K104" s="2" t="str">
        <f>"15/01/2020"</f>
        <v>15/01/2020</v>
      </c>
      <c r="L104" s="2" t="str">
        <f>"01/04/2020"</f>
        <v>01/04/2020</v>
      </c>
      <c r="M104" s="2" t="str">
        <f>"02/04/2020"</f>
        <v>02/04/2020</v>
      </c>
      <c r="N104" s="2">
        <v>141.1</v>
      </c>
      <c r="O104" s="2">
        <v>147.51</v>
      </c>
      <c r="P104" s="2">
        <v>3.0000000000001099E-2</v>
      </c>
    </row>
    <row r="105" spans="1:16" s="2" customFormat="1" x14ac:dyDescent="0.25">
      <c r="A105" s="2">
        <v>48578810</v>
      </c>
      <c r="B105" s="2">
        <v>48578817</v>
      </c>
      <c r="C105" s="2" t="str">
        <f>"UNIMEDSJN"</f>
        <v>UNIMEDSJN</v>
      </c>
      <c r="D105" s="2" t="str">
        <f>"DH"</f>
        <v>DH</v>
      </c>
      <c r="E105" s="2" t="str">
        <f>"CAIO FAGUNDES NEHMY"</f>
        <v>CAIO FAGUNDES NEHMY</v>
      </c>
      <c r="F105" s="2" t="str">
        <f>"48578810-1/1"</f>
        <v>48578810-1/1</v>
      </c>
      <c r="G105" s="2" t="str">
        <f>"Carteira 21"</f>
        <v>Carteira 21</v>
      </c>
      <c r="H105" s="2">
        <v>23</v>
      </c>
      <c r="I105" s="3">
        <v>79</v>
      </c>
      <c r="J105" s="2" t="str">
        <f>"02/01/2020"</f>
        <v>02/01/2020</v>
      </c>
      <c r="K105" s="2" t="str">
        <f>"25/01/2020"</f>
        <v>25/01/2020</v>
      </c>
      <c r="L105" s="2" t="str">
        <f>"14/02/2020"</f>
        <v>14/02/2020</v>
      </c>
      <c r="M105" s="2" t="str">
        <f>"17/02/2020"</f>
        <v>17/02/2020</v>
      </c>
      <c r="N105" s="2">
        <v>141.63</v>
      </c>
      <c r="O105" s="2">
        <v>145.30000000000001</v>
      </c>
      <c r="P105" s="2">
        <v>9.9999999999994302E-2</v>
      </c>
    </row>
    <row r="106" spans="1:16" s="2" customFormat="1" x14ac:dyDescent="0.25">
      <c r="A106" s="2">
        <v>48566931</v>
      </c>
      <c r="B106" s="2">
        <v>48566947</v>
      </c>
      <c r="C106" s="2" t="str">
        <f>"UNIMEDSJN"</f>
        <v>UNIMEDSJN</v>
      </c>
      <c r="D106" s="2" t="str">
        <f>"DH"</f>
        <v>DH</v>
      </c>
      <c r="E106" s="2" t="str">
        <f>"CAIO RODRIGO LANINI"</f>
        <v>CAIO RODRIGO LANINI</v>
      </c>
      <c r="F106" s="2" t="str">
        <f>"48566931-1/1"</f>
        <v>48566931-1/1</v>
      </c>
      <c r="G106" s="2" t="str">
        <f>"Carteira 21"</f>
        <v>Carteira 21</v>
      </c>
      <c r="H106" s="2">
        <v>23</v>
      </c>
      <c r="I106" s="3">
        <v>79</v>
      </c>
      <c r="J106" s="2" t="str">
        <f>"02/01/2020"</f>
        <v>02/01/2020</v>
      </c>
      <c r="K106" s="2" t="str">
        <f>"25/01/2020"</f>
        <v>25/01/2020</v>
      </c>
      <c r="L106" s="2" t="str">
        <f>"17/02/2020"</f>
        <v>17/02/2020</v>
      </c>
      <c r="M106" s="2" t="str">
        <f>"18/02/2020"</f>
        <v>18/02/2020</v>
      </c>
      <c r="N106" s="2">
        <v>233.73</v>
      </c>
      <c r="O106" s="2">
        <v>240.02</v>
      </c>
      <c r="P106" s="2">
        <v>0.170000000000016</v>
      </c>
    </row>
    <row r="107" spans="1:16" s="2" customFormat="1" x14ac:dyDescent="0.25">
      <c r="A107" s="2">
        <v>44317986</v>
      </c>
      <c r="B107" s="2">
        <v>44317996</v>
      </c>
      <c r="C107" s="2" t="str">
        <f>"UNIMEDSJN"</f>
        <v>UNIMEDSJN</v>
      </c>
      <c r="D107" s="2" t="str">
        <f>"DH"</f>
        <v>DH</v>
      </c>
      <c r="E107" s="2" t="str">
        <f>"Calicia Bento da Silva Peixoto"</f>
        <v>Calicia Bento da Silva Peixoto</v>
      </c>
      <c r="F107" s="2" t="str">
        <f>"44317986-1/1"</f>
        <v>44317986-1/1</v>
      </c>
      <c r="G107" s="2" t="str">
        <f>"Carteira 21"</f>
        <v>Carteira 21</v>
      </c>
      <c r="H107" s="2">
        <v>24</v>
      </c>
      <c r="I107" s="3">
        <v>232</v>
      </c>
      <c r="J107" s="2" t="str">
        <f>"01/08/2019"</f>
        <v>01/08/2019</v>
      </c>
      <c r="K107" s="2" t="str">
        <f>"25/08/2019"</f>
        <v>25/08/2019</v>
      </c>
      <c r="L107" s="2" t="str">
        <f>"26/08/2019"</f>
        <v>26/08/2019</v>
      </c>
      <c r="M107" s="2" t="str">
        <f>"31/07/2019"</f>
        <v>31/07/2019</v>
      </c>
      <c r="N107" s="2">
        <v>153.81</v>
      </c>
      <c r="O107" s="2">
        <v>153.81</v>
      </c>
      <c r="P107" s="2">
        <v>0</v>
      </c>
    </row>
    <row r="108" spans="1:16" s="2" customFormat="1" x14ac:dyDescent="0.25">
      <c r="A108" s="2">
        <v>48585436</v>
      </c>
      <c r="B108" s="2">
        <v>48585441</v>
      </c>
      <c r="C108" s="2" t="str">
        <f>"UNIMEDSJN"</f>
        <v>UNIMEDSJN</v>
      </c>
      <c r="D108" s="2" t="str">
        <f>"DH"</f>
        <v>DH</v>
      </c>
      <c r="E108" s="2" t="str">
        <f>"Camila Goncalves de Oliveira Valle"</f>
        <v>Camila Goncalves de Oliveira Valle</v>
      </c>
      <c r="F108" s="2" t="str">
        <f>"48585436-1/1"</f>
        <v>48585436-1/1</v>
      </c>
      <c r="G108" s="2" t="str">
        <f>"Carteira 21"</f>
        <v>Carteira 21</v>
      </c>
      <c r="H108" s="2">
        <v>23</v>
      </c>
      <c r="I108" s="3">
        <v>79</v>
      </c>
      <c r="J108" s="2" t="str">
        <f>"02/01/2020"</f>
        <v>02/01/2020</v>
      </c>
      <c r="K108" s="2" t="str">
        <f>"25/01/2020"</f>
        <v>25/01/2020</v>
      </c>
      <c r="L108" s="2" t="str">
        <f>"05/02/2020"</f>
        <v>05/02/2020</v>
      </c>
      <c r="M108" s="2" t="str">
        <f>"06/02/2020"</f>
        <v>06/02/2020</v>
      </c>
      <c r="N108" s="2">
        <v>284.29000000000002</v>
      </c>
      <c r="O108" s="2">
        <v>290.82</v>
      </c>
      <c r="P108" s="2">
        <v>0.200000000000045</v>
      </c>
    </row>
    <row r="109" spans="1:16" s="2" customFormat="1" x14ac:dyDescent="0.25">
      <c r="A109" s="2">
        <v>47500692</v>
      </c>
      <c r="B109" s="2">
        <v>47500704</v>
      </c>
      <c r="C109" s="2" t="str">
        <f>"UNIMEDSJN"</f>
        <v>UNIMEDSJN</v>
      </c>
      <c r="D109" s="2" t="str">
        <f>"DH"</f>
        <v>DH</v>
      </c>
      <c r="E109" s="2" t="str">
        <f>"Camila Pereira Barreiros"</f>
        <v>Camila Pereira Barreiros</v>
      </c>
      <c r="F109" s="2" t="str">
        <f>"47500692-1/1"</f>
        <v>47500692-1/1</v>
      </c>
      <c r="G109" s="2" t="str">
        <f>"Carteira 21"</f>
        <v>Carteira 21</v>
      </c>
      <c r="H109" s="2">
        <v>24</v>
      </c>
      <c r="I109" s="3">
        <v>110</v>
      </c>
      <c r="J109" s="2" t="str">
        <f>"01/12/2019"</f>
        <v>01/12/2019</v>
      </c>
      <c r="K109" s="2" t="str">
        <f>"25/12/2019"</f>
        <v>25/12/2019</v>
      </c>
      <c r="L109" s="2" t="str">
        <f>"20/03/2020"</f>
        <v>20/03/2020</v>
      </c>
      <c r="M109" s="2" t="str">
        <f>"23/03/2020"</f>
        <v>23/03/2020</v>
      </c>
      <c r="N109" s="2">
        <v>68.900000000000006</v>
      </c>
      <c r="O109" s="2">
        <v>72.239999999999995</v>
      </c>
      <c r="P109" s="2">
        <v>2.0000000000010201E-2</v>
      </c>
    </row>
    <row r="110" spans="1:16" s="2" customFormat="1" x14ac:dyDescent="0.25">
      <c r="A110" s="2">
        <v>48575513</v>
      </c>
      <c r="B110" s="2">
        <v>48575520</v>
      </c>
      <c r="C110" s="2" t="str">
        <f>"UNIMEDSJN"</f>
        <v>UNIMEDSJN</v>
      </c>
      <c r="D110" s="2" t="str">
        <f>"DH"</f>
        <v>DH</v>
      </c>
      <c r="E110" s="2" t="str">
        <f>"Camila Pereira Barreiros"</f>
        <v>Camila Pereira Barreiros</v>
      </c>
      <c r="F110" s="2" t="str">
        <f>"48575513-1/1"</f>
        <v>48575513-1/1</v>
      </c>
      <c r="G110" s="2" t="str">
        <f>"Carteira 21"</f>
        <v>Carteira 21</v>
      </c>
      <c r="H110" s="2">
        <v>23</v>
      </c>
      <c r="I110" s="3">
        <v>79</v>
      </c>
      <c r="J110" s="2" t="str">
        <f>"02/01/2020"</f>
        <v>02/01/2020</v>
      </c>
      <c r="K110" s="2" t="str">
        <f>"25/01/2020"</f>
        <v>25/01/2020</v>
      </c>
      <c r="L110" s="2" t="str">
        <f>"20/03/2020"</f>
        <v>20/03/2020</v>
      </c>
      <c r="M110" s="2" t="str">
        <f>"23/03/2020"</f>
        <v>23/03/2020</v>
      </c>
      <c r="N110" s="2">
        <v>68.900000000000006</v>
      </c>
      <c r="O110" s="2">
        <v>71.48</v>
      </c>
      <c r="P110" s="2">
        <v>6.0000000000002301E-2</v>
      </c>
    </row>
    <row r="111" spans="1:16" s="2" customFormat="1" x14ac:dyDescent="0.25">
      <c r="A111" s="2">
        <v>47503243</v>
      </c>
      <c r="B111" s="2">
        <v>47503258</v>
      </c>
      <c r="C111" s="2" t="str">
        <f>"UNIMEDSJN"</f>
        <v>UNIMEDSJN</v>
      </c>
      <c r="D111" s="2" t="str">
        <f>"DH"</f>
        <v>DH</v>
      </c>
      <c r="E111" s="2" t="str">
        <f>"CARLA DE OLIVEIRA SOUZA MACEDO"</f>
        <v>CARLA DE OLIVEIRA SOUZA MACEDO</v>
      </c>
      <c r="F111" s="2" t="str">
        <f>"47503243-1/1"</f>
        <v>47503243-1/1</v>
      </c>
      <c r="G111" s="2" t="str">
        <f>"Carteira 21"</f>
        <v>Carteira 21</v>
      </c>
      <c r="H111" s="2">
        <v>14</v>
      </c>
      <c r="I111" s="3">
        <v>120</v>
      </c>
      <c r="J111" s="2" t="str">
        <f>"01/12/2019"</f>
        <v>01/12/2019</v>
      </c>
      <c r="K111" s="2" t="str">
        <f>"15/12/2019"</f>
        <v>15/12/2019</v>
      </c>
      <c r="L111" s="2" t="str">
        <f>"06/02/2020"</f>
        <v>06/02/2020</v>
      </c>
      <c r="M111" s="2" t="str">
        <f>"07/02/2020"</f>
        <v>07/02/2020</v>
      </c>
      <c r="N111" s="2">
        <v>144.80000000000001</v>
      </c>
      <c r="O111" s="2">
        <v>150.18</v>
      </c>
      <c r="P111" s="2">
        <v>8.0000000000012506E-2</v>
      </c>
    </row>
    <row r="112" spans="1:16" s="2" customFormat="1" x14ac:dyDescent="0.25">
      <c r="A112" s="2">
        <v>48577485</v>
      </c>
      <c r="B112" s="2">
        <v>48577499</v>
      </c>
      <c r="C112" s="2" t="str">
        <f>"UNIMEDSJN"</f>
        <v>UNIMEDSJN</v>
      </c>
      <c r="D112" s="2" t="str">
        <f>"DH"</f>
        <v>DH</v>
      </c>
      <c r="E112" s="2" t="str">
        <f>"CARLA DE OLIVEIRA SOUZA MACEDO"</f>
        <v>CARLA DE OLIVEIRA SOUZA MACEDO</v>
      </c>
      <c r="F112" s="2" t="str">
        <f>"48577485-1/1"</f>
        <v>48577485-1/1</v>
      </c>
      <c r="G112" s="2" t="str">
        <f>"Carteira 21"</f>
        <v>Carteira 21</v>
      </c>
      <c r="H112" s="2">
        <v>13</v>
      </c>
      <c r="I112" s="3">
        <v>89</v>
      </c>
      <c r="J112" s="2" t="str">
        <f>"02/01/2020"</f>
        <v>02/01/2020</v>
      </c>
      <c r="K112" s="2" t="str">
        <f>"15/01/2020"</f>
        <v>15/01/2020</v>
      </c>
      <c r="L112" s="2" t="str">
        <f>"06/02/2020"</f>
        <v>06/02/2020</v>
      </c>
      <c r="M112" s="2" t="str">
        <f>"07/02/2020"</f>
        <v>07/02/2020</v>
      </c>
      <c r="N112" s="2">
        <v>144.80000000000001</v>
      </c>
      <c r="O112" s="2">
        <v>148.74</v>
      </c>
      <c r="P112" s="2">
        <v>2.0000000000010201E-2</v>
      </c>
    </row>
    <row r="113" spans="1:16" s="2" customFormat="1" x14ac:dyDescent="0.25">
      <c r="A113" s="2">
        <v>48579577</v>
      </c>
      <c r="B113" s="2">
        <v>48579589</v>
      </c>
      <c r="C113" s="2" t="str">
        <f>"UNIMEDSJN"</f>
        <v>UNIMEDSJN</v>
      </c>
      <c r="D113" s="2" t="str">
        <f>"DH"</f>
        <v>DH</v>
      </c>
      <c r="E113" s="2" t="str">
        <f>"CARLA MACHADO SILVA"</f>
        <v>CARLA MACHADO SILVA</v>
      </c>
      <c r="F113" s="2" t="str">
        <f>"48579577-1/1"</f>
        <v>48579577-1/1</v>
      </c>
      <c r="G113" s="2" t="str">
        <f>"Carteira 21"</f>
        <v>Carteira 21</v>
      </c>
      <c r="H113" s="2">
        <v>23</v>
      </c>
      <c r="I113" s="3">
        <v>79</v>
      </c>
      <c r="J113" s="2" t="str">
        <f>"02/01/2020"</f>
        <v>02/01/2020</v>
      </c>
      <c r="K113" s="2" t="str">
        <f>"25/01/2020"</f>
        <v>25/01/2020</v>
      </c>
      <c r="L113" s="2" t="str">
        <f>"07/02/2020"</f>
        <v>07/02/2020</v>
      </c>
      <c r="M113" s="2" t="str">
        <f>"10/02/2020"</f>
        <v>10/02/2020</v>
      </c>
      <c r="N113" s="2">
        <v>144.80000000000001</v>
      </c>
      <c r="O113" s="2">
        <v>148.22999999999999</v>
      </c>
      <c r="P113" s="2">
        <v>0.100000000000023</v>
      </c>
    </row>
    <row r="114" spans="1:16" s="2" customFormat="1" x14ac:dyDescent="0.25">
      <c r="A114" s="2">
        <v>47762524</v>
      </c>
      <c r="B114" s="2">
        <v>47762531</v>
      </c>
      <c r="C114" s="2" t="str">
        <f>"UNIMEDSJN"</f>
        <v>UNIMEDSJN</v>
      </c>
      <c r="D114" s="2" t="str">
        <f>"DH"</f>
        <v>DH</v>
      </c>
      <c r="E114" s="2" t="str">
        <f>"CARLA TOMAZ DE OLIVEIRA"</f>
        <v>CARLA TOMAZ DE OLIVEIRA</v>
      </c>
      <c r="F114" s="2" t="str">
        <f>"47762524-1/1"</f>
        <v>47762524-1/1</v>
      </c>
      <c r="G114" s="2" t="str">
        <f>"Carteira 21"</f>
        <v>Carteira 21</v>
      </c>
      <c r="H114" s="2">
        <v>43</v>
      </c>
      <c r="I114" s="3">
        <v>80</v>
      </c>
      <c r="J114" s="2" t="str">
        <f>"12/12/2019"</f>
        <v>12/12/2019</v>
      </c>
      <c r="K114" s="2" t="str">
        <f>"24/01/2020"</f>
        <v>24/01/2020</v>
      </c>
      <c r="L114" s="2" t="str">
        <f>"16/03/2020"</f>
        <v>16/03/2020</v>
      </c>
      <c r="M114" s="2" t="str">
        <f>"17/03/2020"</f>
        <v>17/03/2020</v>
      </c>
      <c r="N114" s="2">
        <v>389.04</v>
      </c>
      <c r="O114" s="2">
        <v>407.35</v>
      </c>
      <c r="P114" s="2">
        <v>-3.79000000000002</v>
      </c>
    </row>
    <row r="115" spans="1:16" x14ac:dyDescent="0.25">
      <c r="A115">
        <v>48571274</v>
      </c>
      <c r="B115">
        <v>48571283</v>
      </c>
      <c r="C115" t="str">
        <f>"UNIMEDSJN"</f>
        <v>UNIMEDSJN</v>
      </c>
      <c r="D115" t="str">
        <f>"DH"</f>
        <v>DH</v>
      </c>
      <c r="E115" t="str">
        <f>"CARLA TOMAZ DE OLIVEIRA"</f>
        <v>CARLA TOMAZ DE OLIVEIRA</v>
      </c>
      <c r="F115" t="str">
        <f>"48571274-1/1"</f>
        <v>48571274-1/1</v>
      </c>
      <c r="G115" t="str">
        <f>"Carteira 21"</f>
        <v>Carteira 21</v>
      </c>
      <c r="H115">
        <v>53</v>
      </c>
      <c r="I115" s="1">
        <v>49</v>
      </c>
      <c r="J115" t="str">
        <f>"02/01/2020"</f>
        <v>02/01/2020</v>
      </c>
      <c r="K115" t="str">
        <f>"24/02/2020"</f>
        <v>24/02/2020</v>
      </c>
      <c r="L115" t="str">
        <f>"16/03/2020"</f>
        <v>16/03/2020</v>
      </c>
      <c r="M115" t="str">
        <f>"17/03/2020"</f>
        <v>17/03/2020</v>
      </c>
      <c r="N115">
        <v>374.04</v>
      </c>
      <c r="O115">
        <v>387.57</v>
      </c>
      <c r="P115">
        <v>-3.42999999999995</v>
      </c>
    </row>
    <row r="116" spans="1:16" s="2" customFormat="1" x14ac:dyDescent="0.25">
      <c r="A116" s="2">
        <v>47492894</v>
      </c>
      <c r="B116" s="2">
        <v>47492913</v>
      </c>
      <c r="C116" s="2" t="str">
        <f>"UNIMEDSJN"</f>
        <v>UNIMEDSJN</v>
      </c>
      <c r="D116" s="2" t="str">
        <f>"DH"</f>
        <v>DH</v>
      </c>
      <c r="E116" s="2" t="str">
        <f>"CARLOS ALBERTO MONFARDINI"</f>
        <v>CARLOS ALBERTO MONFARDINI</v>
      </c>
      <c r="F116" s="2" t="str">
        <f>"47492894-1/1"</f>
        <v>47492894-1/1</v>
      </c>
      <c r="G116" s="2" t="str">
        <f>"Carteira 21"</f>
        <v>Carteira 21</v>
      </c>
      <c r="H116" s="2">
        <v>21</v>
      </c>
      <c r="I116" s="3">
        <v>113</v>
      </c>
      <c r="J116" s="2" t="str">
        <f>"01/12/2019"</f>
        <v>01/12/2019</v>
      </c>
      <c r="K116" s="2" t="str">
        <f>"22/12/2019"</f>
        <v>22/12/2019</v>
      </c>
      <c r="L116" s="2" t="str">
        <f>"14/02/2020"</f>
        <v>14/02/2020</v>
      </c>
      <c r="M116" s="2" t="str">
        <f>"17/02/2020"</f>
        <v>17/02/2020</v>
      </c>
      <c r="N116" s="2">
        <v>1452.61</v>
      </c>
      <c r="O116" s="2">
        <v>1507.06</v>
      </c>
      <c r="P116" s="2">
        <v>0.75000000000022704</v>
      </c>
    </row>
    <row r="117" spans="1:16" s="2" customFormat="1" x14ac:dyDescent="0.25">
      <c r="A117" s="2">
        <v>48567883</v>
      </c>
      <c r="B117" s="2">
        <v>48567902</v>
      </c>
      <c r="C117" s="2" t="str">
        <f>"UNIMEDSJN"</f>
        <v>UNIMEDSJN</v>
      </c>
      <c r="D117" s="2" t="str">
        <f>"DH"</f>
        <v>DH</v>
      </c>
      <c r="E117" s="2" t="str">
        <f>"CARLOS ALBERTO MONFARDINI"</f>
        <v>CARLOS ALBERTO MONFARDINI</v>
      </c>
      <c r="F117" s="2" t="str">
        <f>"48567883-1/1"</f>
        <v>48567883-1/1</v>
      </c>
      <c r="G117" s="2" t="str">
        <f>"Carteira 21"</f>
        <v>Carteira 21</v>
      </c>
      <c r="H117" s="2">
        <v>20</v>
      </c>
      <c r="I117" s="3">
        <v>82</v>
      </c>
      <c r="J117" s="2" t="str">
        <f>"02/01/2020"</f>
        <v>02/01/2020</v>
      </c>
      <c r="K117" s="2" t="str">
        <f>"22/01/2020"</f>
        <v>22/01/2020</v>
      </c>
      <c r="L117" s="2" t="str">
        <f>"06/03/2020"</f>
        <v>06/03/2020</v>
      </c>
      <c r="M117" s="2" t="str">
        <f>"09/03/2020"</f>
        <v>09/03/2020</v>
      </c>
      <c r="N117" s="2">
        <v>1452.61</v>
      </c>
      <c r="O117" s="2">
        <v>1502.75</v>
      </c>
      <c r="P117" s="2">
        <v>0.21000000000003599</v>
      </c>
    </row>
    <row r="118" spans="1:16" s="2" customFormat="1" x14ac:dyDescent="0.25">
      <c r="A118" s="2">
        <v>44321825</v>
      </c>
      <c r="B118" s="2">
        <v>44321850</v>
      </c>
      <c r="C118" s="2" t="str">
        <f>"UNIMEDSJN"</f>
        <v>UNIMEDSJN</v>
      </c>
      <c r="D118" s="2" t="str">
        <f>"DH"</f>
        <v>DH</v>
      </c>
      <c r="E118" s="2" t="str">
        <f>"CARLOS ALBERTONI"</f>
        <v>CARLOS ALBERTONI</v>
      </c>
      <c r="F118" s="2" t="str">
        <f>"44321825-1/1"</f>
        <v>44321825-1/1</v>
      </c>
      <c r="G118" s="2" t="str">
        <f>"Carteira 21"</f>
        <v>Carteira 21</v>
      </c>
      <c r="H118" s="2">
        <v>24</v>
      </c>
      <c r="I118" s="3">
        <v>232</v>
      </c>
      <c r="J118" s="2" t="str">
        <f>"01/08/2019"</f>
        <v>01/08/2019</v>
      </c>
      <c r="K118" s="2" t="str">
        <f>"25/08/2019"</f>
        <v>25/08/2019</v>
      </c>
      <c r="L118" s="2" t="str">
        <f>"26/08/2019"</f>
        <v>26/08/2019</v>
      </c>
      <c r="M118" s="2" t="str">
        <f>"31/07/2019"</f>
        <v>31/07/2019</v>
      </c>
      <c r="N118" s="2">
        <v>716.61</v>
      </c>
      <c r="O118" s="2">
        <v>716.61</v>
      </c>
      <c r="P118" s="2">
        <v>0</v>
      </c>
    </row>
    <row r="119" spans="1:16" s="2" customFormat="1" x14ac:dyDescent="0.25">
      <c r="A119" s="2">
        <v>47508769</v>
      </c>
      <c r="B119" s="2">
        <v>47508781</v>
      </c>
      <c r="C119" s="2" t="str">
        <f>"UNIMEDSJN"</f>
        <v>UNIMEDSJN</v>
      </c>
      <c r="D119" s="2" t="str">
        <f>"DH"</f>
        <v>DH</v>
      </c>
      <c r="E119" s="2" t="str">
        <f>"Carlos Webster Ferreira Del Lhano"</f>
        <v>Carlos Webster Ferreira Del Lhano</v>
      </c>
      <c r="F119" s="2" t="str">
        <f>"47508769-1/1"</f>
        <v>47508769-1/1</v>
      </c>
      <c r="G119" s="2" t="str">
        <f>"Carteira 21"</f>
        <v>Carteira 21</v>
      </c>
      <c r="H119" s="2">
        <v>24</v>
      </c>
      <c r="I119" s="3">
        <v>110</v>
      </c>
      <c r="J119" s="2" t="str">
        <f>"01/12/2019"</f>
        <v>01/12/2019</v>
      </c>
      <c r="K119" s="2" t="str">
        <f>"25/12/2019"</f>
        <v>25/12/2019</v>
      </c>
      <c r="L119" s="2" t="str">
        <f>"05/02/2020"</f>
        <v>05/02/2020</v>
      </c>
      <c r="M119" s="2" t="str">
        <f>"06/02/2020"</f>
        <v>06/02/2020</v>
      </c>
      <c r="N119" s="2">
        <v>177.35</v>
      </c>
      <c r="O119" s="2">
        <v>183.35</v>
      </c>
      <c r="P119" s="2">
        <v>3.0000000000001099E-2</v>
      </c>
    </row>
    <row r="120" spans="1:16" s="2" customFormat="1" x14ac:dyDescent="0.25">
      <c r="A120" s="2">
        <v>48579695</v>
      </c>
      <c r="B120" s="2">
        <v>48579704</v>
      </c>
      <c r="C120" s="2" t="str">
        <f>"UNIMEDSJN"</f>
        <v>UNIMEDSJN</v>
      </c>
      <c r="D120" s="2" t="str">
        <f>"DH"</f>
        <v>DH</v>
      </c>
      <c r="E120" s="2" t="str">
        <f>"Carlos Webster Ferreira Del Lhano"</f>
        <v>Carlos Webster Ferreira Del Lhano</v>
      </c>
      <c r="F120" s="2" t="str">
        <f>"48579695-1/1"</f>
        <v>48579695-1/1</v>
      </c>
      <c r="G120" s="2" t="str">
        <f>"Carteira 21"</f>
        <v>Carteira 21</v>
      </c>
      <c r="H120" s="2">
        <v>23</v>
      </c>
      <c r="I120" s="3">
        <v>79</v>
      </c>
      <c r="J120" s="2" t="str">
        <f>"02/01/2020"</f>
        <v>02/01/2020</v>
      </c>
      <c r="K120" s="2" t="str">
        <f>"25/01/2020"</f>
        <v>25/01/2020</v>
      </c>
      <c r="L120" s="2" t="str">
        <f>"27/01/2020"</f>
        <v>27/01/2020</v>
      </c>
      <c r="M120" s="2" t="str">
        <f>"27/12/2019"</f>
        <v>27/12/2019</v>
      </c>
      <c r="N120" s="2">
        <v>306.18</v>
      </c>
      <c r="O120" s="2">
        <v>306.18</v>
      </c>
      <c r="P120" s="2">
        <v>0</v>
      </c>
    </row>
    <row r="121" spans="1:16" s="2" customFormat="1" x14ac:dyDescent="0.25">
      <c r="A121" s="2">
        <v>48584325</v>
      </c>
      <c r="B121" s="2">
        <v>48584332</v>
      </c>
      <c r="C121" s="2" t="str">
        <f>"UNIMEDSJN"</f>
        <v>UNIMEDSJN</v>
      </c>
      <c r="D121" s="2" t="str">
        <f>"DH"</f>
        <v>DH</v>
      </c>
      <c r="E121" s="2" t="str">
        <f>"Carlos Webster Ferreira Del Lhano"</f>
        <v>Carlos Webster Ferreira Del Lhano</v>
      </c>
      <c r="F121" s="2" t="str">
        <f>"48584325-1/1"</f>
        <v>48584325-1/1</v>
      </c>
      <c r="G121" s="2" t="str">
        <f>"Carteira 21"</f>
        <v>Carteira 21</v>
      </c>
      <c r="H121" s="2">
        <v>23</v>
      </c>
      <c r="I121" s="3">
        <v>79</v>
      </c>
      <c r="J121" s="2" t="str">
        <f>"02/01/2020"</f>
        <v>02/01/2020</v>
      </c>
      <c r="K121" s="2" t="str">
        <f>"25/01/2020"</f>
        <v>25/01/2020</v>
      </c>
      <c r="L121" s="2" t="str">
        <f>"03/03/2020"</f>
        <v>03/03/2020</v>
      </c>
      <c r="M121" s="2" t="str">
        <f>"04/03/2020"</f>
        <v>04/03/2020</v>
      </c>
      <c r="N121" s="2">
        <v>177.35</v>
      </c>
      <c r="O121" s="2">
        <v>183.01</v>
      </c>
      <c r="P121" s="2">
        <v>0.140000000000015</v>
      </c>
    </row>
    <row r="122" spans="1:16" s="2" customFormat="1" x14ac:dyDescent="0.25">
      <c r="A122" s="2">
        <v>48584782</v>
      </c>
      <c r="B122" s="2">
        <v>48584792</v>
      </c>
      <c r="C122" s="2" t="str">
        <f>"UNIMEDSJN"</f>
        <v>UNIMEDSJN</v>
      </c>
      <c r="D122" s="2" t="str">
        <f>"DH"</f>
        <v>DH</v>
      </c>
      <c r="E122" s="2" t="str">
        <f>"Caroline Cardoso de Decco"</f>
        <v>Caroline Cardoso de Decco</v>
      </c>
      <c r="F122" s="2" t="str">
        <f>"48584782-1/1"</f>
        <v>48584782-1/1</v>
      </c>
      <c r="G122" s="2" t="str">
        <f>"Carteira 21"</f>
        <v>Carteira 21</v>
      </c>
      <c r="H122" s="2">
        <v>13</v>
      </c>
      <c r="I122" s="3">
        <v>89</v>
      </c>
      <c r="J122" s="2" t="str">
        <f>"02/01/2020"</f>
        <v>02/01/2020</v>
      </c>
      <c r="K122" s="2" t="str">
        <f>"15/01/2020"</f>
        <v>15/01/2020</v>
      </c>
      <c r="L122" s="2" t="str">
        <f>"11/02/2020"</f>
        <v>11/02/2020</v>
      </c>
      <c r="M122" s="2" t="str">
        <f>"12/02/2020"</f>
        <v>12/02/2020</v>
      </c>
      <c r="N122" s="2">
        <v>169.51</v>
      </c>
      <c r="O122" s="2">
        <v>174.41</v>
      </c>
      <c r="P122" s="2">
        <v>1.99999999999818E-2</v>
      </c>
    </row>
    <row r="123" spans="1:16" s="2" customFormat="1" x14ac:dyDescent="0.25">
      <c r="A123" s="2">
        <v>48564015</v>
      </c>
      <c r="B123" s="2">
        <v>48564020</v>
      </c>
      <c r="C123" s="2" t="str">
        <f>"UNIMEDSJN"</f>
        <v>UNIMEDSJN</v>
      </c>
      <c r="D123" s="2" t="str">
        <f>"DH"</f>
        <v>DH</v>
      </c>
      <c r="E123" s="2" t="str">
        <f>"CASSIO CARLOS DE FARIA"</f>
        <v>CASSIO CARLOS DE FARIA</v>
      </c>
      <c r="F123" s="2" t="str">
        <f>"48564015-1/1"</f>
        <v>48564015-1/1</v>
      </c>
      <c r="G123" s="2" t="str">
        <f>"Carteira 21"</f>
        <v>Carteira 21</v>
      </c>
      <c r="H123" s="2">
        <v>16</v>
      </c>
      <c r="I123" s="3">
        <v>86</v>
      </c>
      <c r="J123" s="2" t="str">
        <f>"02/01/2020"</f>
        <v>02/01/2020</v>
      </c>
      <c r="K123" s="2" t="str">
        <f>"18/01/2020"</f>
        <v>18/01/2020</v>
      </c>
      <c r="L123" s="2" t="str">
        <f>"20/01/2020"</f>
        <v>20/01/2020</v>
      </c>
      <c r="M123" s="2" t="str">
        <f>"27/12/2019"</f>
        <v>27/12/2019</v>
      </c>
      <c r="N123" s="2">
        <v>286.07</v>
      </c>
      <c r="O123" s="2">
        <v>286.07</v>
      </c>
      <c r="P123" s="2">
        <v>0</v>
      </c>
    </row>
    <row r="124" spans="1:16" s="2" customFormat="1" x14ac:dyDescent="0.25">
      <c r="A124" s="2">
        <v>45920512</v>
      </c>
      <c r="B124" s="2">
        <v>45920522</v>
      </c>
      <c r="C124" s="2" t="str">
        <f>"UNIMEDSJN"</f>
        <v>UNIMEDSJN</v>
      </c>
      <c r="D124" s="2" t="str">
        <f>"DH"</f>
        <v>DH</v>
      </c>
      <c r="E124" s="2" t="str">
        <f>"CAUA BARBOSA TEODORO"</f>
        <v>CAUA BARBOSA TEODORO</v>
      </c>
      <c r="F124" s="2" t="str">
        <f>"45920512-1/1"</f>
        <v>45920512-1/1</v>
      </c>
      <c r="G124" s="2" t="str">
        <f>"Carteira 21"</f>
        <v>Carteira 21</v>
      </c>
      <c r="H124" s="2">
        <v>21</v>
      </c>
      <c r="I124" s="3">
        <v>143</v>
      </c>
      <c r="J124" s="2" t="str">
        <f>"01/11/2019"</f>
        <v>01/11/2019</v>
      </c>
      <c r="K124" s="2" t="str">
        <f>"22/11/2019"</f>
        <v>22/11/2019</v>
      </c>
      <c r="L124" s="2" t="str">
        <f>"03/02/2020"</f>
        <v>03/02/2020</v>
      </c>
      <c r="M124" s="2" t="str">
        <f>"04/02/2020"</f>
        <v>04/02/2020</v>
      </c>
      <c r="N124" s="2">
        <v>202.14</v>
      </c>
      <c r="O124" s="2">
        <v>211.05</v>
      </c>
      <c r="P124" s="2">
        <v>5.0000000000011403E-2</v>
      </c>
    </row>
    <row r="125" spans="1:16" s="2" customFormat="1" x14ac:dyDescent="0.25">
      <c r="A125" s="2">
        <v>47494255</v>
      </c>
      <c r="B125" s="2">
        <v>47494262</v>
      </c>
      <c r="C125" s="2" t="str">
        <f>"UNIMEDSJN"</f>
        <v>UNIMEDSJN</v>
      </c>
      <c r="D125" s="2" t="str">
        <f>"DH"</f>
        <v>DH</v>
      </c>
      <c r="E125" s="2" t="str">
        <f>"CAUA BARBOSA TEODORO"</f>
        <v>CAUA BARBOSA TEODORO</v>
      </c>
      <c r="F125" s="2" t="str">
        <f>"47494255-1/1"</f>
        <v>47494255-1/1</v>
      </c>
      <c r="G125" s="2" t="str">
        <f>"Carteira 21"</f>
        <v>Carteira 21</v>
      </c>
      <c r="H125" s="2">
        <v>21</v>
      </c>
      <c r="I125" s="3">
        <v>113</v>
      </c>
      <c r="J125" s="2" t="str">
        <f>"01/12/2019"</f>
        <v>01/12/2019</v>
      </c>
      <c r="K125" s="2" t="str">
        <f>"22/12/2019"</f>
        <v>22/12/2019</v>
      </c>
      <c r="L125" s="2" t="str">
        <f>"02/03/2020"</f>
        <v>02/03/2020</v>
      </c>
      <c r="M125" s="2" t="str">
        <f>"03/03/2020"</f>
        <v>03/03/2020</v>
      </c>
      <c r="N125" s="2">
        <v>202.14</v>
      </c>
      <c r="O125" s="2">
        <v>210.85</v>
      </c>
      <c r="P125" s="2">
        <v>0.110000000000014</v>
      </c>
    </row>
    <row r="126" spans="1:16" s="2" customFormat="1" x14ac:dyDescent="0.25">
      <c r="A126" s="2">
        <v>48569374</v>
      </c>
      <c r="B126" s="2">
        <v>48569631</v>
      </c>
      <c r="C126" s="2" t="str">
        <f>"UNIMEDSJN"</f>
        <v>UNIMEDSJN</v>
      </c>
      <c r="D126" s="2" t="str">
        <f>"DH"</f>
        <v>DH</v>
      </c>
      <c r="E126" s="2" t="str">
        <f>"CAUA BARBOSA TEODORO"</f>
        <v>CAUA BARBOSA TEODORO</v>
      </c>
      <c r="F126" s="2" t="str">
        <f>"48569374-1/1"</f>
        <v>48569374-1/1</v>
      </c>
      <c r="G126" s="2" t="str">
        <f>"Carteira 21"</f>
        <v>Carteira 21</v>
      </c>
      <c r="H126" s="2">
        <v>20</v>
      </c>
      <c r="I126" s="3">
        <v>82</v>
      </c>
      <c r="J126" s="2" t="str">
        <f>"02/01/2020"</f>
        <v>02/01/2020</v>
      </c>
      <c r="K126" s="2" t="str">
        <f>"22/01/2020"</f>
        <v>22/01/2020</v>
      </c>
      <c r="L126" s="2" t="str">
        <f>"01/04/2020"</f>
        <v>01/04/2020</v>
      </c>
      <c r="M126" s="2" t="str">
        <f>"02/04/2020"</f>
        <v>02/04/2020</v>
      </c>
      <c r="N126" s="2">
        <v>202.14</v>
      </c>
      <c r="O126" s="2">
        <v>210.85</v>
      </c>
      <c r="P126" s="2">
        <v>5.0000000000011403E-2</v>
      </c>
    </row>
    <row r="127" spans="1:16" x14ac:dyDescent="0.25">
      <c r="A127">
        <v>48798476</v>
      </c>
      <c r="B127">
        <v>48798483</v>
      </c>
      <c r="C127" t="str">
        <f>"UNIMEDSJN"</f>
        <v>UNIMEDSJN</v>
      </c>
      <c r="D127" t="str">
        <f>"DH"</f>
        <v>DH</v>
      </c>
      <c r="E127" t="str">
        <f>"Celso Lopez Madeira"</f>
        <v>Celso Lopez Madeira</v>
      </c>
      <c r="F127" t="str">
        <f>"48798476-1/1"</f>
        <v>48798476-1/1</v>
      </c>
      <c r="G127" t="str">
        <f>"Carteira 21"</f>
        <v>Carteira 21</v>
      </c>
      <c r="H127">
        <v>37</v>
      </c>
      <c r="I127" s="1">
        <v>47</v>
      </c>
      <c r="J127" t="str">
        <f>"20/01/2020"</f>
        <v>20/01/2020</v>
      </c>
      <c r="K127" t="str">
        <f>"26/02/2020"</f>
        <v>26/02/2020</v>
      </c>
      <c r="L127" t="str">
        <f>"26/02/2020"</f>
        <v>26/02/2020</v>
      </c>
      <c r="M127" t="str">
        <f>"27/02/2020"</f>
        <v>27/02/2020</v>
      </c>
      <c r="N127">
        <v>574.66</v>
      </c>
      <c r="O127">
        <v>574.66</v>
      </c>
      <c r="P127">
        <v>0</v>
      </c>
    </row>
    <row r="128" spans="1:16" s="2" customFormat="1" x14ac:dyDescent="0.25">
      <c r="A128" s="2">
        <v>48562827</v>
      </c>
      <c r="B128" s="2">
        <v>48562841</v>
      </c>
      <c r="C128" s="2" t="str">
        <f>"UNIMEDSJN"</f>
        <v>UNIMEDSJN</v>
      </c>
      <c r="D128" s="2" t="str">
        <f>"DH"</f>
        <v>DH</v>
      </c>
      <c r="E128" s="2" t="str">
        <f>"CELSO PANARO CASCARDO"</f>
        <v>CELSO PANARO CASCARDO</v>
      </c>
      <c r="F128" s="2" t="str">
        <f>"48562827-1/1"</f>
        <v>48562827-1/1</v>
      </c>
      <c r="G128" s="2" t="str">
        <f>"Carteira 21"</f>
        <v>Carteira 21</v>
      </c>
      <c r="H128" s="2">
        <v>16</v>
      </c>
      <c r="I128" s="3">
        <v>86</v>
      </c>
      <c r="J128" s="2" t="str">
        <f>"02/01/2020"</f>
        <v>02/01/2020</v>
      </c>
      <c r="K128" s="2" t="str">
        <f>"18/01/2020"</f>
        <v>18/01/2020</v>
      </c>
      <c r="L128" s="2" t="str">
        <f>"26/02/2020"</f>
        <v>26/02/2020</v>
      </c>
      <c r="M128" s="2" t="str">
        <f>"27/02/2020"</f>
        <v>27/02/2020</v>
      </c>
      <c r="N128" s="2">
        <v>1467.74</v>
      </c>
      <c r="O128" s="2">
        <v>1515.01</v>
      </c>
      <c r="P128" s="2">
        <v>1.1600000000000801</v>
      </c>
    </row>
    <row r="129" spans="1:16" s="2" customFormat="1" x14ac:dyDescent="0.25">
      <c r="A129" s="2">
        <v>48579865</v>
      </c>
      <c r="B129" s="2">
        <v>48579870</v>
      </c>
      <c r="C129" s="2" t="str">
        <f>"UNIMEDSJN"</f>
        <v>UNIMEDSJN</v>
      </c>
      <c r="D129" s="2" t="str">
        <f>"DH"</f>
        <v>DH</v>
      </c>
      <c r="E129" s="2" t="str">
        <f>"Cesar Rodrigues Cabral"</f>
        <v>Cesar Rodrigues Cabral</v>
      </c>
      <c r="F129" s="2" t="str">
        <f>"48579865-1/1"</f>
        <v>48579865-1/1</v>
      </c>
      <c r="G129" s="2" t="str">
        <f>"Carteira 21"</f>
        <v>Carteira 21</v>
      </c>
      <c r="H129" s="2">
        <v>13</v>
      </c>
      <c r="I129" s="3">
        <v>89</v>
      </c>
      <c r="J129" s="2" t="str">
        <f>"02/01/2020"</f>
        <v>02/01/2020</v>
      </c>
      <c r="K129" s="2" t="str">
        <f>"15/01/2020"</f>
        <v>15/01/2020</v>
      </c>
      <c r="L129" s="2" t="str">
        <f>"17/02/2020"</f>
        <v>17/02/2020</v>
      </c>
      <c r="M129" s="2" t="str">
        <f>"18/02/2020"</f>
        <v>18/02/2020</v>
      </c>
      <c r="N129" s="2">
        <v>302.10000000000002</v>
      </c>
      <c r="O129" s="2">
        <v>311.43</v>
      </c>
      <c r="P129" s="2">
        <v>3.00000000000296E-2</v>
      </c>
    </row>
    <row r="130" spans="1:16" s="2" customFormat="1" x14ac:dyDescent="0.25">
      <c r="A130" s="2">
        <v>45458520</v>
      </c>
      <c r="B130" s="2">
        <v>45458533</v>
      </c>
      <c r="C130" s="2" t="str">
        <f>"UNIMEDSJN"</f>
        <v>UNIMEDSJN</v>
      </c>
      <c r="D130" s="2" t="str">
        <f>"DH"</f>
        <v>DH</v>
      </c>
      <c r="E130" s="2" t="str">
        <f>"CEZAR DE ALENCAR NOVAES"</f>
        <v>CEZAR DE ALENCAR NOVAES</v>
      </c>
      <c r="F130" s="2" t="str">
        <f>"45458520-1/1"</f>
        <v>45458520-1/1</v>
      </c>
      <c r="G130" s="2" t="str">
        <f>"Carteira 21"</f>
        <v>Carteira 21</v>
      </c>
      <c r="H130" s="2">
        <v>24</v>
      </c>
      <c r="I130" s="3">
        <v>171</v>
      </c>
      <c r="J130" s="2" t="str">
        <f>"01/10/2019"</f>
        <v>01/10/2019</v>
      </c>
      <c r="K130" s="2" t="str">
        <f>"25/10/2019"</f>
        <v>25/10/2019</v>
      </c>
      <c r="L130" s="2" t="str">
        <f>"25/10/2019"</f>
        <v>25/10/2019</v>
      </c>
      <c r="M130" s="2" t="str">
        <f>"27/09/2019"</f>
        <v>27/09/2019</v>
      </c>
      <c r="N130" s="2">
        <v>512.49</v>
      </c>
      <c r="O130" s="2">
        <v>512.49</v>
      </c>
      <c r="P130" s="2">
        <v>0</v>
      </c>
    </row>
    <row r="131" spans="1:16" s="2" customFormat="1" x14ac:dyDescent="0.25">
      <c r="A131" s="2">
        <v>45914013</v>
      </c>
      <c r="B131" s="2">
        <v>45914022</v>
      </c>
      <c r="C131" s="2" t="str">
        <f>"UNIMEDSJN"</f>
        <v>UNIMEDSJN</v>
      </c>
      <c r="D131" s="2" t="str">
        <f>"DH"</f>
        <v>DH</v>
      </c>
      <c r="E131" s="2" t="str">
        <f>"CEZAR DE ALENCAR NOVAES"</f>
        <v>CEZAR DE ALENCAR NOVAES</v>
      </c>
      <c r="F131" s="2" t="str">
        <f>"45914013-1/1"</f>
        <v>45914013-1/1</v>
      </c>
      <c r="G131" s="2" t="str">
        <f>"Carteira 21"</f>
        <v>Carteira 21</v>
      </c>
      <c r="H131" s="2">
        <v>24</v>
      </c>
      <c r="I131" s="3">
        <v>140</v>
      </c>
      <c r="J131" s="2" t="str">
        <f>"01/11/2019"</f>
        <v>01/11/2019</v>
      </c>
      <c r="K131" s="2" t="str">
        <f>"25/11/2019"</f>
        <v>25/11/2019</v>
      </c>
      <c r="L131" s="2" t="str">
        <f>"25/11/2019"</f>
        <v>25/11/2019</v>
      </c>
      <c r="M131" s="2" t="str">
        <f>"31/10/2019"</f>
        <v>31/10/2019</v>
      </c>
      <c r="N131" s="2">
        <v>512.49</v>
      </c>
      <c r="O131" s="2">
        <v>512.49</v>
      </c>
      <c r="P131" s="2">
        <v>0</v>
      </c>
    </row>
    <row r="132" spans="1:16" s="2" customFormat="1" x14ac:dyDescent="0.25">
      <c r="A132" s="2">
        <v>47507299</v>
      </c>
      <c r="B132" s="2">
        <v>47507304</v>
      </c>
      <c r="C132" s="2" t="str">
        <f>"UNIMEDSJN"</f>
        <v>UNIMEDSJN</v>
      </c>
      <c r="D132" s="2" t="str">
        <f>"DH"</f>
        <v>DH</v>
      </c>
      <c r="E132" s="2" t="str">
        <f>"CEZAR DE ALENCAR NOVAES"</f>
        <v>CEZAR DE ALENCAR NOVAES</v>
      </c>
      <c r="F132" s="2" t="str">
        <f>"47507299-1/1"</f>
        <v>47507299-1/1</v>
      </c>
      <c r="G132" s="2" t="str">
        <f>"Carteira 21"</f>
        <v>Carteira 21</v>
      </c>
      <c r="H132" s="2">
        <v>24</v>
      </c>
      <c r="I132" s="3">
        <v>110</v>
      </c>
      <c r="J132" s="2" t="str">
        <f>"01/12/2019"</f>
        <v>01/12/2019</v>
      </c>
      <c r="K132" s="2" t="str">
        <f>"25/12/2019"</f>
        <v>25/12/2019</v>
      </c>
      <c r="L132" s="2" t="str">
        <f>"25/12/2019"</f>
        <v>25/12/2019</v>
      </c>
      <c r="M132" s="2" t="str">
        <f>"28/11/2019"</f>
        <v>28/11/2019</v>
      </c>
      <c r="N132" s="2">
        <v>512.49</v>
      </c>
      <c r="O132" s="2">
        <v>512.49</v>
      </c>
      <c r="P132" s="2">
        <v>0</v>
      </c>
    </row>
    <row r="133" spans="1:16" s="2" customFormat="1" x14ac:dyDescent="0.25">
      <c r="A133" s="2">
        <v>48583621</v>
      </c>
      <c r="B133" s="2">
        <v>48583878</v>
      </c>
      <c r="C133" s="2" t="str">
        <f>"UNIMEDSJN"</f>
        <v>UNIMEDSJN</v>
      </c>
      <c r="D133" s="2" t="str">
        <f>"DH"</f>
        <v>DH</v>
      </c>
      <c r="E133" s="2" t="str">
        <f>"CEZAR DE ALENCAR NOVAES"</f>
        <v>CEZAR DE ALENCAR NOVAES</v>
      </c>
      <c r="F133" s="2" t="str">
        <f>"48583621-1/1"</f>
        <v>48583621-1/1</v>
      </c>
      <c r="G133" s="2" t="str">
        <f>"Carteira 21"</f>
        <v>Carteira 21</v>
      </c>
      <c r="H133" s="2">
        <v>23</v>
      </c>
      <c r="I133" s="3">
        <v>79</v>
      </c>
      <c r="J133" s="2" t="str">
        <f>"02/01/2020"</f>
        <v>02/01/2020</v>
      </c>
      <c r="K133" s="2" t="str">
        <f>"25/01/2020"</f>
        <v>25/01/2020</v>
      </c>
      <c r="L133" s="2" t="str">
        <f>"27/01/2020"</f>
        <v>27/01/2020</v>
      </c>
      <c r="M133" s="2" t="str">
        <f>"27/12/2019"</f>
        <v>27/12/2019</v>
      </c>
      <c r="N133" s="2">
        <v>512.49</v>
      </c>
      <c r="O133" s="2">
        <v>512.49</v>
      </c>
      <c r="P133" s="2">
        <v>0</v>
      </c>
    </row>
    <row r="134" spans="1:16" s="2" customFormat="1" x14ac:dyDescent="0.25">
      <c r="A134" s="2">
        <v>47505227</v>
      </c>
      <c r="B134" s="2">
        <v>47505262</v>
      </c>
      <c r="C134" s="2" t="str">
        <f>"UNIMEDSJN"</f>
        <v>UNIMEDSJN</v>
      </c>
      <c r="D134" s="2" t="str">
        <f>"DH"</f>
        <v>DH</v>
      </c>
      <c r="E134" s="2" t="str">
        <f>"CHRISTIANE RESENDE ITABORAHY"</f>
        <v>CHRISTIANE RESENDE ITABORAHY</v>
      </c>
      <c r="F134" s="2" t="str">
        <f>"47505227-1/1"</f>
        <v>47505227-1/1</v>
      </c>
      <c r="G134" s="2" t="str">
        <f>"Carteira 21"</f>
        <v>Carteira 21</v>
      </c>
      <c r="H134" s="2">
        <v>24</v>
      </c>
      <c r="I134" s="3">
        <v>110</v>
      </c>
      <c r="J134" s="2" t="str">
        <f>"01/12/2019"</f>
        <v>01/12/2019</v>
      </c>
      <c r="K134" s="2" t="str">
        <f>"25/12/2019"</f>
        <v>25/12/2019</v>
      </c>
      <c r="L134" s="2" t="str">
        <f>"20/03/2020"</f>
        <v>20/03/2020</v>
      </c>
      <c r="M134" s="2" t="str">
        <f>"23/03/2020"</f>
        <v>23/03/2020</v>
      </c>
      <c r="N134" s="2">
        <v>1288.0999999999999</v>
      </c>
      <c r="O134" s="2">
        <v>1350.42</v>
      </c>
      <c r="P134" s="2">
        <v>0.37000000000011801</v>
      </c>
    </row>
    <row r="135" spans="1:16" s="2" customFormat="1" x14ac:dyDescent="0.25">
      <c r="A135" s="2">
        <v>48579007</v>
      </c>
      <c r="B135" s="2">
        <v>48579039</v>
      </c>
      <c r="C135" s="2" t="str">
        <f>"UNIMEDSJN"</f>
        <v>UNIMEDSJN</v>
      </c>
      <c r="D135" s="2" t="str">
        <f>"DH"</f>
        <v>DH</v>
      </c>
      <c r="E135" s="2" t="str">
        <f>"CHRISTIANE RESENDE ITABORAHY"</f>
        <v>CHRISTIANE RESENDE ITABORAHY</v>
      </c>
      <c r="F135" s="2" t="str">
        <f>"48579007-1/1"</f>
        <v>48579007-1/1</v>
      </c>
      <c r="G135" s="2" t="str">
        <f>"Carteira 21"</f>
        <v>Carteira 21</v>
      </c>
      <c r="H135" s="2">
        <v>23</v>
      </c>
      <c r="I135" s="3">
        <v>79</v>
      </c>
      <c r="J135" s="2" t="str">
        <f>"02/01/2020"</f>
        <v>02/01/2020</v>
      </c>
      <c r="K135" s="2" t="str">
        <f>"25/01/2020"</f>
        <v>25/01/2020</v>
      </c>
      <c r="L135" s="2" t="str">
        <f>"20/03/2020"</f>
        <v>20/03/2020</v>
      </c>
      <c r="M135" s="2" t="str">
        <f>"23/03/2020"</f>
        <v>23/03/2020</v>
      </c>
      <c r="N135" s="2">
        <v>1288.0999999999999</v>
      </c>
      <c r="O135" s="2">
        <v>1336.39</v>
      </c>
      <c r="P135" s="2">
        <v>1.09000000000015</v>
      </c>
    </row>
    <row r="136" spans="1:16" s="2" customFormat="1" x14ac:dyDescent="0.25">
      <c r="A136" s="2">
        <v>48569760</v>
      </c>
      <c r="B136" s="2">
        <v>48569776</v>
      </c>
      <c r="C136" s="2" t="str">
        <f>"UNIMEDSJN"</f>
        <v>UNIMEDSJN</v>
      </c>
      <c r="D136" s="2" t="str">
        <f>"DH"</f>
        <v>DH</v>
      </c>
      <c r="E136" s="2" t="str">
        <f>"CIDMAR BATISTA"</f>
        <v>CIDMAR BATISTA</v>
      </c>
      <c r="F136" s="2" t="str">
        <f>"48569760-1/1"</f>
        <v>48569760-1/1</v>
      </c>
      <c r="G136" s="2" t="str">
        <f>"Carteira 21"</f>
        <v>Carteira 21</v>
      </c>
      <c r="H136" s="2">
        <v>23</v>
      </c>
      <c r="I136" s="3">
        <v>79</v>
      </c>
      <c r="J136" s="2" t="str">
        <f>"02/01/2020"</f>
        <v>02/01/2020</v>
      </c>
      <c r="K136" s="2" t="str">
        <f>"25/01/2020"</f>
        <v>25/01/2020</v>
      </c>
      <c r="L136" s="2" t="str">
        <f>"27/01/2020"</f>
        <v>27/01/2020</v>
      </c>
      <c r="M136" s="2" t="str">
        <f>"27/12/2019"</f>
        <v>27/12/2019</v>
      </c>
      <c r="N136" s="2">
        <v>176.5</v>
      </c>
      <c r="O136" s="2">
        <v>176.5</v>
      </c>
      <c r="P136" s="2">
        <v>0</v>
      </c>
    </row>
    <row r="137" spans="1:16" s="2" customFormat="1" x14ac:dyDescent="0.25">
      <c r="A137" s="2">
        <v>45915425</v>
      </c>
      <c r="B137" s="2">
        <v>45915434</v>
      </c>
      <c r="C137" s="2" t="str">
        <f>"UNIMEDSJN"</f>
        <v>UNIMEDSJN</v>
      </c>
      <c r="D137" s="2" t="str">
        <f>"DH"</f>
        <v>DH</v>
      </c>
      <c r="E137" s="2" t="str">
        <f>"Cimara Romagnoli"</f>
        <v>Cimara Romagnoli</v>
      </c>
      <c r="F137" s="2" t="str">
        <f>"45915425-1/1"</f>
        <v>45915425-1/1</v>
      </c>
      <c r="G137" s="2" t="str">
        <f>"Carteira 21"</f>
        <v>Carteira 21</v>
      </c>
      <c r="H137" s="2">
        <v>24</v>
      </c>
      <c r="I137" s="3">
        <v>140</v>
      </c>
      <c r="J137" s="2" t="str">
        <f>"01/11/2019"</f>
        <v>01/11/2019</v>
      </c>
      <c r="K137" s="2" t="str">
        <f>"25/11/2019"</f>
        <v>25/11/2019</v>
      </c>
      <c r="L137" s="2" t="str">
        <f>"03/03/2020"</f>
        <v>03/03/2020</v>
      </c>
      <c r="M137" s="2" t="str">
        <f>"04/03/2020"</f>
        <v>04/03/2020</v>
      </c>
      <c r="N137" s="2">
        <v>173.9</v>
      </c>
      <c r="O137" s="2">
        <v>183.06</v>
      </c>
      <c r="P137" s="2">
        <v>6.0000000000002301E-2</v>
      </c>
    </row>
    <row r="138" spans="1:16" s="2" customFormat="1" x14ac:dyDescent="0.25">
      <c r="A138" s="2">
        <v>45915445</v>
      </c>
      <c r="B138" s="2">
        <v>45915455</v>
      </c>
      <c r="C138" s="2" t="str">
        <f>"UNIMEDSJN"</f>
        <v>UNIMEDSJN</v>
      </c>
      <c r="D138" s="2" t="str">
        <f>"DH"</f>
        <v>DH</v>
      </c>
      <c r="E138" s="2" t="str">
        <f>"Cimara Romagnoli"</f>
        <v>Cimara Romagnoli</v>
      </c>
      <c r="F138" s="2" t="str">
        <f>"45915445-1/1"</f>
        <v>45915445-1/1</v>
      </c>
      <c r="G138" s="2" t="str">
        <f>"Carteira 21"</f>
        <v>Carteira 21</v>
      </c>
      <c r="H138" s="2">
        <v>24</v>
      </c>
      <c r="I138" s="3">
        <v>140</v>
      </c>
      <c r="J138" s="2" t="str">
        <f>"01/11/2019"</f>
        <v>01/11/2019</v>
      </c>
      <c r="K138" s="2" t="str">
        <f>"25/11/2019"</f>
        <v>25/11/2019</v>
      </c>
      <c r="L138" s="2" t="str">
        <f>"03/03/2020"</f>
        <v>03/03/2020</v>
      </c>
      <c r="M138" s="2" t="str">
        <f>"04/03/2020"</f>
        <v>04/03/2020</v>
      </c>
      <c r="N138" s="2">
        <v>173.9</v>
      </c>
      <c r="O138" s="2">
        <v>183.06</v>
      </c>
      <c r="P138" s="2">
        <v>6.0000000000002301E-2</v>
      </c>
    </row>
    <row r="139" spans="1:16" s="2" customFormat="1" x14ac:dyDescent="0.25">
      <c r="A139" s="2">
        <v>47498783</v>
      </c>
      <c r="B139" s="2">
        <v>47498799</v>
      </c>
      <c r="C139" s="2" t="str">
        <f>"UNIMEDSJN"</f>
        <v>UNIMEDSJN</v>
      </c>
      <c r="D139" s="2" t="str">
        <f>"DH"</f>
        <v>DH</v>
      </c>
      <c r="E139" s="2" t="str">
        <f>"Clariana Aparecida da Silva"</f>
        <v>Clariana Aparecida da Silva</v>
      </c>
      <c r="F139" s="2" t="str">
        <f>"47498783-1/1"</f>
        <v>47498783-1/1</v>
      </c>
      <c r="G139" s="2" t="str">
        <f>"Carteira 21"</f>
        <v>Carteira 21</v>
      </c>
      <c r="H139" s="2">
        <v>24</v>
      </c>
      <c r="I139" s="3">
        <v>110</v>
      </c>
      <c r="J139" s="2" t="str">
        <f>"01/12/2019"</f>
        <v>01/12/2019</v>
      </c>
      <c r="K139" s="2" t="str">
        <f>"25/12/2019"</f>
        <v>25/12/2019</v>
      </c>
      <c r="L139" s="2" t="str">
        <f>"25/12/2019"</f>
        <v>25/12/2019</v>
      </c>
      <c r="M139" s="2" t="str">
        <f>"28/11/2019"</f>
        <v>28/11/2019</v>
      </c>
      <c r="N139" s="2">
        <v>104.8</v>
      </c>
      <c r="O139" s="2">
        <v>104.8</v>
      </c>
      <c r="P139" s="2">
        <v>0</v>
      </c>
    </row>
    <row r="140" spans="1:16" s="2" customFormat="1" x14ac:dyDescent="0.25">
      <c r="A140" s="2">
        <v>47491237</v>
      </c>
      <c r="B140" s="2">
        <v>47491244</v>
      </c>
      <c r="C140" s="2" t="str">
        <f>"UNIMEDSJN"</f>
        <v>UNIMEDSJN</v>
      </c>
      <c r="D140" s="2" t="str">
        <f>"DH"</f>
        <v>DH</v>
      </c>
      <c r="E140" s="2" t="str">
        <f>"Claudia Damasceno Ferraz"</f>
        <v>Claudia Damasceno Ferraz</v>
      </c>
      <c r="F140" s="2" t="str">
        <f>"47491237-1/1"</f>
        <v>47491237-1/1</v>
      </c>
      <c r="G140" s="2" t="str">
        <f>"Carteira 21"</f>
        <v>Carteira 21</v>
      </c>
      <c r="H140" s="2">
        <v>14</v>
      </c>
      <c r="I140" s="3">
        <v>120</v>
      </c>
      <c r="J140" s="2" t="str">
        <f>"01/12/2019"</f>
        <v>01/12/2019</v>
      </c>
      <c r="K140" s="2" t="str">
        <f>"15/12/2019"</f>
        <v>15/12/2019</v>
      </c>
      <c r="L140" s="2" t="str">
        <f>"12/03/2020"</f>
        <v>12/03/2020</v>
      </c>
      <c r="M140" s="2" t="str">
        <f>"13/03/2020"</f>
        <v>13/03/2020</v>
      </c>
      <c r="N140" s="2">
        <v>439.14</v>
      </c>
      <c r="O140" s="2">
        <v>460.53</v>
      </c>
      <c r="P140" s="2">
        <v>0.26999999999998198</v>
      </c>
    </row>
    <row r="141" spans="1:16" x14ac:dyDescent="0.25">
      <c r="A141">
        <v>48566091</v>
      </c>
      <c r="B141">
        <v>48566103</v>
      </c>
      <c r="C141" t="str">
        <f>"UNIMEDSJN"</f>
        <v>UNIMEDSJN</v>
      </c>
      <c r="D141" t="str">
        <f>"DH"</f>
        <v>DH</v>
      </c>
      <c r="E141" t="str">
        <f>"Claudia Damasceno Ferraz"</f>
        <v>Claudia Damasceno Ferraz</v>
      </c>
      <c r="F141" t="str">
        <f>"48566091-1/1"</f>
        <v>48566091-1/1</v>
      </c>
      <c r="G141" t="str">
        <f>"Carteira 21"</f>
        <v>Carteira 21</v>
      </c>
      <c r="H141">
        <v>43</v>
      </c>
      <c r="I141" s="1">
        <v>59</v>
      </c>
      <c r="J141" t="str">
        <f>"02/01/2020"</f>
        <v>02/01/2020</v>
      </c>
      <c r="K141" t="str">
        <f>"14/02/2020"</f>
        <v>14/02/2020</v>
      </c>
      <c r="L141" t="str">
        <f>"20/03/2020"</f>
        <v>20/03/2020</v>
      </c>
      <c r="M141" t="str">
        <f>"23/03/2020"</f>
        <v>23/03/2020</v>
      </c>
      <c r="N141">
        <v>439.14</v>
      </c>
      <c r="O141">
        <v>457.34</v>
      </c>
      <c r="P141">
        <v>-4.30000000000007</v>
      </c>
    </row>
    <row r="142" spans="1:16" x14ac:dyDescent="0.25">
      <c r="A142">
        <v>48615968</v>
      </c>
      <c r="B142">
        <v>48615975</v>
      </c>
      <c r="C142" t="str">
        <f>"UNIMEDSJN"</f>
        <v>UNIMEDSJN</v>
      </c>
      <c r="D142" t="str">
        <f>"DH"</f>
        <v>DH</v>
      </c>
      <c r="E142" t="str">
        <f>"CLAUDIA MIRANDA DE SOUZA LIMA"</f>
        <v>CLAUDIA MIRANDA DE SOUZA LIMA</v>
      </c>
      <c r="F142" t="str">
        <f>"48615968-1/1"</f>
        <v>48615968-1/1</v>
      </c>
      <c r="G142" t="str">
        <f>"Carteira 21"</f>
        <v>Carteira 21</v>
      </c>
      <c r="H142">
        <v>40</v>
      </c>
      <c r="I142" s="1">
        <v>44</v>
      </c>
      <c r="J142" t="str">
        <f>"20/01/2020"</f>
        <v>20/01/2020</v>
      </c>
      <c r="K142" t="str">
        <f>"29/02/2020"</f>
        <v>29/02/2020</v>
      </c>
      <c r="L142" t="str">
        <f>"02/03/2020"</f>
        <v>02/03/2020</v>
      </c>
      <c r="M142" t="str">
        <f>"05/02/2020"</f>
        <v>05/02/2020</v>
      </c>
      <c r="N142">
        <v>208.21</v>
      </c>
      <c r="O142">
        <v>208.21</v>
      </c>
      <c r="P142">
        <v>0</v>
      </c>
    </row>
    <row r="143" spans="1:16" s="2" customFormat="1" x14ac:dyDescent="0.25">
      <c r="A143" s="2">
        <v>48575115</v>
      </c>
      <c r="B143" s="2">
        <v>48575382</v>
      </c>
      <c r="C143" s="2" t="str">
        <f>"UNIMEDSJN"</f>
        <v>UNIMEDSJN</v>
      </c>
      <c r="D143" s="2" t="str">
        <f>"DH"</f>
        <v>DH</v>
      </c>
      <c r="E143" s="2" t="str">
        <f>"Cleber Junio Souza da Silva"</f>
        <v>Cleber Junio Souza da Silva</v>
      </c>
      <c r="F143" s="2" t="str">
        <f>"48575115-1/1"</f>
        <v>48575115-1/1</v>
      </c>
      <c r="G143" s="2" t="str">
        <f>"Carteira 21"</f>
        <v>Carteira 21</v>
      </c>
      <c r="H143" s="2">
        <v>23</v>
      </c>
      <c r="I143" s="3">
        <v>79</v>
      </c>
      <c r="J143" s="2" t="str">
        <f>"02/01/2020"</f>
        <v>02/01/2020</v>
      </c>
      <c r="K143" s="2" t="str">
        <f>"25/01/2020"</f>
        <v>25/01/2020</v>
      </c>
      <c r="L143" s="2" t="str">
        <f>"16/03/2020"</f>
        <v>16/03/2020</v>
      </c>
      <c r="M143" s="2" t="str">
        <f>"17/03/2020"</f>
        <v>17/03/2020</v>
      </c>
      <c r="N143" s="2">
        <v>75.900000000000006</v>
      </c>
      <c r="O143" s="2">
        <v>78.650000000000006</v>
      </c>
      <c r="P143" s="2">
        <v>6.0000000000002301E-2</v>
      </c>
    </row>
    <row r="144" spans="1:16" x14ac:dyDescent="0.25">
      <c r="A144">
        <v>48793982</v>
      </c>
      <c r="B144">
        <v>48793996</v>
      </c>
      <c r="C144" t="str">
        <f>"UNIMEDSJN"</f>
        <v>UNIMEDSJN</v>
      </c>
      <c r="D144" t="str">
        <f>"DH"</f>
        <v>DH</v>
      </c>
      <c r="E144" t="str">
        <f>"CRESO SILVA DE MENDONCA"</f>
        <v>CRESO SILVA DE MENDONCA</v>
      </c>
      <c r="F144" t="str">
        <f>"48793982-1/1"</f>
        <v>48793982-1/1</v>
      </c>
      <c r="G144" t="str">
        <f>"Carteira 21"</f>
        <v>Carteira 21</v>
      </c>
      <c r="H144">
        <v>27</v>
      </c>
      <c r="I144" s="1">
        <v>57</v>
      </c>
      <c r="J144" t="str">
        <f>"20/01/2020"</f>
        <v>20/01/2020</v>
      </c>
      <c r="K144" t="str">
        <f>"16/02/2020"</f>
        <v>16/02/2020</v>
      </c>
      <c r="L144" t="str">
        <f>"17/02/2020"</f>
        <v>17/02/2020</v>
      </c>
      <c r="M144" t="str">
        <f>"07/02/2020"</f>
        <v>07/02/2020</v>
      </c>
      <c r="N144">
        <v>268.29000000000002</v>
      </c>
      <c r="O144">
        <v>268.29000000000002</v>
      </c>
      <c r="P144">
        <v>0</v>
      </c>
    </row>
    <row r="145" spans="1:16" s="2" customFormat="1" x14ac:dyDescent="0.25">
      <c r="A145" s="2">
        <v>48574173</v>
      </c>
      <c r="B145" s="2">
        <v>48574188</v>
      </c>
      <c r="C145" s="2" t="str">
        <f>"UNIMEDSJN"</f>
        <v>UNIMEDSJN</v>
      </c>
      <c r="D145" s="2" t="str">
        <f>"DH"</f>
        <v>DH</v>
      </c>
      <c r="E145" s="2" t="str">
        <f>"Cristiane Aparecida Santiago Venancio"</f>
        <v>Cristiane Aparecida Santiago Venancio</v>
      </c>
      <c r="F145" s="2" t="str">
        <f>"48574173-1/1"</f>
        <v>48574173-1/1</v>
      </c>
      <c r="G145" s="2" t="str">
        <f>"Carteira 21"</f>
        <v>Carteira 21</v>
      </c>
      <c r="H145" s="2">
        <v>23</v>
      </c>
      <c r="I145" s="3">
        <v>79</v>
      </c>
      <c r="J145" s="2" t="str">
        <f>"02/01/2020"</f>
        <v>02/01/2020</v>
      </c>
      <c r="K145" s="2" t="str">
        <f>"25/01/2020"</f>
        <v>25/01/2020</v>
      </c>
      <c r="L145" s="2" t="str">
        <f>"27/01/2020"</f>
        <v>27/01/2020</v>
      </c>
      <c r="M145" s="2" t="str">
        <f>"27/12/2019"</f>
        <v>27/12/2019</v>
      </c>
      <c r="N145" s="2">
        <v>80.41</v>
      </c>
      <c r="O145" s="2">
        <v>80.41</v>
      </c>
      <c r="P145" s="2">
        <v>0</v>
      </c>
    </row>
    <row r="146" spans="1:16" s="2" customFormat="1" x14ac:dyDescent="0.25">
      <c r="A146" s="2">
        <v>48584543</v>
      </c>
      <c r="B146" s="2">
        <v>48584553</v>
      </c>
      <c r="C146" s="2" t="str">
        <f>"UNIMEDSJN"</f>
        <v>UNIMEDSJN</v>
      </c>
      <c r="D146" s="2" t="str">
        <f>"DH"</f>
        <v>DH</v>
      </c>
      <c r="E146" s="2" t="str">
        <f>"Cristina de Cassia Morais Clemente"</f>
        <v>Cristina de Cassia Morais Clemente</v>
      </c>
      <c r="F146" s="2" t="str">
        <f>"48584543-1/1"</f>
        <v>48584543-1/1</v>
      </c>
      <c r="G146" s="2" t="str">
        <f>"Carteira 21"</f>
        <v>Carteira 21</v>
      </c>
      <c r="H146" s="2">
        <v>23</v>
      </c>
      <c r="I146" s="3">
        <v>79</v>
      </c>
      <c r="J146" s="2" t="str">
        <f>"02/01/2020"</f>
        <v>02/01/2020</v>
      </c>
      <c r="K146" s="2" t="str">
        <f>"25/01/2020"</f>
        <v>25/01/2020</v>
      </c>
      <c r="L146" s="2" t="str">
        <f>"14/02/2020"</f>
        <v>14/02/2020</v>
      </c>
      <c r="M146" s="2" t="str">
        <f>"17/02/2020"</f>
        <v>17/02/2020</v>
      </c>
      <c r="N146" s="2">
        <v>352.71</v>
      </c>
      <c r="O146" s="2">
        <v>361.85</v>
      </c>
      <c r="P146" s="2">
        <v>0.25999999999993401</v>
      </c>
    </row>
    <row r="147" spans="1:16" s="2" customFormat="1" x14ac:dyDescent="0.25">
      <c r="A147" s="2">
        <v>48567508</v>
      </c>
      <c r="B147" s="2">
        <v>48567522</v>
      </c>
      <c r="C147" s="2" t="str">
        <f>"UNIMEDSJN"</f>
        <v>UNIMEDSJN</v>
      </c>
      <c r="D147" s="2" t="str">
        <f>"DH"</f>
        <v>DH</v>
      </c>
      <c r="E147" s="2" t="str">
        <f>"CRISTINNE FURTADO SACHETTO"</f>
        <v>CRISTINNE FURTADO SACHETTO</v>
      </c>
      <c r="F147" s="2" t="str">
        <f>"48567508-1/1"</f>
        <v>48567508-1/1</v>
      </c>
      <c r="G147" s="2" t="str">
        <f>"Carteira 21"</f>
        <v>Carteira 21</v>
      </c>
      <c r="H147" s="2">
        <v>13</v>
      </c>
      <c r="I147" s="3">
        <v>89</v>
      </c>
      <c r="J147" s="2" t="str">
        <f>"02/01/2020"</f>
        <v>02/01/2020</v>
      </c>
      <c r="K147" s="2" t="str">
        <f>"15/01/2020"</f>
        <v>15/01/2020</v>
      </c>
      <c r="L147" s="2" t="str">
        <f>"27/02/2020"</f>
        <v>27/02/2020</v>
      </c>
      <c r="M147" s="2" t="str">
        <f>"28/02/2020"</f>
        <v>28/02/2020</v>
      </c>
      <c r="N147" s="2">
        <v>446.08</v>
      </c>
      <c r="O147" s="2">
        <v>461.33</v>
      </c>
      <c r="P147" s="2">
        <v>6.0000000000002301E-2</v>
      </c>
    </row>
    <row r="148" spans="1:16" s="2" customFormat="1" x14ac:dyDescent="0.25">
      <c r="A148" s="2">
        <v>48566227</v>
      </c>
      <c r="B148" s="2">
        <v>48566232</v>
      </c>
      <c r="C148" s="2" t="str">
        <f>"UNIMEDSJN"</f>
        <v>UNIMEDSJN</v>
      </c>
      <c r="D148" s="2" t="str">
        <f>"DH"</f>
        <v>DH</v>
      </c>
      <c r="E148" s="2" t="str">
        <f>"DALILA CELESTE MENDONCA E SILVA"</f>
        <v>DALILA CELESTE MENDONCA E SILVA</v>
      </c>
      <c r="F148" s="2" t="str">
        <f>"48566227-1/1"</f>
        <v>48566227-1/1</v>
      </c>
      <c r="G148" s="2" t="str">
        <f>"Carteira 21"</f>
        <v>Carteira 21</v>
      </c>
      <c r="H148" s="2">
        <v>16</v>
      </c>
      <c r="I148" s="3">
        <v>86</v>
      </c>
      <c r="J148" s="2" t="str">
        <f>"02/01/2020"</f>
        <v>02/01/2020</v>
      </c>
      <c r="K148" s="2" t="str">
        <f>"18/01/2020"</f>
        <v>18/01/2020</v>
      </c>
      <c r="L148" s="2" t="str">
        <f>"20/02/2020"</f>
        <v>20/02/2020</v>
      </c>
      <c r="M148" s="2" t="str">
        <f>"21/02/2020"</f>
        <v>21/02/2020</v>
      </c>
      <c r="N148" s="2">
        <v>444.63</v>
      </c>
      <c r="O148" s="2">
        <v>458.07</v>
      </c>
      <c r="P148" s="2">
        <v>0.340000000000032</v>
      </c>
    </row>
    <row r="149" spans="1:16" s="2" customFormat="1" x14ac:dyDescent="0.25">
      <c r="A149" s="2">
        <v>47512004</v>
      </c>
      <c r="B149" s="2">
        <v>47512014</v>
      </c>
      <c r="C149" s="2" t="str">
        <f>"UNIMEDSJN"</f>
        <v>UNIMEDSJN</v>
      </c>
      <c r="D149" s="2" t="str">
        <f>"DH"</f>
        <v>DH</v>
      </c>
      <c r="E149" s="2" t="str">
        <f>"DANIEL LONGO NASCENTES"</f>
        <v>DANIEL LONGO NASCENTES</v>
      </c>
      <c r="F149" s="2" t="str">
        <f>"47512004-1/1"</f>
        <v>47512004-1/1</v>
      </c>
      <c r="G149" s="2" t="str">
        <f>"Carteira 21"</f>
        <v>Carteira 21</v>
      </c>
      <c r="H149" s="2">
        <v>24</v>
      </c>
      <c r="I149" s="3">
        <v>110</v>
      </c>
      <c r="J149" s="2" t="str">
        <f>"01/12/2019"</f>
        <v>01/12/2019</v>
      </c>
      <c r="K149" s="2" t="str">
        <f>"25/12/2019"</f>
        <v>25/12/2019</v>
      </c>
      <c r="L149" s="2" t="str">
        <f>"07/02/2020"</f>
        <v>07/02/2020</v>
      </c>
      <c r="M149" s="2" t="str">
        <f>"10/02/2020"</f>
        <v>10/02/2020</v>
      </c>
      <c r="N149" s="2">
        <v>292.85000000000002</v>
      </c>
      <c r="O149" s="2">
        <v>302.95999999999998</v>
      </c>
      <c r="P149" s="2">
        <v>5.0000000000068198E-2</v>
      </c>
    </row>
    <row r="150" spans="1:16" s="2" customFormat="1" x14ac:dyDescent="0.25">
      <c r="A150" s="2">
        <v>48563087</v>
      </c>
      <c r="B150" s="2">
        <v>48563096</v>
      </c>
      <c r="C150" s="2" t="str">
        <f>"UNIMEDSJN"</f>
        <v>UNIMEDSJN</v>
      </c>
      <c r="D150" s="2" t="str">
        <f>"DH"</f>
        <v>DH</v>
      </c>
      <c r="E150" s="2" t="str">
        <f>"DANIEL LONGO NASCENTES"</f>
        <v>DANIEL LONGO NASCENTES</v>
      </c>
      <c r="F150" s="2" t="str">
        <f>"48563087-1/1"</f>
        <v>48563087-1/1</v>
      </c>
      <c r="G150" s="2" t="str">
        <f>"Carteira 21"</f>
        <v>Carteira 21</v>
      </c>
      <c r="H150" s="2">
        <v>23</v>
      </c>
      <c r="I150" s="3">
        <v>79</v>
      </c>
      <c r="J150" s="2" t="str">
        <f>"02/01/2020"</f>
        <v>02/01/2020</v>
      </c>
      <c r="K150" s="2" t="str">
        <f>"25/01/2020"</f>
        <v>25/01/2020</v>
      </c>
      <c r="L150" s="2" t="str">
        <f>"11/03/2020"</f>
        <v>11/03/2020</v>
      </c>
      <c r="M150" s="2" t="str">
        <f>"12/03/2020"</f>
        <v>12/03/2020</v>
      </c>
      <c r="N150" s="2">
        <v>292.85000000000002</v>
      </c>
      <c r="O150" s="2">
        <v>302.95999999999998</v>
      </c>
      <c r="P150" s="2">
        <v>0.24000000000006599</v>
      </c>
    </row>
    <row r="151" spans="1:16" s="2" customFormat="1" x14ac:dyDescent="0.25">
      <c r="A151" s="2">
        <v>48565798</v>
      </c>
      <c r="B151" s="2">
        <v>48565808</v>
      </c>
      <c r="C151" s="2" t="str">
        <f>"UNIMEDSJN"</f>
        <v>UNIMEDSJN</v>
      </c>
      <c r="D151" s="2" t="str">
        <f>"DH"</f>
        <v>DH</v>
      </c>
      <c r="E151" s="2" t="str">
        <f>"DANIEL VERAS BROVINE"</f>
        <v>DANIEL VERAS BROVINE</v>
      </c>
      <c r="F151" s="2" t="str">
        <f>"48565798-1/1"</f>
        <v>48565798-1/1</v>
      </c>
      <c r="G151" s="2" t="str">
        <f>"Carteira 21"</f>
        <v>Carteira 21</v>
      </c>
      <c r="H151" s="2">
        <v>16</v>
      </c>
      <c r="I151" s="3">
        <v>86</v>
      </c>
      <c r="J151" s="2" t="str">
        <f>"02/01/2020"</f>
        <v>02/01/2020</v>
      </c>
      <c r="K151" s="2" t="str">
        <f>"18/01/2020"</f>
        <v>18/01/2020</v>
      </c>
      <c r="L151" s="2" t="str">
        <f>"06/02/2020"</f>
        <v>06/02/2020</v>
      </c>
      <c r="M151" s="2" t="str">
        <f>"07/02/2020"</f>
        <v>07/02/2020</v>
      </c>
      <c r="N151" s="2">
        <v>312.43</v>
      </c>
      <c r="O151" s="2">
        <v>320.43</v>
      </c>
      <c r="P151" s="2">
        <v>0.230000000000018</v>
      </c>
    </row>
    <row r="152" spans="1:16" s="2" customFormat="1" x14ac:dyDescent="0.25">
      <c r="A152" s="2">
        <v>45448725</v>
      </c>
      <c r="B152" s="2">
        <v>45448749</v>
      </c>
      <c r="C152" s="2" t="str">
        <f>"UNIMEDSJN"</f>
        <v>UNIMEDSJN</v>
      </c>
      <c r="D152" s="2" t="str">
        <f>"DH"</f>
        <v>DH</v>
      </c>
      <c r="E152" s="2" t="str">
        <f>"Daniela Alzira Dutra Filgueiras"</f>
        <v>Daniela Alzira Dutra Filgueiras</v>
      </c>
      <c r="F152" s="2" t="str">
        <f>"45448725-1/1"</f>
        <v>45448725-1/1</v>
      </c>
      <c r="G152" s="2" t="str">
        <f>"Carteira 21"</f>
        <v>Carteira 21</v>
      </c>
      <c r="H152" s="2">
        <v>24</v>
      </c>
      <c r="I152" s="3">
        <v>171</v>
      </c>
      <c r="J152" s="2" t="str">
        <f>"01/10/2019"</f>
        <v>01/10/2019</v>
      </c>
      <c r="K152" s="2" t="str">
        <f>"25/10/2019"</f>
        <v>25/10/2019</v>
      </c>
      <c r="L152" s="2" t="str">
        <f>"25/10/2019"</f>
        <v>25/10/2019</v>
      </c>
      <c r="M152" s="2" t="str">
        <f>"27/09/2019"</f>
        <v>27/09/2019</v>
      </c>
      <c r="N152" s="2">
        <v>88.45</v>
      </c>
      <c r="O152" s="2">
        <v>88.45</v>
      </c>
      <c r="P152" s="2">
        <v>0</v>
      </c>
    </row>
    <row r="153" spans="1:16" s="2" customFormat="1" x14ac:dyDescent="0.25">
      <c r="A153" s="2">
        <v>48573466</v>
      </c>
      <c r="B153" s="2">
        <v>48573476</v>
      </c>
      <c r="C153" s="2" t="str">
        <f>"UNIMEDSJN"</f>
        <v>UNIMEDSJN</v>
      </c>
      <c r="D153" s="2" t="str">
        <f>"DH"</f>
        <v>DH</v>
      </c>
      <c r="E153" s="2" t="str">
        <f>"Daniela Alzira Dutra Filgueiras"</f>
        <v>Daniela Alzira Dutra Filgueiras</v>
      </c>
      <c r="F153" s="2" t="str">
        <f>"48573466-1/1"</f>
        <v>48573466-1/1</v>
      </c>
      <c r="G153" s="2" t="str">
        <f>"Carteira 21"</f>
        <v>Carteira 21</v>
      </c>
      <c r="H153" s="2">
        <v>23</v>
      </c>
      <c r="I153" s="3">
        <v>79</v>
      </c>
      <c r="J153" s="2" t="str">
        <f>"02/01/2020"</f>
        <v>02/01/2020</v>
      </c>
      <c r="K153" s="2" t="str">
        <f>"25/01/2020"</f>
        <v>25/01/2020</v>
      </c>
      <c r="L153" s="2" t="str">
        <f>"06/02/2020"</f>
        <v>06/02/2020</v>
      </c>
      <c r="M153" s="2" t="str">
        <f>"07/02/2020"</f>
        <v>07/02/2020</v>
      </c>
      <c r="N153" s="2">
        <v>88.45</v>
      </c>
      <c r="O153" s="2">
        <v>90.51</v>
      </c>
      <c r="P153" s="2">
        <v>6.0000000000002301E-2</v>
      </c>
    </row>
    <row r="154" spans="1:16" s="2" customFormat="1" x14ac:dyDescent="0.25">
      <c r="A154" s="2">
        <v>48584311</v>
      </c>
      <c r="B154" s="2">
        <v>48584316</v>
      </c>
      <c r="C154" s="2" t="str">
        <f>"UNIMEDSJN"</f>
        <v>UNIMEDSJN</v>
      </c>
      <c r="D154" s="2" t="str">
        <f>"DH"</f>
        <v>DH</v>
      </c>
      <c r="E154" s="2" t="str">
        <f>"DANIELY NOGUEIRA DA SILVA"</f>
        <v>DANIELY NOGUEIRA DA SILVA</v>
      </c>
      <c r="F154" s="2" t="str">
        <f>"48584311-1/1"</f>
        <v>48584311-1/1</v>
      </c>
      <c r="G154" s="2" t="str">
        <f>"Carteira 21"</f>
        <v>Carteira 21</v>
      </c>
      <c r="H154" s="2">
        <v>23</v>
      </c>
      <c r="I154" s="3">
        <v>79</v>
      </c>
      <c r="J154" s="2" t="str">
        <f>"02/01/2020"</f>
        <v>02/01/2020</v>
      </c>
      <c r="K154" s="2" t="str">
        <f>"25/01/2020"</f>
        <v>25/01/2020</v>
      </c>
      <c r="L154" s="2" t="str">
        <f>"03/04/2020"</f>
        <v>03/04/2020</v>
      </c>
      <c r="M154" s="2" t="str">
        <f>"06/04/2020"</f>
        <v>06/04/2020</v>
      </c>
      <c r="N154" s="2">
        <v>174.65</v>
      </c>
      <c r="O154" s="2">
        <v>182</v>
      </c>
      <c r="P154" s="2">
        <v>0.15999999999999701</v>
      </c>
    </row>
    <row r="155" spans="1:16" s="2" customFormat="1" x14ac:dyDescent="0.25">
      <c r="A155" s="2">
        <v>45909305</v>
      </c>
      <c r="B155" s="2">
        <v>45909310</v>
      </c>
      <c r="C155" s="2" t="str">
        <f>"UNIMEDSJN"</f>
        <v>UNIMEDSJN</v>
      </c>
      <c r="D155" s="2" t="str">
        <f>"DH"</f>
        <v>DH</v>
      </c>
      <c r="E155" s="2" t="str">
        <f>"Darlene Barbosa de Lima"</f>
        <v>Darlene Barbosa de Lima</v>
      </c>
      <c r="F155" s="2" t="str">
        <f>"45909305-1/1"</f>
        <v>45909305-1/1</v>
      </c>
      <c r="G155" s="2" t="str">
        <f>"Carteira 21"</f>
        <v>Carteira 21</v>
      </c>
      <c r="H155" s="2">
        <v>24</v>
      </c>
      <c r="I155" s="3">
        <v>140</v>
      </c>
      <c r="J155" s="2" t="str">
        <f>"01/11/2019"</f>
        <v>01/11/2019</v>
      </c>
      <c r="K155" s="2" t="str">
        <f>"25/11/2019"</f>
        <v>25/11/2019</v>
      </c>
      <c r="L155" s="2" t="str">
        <f>"17/02/2020"</f>
        <v>17/02/2020</v>
      </c>
      <c r="M155" s="2" t="str">
        <f>"18/02/2020"</f>
        <v>18/02/2020</v>
      </c>
      <c r="N155" s="2">
        <v>136.22999999999999</v>
      </c>
      <c r="O155" s="2">
        <v>142.72999999999999</v>
      </c>
      <c r="P155" s="2">
        <v>3.0000000000001099E-2</v>
      </c>
    </row>
    <row r="156" spans="1:16" s="2" customFormat="1" x14ac:dyDescent="0.25">
      <c r="A156" s="2">
        <v>47507725</v>
      </c>
      <c r="B156" s="2">
        <v>47507732</v>
      </c>
      <c r="C156" s="2" t="str">
        <f>"UNIMEDSJN"</f>
        <v>UNIMEDSJN</v>
      </c>
      <c r="D156" s="2" t="str">
        <f>"DH"</f>
        <v>DH</v>
      </c>
      <c r="E156" s="2" t="str">
        <f>"Darlene Barbosa de Lima"</f>
        <v>Darlene Barbosa de Lima</v>
      </c>
      <c r="F156" s="2" t="str">
        <f>"47507725-1/1"</f>
        <v>47507725-1/1</v>
      </c>
      <c r="G156" s="2" t="str">
        <f>"Carteira 21"</f>
        <v>Carteira 21</v>
      </c>
      <c r="H156" s="2">
        <v>24</v>
      </c>
      <c r="I156" s="3">
        <v>110</v>
      </c>
      <c r="J156" s="2" t="str">
        <f>"01/12/2019"</f>
        <v>01/12/2019</v>
      </c>
      <c r="K156" s="2" t="str">
        <f>"25/12/2019"</f>
        <v>25/12/2019</v>
      </c>
      <c r="L156" s="2" t="str">
        <f>"25/12/2019"</f>
        <v>25/12/2019</v>
      </c>
      <c r="M156" s="2" t="str">
        <f>"28/11/2019"</f>
        <v>28/11/2019</v>
      </c>
      <c r="N156" s="2">
        <v>136.22999999999999</v>
      </c>
      <c r="O156" s="2">
        <v>136.22999999999999</v>
      </c>
      <c r="P156" s="2">
        <v>0</v>
      </c>
    </row>
    <row r="157" spans="1:16" s="2" customFormat="1" x14ac:dyDescent="0.25">
      <c r="A157" s="2">
        <v>48580602</v>
      </c>
      <c r="B157" s="2">
        <v>48580609</v>
      </c>
      <c r="C157" s="2" t="str">
        <f>"UNIMEDSJN"</f>
        <v>UNIMEDSJN</v>
      </c>
      <c r="D157" s="2" t="str">
        <f>"DH"</f>
        <v>DH</v>
      </c>
      <c r="E157" s="2" t="str">
        <f>"Darlene Barbosa de Lima"</f>
        <v>Darlene Barbosa de Lima</v>
      </c>
      <c r="F157" s="2" t="str">
        <f>"48580602-1/1"</f>
        <v>48580602-1/1</v>
      </c>
      <c r="G157" s="2" t="str">
        <f>"Carteira 21"</f>
        <v>Carteira 21</v>
      </c>
      <c r="H157" s="2">
        <v>23</v>
      </c>
      <c r="I157" s="3">
        <v>79</v>
      </c>
      <c r="J157" s="2" t="str">
        <f>"02/01/2020"</f>
        <v>02/01/2020</v>
      </c>
      <c r="K157" s="2" t="str">
        <f>"25/01/2020"</f>
        <v>25/01/2020</v>
      </c>
      <c r="L157" s="2" t="str">
        <f>"27/01/2020"</f>
        <v>27/01/2020</v>
      </c>
      <c r="M157" s="2" t="str">
        <f>"27/12/2019"</f>
        <v>27/12/2019</v>
      </c>
      <c r="N157" s="2">
        <v>136.22999999999999</v>
      </c>
      <c r="O157" s="2">
        <v>136.22999999999999</v>
      </c>
      <c r="P157" s="2">
        <v>0</v>
      </c>
    </row>
    <row r="158" spans="1:16" s="2" customFormat="1" x14ac:dyDescent="0.25">
      <c r="A158" s="2">
        <v>47497992</v>
      </c>
      <c r="B158" s="2">
        <v>47498029</v>
      </c>
      <c r="C158" s="2" t="str">
        <f>"UNIMEDSJN"</f>
        <v>UNIMEDSJN</v>
      </c>
      <c r="D158" s="2" t="str">
        <f>"DH"</f>
        <v>DH</v>
      </c>
      <c r="E158" s="2" t="str">
        <f>"Debora Almeida de Castro Rossignoli"</f>
        <v>Debora Almeida de Castro Rossignoli</v>
      </c>
      <c r="F158" s="2" t="str">
        <f>"47497992-1/1"</f>
        <v>47497992-1/1</v>
      </c>
      <c r="G158" s="2" t="str">
        <f>"Carteira 21"</f>
        <v>Carteira 21</v>
      </c>
      <c r="H158" s="2">
        <v>24</v>
      </c>
      <c r="I158" s="3">
        <v>110</v>
      </c>
      <c r="J158" s="2" t="str">
        <f>"01/12/2019"</f>
        <v>01/12/2019</v>
      </c>
      <c r="K158" s="2" t="str">
        <f>"25/12/2019"</f>
        <v>25/12/2019</v>
      </c>
      <c r="L158" s="2" t="str">
        <f>"16/03/2020"</f>
        <v>16/03/2020</v>
      </c>
      <c r="M158" s="2" t="str">
        <f>"17/03/2020"</f>
        <v>17/03/2020</v>
      </c>
      <c r="N158" s="2">
        <v>1213.21</v>
      </c>
      <c r="O158" s="2">
        <v>1270.3</v>
      </c>
      <c r="P158" s="2">
        <v>0.330000000000155</v>
      </c>
    </row>
    <row r="159" spans="1:16" s="2" customFormat="1" x14ac:dyDescent="0.25">
      <c r="A159" s="2">
        <v>48572111</v>
      </c>
      <c r="B159" s="2">
        <v>48572397</v>
      </c>
      <c r="C159" s="2" t="str">
        <f>"UNIMEDSJN"</f>
        <v>UNIMEDSJN</v>
      </c>
      <c r="D159" s="2" t="str">
        <f>"DH"</f>
        <v>DH</v>
      </c>
      <c r="E159" s="2" t="str">
        <f>"Debora Almeida de Castro Rossignoli"</f>
        <v>Debora Almeida de Castro Rossignoli</v>
      </c>
      <c r="F159" s="2" t="str">
        <f>"48572111-1/1"</f>
        <v>48572111-1/1</v>
      </c>
      <c r="G159" s="2" t="str">
        <f>"Carteira 21"</f>
        <v>Carteira 21</v>
      </c>
      <c r="H159" s="2">
        <v>23</v>
      </c>
      <c r="I159" s="3">
        <v>79</v>
      </c>
      <c r="J159" s="2" t="str">
        <f>"02/01/2020"</f>
        <v>02/01/2020</v>
      </c>
      <c r="K159" s="2" t="str">
        <f>"25/01/2020"</f>
        <v>25/01/2020</v>
      </c>
      <c r="L159" s="2" t="str">
        <f>"27/01/2020"</f>
        <v>27/01/2020</v>
      </c>
      <c r="M159" s="2" t="str">
        <f>"27/12/2019"</f>
        <v>27/12/2019</v>
      </c>
      <c r="N159" s="2">
        <v>1213.21</v>
      </c>
      <c r="O159" s="2">
        <v>1213.21</v>
      </c>
      <c r="P159" s="2">
        <v>0</v>
      </c>
    </row>
    <row r="160" spans="1:16" s="2" customFormat="1" x14ac:dyDescent="0.25">
      <c r="A160" s="2">
        <v>48579674</v>
      </c>
      <c r="B160" s="2">
        <v>48579686</v>
      </c>
      <c r="C160" s="2" t="str">
        <f>"UNIMEDSJN"</f>
        <v>UNIMEDSJN</v>
      </c>
      <c r="D160" s="2" t="str">
        <f>"DH"</f>
        <v>DH</v>
      </c>
      <c r="E160" s="2" t="str">
        <f>"Debora Amorim Teixeira"</f>
        <v>Debora Amorim Teixeira</v>
      </c>
      <c r="F160" s="2" t="str">
        <f>"48579674-1/1"</f>
        <v>48579674-1/1</v>
      </c>
      <c r="G160" s="2" t="str">
        <f>"Carteira 21"</f>
        <v>Carteira 21</v>
      </c>
      <c r="H160" s="2">
        <v>23</v>
      </c>
      <c r="I160" s="3">
        <v>79</v>
      </c>
      <c r="J160" s="2" t="str">
        <f>"02/01/2020"</f>
        <v>02/01/2020</v>
      </c>
      <c r="K160" s="2" t="str">
        <f>"25/01/2020"</f>
        <v>25/01/2020</v>
      </c>
      <c r="L160" s="2" t="str">
        <f>"02/03/2020"</f>
        <v>02/03/2020</v>
      </c>
      <c r="M160" s="2" t="str">
        <f>"03/03/2020"</f>
        <v>03/03/2020</v>
      </c>
      <c r="N160" s="2">
        <v>161.68</v>
      </c>
      <c r="O160" s="2">
        <v>166.78</v>
      </c>
      <c r="P160" s="2">
        <v>0.12000000000000501</v>
      </c>
    </row>
    <row r="161" spans="1:16" s="2" customFormat="1" x14ac:dyDescent="0.25">
      <c r="A161" s="2">
        <v>48789579</v>
      </c>
      <c r="B161" s="2">
        <v>48789586</v>
      </c>
      <c r="C161" s="2" t="str">
        <f>"UNIMEDSJN"</f>
        <v>UNIMEDSJN</v>
      </c>
      <c r="D161" s="2" t="str">
        <f>"DH"</f>
        <v>DH</v>
      </c>
      <c r="E161" s="2" t="str">
        <f>"Debora Maria da Silva Costa"</f>
        <v>Debora Maria da Silva Costa</v>
      </c>
      <c r="F161" s="2" t="str">
        <f>"48789579-1/1"</f>
        <v>48789579-1/1</v>
      </c>
      <c r="G161" s="2" t="str">
        <f>"Carteira 21"</f>
        <v>Carteira 21</v>
      </c>
      <c r="H161" s="2">
        <v>8</v>
      </c>
      <c r="I161" s="3">
        <v>79</v>
      </c>
      <c r="J161" s="2" t="str">
        <f>"17/01/2020"</f>
        <v>17/01/2020</v>
      </c>
      <c r="K161" s="2" t="str">
        <f>"25/01/2020"</f>
        <v>25/01/2020</v>
      </c>
      <c r="L161" s="2" t="str">
        <f>"27/01/2020"</f>
        <v>27/01/2020</v>
      </c>
      <c r="M161" s="2" t="str">
        <f>"17/01/2020"</f>
        <v>17/01/2020</v>
      </c>
      <c r="N161" s="2">
        <v>130.44999999999999</v>
      </c>
      <c r="O161" s="2">
        <v>130.44999999999999</v>
      </c>
      <c r="P161" s="2">
        <v>0</v>
      </c>
    </row>
    <row r="162" spans="1:16" s="2" customFormat="1" x14ac:dyDescent="0.25">
      <c r="A162" s="2">
        <v>47508251</v>
      </c>
      <c r="B162" s="2">
        <v>47508259</v>
      </c>
      <c r="C162" s="2" t="str">
        <f>"UNIMEDSJN"</f>
        <v>UNIMEDSJN</v>
      </c>
      <c r="D162" s="2" t="str">
        <f>"DH"</f>
        <v>DH</v>
      </c>
      <c r="E162" s="2" t="str">
        <f>"DEUSIANE APARECIDA DA SILVA RIBEIRO"</f>
        <v>DEUSIANE APARECIDA DA SILVA RIBEIRO</v>
      </c>
      <c r="F162" s="2" t="str">
        <f>"47508251-1/1"</f>
        <v>47508251-1/1</v>
      </c>
      <c r="G162" s="2" t="str">
        <f>"Carteira 21"</f>
        <v>Carteira 21</v>
      </c>
      <c r="H162" s="2">
        <v>24</v>
      </c>
      <c r="I162" s="3">
        <v>110</v>
      </c>
      <c r="J162" s="2" t="str">
        <f>"01/12/2019"</f>
        <v>01/12/2019</v>
      </c>
      <c r="K162" s="2" t="str">
        <f>"25/12/2019"</f>
        <v>25/12/2019</v>
      </c>
      <c r="L162" s="2" t="str">
        <f>"25/12/2019"</f>
        <v>25/12/2019</v>
      </c>
      <c r="M162" s="2" t="str">
        <f>"04/03/2020"</f>
        <v>04/03/2020</v>
      </c>
      <c r="N162" s="2">
        <v>252.9</v>
      </c>
      <c r="O162" s="2">
        <v>268.83999999999997</v>
      </c>
      <c r="P162" s="2">
        <v>-15.94</v>
      </c>
    </row>
    <row r="163" spans="1:16" s="2" customFormat="1" x14ac:dyDescent="0.25">
      <c r="A163" s="2">
        <v>48585653</v>
      </c>
      <c r="B163" s="2">
        <v>48585661</v>
      </c>
      <c r="C163" s="2" t="str">
        <f>"UNIMEDSJN"</f>
        <v>UNIMEDSJN</v>
      </c>
      <c r="D163" s="2" t="str">
        <f>"DH"</f>
        <v>DH</v>
      </c>
      <c r="E163" s="2" t="str">
        <f>"DEUSIANE APARECIDA DA SILVA RIBEIRO"</f>
        <v>DEUSIANE APARECIDA DA SILVA RIBEIRO</v>
      </c>
      <c r="F163" s="2" t="str">
        <f>"48585653-1/1"</f>
        <v>48585653-1/1</v>
      </c>
      <c r="G163" s="2" t="str">
        <f>"Carteira 21"</f>
        <v>Carteira 21</v>
      </c>
      <c r="H163" s="2">
        <v>23</v>
      </c>
      <c r="I163" s="3">
        <v>79</v>
      </c>
      <c r="J163" s="2" t="str">
        <f>"02/01/2020"</f>
        <v>02/01/2020</v>
      </c>
      <c r="K163" s="2" t="str">
        <f>"25/01/2020"</f>
        <v>25/01/2020</v>
      </c>
      <c r="L163" s="2" t="str">
        <f>"01/04/2020"</f>
        <v>01/04/2020</v>
      </c>
      <c r="M163" s="2" t="str">
        <f>"02/04/2020"</f>
        <v>02/04/2020</v>
      </c>
      <c r="N163" s="2">
        <v>252.9</v>
      </c>
      <c r="O163" s="2">
        <v>263.39</v>
      </c>
      <c r="P163" s="2">
        <v>0.22000000000002701</v>
      </c>
    </row>
    <row r="164" spans="1:16" s="2" customFormat="1" x14ac:dyDescent="0.25">
      <c r="A164" s="2">
        <v>48585770</v>
      </c>
      <c r="B164" s="2">
        <v>48585775</v>
      </c>
      <c r="C164" s="2" t="str">
        <f>"UNIMEDSJN"</f>
        <v>UNIMEDSJN</v>
      </c>
      <c r="D164" s="2" t="str">
        <f>"DH"</f>
        <v>DH</v>
      </c>
      <c r="E164" s="2" t="str">
        <f>"Dhiego Ribeiro Prata"</f>
        <v>Dhiego Ribeiro Prata</v>
      </c>
      <c r="F164" s="2" t="str">
        <f>"48585770-1/1"</f>
        <v>48585770-1/1</v>
      </c>
      <c r="G164" s="2" t="str">
        <f>"Carteira 21"</f>
        <v>Carteira 21</v>
      </c>
      <c r="H164" s="2">
        <v>23</v>
      </c>
      <c r="I164" s="3">
        <v>79</v>
      </c>
      <c r="J164" s="2" t="str">
        <f>"02/01/2020"</f>
        <v>02/01/2020</v>
      </c>
      <c r="K164" s="2" t="str">
        <f>"25/01/2020"</f>
        <v>25/01/2020</v>
      </c>
      <c r="L164" s="2" t="str">
        <f>"28/02/2020"</f>
        <v>28/02/2020</v>
      </c>
      <c r="M164" s="2" t="str">
        <f>"13/03/2020"</f>
        <v>13/03/2020</v>
      </c>
      <c r="N164" s="2">
        <v>173.9</v>
      </c>
      <c r="O164" s="2">
        <v>179.21</v>
      </c>
      <c r="P164" s="2">
        <v>0.139999999999986</v>
      </c>
    </row>
    <row r="165" spans="1:16" x14ac:dyDescent="0.25">
      <c r="A165">
        <v>48794073</v>
      </c>
      <c r="B165">
        <v>48794080</v>
      </c>
      <c r="C165" t="str">
        <f>"UNIMEDSJN"</f>
        <v>UNIMEDSJN</v>
      </c>
      <c r="D165" t="str">
        <f>"DH"</f>
        <v>DH</v>
      </c>
      <c r="E165" t="str">
        <f>"DIONE PAES"</f>
        <v>DIONE PAES</v>
      </c>
      <c r="F165" t="str">
        <f>"48794073-1/1"</f>
        <v>48794073-1/1</v>
      </c>
      <c r="G165" t="str">
        <f>"Carteira 21"</f>
        <v>Carteira 21</v>
      </c>
      <c r="H165">
        <v>27</v>
      </c>
      <c r="I165" s="1">
        <v>57</v>
      </c>
      <c r="J165" t="str">
        <f>"20/01/2020"</f>
        <v>20/01/2020</v>
      </c>
      <c r="K165" t="str">
        <f>"16/02/2020"</f>
        <v>16/02/2020</v>
      </c>
      <c r="L165" t="str">
        <f>"17/02/2020"</f>
        <v>17/02/2020</v>
      </c>
      <c r="M165" t="str">
        <f>"18/02/2020"</f>
        <v>18/02/2020</v>
      </c>
      <c r="N165">
        <v>607.35</v>
      </c>
      <c r="O165">
        <v>607.35</v>
      </c>
      <c r="P165">
        <v>0</v>
      </c>
    </row>
    <row r="166" spans="1:16" s="2" customFormat="1" x14ac:dyDescent="0.25">
      <c r="A166" s="2">
        <v>48570291</v>
      </c>
      <c r="B166" s="2">
        <v>48570307</v>
      </c>
      <c r="C166" s="2" t="str">
        <f>"UNIMEDSJN"</f>
        <v>UNIMEDSJN</v>
      </c>
      <c r="D166" s="2" t="str">
        <f>"DH"</f>
        <v>DH</v>
      </c>
      <c r="E166" s="2" t="str">
        <f>"DJANIRA DO CARMO OLIVEIRA"</f>
        <v>DJANIRA DO CARMO OLIVEIRA</v>
      </c>
      <c r="F166" s="2" t="str">
        <f>"48570291-1/1"</f>
        <v>48570291-1/1</v>
      </c>
      <c r="G166" s="2" t="str">
        <f>"Carteira 21"</f>
        <v>Carteira 21</v>
      </c>
      <c r="H166" s="2">
        <v>23</v>
      </c>
      <c r="I166" s="3">
        <v>79</v>
      </c>
      <c r="J166" s="2" t="str">
        <f>"02/01/2020"</f>
        <v>02/01/2020</v>
      </c>
      <c r="K166" s="2" t="str">
        <f>"25/01/2020"</f>
        <v>25/01/2020</v>
      </c>
      <c r="L166" s="2" t="str">
        <f>"17/02/2020"</f>
        <v>17/02/2020</v>
      </c>
      <c r="M166" s="2" t="str">
        <f>"18/02/2020"</f>
        <v>18/02/2020</v>
      </c>
      <c r="N166" s="2">
        <v>247.24</v>
      </c>
      <c r="O166" s="2">
        <v>253.9</v>
      </c>
      <c r="P166" s="2">
        <v>0.18000000000000699</v>
      </c>
    </row>
    <row r="167" spans="1:16" s="2" customFormat="1" x14ac:dyDescent="0.25">
      <c r="A167" s="2">
        <v>45925861</v>
      </c>
      <c r="B167" s="2">
        <v>45925871</v>
      </c>
      <c r="C167" s="2" t="str">
        <f>"UNIMEDSJN"</f>
        <v>UNIMEDSJN</v>
      </c>
      <c r="D167" s="2" t="str">
        <f>"DH"</f>
        <v>DH</v>
      </c>
      <c r="E167" s="2" t="str">
        <f>"Dulcineia da Silva Marcelino"</f>
        <v>Dulcineia da Silva Marcelino</v>
      </c>
      <c r="F167" s="2" t="str">
        <f>"45925861-1/1"</f>
        <v>45925861-1/1</v>
      </c>
      <c r="G167" s="2" t="str">
        <f>"Carteira 21"</f>
        <v>Carteira 21</v>
      </c>
      <c r="H167" s="2">
        <v>24</v>
      </c>
      <c r="I167" s="3">
        <v>140</v>
      </c>
      <c r="J167" s="2" t="str">
        <f>"01/11/2019"</f>
        <v>01/11/2019</v>
      </c>
      <c r="K167" s="2" t="str">
        <f>"25/11/2019"</f>
        <v>25/11/2019</v>
      </c>
      <c r="L167" s="2" t="str">
        <f>"25/11/2019"</f>
        <v>25/11/2019</v>
      </c>
      <c r="M167" s="2" t="str">
        <f>"31/10/2019"</f>
        <v>31/10/2019</v>
      </c>
      <c r="N167" s="2">
        <v>168.82</v>
      </c>
      <c r="O167" s="2">
        <v>168.82</v>
      </c>
      <c r="P167" s="2">
        <v>0</v>
      </c>
    </row>
    <row r="168" spans="1:16" s="2" customFormat="1" x14ac:dyDescent="0.25">
      <c r="A168" s="2">
        <v>47510936</v>
      </c>
      <c r="B168" s="2">
        <v>47510946</v>
      </c>
      <c r="C168" s="2" t="str">
        <f>"UNIMEDSJN"</f>
        <v>UNIMEDSJN</v>
      </c>
      <c r="D168" s="2" t="str">
        <f>"DH"</f>
        <v>DH</v>
      </c>
      <c r="E168" s="2" t="str">
        <f>"Dulcineia da Silva Marcelino"</f>
        <v>Dulcineia da Silva Marcelino</v>
      </c>
      <c r="F168" s="2" t="str">
        <f>"47510936-1/1"</f>
        <v>47510936-1/1</v>
      </c>
      <c r="G168" s="2" t="str">
        <f>"Carteira 21"</f>
        <v>Carteira 21</v>
      </c>
      <c r="H168" s="2">
        <v>24</v>
      </c>
      <c r="I168" s="3">
        <v>110</v>
      </c>
      <c r="J168" s="2" t="str">
        <f>"01/12/2019"</f>
        <v>01/12/2019</v>
      </c>
      <c r="K168" s="2" t="str">
        <f>"25/12/2019"</f>
        <v>25/12/2019</v>
      </c>
      <c r="L168" s="2" t="str">
        <f>"25/12/2019"</f>
        <v>25/12/2019</v>
      </c>
      <c r="M168" s="2" t="str">
        <f>"28/11/2019"</f>
        <v>28/11/2019</v>
      </c>
      <c r="N168" s="2">
        <v>168.82</v>
      </c>
      <c r="O168" s="2">
        <v>168.82</v>
      </c>
      <c r="P168" s="2">
        <v>0</v>
      </c>
    </row>
    <row r="169" spans="1:16" s="2" customFormat="1" x14ac:dyDescent="0.25">
      <c r="A169" s="2">
        <v>48584472</v>
      </c>
      <c r="B169" s="2">
        <v>48584483</v>
      </c>
      <c r="C169" s="2" t="str">
        <f>"UNIMEDSJN"</f>
        <v>UNIMEDSJN</v>
      </c>
      <c r="D169" s="2" t="str">
        <f>"DH"</f>
        <v>DH</v>
      </c>
      <c r="E169" s="2" t="str">
        <f>"Dulcineia da Silva Marcelino"</f>
        <v>Dulcineia da Silva Marcelino</v>
      </c>
      <c r="F169" s="2" t="str">
        <f>"48584472-1/1"</f>
        <v>48584472-1/1</v>
      </c>
      <c r="G169" s="2" t="str">
        <f>"Carteira 21"</f>
        <v>Carteira 21</v>
      </c>
      <c r="H169" s="2">
        <v>23</v>
      </c>
      <c r="I169" s="3">
        <v>79</v>
      </c>
      <c r="J169" s="2" t="str">
        <f>"02/01/2020"</f>
        <v>02/01/2020</v>
      </c>
      <c r="K169" s="2" t="str">
        <f>"25/01/2020"</f>
        <v>25/01/2020</v>
      </c>
      <c r="L169" s="2" t="str">
        <f>"27/01/2020"</f>
        <v>27/01/2020</v>
      </c>
      <c r="M169" s="2" t="str">
        <f>"27/12/2019"</f>
        <v>27/12/2019</v>
      </c>
      <c r="N169" s="2">
        <v>168.82</v>
      </c>
      <c r="O169" s="2">
        <v>168.82</v>
      </c>
      <c r="P169" s="2">
        <v>0</v>
      </c>
    </row>
    <row r="170" spans="1:16" s="2" customFormat="1" x14ac:dyDescent="0.25">
      <c r="A170" s="2">
        <v>48793984</v>
      </c>
      <c r="B170" s="2">
        <v>48793998</v>
      </c>
      <c r="C170" s="2" t="str">
        <f>"UNIMEDSJN"</f>
        <v>UNIMEDSJN</v>
      </c>
      <c r="D170" s="2" t="str">
        <f>"DH"</f>
        <v>DH</v>
      </c>
      <c r="E170" s="2" t="str">
        <f>"EDMAR BRAS AMINO"</f>
        <v>EDMAR BRAS AMINO</v>
      </c>
      <c r="F170" s="2" t="str">
        <f>"48793984-1/1"</f>
        <v>48793984-1/1</v>
      </c>
      <c r="G170" s="2" t="str">
        <f>"Carteira 21"</f>
        <v>Carteira 21</v>
      </c>
      <c r="H170" s="2">
        <v>17</v>
      </c>
      <c r="I170" s="3">
        <v>67</v>
      </c>
      <c r="J170" s="2" t="str">
        <f>"20/01/2020"</f>
        <v>20/01/2020</v>
      </c>
      <c r="K170" s="2" t="str">
        <f>"06/02/2020"</f>
        <v>06/02/2020</v>
      </c>
      <c r="L170" s="2" t="str">
        <f>"27/02/2020"</f>
        <v>27/02/2020</v>
      </c>
      <c r="M170" s="2" t="str">
        <f>"28/02/2020"</f>
        <v>28/02/2020</v>
      </c>
      <c r="N170" s="2">
        <v>829.54</v>
      </c>
      <c r="O170" s="2">
        <v>851.88</v>
      </c>
      <c r="P170" s="2">
        <v>5.9999999999945403E-2</v>
      </c>
    </row>
    <row r="171" spans="1:16" s="2" customFormat="1" x14ac:dyDescent="0.25">
      <c r="A171" s="2">
        <v>48501173</v>
      </c>
      <c r="B171" s="2">
        <v>48501178</v>
      </c>
      <c r="C171" s="2" t="str">
        <f>"UNIMEDSJN"</f>
        <v>UNIMEDSJN</v>
      </c>
      <c r="D171" s="2" t="str">
        <f>"DH"</f>
        <v>DH</v>
      </c>
      <c r="E171" s="2" t="str">
        <f>"EDNEIA OTILIA DE MELO"</f>
        <v>EDNEIA OTILIA DE MELO</v>
      </c>
      <c r="F171" s="2" t="str">
        <f>"48501173-1/1"</f>
        <v>48501173-1/1</v>
      </c>
      <c r="G171" s="2" t="str">
        <f>"Carteira 21"</f>
        <v>Carteira 21</v>
      </c>
      <c r="H171" s="2">
        <v>25</v>
      </c>
      <c r="I171" s="3">
        <v>84</v>
      </c>
      <c r="J171" s="2" t="str">
        <f>"26/12/2019"</f>
        <v>26/12/2019</v>
      </c>
      <c r="K171" s="2" t="str">
        <f>"20/01/2020"</f>
        <v>20/01/2020</v>
      </c>
      <c r="L171" s="2" t="str">
        <f>"20/02/2020"</f>
        <v>20/02/2020</v>
      </c>
      <c r="M171" s="2" t="str">
        <f>"21/02/2020"</f>
        <v>21/02/2020</v>
      </c>
      <c r="N171" s="2">
        <v>179.41</v>
      </c>
      <c r="O171" s="2">
        <v>184.84</v>
      </c>
      <c r="P171" s="2">
        <v>9.9999999999909103E-3</v>
      </c>
    </row>
    <row r="172" spans="1:16" x14ac:dyDescent="0.25">
      <c r="A172">
        <v>48615928</v>
      </c>
      <c r="B172">
        <v>48615937</v>
      </c>
      <c r="C172" t="str">
        <f>"UNIMEDSJN"</f>
        <v>UNIMEDSJN</v>
      </c>
      <c r="D172" t="str">
        <f>"DH"</f>
        <v>DH</v>
      </c>
      <c r="E172" t="str">
        <f>"EDNEIA OTILIA DE MELO"</f>
        <v>EDNEIA OTILIA DE MELO</v>
      </c>
      <c r="F172" t="str">
        <f>"48615928-1/1"</f>
        <v>48615928-1/1</v>
      </c>
      <c r="G172" t="str">
        <f>"Carteira 21"</f>
        <v>Carteira 21</v>
      </c>
      <c r="H172">
        <v>31</v>
      </c>
      <c r="I172" s="1">
        <v>53</v>
      </c>
      <c r="J172" t="str">
        <f>"20/01/2020"</f>
        <v>20/01/2020</v>
      </c>
      <c r="K172" t="str">
        <f>"20/02/2020"</f>
        <v>20/02/2020</v>
      </c>
      <c r="L172" t="str">
        <f>"20/02/2020"</f>
        <v>20/02/2020</v>
      </c>
      <c r="M172" t="str">
        <f>"21/02/2020"</f>
        <v>21/02/2020</v>
      </c>
      <c r="N172">
        <v>179.41</v>
      </c>
      <c r="O172">
        <v>179.41</v>
      </c>
      <c r="P172">
        <v>0</v>
      </c>
    </row>
    <row r="173" spans="1:16" x14ac:dyDescent="0.25">
      <c r="A173">
        <v>47513489</v>
      </c>
      <c r="B173">
        <v>47513505</v>
      </c>
      <c r="C173" t="str">
        <f>"UNIMEDSJN"</f>
        <v>UNIMEDSJN</v>
      </c>
      <c r="D173" t="str">
        <f>"DH"</f>
        <v>DH</v>
      </c>
      <c r="E173" t="str">
        <f>"Edney Granado"</f>
        <v>Edney Granado</v>
      </c>
      <c r="F173" t="str">
        <f>"47513489-1/1"</f>
        <v>47513489-1/1</v>
      </c>
      <c r="G173" t="str">
        <f>"Carteira 21"</f>
        <v>Carteira 21</v>
      </c>
      <c r="H173">
        <v>89</v>
      </c>
      <c r="I173" s="1">
        <v>45</v>
      </c>
      <c r="J173" t="str">
        <f>"01/12/2019"</f>
        <v>01/12/2019</v>
      </c>
      <c r="K173" t="str">
        <f>"28/02/2020"</f>
        <v>28/02/2020</v>
      </c>
      <c r="L173" t="str">
        <f>"28/02/2020"</f>
        <v>28/02/2020</v>
      </c>
      <c r="M173" t="str">
        <f>"31/03/2020"</f>
        <v>31/03/2020</v>
      </c>
      <c r="N173">
        <v>1923.27</v>
      </c>
      <c r="O173">
        <v>1923.27</v>
      </c>
      <c r="P173">
        <v>0</v>
      </c>
    </row>
    <row r="174" spans="1:16" x14ac:dyDescent="0.25">
      <c r="A174">
        <v>48585567</v>
      </c>
      <c r="B174">
        <v>48585585</v>
      </c>
      <c r="C174" t="str">
        <f>"UNIMEDSJN"</f>
        <v>UNIMEDSJN</v>
      </c>
      <c r="D174" t="str">
        <f>"DH"</f>
        <v>DH</v>
      </c>
      <c r="E174" t="str">
        <f>"Edney Granado"</f>
        <v>Edney Granado</v>
      </c>
      <c r="F174" t="str">
        <f>"48585567-1/1"</f>
        <v>48585567-1/1</v>
      </c>
      <c r="G174" t="str">
        <f>"Carteira 21"</f>
        <v>Carteira 21</v>
      </c>
      <c r="H174">
        <v>58</v>
      </c>
      <c r="I174" s="1">
        <v>44</v>
      </c>
      <c r="J174" t="str">
        <f>"02/01/2020"</f>
        <v>02/01/2020</v>
      </c>
      <c r="K174" t="str">
        <f>"29/02/2020"</f>
        <v>29/02/2020</v>
      </c>
      <c r="L174" t="str">
        <f>"02/03/2020"</f>
        <v>02/03/2020</v>
      </c>
      <c r="M174" t="str">
        <f>"31/03/2020"</f>
        <v>31/03/2020</v>
      </c>
      <c r="N174">
        <v>1923.27</v>
      </c>
      <c r="O174">
        <v>1923.27</v>
      </c>
      <c r="P174">
        <v>0</v>
      </c>
    </row>
    <row r="175" spans="1:16" s="2" customFormat="1" x14ac:dyDescent="0.25">
      <c r="A175" s="2">
        <v>48571297</v>
      </c>
      <c r="B175" s="2">
        <v>48571316</v>
      </c>
      <c r="C175" s="2" t="str">
        <f>"UNIMEDSJN"</f>
        <v>UNIMEDSJN</v>
      </c>
      <c r="D175" s="2" t="str">
        <f>"DH"</f>
        <v>DH</v>
      </c>
      <c r="E175" s="2" t="str">
        <f>"EDUARDA REZENDE RIBEIRO"</f>
        <v>EDUARDA REZENDE RIBEIRO</v>
      </c>
      <c r="F175" s="2" t="str">
        <f>"48571297-1/1"</f>
        <v>48571297-1/1</v>
      </c>
      <c r="G175" s="2" t="str">
        <f>"Carteira 21"</f>
        <v>Carteira 21</v>
      </c>
      <c r="H175" s="2">
        <v>23</v>
      </c>
      <c r="I175" s="3">
        <v>79</v>
      </c>
      <c r="J175" s="2" t="str">
        <f>"02/01/2020"</f>
        <v>02/01/2020</v>
      </c>
      <c r="K175" s="2" t="str">
        <f>"25/01/2020"</f>
        <v>25/01/2020</v>
      </c>
      <c r="L175" s="2" t="str">
        <f>"05/02/2020"</f>
        <v>05/02/2020</v>
      </c>
      <c r="M175" s="2" t="str">
        <f>"06/02/2020"</f>
        <v>06/02/2020</v>
      </c>
      <c r="N175" s="2">
        <v>245.38</v>
      </c>
      <c r="O175" s="2">
        <v>251.02</v>
      </c>
      <c r="P175" s="2">
        <v>0.16999999999998699</v>
      </c>
    </row>
    <row r="176" spans="1:16" s="2" customFormat="1" x14ac:dyDescent="0.25">
      <c r="A176" s="2">
        <v>47705350</v>
      </c>
      <c r="B176" s="2">
        <v>47705357</v>
      </c>
      <c r="C176" s="2" t="str">
        <f>"UNIMEDSJN"</f>
        <v>UNIMEDSJN</v>
      </c>
      <c r="D176" s="2" t="str">
        <f>"DH"</f>
        <v>DH</v>
      </c>
      <c r="E176" s="2" t="str">
        <f>"Eduardo Sobreira da Silva"</f>
        <v>Eduardo Sobreira da Silva</v>
      </c>
      <c r="F176" s="2" t="str">
        <f>"47705350-1/1"</f>
        <v>47705350-1/1</v>
      </c>
      <c r="G176" s="2" t="str">
        <f>"Carteira 21"</f>
        <v>Carteira 21</v>
      </c>
      <c r="H176" s="2">
        <v>14</v>
      </c>
      <c r="I176" s="3">
        <v>110</v>
      </c>
      <c r="J176" s="2" t="str">
        <f>"11/12/2019"</f>
        <v>11/12/2019</v>
      </c>
      <c r="K176" s="2" t="str">
        <f>"25/12/2019"</f>
        <v>25/12/2019</v>
      </c>
      <c r="L176" s="2" t="str">
        <f>"25/12/2019"</f>
        <v>25/12/2019</v>
      </c>
      <c r="M176" s="2" t="str">
        <f>"11/12/2019"</f>
        <v>11/12/2019</v>
      </c>
      <c r="N176" s="2">
        <v>201.9</v>
      </c>
      <c r="O176" s="2">
        <v>201.9</v>
      </c>
      <c r="P176" s="2">
        <v>0</v>
      </c>
    </row>
    <row r="177" spans="1:16" s="2" customFormat="1" x14ac:dyDescent="0.25">
      <c r="A177" s="2">
        <v>48586146</v>
      </c>
      <c r="B177" s="2">
        <v>48586156</v>
      </c>
      <c r="C177" s="2" t="str">
        <f>"UNIMEDSJN"</f>
        <v>UNIMEDSJN</v>
      </c>
      <c r="D177" s="2" t="str">
        <f>"DH"</f>
        <v>DH</v>
      </c>
      <c r="E177" s="2" t="str">
        <f>"Eduardo Sobreira da Silva"</f>
        <v>Eduardo Sobreira da Silva</v>
      </c>
      <c r="F177" s="2" t="str">
        <f>"48586146-1/1"</f>
        <v>48586146-1/1</v>
      </c>
      <c r="G177" s="2" t="str">
        <f>"Carteira 21"</f>
        <v>Carteira 21</v>
      </c>
      <c r="H177" s="2">
        <v>23</v>
      </c>
      <c r="I177" s="3">
        <v>79</v>
      </c>
      <c r="J177" s="2" t="str">
        <f>"02/01/2020"</f>
        <v>02/01/2020</v>
      </c>
      <c r="K177" s="2" t="str">
        <f>"25/01/2020"</f>
        <v>25/01/2020</v>
      </c>
      <c r="L177" s="2" t="str">
        <f>"07/02/2020"</f>
        <v>07/02/2020</v>
      </c>
      <c r="M177" s="2" t="str">
        <f>"10/02/2020"</f>
        <v>10/02/2020</v>
      </c>
      <c r="N177" s="2">
        <v>186.9</v>
      </c>
      <c r="O177" s="2">
        <v>191.32</v>
      </c>
      <c r="P177" s="2">
        <v>0.13000000000002401</v>
      </c>
    </row>
    <row r="178" spans="1:16" s="2" customFormat="1" x14ac:dyDescent="0.25">
      <c r="A178" s="2">
        <v>48570375</v>
      </c>
      <c r="B178" s="2">
        <v>48570394</v>
      </c>
      <c r="C178" s="2" t="str">
        <f>"UNIMEDSJN"</f>
        <v>UNIMEDSJN</v>
      </c>
      <c r="D178" s="2" t="str">
        <f>"DH"</f>
        <v>DH</v>
      </c>
      <c r="E178" s="2" t="str">
        <f>"EFIGENIA MARIA LUCAS VENTURA"</f>
        <v>EFIGENIA MARIA LUCAS VENTURA</v>
      </c>
      <c r="F178" s="2" t="str">
        <f>"48570375-1/1"</f>
        <v>48570375-1/1</v>
      </c>
      <c r="G178" s="2" t="str">
        <f>"Carteira 21"</f>
        <v>Carteira 21</v>
      </c>
      <c r="H178" s="2">
        <v>23</v>
      </c>
      <c r="I178" s="3">
        <v>79</v>
      </c>
      <c r="J178" s="2" t="str">
        <f>"02/01/2020"</f>
        <v>02/01/2020</v>
      </c>
      <c r="K178" s="2" t="str">
        <f>"25/01/2020"</f>
        <v>25/01/2020</v>
      </c>
      <c r="L178" s="2" t="str">
        <f>"10/02/2020"</f>
        <v>10/02/2020</v>
      </c>
      <c r="M178" s="2" t="str">
        <f>"11/02/2020"</f>
        <v>11/02/2020</v>
      </c>
      <c r="N178" s="2">
        <v>173.32</v>
      </c>
      <c r="O178" s="2">
        <v>177.59</v>
      </c>
      <c r="P178" s="2">
        <v>0.12000000000000501</v>
      </c>
    </row>
    <row r="179" spans="1:16" s="2" customFormat="1" x14ac:dyDescent="0.25">
      <c r="A179" s="2">
        <v>48570416</v>
      </c>
      <c r="B179" s="2">
        <v>48570435</v>
      </c>
      <c r="C179" s="2" t="str">
        <f>"UNIMEDSJN"</f>
        <v>UNIMEDSJN</v>
      </c>
      <c r="D179" s="2" t="str">
        <f>"DH"</f>
        <v>DH</v>
      </c>
      <c r="E179" s="2" t="str">
        <f>"EFIGENIA MARIA LUCAS VENTURA"</f>
        <v>EFIGENIA MARIA LUCAS VENTURA</v>
      </c>
      <c r="F179" s="2" t="str">
        <f>"48570416-1/1"</f>
        <v>48570416-1/1</v>
      </c>
      <c r="G179" s="2" t="str">
        <f>"Carteira 21"</f>
        <v>Carteira 21</v>
      </c>
      <c r="H179" s="2">
        <v>23</v>
      </c>
      <c r="I179" s="3">
        <v>79</v>
      </c>
      <c r="J179" s="2" t="str">
        <f>"02/01/2020"</f>
        <v>02/01/2020</v>
      </c>
      <c r="K179" s="2" t="str">
        <f>"25/01/2020"</f>
        <v>25/01/2020</v>
      </c>
      <c r="L179" s="2" t="str">
        <f>"10/02/2020"</f>
        <v>10/02/2020</v>
      </c>
      <c r="M179" s="2" t="str">
        <f>"11/02/2020"</f>
        <v>11/02/2020</v>
      </c>
      <c r="N179" s="2">
        <v>173.32</v>
      </c>
      <c r="O179" s="2">
        <v>177.59</v>
      </c>
      <c r="P179" s="2">
        <v>0.12000000000000501</v>
      </c>
    </row>
    <row r="180" spans="1:16" s="2" customFormat="1" x14ac:dyDescent="0.25">
      <c r="A180" s="2">
        <v>43568775</v>
      </c>
      <c r="B180" s="2">
        <v>43568791</v>
      </c>
      <c r="C180" s="2" t="str">
        <f>"UNIMEDSJN"</f>
        <v>UNIMEDSJN</v>
      </c>
      <c r="D180" s="2" t="str">
        <f>"DH"</f>
        <v>DH</v>
      </c>
      <c r="E180" s="2" t="str">
        <f>"ELAINE CASARIM"</f>
        <v>ELAINE CASARIM</v>
      </c>
      <c r="F180" s="2" t="str">
        <f>"43568775-1/1"</f>
        <v>43568775-1/1</v>
      </c>
      <c r="G180" s="2" t="str">
        <f>"Carteira 21"</f>
        <v>Carteira 21</v>
      </c>
      <c r="H180" s="2">
        <v>22</v>
      </c>
      <c r="I180" s="3">
        <v>293</v>
      </c>
      <c r="J180" s="2" t="str">
        <f>"03/06/2019"</f>
        <v>03/06/2019</v>
      </c>
      <c r="K180" s="2" t="str">
        <f>"25/06/2019"</f>
        <v>25/06/2019</v>
      </c>
      <c r="L180" s="2" t="str">
        <f>"25/06/2019"</f>
        <v>25/06/2019</v>
      </c>
      <c r="M180" s="2" t="str">
        <f>"03/06/2019"</f>
        <v>03/06/2019</v>
      </c>
      <c r="N180" s="2">
        <v>867.77</v>
      </c>
      <c r="O180" s="2">
        <v>867.77</v>
      </c>
      <c r="P180" s="2">
        <v>0</v>
      </c>
    </row>
    <row r="181" spans="1:16" s="2" customFormat="1" x14ac:dyDescent="0.25">
      <c r="A181" s="2">
        <v>45922773</v>
      </c>
      <c r="B181" s="2">
        <v>45922799</v>
      </c>
      <c r="C181" s="2" t="str">
        <f>"UNIMEDSJN"</f>
        <v>UNIMEDSJN</v>
      </c>
      <c r="D181" s="2" t="str">
        <f>"DH"</f>
        <v>DH</v>
      </c>
      <c r="E181" s="2" t="str">
        <f>"ELAINE MARANGON ALVES DA SILVA"</f>
        <v>ELAINE MARANGON ALVES DA SILVA</v>
      </c>
      <c r="F181" s="2" t="str">
        <f>"45922773-1/1"</f>
        <v>45922773-1/1</v>
      </c>
      <c r="G181" s="2" t="str">
        <f>"Carteira 21"</f>
        <v>Carteira 21</v>
      </c>
      <c r="H181" s="2">
        <v>84</v>
      </c>
      <c r="I181" s="3">
        <v>80</v>
      </c>
      <c r="J181" s="2" t="str">
        <f>"01/11/2019"</f>
        <v>01/11/2019</v>
      </c>
      <c r="K181" s="2" t="str">
        <f>"24/01/2020"</f>
        <v>24/01/2020</v>
      </c>
      <c r="L181" s="2" t="str">
        <f>"28/02/2020"</f>
        <v>28/02/2020</v>
      </c>
      <c r="M181" s="2" t="str">
        <f>"13/03/2020"</f>
        <v>13/03/2020</v>
      </c>
      <c r="N181" s="2">
        <v>234.76</v>
      </c>
      <c r="O181" s="2">
        <v>246.82</v>
      </c>
      <c r="P181" s="2">
        <v>-4.62</v>
      </c>
    </row>
    <row r="182" spans="1:16" s="2" customFormat="1" x14ac:dyDescent="0.25">
      <c r="A182" s="2">
        <v>45922816</v>
      </c>
      <c r="B182" s="2">
        <v>45922842</v>
      </c>
      <c r="C182" s="2" t="str">
        <f>"UNIMEDSJN"</f>
        <v>UNIMEDSJN</v>
      </c>
      <c r="D182" s="2" t="str">
        <f>"DH"</f>
        <v>DH</v>
      </c>
      <c r="E182" s="2" t="str">
        <f>"ELAINE MARANGON ALVES DA SILVA"</f>
        <v>ELAINE MARANGON ALVES DA SILVA</v>
      </c>
      <c r="F182" s="2" t="str">
        <f>"45922816-1/1"</f>
        <v>45922816-1/1</v>
      </c>
      <c r="G182" s="2" t="str">
        <f>"Carteira 21"</f>
        <v>Carteira 21</v>
      </c>
      <c r="H182" s="2">
        <v>84</v>
      </c>
      <c r="I182" s="3">
        <v>80</v>
      </c>
      <c r="J182" s="2" t="str">
        <f>"01/11/2019"</f>
        <v>01/11/2019</v>
      </c>
      <c r="K182" s="2" t="str">
        <f>"24/01/2020"</f>
        <v>24/01/2020</v>
      </c>
      <c r="L182" s="2" t="str">
        <f>"28/02/2020"</f>
        <v>28/02/2020</v>
      </c>
      <c r="M182" s="2" t="str">
        <f>"13/03/2020"</f>
        <v>13/03/2020</v>
      </c>
      <c r="N182" s="2">
        <v>234.76</v>
      </c>
      <c r="O182" s="2">
        <v>246.82</v>
      </c>
      <c r="P182" s="2">
        <v>-4.62</v>
      </c>
    </row>
    <row r="183" spans="1:16" s="2" customFormat="1" x14ac:dyDescent="0.25">
      <c r="A183" s="2">
        <v>47496667</v>
      </c>
      <c r="B183" s="2">
        <v>47496688</v>
      </c>
      <c r="C183" s="2" t="str">
        <f>"UNIMEDSJN"</f>
        <v>UNIMEDSJN</v>
      </c>
      <c r="D183" s="2" t="str">
        <f>"DH"</f>
        <v>DH</v>
      </c>
      <c r="E183" s="2" t="str">
        <f>"ELAINE MARANGON ALVES DA SILVA"</f>
        <v>ELAINE MARANGON ALVES DA SILVA</v>
      </c>
      <c r="F183" s="2" t="str">
        <f>"47496667-1/1"</f>
        <v>47496667-1/1</v>
      </c>
      <c r="G183" s="2" t="str">
        <f>"Carteira 21"</f>
        <v>Carteira 21</v>
      </c>
      <c r="H183" s="2">
        <v>54</v>
      </c>
      <c r="I183" s="3">
        <v>80</v>
      </c>
      <c r="J183" s="2" t="str">
        <f>"01/12/2019"</f>
        <v>01/12/2019</v>
      </c>
      <c r="K183" s="2" t="str">
        <f>"24/01/2020"</f>
        <v>24/01/2020</v>
      </c>
      <c r="L183" s="2" t="str">
        <f>"28/02/2020"</f>
        <v>28/02/2020</v>
      </c>
      <c r="M183" s="2" t="str">
        <f>"13/03/2020"</f>
        <v>13/03/2020</v>
      </c>
      <c r="N183" s="2">
        <v>234.76</v>
      </c>
      <c r="O183" s="2">
        <v>244.5</v>
      </c>
      <c r="P183" s="2">
        <v>-2.30000000000001</v>
      </c>
    </row>
    <row r="184" spans="1:16" s="2" customFormat="1" x14ac:dyDescent="0.25">
      <c r="A184" s="2">
        <v>47496702</v>
      </c>
      <c r="B184" s="2">
        <v>47496727</v>
      </c>
      <c r="C184" s="2" t="str">
        <f>"UNIMEDSJN"</f>
        <v>UNIMEDSJN</v>
      </c>
      <c r="D184" s="2" t="str">
        <f>"DH"</f>
        <v>DH</v>
      </c>
      <c r="E184" s="2" t="str">
        <f>"ELAINE MARANGON ALVES DA SILVA"</f>
        <v>ELAINE MARANGON ALVES DA SILVA</v>
      </c>
      <c r="F184" s="2" t="str">
        <f>"47496702-1/1"</f>
        <v>47496702-1/1</v>
      </c>
      <c r="G184" s="2" t="str">
        <f>"Carteira 21"</f>
        <v>Carteira 21</v>
      </c>
      <c r="H184" s="2">
        <v>54</v>
      </c>
      <c r="I184" s="3">
        <v>80</v>
      </c>
      <c r="J184" s="2" t="str">
        <f>"01/12/2019"</f>
        <v>01/12/2019</v>
      </c>
      <c r="K184" s="2" t="str">
        <f>"24/01/2020"</f>
        <v>24/01/2020</v>
      </c>
      <c r="L184" s="2" t="str">
        <f>"28/02/2020"</f>
        <v>28/02/2020</v>
      </c>
      <c r="M184" s="2" t="str">
        <f>"13/03/2020"</f>
        <v>13/03/2020</v>
      </c>
      <c r="N184" s="2">
        <v>234.76</v>
      </c>
      <c r="O184" s="2">
        <v>244.5</v>
      </c>
      <c r="P184" s="2">
        <v>-2.30000000000001</v>
      </c>
    </row>
    <row r="185" spans="1:16" s="2" customFormat="1" x14ac:dyDescent="0.25">
      <c r="A185" s="2">
        <v>48571969</v>
      </c>
      <c r="B185" s="2">
        <v>48571982</v>
      </c>
      <c r="C185" s="2" t="str">
        <f>"UNIMEDSJN"</f>
        <v>UNIMEDSJN</v>
      </c>
      <c r="D185" s="2" t="str">
        <f>"DH"</f>
        <v>DH</v>
      </c>
      <c r="E185" s="2" t="str">
        <f>"ELAINE MARANGON ALVES DA SILVA"</f>
        <v>ELAINE MARANGON ALVES DA SILVA</v>
      </c>
      <c r="F185" s="2" t="str">
        <f>"48571969-1/1"</f>
        <v>48571969-1/1</v>
      </c>
      <c r="G185" s="2" t="str">
        <f>"Carteira 21"</f>
        <v>Carteira 21</v>
      </c>
      <c r="H185" s="2">
        <v>23</v>
      </c>
      <c r="I185" s="3">
        <v>79</v>
      </c>
      <c r="J185" s="2" t="str">
        <f>"02/01/2020"</f>
        <v>02/01/2020</v>
      </c>
      <c r="K185" s="2" t="str">
        <f>"25/01/2020"</f>
        <v>25/01/2020</v>
      </c>
      <c r="L185" s="2" t="str">
        <f>"20/03/2020"</f>
        <v>20/03/2020</v>
      </c>
      <c r="M185" s="2" t="str">
        <f>"23/03/2020"</f>
        <v>23/03/2020</v>
      </c>
      <c r="N185" s="2">
        <v>234.76</v>
      </c>
      <c r="O185" s="2">
        <v>243.57</v>
      </c>
      <c r="P185" s="2">
        <v>0.189999999999998</v>
      </c>
    </row>
    <row r="186" spans="1:16" s="2" customFormat="1" x14ac:dyDescent="0.25">
      <c r="A186" s="2">
        <v>48572006</v>
      </c>
      <c r="B186" s="2">
        <v>48572023</v>
      </c>
      <c r="C186" s="2" t="str">
        <f>"UNIMEDSJN"</f>
        <v>UNIMEDSJN</v>
      </c>
      <c r="D186" s="2" t="str">
        <f>"DH"</f>
        <v>DH</v>
      </c>
      <c r="E186" s="2" t="str">
        <f>"ELAINE MARANGON ALVES DA SILVA"</f>
        <v>ELAINE MARANGON ALVES DA SILVA</v>
      </c>
      <c r="F186" s="2" t="str">
        <f>"48572006-1/1"</f>
        <v>48572006-1/1</v>
      </c>
      <c r="G186" s="2" t="str">
        <f>"Carteira 21"</f>
        <v>Carteira 21</v>
      </c>
      <c r="H186" s="2">
        <v>23</v>
      </c>
      <c r="I186" s="3">
        <v>79</v>
      </c>
      <c r="J186" s="2" t="str">
        <f>"02/01/2020"</f>
        <v>02/01/2020</v>
      </c>
      <c r="K186" s="2" t="str">
        <f>"25/01/2020"</f>
        <v>25/01/2020</v>
      </c>
      <c r="L186" s="2" t="str">
        <f>"20/03/2020"</f>
        <v>20/03/2020</v>
      </c>
      <c r="M186" s="2" t="str">
        <f>"23/03/2020"</f>
        <v>23/03/2020</v>
      </c>
      <c r="N186" s="2">
        <v>234.76</v>
      </c>
      <c r="O186" s="2">
        <v>243.55</v>
      </c>
      <c r="P186" s="2">
        <v>0.20999999999998001</v>
      </c>
    </row>
    <row r="187" spans="1:16" s="2" customFormat="1" x14ac:dyDescent="0.25">
      <c r="A187" s="2">
        <v>45926044</v>
      </c>
      <c r="B187" s="2">
        <v>45926060</v>
      </c>
      <c r="C187" s="2" t="str">
        <f>"UNIMEDSJN"</f>
        <v>UNIMEDSJN</v>
      </c>
      <c r="D187" s="2" t="str">
        <f>"DH"</f>
        <v>DH</v>
      </c>
      <c r="E187" s="2" t="str">
        <f>"Eliane Fernandes Novais"</f>
        <v>Eliane Fernandes Novais</v>
      </c>
      <c r="F187" s="2" t="str">
        <f>"45926044-1/1"</f>
        <v>45926044-1/1</v>
      </c>
      <c r="G187" s="2" t="str">
        <f>"Carteira 21"</f>
        <v>Carteira 21</v>
      </c>
      <c r="H187" s="2">
        <v>24</v>
      </c>
      <c r="I187" s="3">
        <v>140</v>
      </c>
      <c r="J187" s="2" t="str">
        <f>"01/11/2019"</f>
        <v>01/11/2019</v>
      </c>
      <c r="K187" s="2" t="str">
        <f>"25/11/2019"</f>
        <v>25/11/2019</v>
      </c>
      <c r="L187" s="2" t="str">
        <f>"19/02/2020"</f>
        <v>19/02/2020</v>
      </c>
      <c r="M187" s="2" t="str">
        <f>"20/02/2020"</f>
        <v>20/02/2020</v>
      </c>
      <c r="N187" s="2">
        <v>1538.92</v>
      </c>
      <c r="O187" s="2">
        <v>1613.37</v>
      </c>
      <c r="P187" s="2">
        <v>0.45000000000004597</v>
      </c>
    </row>
    <row r="188" spans="1:16" s="2" customFormat="1" x14ac:dyDescent="0.25">
      <c r="A188" s="2">
        <v>47505707</v>
      </c>
      <c r="B188" s="2">
        <v>47505720</v>
      </c>
      <c r="C188" s="2" t="str">
        <f>"UNIMEDSJN"</f>
        <v>UNIMEDSJN</v>
      </c>
      <c r="D188" s="2" t="str">
        <f>"DH"</f>
        <v>DH</v>
      </c>
      <c r="E188" s="2" t="str">
        <f>"Eliane Fernandes Novais"</f>
        <v>Eliane Fernandes Novais</v>
      </c>
      <c r="F188" s="2" t="str">
        <f>"47505707-1/1"</f>
        <v>47505707-1/1</v>
      </c>
      <c r="G188" s="2" t="str">
        <f>"Carteira 21"</f>
        <v>Carteira 21</v>
      </c>
      <c r="H188" s="2">
        <v>24</v>
      </c>
      <c r="I188" s="3">
        <v>110</v>
      </c>
      <c r="J188" s="2" t="str">
        <f>"01/12/2019"</f>
        <v>01/12/2019</v>
      </c>
      <c r="K188" s="2" t="str">
        <f>"25/12/2019"</f>
        <v>25/12/2019</v>
      </c>
      <c r="L188" s="2" t="str">
        <f>"23/03/2020"</f>
        <v>23/03/2020</v>
      </c>
      <c r="M188" s="2" t="str">
        <f>"24/03/2020"</f>
        <v>24/03/2020</v>
      </c>
      <c r="N188" s="2">
        <v>1538.92</v>
      </c>
      <c r="O188" s="2">
        <v>1614.9</v>
      </c>
      <c r="P188" s="2">
        <v>0.45000000000004597</v>
      </c>
    </row>
    <row r="189" spans="1:16" s="2" customFormat="1" x14ac:dyDescent="0.25">
      <c r="A189" s="2">
        <v>48581780</v>
      </c>
      <c r="B189" s="2">
        <v>48581798</v>
      </c>
      <c r="C189" s="2" t="str">
        <f>"UNIMEDSJN"</f>
        <v>UNIMEDSJN</v>
      </c>
      <c r="D189" s="2" t="str">
        <f>"DH"</f>
        <v>DH</v>
      </c>
      <c r="E189" s="2" t="str">
        <f>"Eliane Fernandes Novais"</f>
        <v>Eliane Fernandes Novais</v>
      </c>
      <c r="F189" s="2" t="str">
        <f>"48581780-1/1"</f>
        <v>48581780-1/1</v>
      </c>
      <c r="G189" s="2" t="str">
        <f>"Carteira 21"</f>
        <v>Carteira 21</v>
      </c>
      <c r="H189" s="2">
        <v>23</v>
      </c>
      <c r="I189" s="3">
        <v>79</v>
      </c>
      <c r="J189" s="2" t="str">
        <f>"02/01/2020"</f>
        <v>02/01/2020</v>
      </c>
      <c r="K189" s="2" t="str">
        <f>"25/01/2020"</f>
        <v>25/01/2020</v>
      </c>
      <c r="L189" s="2" t="str">
        <f>"26/03/2020"</f>
        <v>26/03/2020</v>
      </c>
      <c r="M189" s="2" t="str">
        <f>"27/03/2020"</f>
        <v>27/03/2020</v>
      </c>
      <c r="N189" s="2">
        <v>1538.92</v>
      </c>
      <c r="O189" s="2">
        <v>1599.65</v>
      </c>
      <c r="P189" s="2">
        <v>1.3399999999999199</v>
      </c>
    </row>
    <row r="190" spans="1:16" s="2" customFormat="1" x14ac:dyDescent="0.25">
      <c r="A190" s="2">
        <v>48562114</v>
      </c>
      <c r="B190" s="2">
        <v>48562376</v>
      </c>
      <c r="C190" s="2" t="str">
        <f>"UNIMEDSJN"</f>
        <v>UNIMEDSJN</v>
      </c>
      <c r="D190" s="2" t="str">
        <f>"DH"</f>
        <v>DH</v>
      </c>
      <c r="E190" s="2" t="str">
        <f>"ELIANE PIRES DE OLIVEIRA"</f>
        <v>ELIANE PIRES DE OLIVEIRA</v>
      </c>
      <c r="F190" s="2" t="str">
        <f>"48562114-1/1"</f>
        <v>48562114-1/1</v>
      </c>
      <c r="G190" s="2" t="str">
        <f>"Carteira 21"</f>
        <v>Carteira 21</v>
      </c>
      <c r="H190" s="2">
        <v>16</v>
      </c>
      <c r="I190" s="3">
        <v>86</v>
      </c>
      <c r="J190" s="2" t="str">
        <f>"02/01/2020"</f>
        <v>02/01/2020</v>
      </c>
      <c r="K190" s="2" t="str">
        <f>"18/01/2020"</f>
        <v>18/01/2020</v>
      </c>
      <c r="L190" s="2" t="str">
        <f>"06/04/2020"</f>
        <v>06/04/2020</v>
      </c>
      <c r="M190" s="2" t="str">
        <f>"07/04/2020"</f>
        <v>07/04/2020</v>
      </c>
      <c r="N190" s="2">
        <v>243.8</v>
      </c>
      <c r="O190" s="2">
        <v>254.87</v>
      </c>
      <c r="P190" s="2">
        <v>0.230000000000018</v>
      </c>
    </row>
    <row r="191" spans="1:16" x14ac:dyDescent="0.25">
      <c r="A191">
        <v>48798420</v>
      </c>
      <c r="B191">
        <v>48798427</v>
      </c>
      <c r="C191" t="str">
        <f>"UNIMEDSJN"</f>
        <v>UNIMEDSJN</v>
      </c>
      <c r="D191" t="str">
        <f>"DH"</f>
        <v>DH</v>
      </c>
      <c r="E191" t="str">
        <f>"ELICA COLACI SALGADO"</f>
        <v>ELICA COLACI SALGADO</v>
      </c>
      <c r="F191" t="str">
        <f>"48798420-1/1"</f>
        <v>48798420-1/1</v>
      </c>
      <c r="G191" t="str">
        <f>"Carteira 21"</f>
        <v>Carteira 21</v>
      </c>
      <c r="H191">
        <v>40</v>
      </c>
      <c r="I191" s="1">
        <v>44</v>
      </c>
      <c r="J191" t="str">
        <f>"20/01/2020"</f>
        <v>20/01/2020</v>
      </c>
      <c r="K191" t="str">
        <f>"29/02/2020"</f>
        <v>29/02/2020</v>
      </c>
      <c r="L191" t="str">
        <f>"02/03/2020"</f>
        <v>02/03/2020</v>
      </c>
      <c r="M191" t="str">
        <f>"13/03/2020"</f>
        <v>13/03/2020</v>
      </c>
      <c r="N191">
        <v>430.78</v>
      </c>
      <c r="O191">
        <v>430.78</v>
      </c>
      <c r="P191">
        <v>0</v>
      </c>
    </row>
    <row r="192" spans="1:16" s="2" customFormat="1" x14ac:dyDescent="0.25">
      <c r="A192" s="2">
        <v>45924412</v>
      </c>
      <c r="B192" s="2">
        <v>45924417</v>
      </c>
      <c r="C192" s="2" t="str">
        <f>"UNIMEDSJN"</f>
        <v>UNIMEDSJN</v>
      </c>
      <c r="D192" s="2" t="str">
        <f>"DH"</f>
        <v>DH</v>
      </c>
      <c r="E192" s="2" t="str">
        <f>"ELIS FOREAUX GUIMARAES"</f>
        <v>ELIS FOREAUX GUIMARAES</v>
      </c>
      <c r="F192" s="2" t="str">
        <f>"45924412-1/1"</f>
        <v>45924412-1/1</v>
      </c>
      <c r="G192" s="2" t="str">
        <f>"Carteira 21"</f>
        <v>Carteira 21</v>
      </c>
      <c r="H192" s="2">
        <v>24</v>
      </c>
      <c r="I192" s="3">
        <v>140</v>
      </c>
      <c r="J192" s="2" t="str">
        <f>"01/11/2019"</f>
        <v>01/11/2019</v>
      </c>
      <c r="K192" s="2" t="str">
        <f>"25/11/2019"</f>
        <v>25/11/2019</v>
      </c>
      <c r="L192" s="2" t="str">
        <f>"26/03/2020"</f>
        <v>26/03/2020</v>
      </c>
      <c r="M192" s="2" t="str">
        <f>"27/03/2020"</f>
        <v>27/03/2020</v>
      </c>
      <c r="N192" s="2">
        <v>140.38999999999999</v>
      </c>
      <c r="O192" s="2">
        <v>148.85</v>
      </c>
      <c r="P192" s="2">
        <v>6.0000000000030702E-2</v>
      </c>
    </row>
    <row r="193" spans="1:16" s="2" customFormat="1" x14ac:dyDescent="0.25">
      <c r="A193" s="2">
        <v>48579195</v>
      </c>
      <c r="B193" s="2">
        <v>48579200</v>
      </c>
      <c r="C193" s="2" t="str">
        <f>"UNIMEDSJN"</f>
        <v>UNIMEDSJN</v>
      </c>
      <c r="D193" s="2" t="str">
        <f>"DH"</f>
        <v>DH</v>
      </c>
      <c r="E193" s="2" t="str">
        <f>"ELIS FOREAUX GUIMARAES"</f>
        <v>ELIS FOREAUX GUIMARAES</v>
      </c>
      <c r="F193" s="2" t="str">
        <f>"48579195-1/1"</f>
        <v>48579195-1/1</v>
      </c>
      <c r="G193" s="2" t="str">
        <f>"Carteira 21"</f>
        <v>Carteira 21</v>
      </c>
      <c r="H193" s="2">
        <v>23</v>
      </c>
      <c r="I193" s="3">
        <v>79</v>
      </c>
      <c r="J193" s="2" t="str">
        <f>"02/01/2020"</f>
        <v>02/01/2020</v>
      </c>
      <c r="K193" s="2" t="str">
        <f>"25/01/2020"</f>
        <v>25/01/2020</v>
      </c>
      <c r="L193" s="2" t="str">
        <f>"24/03/2020"</f>
        <v>24/03/2020</v>
      </c>
      <c r="M193" s="2" t="str">
        <f>"25/03/2020"</f>
        <v>25/03/2020</v>
      </c>
      <c r="N193" s="2">
        <v>150.71</v>
      </c>
      <c r="O193" s="2">
        <v>156.55000000000001</v>
      </c>
      <c r="P193" s="2">
        <v>0.12999999999999501</v>
      </c>
    </row>
    <row r="194" spans="1:16" s="2" customFormat="1" x14ac:dyDescent="0.25">
      <c r="A194" s="2">
        <v>48583666</v>
      </c>
      <c r="B194" s="2">
        <v>48583684</v>
      </c>
      <c r="C194" s="2" t="str">
        <f>"UNIMEDSJN"</f>
        <v>UNIMEDSJN</v>
      </c>
      <c r="D194" s="2" t="str">
        <f>"DH"</f>
        <v>DH</v>
      </c>
      <c r="E194" s="2" t="str">
        <f>"ELIS REGINA DE OLIVEIRA MATTOS"</f>
        <v>ELIS REGINA DE OLIVEIRA MATTOS</v>
      </c>
      <c r="F194" s="2" t="str">
        <f>"48583666-1/1"</f>
        <v>48583666-1/1</v>
      </c>
      <c r="G194" s="2" t="str">
        <f>"Carteira 21"</f>
        <v>Carteira 21</v>
      </c>
      <c r="H194" s="2">
        <v>13</v>
      </c>
      <c r="I194" s="3">
        <v>89</v>
      </c>
      <c r="J194" s="2" t="str">
        <f>"02/01/2020"</f>
        <v>02/01/2020</v>
      </c>
      <c r="K194" s="2" t="str">
        <f>"15/01/2020"</f>
        <v>15/01/2020</v>
      </c>
      <c r="L194" s="2" t="str">
        <f>"07/02/2020"</f>
        <v>07/02/2020</v>
      </c>
      <c r="M194" s="2" t="str">
        <f>"10/02/2020"</f>
        <v>10/02/2020</v>
      </c>
      <c r="N194" s="2">
        <v>499.08</v>
      </c>
      <c r="O194" s="2">
        <v>512.85</v>
      </c>
      <c r="P194" s="2">
        <v>3.9999999999963599E-2</v>
      </c>
    </row>
    <row r="195" spans="1:16" s="2" customFormat="1" x14ac:dyDescent="0.25">
      <c r="A195" s="2">
        <v>48586193</v>
      </c>
      <c r="B195" s="2">
        <v>48586198</v>
      </c>
      <c r="C195" s="2" t="str">
        <f>"UNIMEDSJN"</f>
        <v>UNIMEDSJN</v>
      </c>
      <c r="D195" s="2" t="str">
        <f>"DH"</f>
        <v>DH</v>
      </c>
      <c r="E195" s="2" t="str">
        <f>"Elisabete Cristina Calegaro"</f>
        <v>Elisabete Cristina Calegaro</v>
      </c>
      <c r="F195" s="2" t="str">
        <f>"48586193-1/1"</f>
        <v>48586193-1/1</v>
      </c>
      <c r="G195" s="2" t="str">
        <f>"Carteira 21"</f>
        <v>Carteira 21</v>
      </c>
      <c r="H195" s="2">
        <v>23</v>
      </c>
      <c r="I195" s="3">
        <v>79</v>
      </c>
      <c r="J195" s="2" t="str">
        <f>"02/01/2020"</f>
        <v>02/01/2020</v>
      </c>
      <c r="K195" s="2" t="str">
        <f>"25/01/2020"</f>
        <v>25/01/2020</v>
      </c>
      <c r="L195" s="2" t="str">
        <f>"28/02/2020"</f>
        <v>28/02/2020</v>
      </c>
      <c r="M195" s="2" t="str">
        <f>"13/03/2020"</f>
        <v>13/03/2020</v>
      </c>
      <c r="N195" s="2">
        <v>1189.67</v>
      </c>
      <c r="O195" s="2">
        <v>1226.02</v>
      </c>
      <c r="P195" s="2">
        <v>0.92000000000007298</v>
      </c>
    </row>
    <row r="196" spans="1:16" s="2" customFormat="1" x14ac:dyDescent="0.25">
      <c r="A196" s="2">
        <v>47497725</v>
      </c>
      <c r="B196" s="2">
        <v>47497742</v>
      </c>
      <c r="C196" s="2" t="str">
        <f>"UNIMEDSJN"</f>
        <v>UNIMEDSJN</v>
      </c>
      <c r="D196" s="2" t="str">
        <f>"DH"</f>
        <v>DH</v>
      </c>
      <c r="E196" s="2" t="str">
        <f>"ELISANGELA MARIA DUQUE NOGUEIRA"</f>
        <v>ELISANGELA MARIA DUQUE NOGUEIRA</v>
      </c>
      <c r="F196" s="2" t="str">
        <f>"47497725-1/1"</f>
        <v>47497725-1/1</v>
      </c>
      <c r="G196" s="2" t="str">
        <f>"Carteira 21"</f>
        <v>Carteira 21</v>
      </c>
      <c r="H196" s="2">
        <v>24</v>
      </c>
      <c r="I196" s="3">
        <v>110</v>
      </c>
      <c r="J196" s="2" t="str">
        <f>"01/12/2019"</f>
        <v>01/12/2019</v>
      </c>
      <c r="K196" s="2" t="str">
        <f>"25/12/2019"</f>
        <v>25/12/2019</v>
      </c>
      <c r="L196" s="2" t="str">
        <f>"04/02/2020"</f>
        <v>04/02/2020</v>
      </c>
      <c r="M196" s="2" t="str">
        <f>"05/02/2020"</f>
        <v>05/02/2020</v>
      </c>
      <c r="N196" s="2">
        <v>147.85</v>
      </c>
      <c r="O196" s="2">
        <v>152.80000000000001</v>
      </c>
      <c r="P196" s="2">
        <v>2.9999999999972701E-2</v>
      </c>
    </row>
    <row r="197" spans="1:16" s="2" customFormat="1" x14ac:dyDescent="0.25">
      <c r="A197" s="2">
        <v>48572624</v>
      </c>
      <c r="B197" s="2">
        <v>48572886</v>
      </c>
      <c r="C197" s="2" t="str">
        <f>"UNIMEDSJN"</f>
        <v>UNIMEDSJN</v>
      </c>
      <c r="D197" s="2" t="str">
        <f>"DH"</f>
        <v>DH</v>
      </c>
      <c r="E197" s="2" t="str">
        <f>"ELISANGELA MARIA DUQUE NOGUEIRA"</f>
        <v>ELISANGELA MARIA DUQUE NOGUEIRA</v>
      </c>
      <c r="F197" s="2" t="str">
        <f>"48572624-1/1"</f>
        <v>48572624-1/1</v>
      </c>
      <c r="G197" s="2" t="str">
        <f>"Carteira 21"</f>
        <v>Carteira 21</v>
      </c>
      <c r="H197" s="2">
        <v>23</v>
      </c>
      <c r="I197" s="3">
        <v>79</v>
      </c>
      <c r="J197" s="2" t="str">
        <f>"02/01/2020"</f>
        <v>02/01/2020</v>
      </c>
      <c r="K197" s="2" t="str">
        <f>"25/01/2020"</f>
        <v>25/01/2020</v>
      </c>
      <c r="L197" s="2" t="str">
        <f>"05/03/2020"</f>
        <v>05/03/2020</v>
      </c>
      <c r="M197" s="2" t="str">
        <f>"06/03/2020"</f>
        <v>06/03/2020</v>
      </c>
      <c r="N197" s="2">
        <v>147.85</v>
      </c>
      <c r="O197" s="2">
        <v>152.66</v>
      </c>
      <c r="P197" s="2">
        <v>0.12000000000000501</v>
      </c>
    </row>
    <row r="198" spans="1:16" s="2" customFormat="1" x14ac:dyDescent="0.25">
      <c r="A198" s="2">
        <v>45092325</v>
      </c>
      <c r="B198" s="2">
        <v>45092332</v>
      </c>
      <c r="C198" s="2" t="str">
        <f>"UNIMEDSJN"</f>
        <v>UNIMEDSJN</v>
      </c>
      <c r="D198" s="2" t="str">
        <f>"DH"</f>
        <v>DH</v>
      </c>
      <c r="E198" s="2" t="str">
        <f>"Elizabete Aparecida de Souza"</f>
        <v>Elizabete Aparecida de Souza</v>
      </c>
      <c r="F198" s="2" t="str">
        <f>"45092325-1/1"</f>
        <v>45092325-1/1</v>
      </c>
      <c r="G198" s="2" t="str">
        <f>"CARTEIRA PERDA"</f>
        <v>CARTEIRA PERDA</v>
      </c>
      <c r="H198" s="2">
        <v>19</v>
      </c>
      <c r="I198" s="3">
        <v>201</v>
      </c>
      <c r="J198" s="2" t="str">
        <f>"06/09/2019"</f>
        <v>06/09/2019</v>
      </c>
      <c r="K198" s="2" t="str">
        <f>"25/09/2019"</f>
        <v>25/09/2019</v>
      </c>
      <c r="L198" s="2" t="str">
        <f>"25/09/2019"</f>
        <v>25/09/2019</v>
      </c>
      <c r="M198" s="2" t="str">
        <f>"05/03/2020"</f>
        <v>05/03/2020</v>
      </c>
      <c r="N198" s="2">
        <v>223.36</v>
      </c>
      <c r="O198" s="2">
        <v>223.36</v>
      </c>
      <c r="P198" s="2">
        <v>0</v>
      </c>
    </row>
    <row r="199" spans="1:16" s="2" customFormat="1" x14ac:dyDescent="0.25">
      <c r="A199" s="2">
        <v>45444767</v>
      </c>
      <c r="B199" s="2">
        <v>45444774</v>
      </c>
      <c r="C199" s="2" t="str">
        <f>"UNIMEDSJN"</f>
        <v>UNIMEDSJN</v>
      </c>
      <c r="D199" s="2" t="str">
        <f>"DH"</f>
        <v>DH</v>
      </c>
      <c r="E199" s="2" t="str">
        <f>"Elizabete Aparecida de Souza"</f>
        <v>Elizabete Aparecida de Souza</v>
      </c>
      <c r="F199" s="2" t="str">
        <f>"45444767-1/1"</f>
        <v>45444767-1/1</v>
      </c>
      <c r="G199" s="2" t="str">
        <f>"CARTEIRA PERDA"</f>
        <v>CARTEIRA PERDA</v>
      </c>
      <c r="H199" s="2">
        <v>24</v>
      </c>
      <c r="I199" s="3">
        <v>171</v>
      </c>
      <c r="J199" s="2" t="str">
        <f>"01/10/2019"</f>
        <v>01/10/2019</v>
      </c>
      <c r="K199" s="2" t="str">
        <f>"25/10/2019"</f>
        <v>25/10/2019</v>
      </c>
      <c r="L199" s="2" t="str">
        <f>"25/10/2019"</f>
        <v>25/10/2019</v>
      </c>
      <c r="M199" s="2" t="str">
        <f>"05/03/2020"</f>
        <v>05/03/2020</v>
      </c>
      <c r="N199" s="2">
        <v>208.36</v>
      </c>
      <c r="O199" s="2">
        <v>208.36</v>
      </c>
      <c r="P199" s="2">
        <v>0</v>
      </c>
    </row>
    <row r="200" spans="1:16" s="2" customFormat="1" x14ac:dyDescent="0.25">
      <c r="A200" s="2">
        <v>45922107</v>
      </c>
      <c r="B200" s="2">
        <v>45922117</v>
      </c>
      <c r="C200" s="2" t="str">
        <f>"UNIMEDSJN"</f>
        <v>UNIMEDSJN</v>
      </c>
      <c r="D200" s="2" t="str">
        <f>"DH"</f>
        <v>DH</v>
      </c>
      <c r="E200" s="2" t="str">
        <f>"Elizabete Aparecida de Souza"</f>
        <v>Elizabete Aparecida de Souza</v>
      </c>
      <c r="F200" s="2" t="str">
        <f>"45922107-1/1"</f>
        <v>45922107-1/1</v>
      </c>
      <c r="G200" s="2" t="str">
        <f>"CARTEIRA PERDA"</f>
        <v>CARTEIRA PERDA</v>
      </c>
      <c r="H200" s="2">
        <v>24</v>
      </c>
      <c r="I200" s="3">
        <v>140</v>
      </c>
      <c r="J200" s="2" t="str">
        <f>"01/11/2019"</f>
        <v>01/11/2019</v>
      </c>
      <c r="K200" s="2" t="str">
        <f>"25/11/2019"</f>
        <v>25/11/2019</v>
      </c>
      <c r="L200" s="2" t="str">
        <f>"25/11/2019"</f>
        <v>25/11/2019</v>
      </c>
      <c r="M200" s="2" t="str">
        <f>"05/03/2020"</f>
        <v>05/03/2020</v>
      </c>
      <c r="N200" s="2">
        <v>208.36</v>
      </c>
      <c r="O200" s="2">
        <v>208.36</v>
      </c>
      <c r="P200" s="2">
        <v>0</v>
      </c>
    </row>
    <row r="201" spans="1:16" s="2" customFormat="1" x14ac:dyDescent="0.25">
      <c r="A201" s="2">
        <v>47501154</v>
      </c>
      <c r="B201" s="2">
        <v>47501163</v>
      </c>
      <c r="C201" s="2" t="str">
        <f>"UNIMEDSJN"</f>
        <v>UNIMEDSJN</v>
      </c>
      <c r="D201" s="2" t="str">
        <f>"DH"</f>
        <v>DH</v>
      </c>
      <c r="E201" s="2" t="str">
        <f>"Elizabete Aparecida de Souza"</f>
        <v>Elizabete Aparecida de Souza</v>
      </c>
      <c r="F201" s="2" t="str">
        <f>"47501154-1/1"</f>
        <v>47501154-1/1</v>
      </c>
      <c r="G201" s="2" t="str">
        <f>"CARTEIRA PERDA"</f>
        <v>CARTEIRA PERDA</v>
      </c>
      <c r="H201" s="2">
        <v>24</v>
      </c>
      <c r="I201" s="3">
        <v>110</v>
      </c>
      <c r="J201" s="2" t="str">
        <f>"01/12/2019"</f>
        <v>01/12/2019</v>
      </c>
      <c r="K201" s="2" t="str">
        <f>"25/12/2019"</f>
        <v>25/12/2019</v>
      </c>
      <c r="L201" s="2" t="str">
        <f>"25/12/2019"</f>
        <v>25/12/2019</v>
      </c>
      <c r="M201" s="2" t="str">
        <f>"05/03/2020"</f>
        <v>05/03/2020</v>
      </c>
      <c r="N201" s="2">
        <v>208.36</v>
      </c>
      <c r="O201" s="2">
        <v>208.36</v>
      </c>
      <c r="P201" s="2">
        <v>0</v>
      </c>
    </row>
    <row r="202" spans="1:16" s="2" customFormat="1" x14ac:dyDescent="0.25">
      <c r="A202" s="2">
        <v>48575867</v>
      </c>
      <c r="B202" s="2">
        <v>48576129</v>
      </c>
      <c r="C202" s="2" t="str">
        <f>"UNIMEDSJN"</f>
        <v>UNIMEDSJN</v>
      </c>
      <c r="D202" s="2" t="str">
        <f>"DH"</f>
        <v>DH</v>
      </c>
      <c r="E202" s="2" t="str">
        <f>"Elizabete Aparecida de Souza"</f>
        <v>Elizabete Aparecida de Souza</v>
      </c>
      <c r="F202" s="2" t="str">
        <f>"48575867-1/1"</f>
        <v>48575867-1/1</v>
      </c>
      <c r="G202" s="2" t="str">
        <f>"CARTEIRA PERDA"</f>
        <v>CARTEIRA PERDA</v>
      </c>
      <c r="H202" s="2">
        <v>23</v>
      </c>
      <c r="I202" s="3">
        <v>79</v>
      </c>
      <c r="J202" s="2" t="str">
        <f>"02/01/2020"</f>
        <v>02/01/2020</v>
      </c>
      <c r="K202" s="2" t="str">
        <f>"25/01/2020"</f>
        <v>25/01/2020</v>
      </c>
      <c r="L202" s="2" t="str">
        <f>"27/01/2020"</f>
        <v>27/01/2020</v>
      </c>
      <c r="M202" s="2" t="str">
        <f>"05/03/2020"</f>
        <v>05/03/2020</v>
      </c>
      <c r="N202" s="2">
        <v>208.36</v>
      </c>
      <c r="O202" s="2">
        <v>208.36</v>
      </c>
      <c r="P202" s="2">
        <v>0</v>
      </c>
    </row>
    <row r="203" spans="1:16" s="2" customFormat="1" x14ac:dyDescent="0.25">
      <c r="A203" s="2">
        <v>45925560</v>
      </c>
      <c r="B203" s="2">
        <v>45925570</v>
      </c>
      <c r="C203" s="2" t="str">
        <f>"UNIMEDSJN"</f>
        <v>UNIMEDSJN</v>
      </c>
      <c r="D203" s="2" t="str">
        <f>"DH"</f>
        <v>DH</v>
      </c>
      <c r="E203" s="2" t="str">
        <f>"Emanuely da Silva Mendonca"</f>
        <v>Emanuely da Silva Mendonca</v>
      </c>
      <c r="F203" s="2" t="str">
        <f>"45925560-1/1"</f>
        <v>45925560-1/1</v>
      </c>
      <c r="G203" s="2" t="str">
        <f>"Carteira 21"</f>
        <v>Carteira 21</v>
      </c>
      <c r="H203" s="2">
        <v>24</v>
      </c>
      <c r="I203" s="3">
        <v>140</v>
      </c>
      <c r="J203" s="2" t="str">
        <f>"01/11/2019"</f>
        <v>01/11/2019</v>
      </c>
      <c r="K203" s="2" t="str">
        <f>"25/11/2019"</f>
        <v>25/11/2019</v>
      </c>
      <c r="L203" s="2" t="str">
        <f>"13/02/2020"</f>
        <v>13/02/2020</v>
      </c>
      <c r="M203" s="2" t="str">
        <f>"14/02/2020"</f>
        <v>14/02/2020</v>
      </c>
      <c r="N203" s="2">
        <v>68.900000000000006</v>
      </c>
      <c r="O203" s="2">
        <v>72.099999999999994</v>
      </c>
      <c r="P203" s="2">
        <v>1.9999999999996E-2</v>
      </c>
    </row>
    <row r="204" spans="1:16" s="2" customFormat="1" x14ac:dyDescent="0.25">
      <c r="A204" s="2">
        <v>47500831</v>
      </c>
      <c r="B204" s="2">
        <v>47500851</v>
      </c>
      <c r="C204" s="2" t="str">
        <f>"UNIMEDSJN"</f>
        <v>UNIMEDSJN</v>
      </c>
      <c r="D204" s="2" t="str">
        <f>"DH"</f>
        <v>DH</v>
      </c>
      <c r="E204" s="2" t="str">
        <f>"Emanuely da Silva Mendonca"</f>
        <v>Emanuely da Silva Mendonca</v>
      </c>
      <c r="F204" s="2" t="str">
        <f>"47500831-1/1"</f>
        <v>47500831-1/1</v>
      </c>
      <c r="G204" s="2" t="str">
        <f>"Carteira 21"</f>
        <v>Carteira 21</v>
      </c>
      <c r="H204" s="2">
        <v>24</v>
      </c>
      <c r="I204" s="3">
        <v>110</v>
      </c>
      <c r="J204" s="2" t="str">
        <f>"01/12/2019"</f>
        <v>01/12/2019</v>
      </c>
      <c r="K204" s="2" t="str">
        <f>"25/12/2019"</f>
        <v>25/12/2019</v>
      </c>
      <c r="L204" s="2" t="str">
        <f>"13/02/2020"</f>
        <v>13/02/2020</v>
      </c>
      <c r="M204" s="2" t="str">
        <f>"14/02/2020"</f>
        <v>14/02/2020</v>
      </c>
      <c r="N204" s="2">
        <v>68.900000000000006</v>
      </c>
      <c r="O204" s="2">
        <v>71.42</v>
      </c>
      <c r="P204" s="2">
        <v>1.00000000000051E-2</v>
      </c>
    </row>
    <row r="205" spans="1:16" s="2" customFormat="1" x14ac:dyDescent="0.25">
      <c r="A205" s="2">
        <v>48575787</v>
      </c>
      <c r="B205" s="2">
        <v>48575794</v>
      </c>
      <c r="C205" s="2" t="str">
        <f>"UNIMEDSJN"</f>
        <v>UNIMEDSJN</v>
      </c>
      <c r="D205" s="2" t="str">
        <f>"DH"</f>
        <v>DH</v>
      </c>
      <c r="E205" s="2" t="str">
        <f>"Emanuely da Silva Mendonca"</f>
        <v>Emanuely da Silva Mendonca</v>
      </c>
      <c r="F205" s="2" t="str">
        <f>"48575787-1/1"</f>
        <v>48575787-1/1</v>
      </c>
      <c r="G205" s="2" t="str">
        <f>"Carteira 21"</f>
        <v>Carteira 21</v>
      </c>
      <c r="H205" s="2">
        <v>23</v>
      </c>
      <c r="I205" s="3">
        <v>79</v>
      </c>
      <c r="J205" s="2" t="str">
        <f>"02/01/2020"</f>
        <v>02/01/2020</v>
      </c>
      <c r="K205" s="2" t="str">
        <f>"25/01/2020"</f>
        <v>25/01/2020</v>
      </c>
      <c r="L205" s="2" t="str">
        <f>"13/02/2020"</f>
        <v>13/02/2020</v>
      </c>
      <c r="M205" s="2" t="str">
        <f>"14/02/2020"</f>
        <v>14/02/2020</v>
      </c>
      <c r="N205" s="2">
        <v>68.900000000000006</v>
      </c>
      <c r="O205" s="2">
        <v>70.67</v>
      </c>
      <c r="P205" s="2">
        <v>4.9999999999997199E-2</v>
      </c>
    </row>
    <row r="206" spans="1:16" s="2" customFormat="1" x14ac:dyDescent="0.25">
      <c r="A206" s="2">
        <v>48578632</v>
      </c>
      <c r="B206" s="2">
        <v>48578647</v>
      </c>
      <c r="C206" s="2" t="str">
        <f>"UNIMEDSJN"</f>
        <v>UNIMEDSJN</v>
      </c>
      <c r="D206" s="2" t="str">
        <f>"DH"</f>
        <v>DH</v>
      </c>
      <c r="E206" s="2" t="str">
        <f>"ENZO BARBOSA CAJAIBA"</f>
        <v>ENZO BARBOSA CAJAIBA</v>
      </c>
      <c r="F206" s="2" t="str">
        <f>"48578632-1/1"</f>
        <v>48578632-1/1</v>
      </c>
      <c r="G206" s="2" t="str">
        <f>"Carteira 21"</f>
        <v>Carteira 21</v>
      </c>
      <c r="H206" s="2">
        <v>23</v>
      </c>
      <c r="I206" s="3">
        <v>79</v>
      </c>
      <c r="J206" s="2" t="str">
        <f>"02/01/2020"</f>
        <v>02/01/2020</v>
      </c>
      <c r="K206" s="2" t="str">
        <f>"25/01/2020"</f>
        <v>25/01/2020</v>
      </c>
      <c r="L206" s="2" t="str">
        <f>"16/03/2020"</f>
        <v>16/03/2020</v>
      </c>
      <c r="M206" s="2" t="str">
        <f>"17/03/2020"</f>
        <v>17/03/2020</v>
      </c>
      <c r="N206" s="2">
        <v>150.72</v>
      </c>
      <c r="O206" s="2">
        <v>156.16999999999999</v>
      </c>
      <c r="P206" s="2">
        <v>0.119999999999976</v>
      </c>
    </row>
    <row r="207" spans="1:16" s="2" customFormat="1" x14ac:dyDescent="0.25">
      <c r="A207" s="2">
        <v>47506747</v>
      </c>
      <c r="B207" s="2">
        <v>47506752</v>
      </c>
      <c r="C207" s="2" t="str">
        <f>"UNIMEDSJN"</f>
        <v>UNIMEDSJN</v>
      </c>
      <c r="D207" s="2" t="str">
        <f>"DH"</f>
        <v>DH</v>
      </c>
      <c r="E207" s="2" t="str">
        <f>"ERIKA DE ANDRADE BRAGA"</f>
        <v>ERIKA DE ANDRADE BRAGA</v>
      </c>
      <c r="F207" s="2" t="str">
        <f>"47506747-1/1"</f>
        <v>47506747-1/1</v>
      </c>
      <c r="G207" s="2" t="str">
        <f>"Carteira 21"</f>
        <v>Carteira 21</v>
      </c>
      <c r="H207" s="2">
        <v>24</v>
      </c>
      <c r="I207" s="3">
        <v>110</v>
      </c>
      <c r="J207" s="2" t="str">
        <f>"01/12/2019"</f>
        <v>01/12/2019</v>
      </c>
      <c r="K207" s="2" t="str">
        <f>"25/12/2019"</f>
        <v>25/12/2019</v>
      </c>
      <c r="L207" s="2" t="str">
        <f>"10/03/2020"</f>
        <v>10/03/2020</v>
      </c>
      <c r="M207" s="2" t="str">
        <f>"11/03/2020"</f>
        <v>11/03/2020</v>
      </c>
      <c r="N207" s="2">
        <v>328.16</v>
      </c>
      <c r="O207" s="2">
        <v>342.95</v>
      </c>
      <c r="P207" s="2">
        <v>8.00000000000409E-2</v>
      </c>
    </row>
    <row r="208" spans="1:16" s="2" customFormat="1" x14ac:dyDescent="0.25">
      <c r="A208" s="2">
        <v>47506761</v>
      </c>
      <c r="B208" s="2">
        <v>47506768</v>
      </c>
      <c r="C208" s="2" t="str">
        <f>"UNIMEDSJN"</f>
        <v>UNIMEDSJN</v>
      </c>
      <c r="D208" s="2" t="str">
        <f>"DH"</f>
        <v>DH</v>
      </c>
      <c r="E208" s="2" t="str">
        <f>"ERIKA DE ANDRADE BRAGA"</f>
        <v>ERIKA DE ANDRADE BRAGA</v>
      </c>
      <c r="F208" s="2" t="str">
        <f>"47506761-1/1"</f>
        <v>47506761-1/1</v>
      </c>
      <c r="G208" s="2" t="str">
        <f>"Carteira 21"</f>
        <v>Carteira 21</v>
      </c>
      <c r="H208" s="2">
        <v>24</v>
      </c>
      <c r="I208" s="3">
        <v>110</v>
      </c>
      <c r="J208" s="2" t="str">
        <f>"01/12/2019"</f>
        <v>01/12/2019</v>
      </c>
      <c r="K208" s="2" t="str">
        <f>"25/12/2019"</f>
        <v>25/12/2019</v>
      </c>
      <c r="L208" s="2" t="str">
        <f>"10/03/2020"</f>
        <v>10/03/2020</v>
      </c>
      <c r="M208" s="2" t="str">
        <f>"11/03/2020"</f>
        <v>11/03/2020</v>
      </c>
      <c r="N208" s="2">
        <v>173.9</v>
      </c>
      <c r="O208" s="2">
        <v>181.74</v>
      </c>
      <c r="P208" s="2">
        <v>4.9999999999982898E-2</v>
      </c>
    </row>
    <row r="209" spans="1:16" s="2" customFormat="1" x14ac:dyDescent="0.25">
      <c r="A209" s="2">
        <v>48584126</v>
      </c>
      <c r="B209" s="2">
        <v>48584134</v>
      </c>
      <c r="C209" s="2" t="str">
        <f>"UNIMEDSJN"</f>
        <v>UNIMEDSJN</v>
      </c>
      <c r="D209" s="2" t="str">
        <f>"DH"</f>
        <v>DH</v>
      </c>
      <c r="E209" s="2" t="str">
        <f>"ERIKA DE ANDRADE BRAGA"</f>
        <v>ERIKA DE ANDRADE BRAGA</v>
      </c>
      <c r="F209" s="2" t="str">
        <f>"48584126-1/1"</f>
        <v>48584126-1/1</v>
      </c>
      <c r="G209" s="2" t="str">
        <f>"Carteira 21"</f>
        <v>Carteira 21</v>
      </c>
      <c r="H209" s="2">
        <v>23</v>
      </c>
      <c r="I209" s="3">
        <v>79</v>
      </c>
      <c r="J209" s="2" t="str">
        <f>"02/01/2020"</f>
        <v>02/01/2020</v>
      </c>
      <c r="K209" s="2" t="str">
        <f>"25/01/2020"</f>
        <v>25/01/2020</v>
      </c>
      <c r="L209" s="2" t="str">
        <f>"27/01/2020"</f>
        <v>27/01/2020</v>
      </c>
      <c r="M209" s="2" t="str">
        <f>"27/12/2019"</f>
        <v>27/12/2019</v>
      </c>
      <c r="N209" s="2">
        <v>328.16</v>
      </c>
      <c r="O209" s="2">
        <v>328.16</v>
      </c>
      <c r="P209" s="2">
        <v>0</v>
      </c>
    </row>
    <row r="210" spans="1:16" s="2" customFormat="1" x14ac:dyDescent="0.25">
      <c r="A210" s="2">
        <v>48584141</v>
      </c>
      <c r="B210" s="2">
        <v>48584146</v>
      </c>
      <c r="C210" s="2" t="str">
        <f>"UNIMEDSJN"</f>
        <v>UNIMEDSJN</v>
      </c>
      <c r="D210" s="2" t="str">
        <f>"DH"</f>
        <v>DH</v>
      </c>
      <c r="E210" s="2" t="str">
        <f>"ERIKA DE ANDRADE BRAGA"</f>
        <v>ERIKA DE ANDRADE BRAGA</v>
      </c>
      <c r="F210" s="2" t="str">
        <f>"48584141-1/1"</f>
        <v>48584141-1/1</v>
      </c>
      <c r="G210" s="2" t="str">
        <f>"Carteira 21"</f>
        <v>Carteira 21</v>
      </c>
      <c r="H210" s="2">
        <v>23</v>
      </c>
      <c r="I210" s="3">
        <v>79</v>
      </c>
      <c r="J210" s="2" t="str">
        <f>"02/01/2020"</f>
        <v>02/01/2020</v>
      </c>
      <c r="K210" s="2" t="str">
        <f>"25/01/2020"</f>
        <v>25/01/2020</v>
      </c>
      <c r="L210" s="2" t="str">
        <f>"27/01/2020"</f>
        <v>27/01/2020</v>
      </c>
      <c r="M210" s="2" t="str">
        <f>"27/12/2019"</f>
        <v>27/12/2019</v>
      </c>
      <c r="N210" s="2">
        <v>173.9</v>
      </c>
      <c r="O210" s="2">
        <v>173.9</v>
      </c>
      <c r="P210" s="2">
        <v>0</v>
      </c>
    </row>
    <row r="211" spans="1:16" s="2" customFormat="1" x14ac:dyDescent="0.25">
      <c r="A211" s="2">
        <v>47509562</v>
      </c>
      <c r="B211" s="2">
        <v>47509583</v>
      </c>
      <c r="C211" s="2" t="str">
        <f>"UNIMEDSJN"</f>
        <v>UNIMEDSJN</v>
      </c>
      <c r="D211" s="2" t="str">
        <f>"DH"</f>
        <v>DH</v>
      </c>
      <c r="E211" s="2" t="str">
        <f>"Erika Kaizer Guerra de Oliveira Silva"</f>
        <v>Erika Kaizer Guerra de Oliveira Silva</v>
      </c>
      <c r="F211" s="2" t="str">
        <f>"47509562-1/1"</f>
        <v>47509562-1/1</v>
      </c>
      <c r="G211" s="2" t="str">
        <f>"Carteira 21"</f>
        <v>Carteira 21</v>
      </c>
      <c r="H211" s="2">
        <v>24</v>
      </c>
      <c r="I211" s="3">
        <v>110</v>
      </c>
      <c r="J211" s="2" t="str">
        <f>"01/12/2019"</f>
        <v>01/12/2019</v>
      </c>
      <c r="K211" s="2" t="str">
        <f>"25/12/2019"</f>
        <v>25/12/2019</v>
      </c>
      <c r="L211" s="2" t="str">
        <f>"06/03/2020"</f>
        <v>06/03/2020</v>
      </c>
      <c r="M211" s="2" t="str">
        <f>"09/03/2020"</f>
        <v>09/03/2020</v>
      </c>
      <c r="N211" s="2">
        <v>651.38</v>
      </c>
      <c r="O211" s="2">
        <v>679.89</v>
      </c>
      <c r="P211" s="2">
        <v>0.14999999999997701</v>
      </c>
    </row>
    <row r="212" spans="1:16" s="2" customFormat="1" x14ac:dyDescent="0.25">
      <c r="A212" s="2">
        <v>48583846</v>
      </c>
      <c r="B212" s="2">
        <v>48583863</v>
      </c>
      <c r="C212" s="2" t="str">
        <f>"UNIMEDSJN"</f>
        <v>UNIMEDSJN</v>
      </c>
      <c r="D212" s="2" t="str">
        <f>"DH"</f>
        <v>DH</v>
      </c>
      <c r="E212" s="2" t="str">
        <f>"Erika Kaizer Guerra de Oliveira Silva"</f>
        <v>Erika Kaizer Guerra de Oliveira Silva</v>
      </c>
      <c r="F212" s="2" t="str">
        <f>"48583846-1/1"</f>
        <v>48583846-1/1</v>
      </c>
      <c r="G212" s="2" t="str">
        <f>"Carteira 21"</f>
        <v>Carteira 21</v>
      </c>
      <c r="H212" s="2">
        <v>23</v>
      </c>
      <c r="I212" s="3">
        <v>79</v>
      </c>
      <c r="J212" s="2" t="str">
        <f>"02/01/2020"</f>
        <v>02/01/2020</v>
      </c>
      <c r="K212" s="2" t="str">
        <f>"25/01/2020"</f>
        <v>25/01/2020</v>
      </c>
      <c r="L212" s="2" t="str">
        <f>"07/04/2020"</f>
        <v>07/04/2020</v>
      </c>
      <c r="M212" s="2" t="str">
        <f>"08/04/2020"</f>
        <v>08/04/2020</v>
      </c>
      <c r="N212" s="2">
        <v>651.38</v>
      </c>
      <c r="O212" s="2">
        <v>679.67</v>
      </c>
      <c r="P212" s="2">
        <v>0.59000000000003205</v>
      </c>
    </row>
    <row r="213" spans="1:16" s="2" customFormat="1" x14ac:dyDescent="0.25">
      <c r="A213" s="2">
        <v>47496131</v>
      </c>
      <c r="B213" s="2">
        <v>47496145</v>
      </c>
      <c r="C213" s="2" t="str">
        <f>"UNIMEDSJN"</f>
        <v>UNIMEDSJN</v>
      </c>
      <c r="D213" s="2" t="str">
        <f>"DH"</f>
        <v>DH</v>
      </c>
      <c r="E213" s="2" t="str">
        <f>"ERIKA TEIXEIRA DE FREITAS"</f>
        <v>ERIKA TEIXEIRA DE FREITAS</v>
      </c>
      <c r="F213" s="2" t="str">
        <f>"47496131-1/1"</f>
        <v>47496131-1/1</v>
      </c>
      <c r="G213" s="2" t="str">
        <f>"Carteira 21"</f>
        <v>Carteira 21</v>
      </c>
      <c r="H213" s="2">
        <v>24</v>
      </c>
      <c r="I213" s="3">
        <v>110</v>
      </c>
      <c r="J213" s="2" t="str">
        <f>"01/12/2019"</f>
        <v>01/12/2019</v>
      </c>
      <c r="K213" s="2" t="str">
        <f>"25/12/2019"</f>
        <v>25/12/2019</v>
      </c>
      <c r="L213" s="2" t="str">
        <f>"04/02/2020"</f>
        <v>04/02/2020</v>
      </c>
      <c r="M213" s="2" t="str">
        <f>"05/02/2020"</f>
        <v>05/02/2020</v>
      </c>
      <c r="N213" s="2">
        <v>416.9</v>
      </c>
      <c r="O213" s="2">
        <v>430.88</v>
      </c>
      <c r="P213" s="2">
        <v>6.0000000000059103E-2</v>
      </c>
    </row>
    <row r="214" spans="1:16" s="2" customFormat="1" x14ac:dyDescent="0.25">
      <c r="A214" s="2">
        <v>47496163</v>
      </c>
      <c r="B214" s="2">
        <v>47496170</v>
      </c>
      <c r="C214" s="2" t="str">
        <f>"UNIMEDSJN"</f>
        <v>UNIMEDSJN</v>
      </c>
      <c r="D214" s="2" t="str">
        <f>"DH"</f>
        <v>DH</v>
      </c>
      <c r="E214" s="2" t="str">
        <f>"ERIKA TEIXEIRA DE FREITAS"</f>
        <v>ERIKA TEIXEIRA DE FREITAS</v>
      </c>
      <c r="F214" s="2" t="str">
        <f>"47496163-1/1"</f>
        <v>47496163-1/1</v>
      </c>
      <c r="G214" s="2" t="str">
        <f>"Carteira 21"</f>
        <v>Carteira 21</v>
      </c>
      <c r="H214" s="2">
        <v>24</v>
      </c>
      <c r="I214" s="3">
        <v>110</v>
      </c>
      <c r="J214" s="2" t="str">
        <f>"01/12/2019"</f>
        <v>01/12/2019</v>
      </c>
      <c r="K214" s="2" t="str">
        <f>"25/12/2019"</f>
        <v>25/12/2019</v>
      </c>
      <c r="L214" s="2" t="str">
        <f>"04/02/2020"</f>
        <v>04/02/2020</v>
      </c>
      <c r="M214" s="2" t="str">
        <f>"05/02/2020"</f>
        <v>05/02/2020</v>
      </c>
      <c r="N214" s="2">
        <v>242.97</v>
      </c>
      <c r="O214" s="2">
        <v>251.12</v>
      </c>
      <c r="P214" s="2">
        <v>3.0000000000001099E-2</v>
      </c>
    </row>
    <row r="215" spans="1:16" s="2" customFormat="1" x14ac:dyDescent="0.25">
      <c r="A215" s="2">
        <v>48571462</v>
      </c>
      <c r="B215" s="2">
        <v>48571481</v>
      </c>
      <c r="C215" s="2" t="str">
        <f>"UNIMEDSJN"</f>
        <v>UNIMEDSJN</v>
      </c>
      <c r="D215" s="2" t="str">
        <f>"DH"</f>
        <v>DH</v>
      </c>
      <c r="E215" s="2" t="str">
        <f>"ERIKA TEIXEIRA DE FREITAS"</f>
        <v>ERIKA TEIXEIRA DE FREITAS</v>
      </c>
      <c r="F215" s="2" t="str">
        <f>"48571462-1/1"</f>
        <v>48571462-1/1</v>
      </c>
      <c r="G215" s="2" t="str">
        <f>"Carteira 21"</f>
        <v>Carteira 21</v>
      </c>
      <c r="H215" s="2">
        <v>23</v>
      </c>
      <c r="I215" s="3">
        <v>79</v>
      </c>
      <c r="J215" s="2" t="str">
        <f>"02/01/2020"</f>
        <v>02/01/2020</v>
      </c>
      <c r="K215" s="2" t="str">
        <f>"25/01/2020"</f>
        <v>25/01/2020</v>
      </c>
      <c r="L215" s="2" t="str">
        <f>"04/02/2020"</f>
        <v>04/02/2020</v>
      </c>
      <c r="M215" s="2" t="str">
        <f>"05/02/2020"</f>
        <v>05/02/2020</v>
      </c>
      <c r="N215" s="2">
        <v>416.9</v>
      </c>
      <c r="O215" s="2">
        <v>426.34</v>
      </c>
      <c r="P215" s="2">
        <v>0.29000000000002002</v>
      </c>
    </row>
    <row r="216" spans="1:16" s="2" customFormat="1" x14ac:dyDescent="0.25">
      <c r="A216" s="2">
        <v>48571489</v>
      </c>
      <c r="B216" s="2">
        <v>48571498</v>
      </c>
      <c r="C216" s="2" t="str">
        <f>"UNIMEDSJN"</f>
        <v>UNIMEDSJN</v>
      </c>
      <c r="D216" s="2" t="str">
        <f>"DH"</f>
        <v>DH</v>
      </c>
      <c r="E216" s="2" t="str">
        <f>"ERIKA TEIXEIRA DE FREITAS"</f>
        <v>ERIKA TEIXEIRA DE FREITAS</v>
      </c>
      <c r="F216" s="2" t="str">
        <f>"48571489-1/1"</f>
        <v>48571489-1/1</v>
      </c>
      <c r="G216" s="2" t="str">
        <f>"Carteira 21"</f>
        <v>Carteira 21</v>
      </c>
      <c r="H216" s="2">
        <v>23</v>
      </c>
      <c r="I216" s="3">
        <v>79</v>
      </c>
      <c r="J216" s="2" t="str">
        <f>"02/01/2020"</f>
        <v>02/01/2020</v>
      </c>
      <c r="K216" s="2" t="str">
        <f>"25/01/2020"</f>
        <v>25/01/2020</v>
      </c>
      <c r="L216" s="2" t="str">
        <f>"04/02/2020"</f>
        <v>04/02/2020</v>
      </c>
      <c r="M216" s="2" t="str">
        <f>"05/02/2020"</f>
        <v>05/02/2020</v>
      </c>
      <c r="N216" s="2">
        <v>242.97</v>
      </c>
      <c r="O216" s="2">
        <v>248.47</v>
      </c>
      <c r="P216" s="2">
        <v>0.16999999999998699</v>
      </c>
    </row>
    <row r="217" spans="1:16" s="2" customFormat="1" x14ac:dyDescent="0.25">
      <c r="A217" s="2">
        <v>43986794</v>
      </c>
      <c r="B217" s="2">
        <v>43986802</v>
      </c>
      <c r="C217" s="2" t="str">
        <f>"UNIMEDSJN"</f>
        <v>UNIMEDSJN</v>
      </c>
      <c r="D217" s="2" t="str">
        <f>"DH"</f>
        <v>DH</v>
      </c>
      <c r="E217" s="2" t="str">
        <f>"ESTELINA FAJARDO LEIVA"</f>
        <v>ESTELINA FAJARDO LEIVA</v>
      </c>
      <c r="F217" s="2" t="str">
        <f>"43986794-1/1"</f>
        <v>43986794-1/1</v>
      </c>
      <c r="G217" s="2" t="str">
        <f>"Carteira 21"</f>
        <v>Carteira 21</v>
      </c>
      <c r="H217" s="2">
        <v>24</v>
      </c>
      <c r="I217" s="3">
        <v>263</v>
      </c>
      <c r="J217" s="2" t="str">
        <f>"01/07/2019"</f>
        <v>01/07/2019</v>
      </c>
      <c r="K217" s="2" t="str">
        <f>"25/07/2019"</f>
        <v>25/07/2019</v>
      </c>
      <c r="L217" s="2" t="str">
        <f>"25/07/2019"</f>
        <v>25/07/2019</v>
      </c>
      <c r="M217" s="2" t="str">
        <f>"01/07/2019"</f>
        <v>01/07/2019</v>
      </c>
      <c r="N217" s="2">
        <v>172.18</v>
      </c>
      <c r="O217" s="2">
        <v>172.18</v>
      </c>
      <c r="P217" s="2">
        <v>0</v>
      </c>
    </row>
    <row r="218" spans="1:16" s="2" customFormat="1" x14ac:dyDescent="0.25">
      <c r="A218" s="2">
        <v>44256764</v>
      </c>
      <c r="B218" s="2">
        <v>44256769</v>
      </c>
      <c r="C218" s="2" t="str">
        <f>"UNIMEDSJN"</f>
        <v>UNIMEDSJN</v>
      </c>
      <c r="D218" s="2" t="str">
        <f>"DH"</f>
        <v>DH</v>
      </c>
      <c r="E218" s="2" t="str">
        <f>"ESTELINA FAJARDO LEIVA"</f>
        <v>ESTELINA FAJARDO LEIVA</v>
      </c>
      <c r="F218" s="2" t="str">
        <f>"44256764-1/1"</f>
        <v>44256764-1/1</v>
      </c>
      <c r="G218" s="2" t="str">
        <f>"Carteira 21"</f>
        <v>Carteira 21</v>
      </c>
      <c r="H218" s="2">
        <v>24</v>
      </c>
      <c r="I218" s="3">
        <v>171</v>
      </c>
      <c r="J218" s="2" t="str">
        <f>"01/10/2019"</f>
        <v>01/10/2019</v>
      </c>
      <c r="K218" s="2" t="str">
        <f>"25/10/2019"</f>
        <v>25/10/2019</v>
      </c>
      <c r="L218" s="2" t="str">
        <f>"25/10/2019"</f>
        <v>25/10/2019</v>
      </c>
      <c r="M218" s="2" t="str">
        <f>"02/10/2019"</f>
        <v>02/10/2019</v>
      </c>
      <c r="N218" s="2">
        <v>12.66</v>
      </c>
      <c r="O218" s="2">
        <v>12.66</v>
      </c>
      <c r="P218" s="2">
        <v>0</v>
      </c>
    </row>
    <row r="219" spans="1:16" s="2" customFormat="1" x14ac:dyDescent="0.25">
      <c r="A219" s="2">
        <v>48564342</v>
      </c>
      <c r="B219" s="2">
        <v>48564349</v>
      </c>
      <c r="C219" s="2" t="str">
        <f>"UNIMEDSJN"</f>
        <v>UNIMEDSJN</v>
      </c>
      <c r="D219" s="2" t="str">
        <f>"DH"</f>
        <v>DH</v>
      </c>
      <c r="E219" s="2" t="str">
        <f>"ESTELINA FAJARDO LEIVA"</f>
        <v>ESTELINA FAJARDO LEIVA</v>
      </c>
      <c r="F219" s="2" t="str">
        <f>"48564342-1/1"</f>
        <v>48564342-1/1</v>
      </c>
      <c r="G219" s="2" t="str">
        <f>"Carteira 21"</f>
        <v>Carteira 21</v>
      </c>
      <c r="H219" s="2">
        <v>23</v>
      </c>
      <c r="I219" s="3">
        <v>79</v>
      </c>
      <c r="J219" s="2" t="str">
        <f>"02/01/2020"</f>
        <v>02/01/2020</v>
      </c>
      <c r="K219" s="2" t="str">
        <f>"25/01/2020"</f>
        <v>25/01/2020</v>
      </c>
      <c r="L219" s="2" t="str">
        <f>"03/02/2020"</f>
        <v>03/02/2020</v>
      </c>
      <c r="M219" s="2" t="str">
        <f>"04/02/2020"</f>
        <v>04/02/2020</v>
      </c>
      <c r="N219" s="2">
        <v>776.65</v>
      </c>
      <c r="O219" s="2">
        <v>793.97</v>
      </c>
      <c r="P219" s="2">
        <v>0.53999999999996395</v>
      </c>
    </row>
    <row r="220" spans="1:16" s="2" customFormat="1" x14ac:dyDescent="0.25">
      <c r="A220" s="2">
        <v>47492494</v>
      </c>
      <c r="B220" s="2">
        <v>47492512</v>
      </c>
      <c r="C220" s="2" t="str">
        <f>"UNIMEDSJN"</f>
        <v>UNIMEDSJN</v>
      </c>
      <c r="D220" s="2" t="str">
        <f>"DH"</f>
        <v>DH</v>
      </c>
      <c r="E220" s="2" t="str">
        <f>"EVELINE BARBOSA DE OLIVEIRA RODRIGUES"</f>
        <v>EVELINE BARBOSA DE OLIVEIRA RODRIGUES</v>
      </c>
      <c r="F220" s="2" t="str">
        <f>"47492494-1/1"</f>
        <v>47492494-1/1</v>
      </c>
      <c r="G220" s="2" t="str">
        <f>"Carteira 21"</f>
        <v>Carteira 21</v>
      </c>
      <c r="H220" s="2">
        <v>21</v>
      </c>
      <c r="I220" s="3">
        <v>113</v>
      </c>
      <c r="J220" s="2" t="str">
        <f>"01/12/2019"</f>
        <v>01/12/2019</v>
      </c>
      <c r="K220" s="2" t="str">
        <f>"22/12/2019"</f>
        <v>22/12/2019</v>
      </c>
      <c r="L220" s="2" t="str">
        <f>"06/02/2020"</f>
        <v>06/02/2020</v>
      </c>
      <c r="M220" s="2" t="str">
        <f>"07/02/2020"</f>
        <v>07/02/2020</v>
      </c>
      <c r="N220" s="2">
        <v>967.91</v>
      </c>
      <c r="O220" s="2">
        <v>1001.65</v>
      </c>
      <c r="P220" s="2">
        <v>0.46000000000003599</v>
      </c>
    </row>
    <row r="221" spans="1:16" s="2" customFormat="1" x14ac:dyDescent="0.25">
      <c r="A221" s="2">
        <v>48567252</v>
      </c>
      <c r="B221" s="2">
        <v>48567273</v>
      </c>
      <c r="C221" s="2" t="str">
        <f>"UNIMEDSJN"</f>
        <v>UNIMEDSJN</v>
      </c>
      <c r="D221" s="2" t="str">
        <f>"DH"</f>
        <v>DH</v>
      </c>
      <c r="E221" s="2" t="str">
        <f>"EVELINE BARBOSA DE OLIVEIRA RODRIGUES"</f>
        <v>EVELINE BARBOSA DE OLIVEIRA RODRIGUES</v>
      </c>
      <c r="F221" s="2" t="str">
        <f>"48567252-1/1"</f>
        <v>48567252-1/1</v>
      </c>
      <c r="G221" s="2" t="str">
        <f>"Carteira 21"</f>
        <v>Carteira 21</v>
      </c>
      <c r="H221" s="2">
        <v>20</v>
      </c>
      <c r="I221" s="3">
        <v>82</v>
      </c>
      <c r="J221" s="2" t="str">
        <f>"02/01/2020"</f>
        <v>02/01/2020</v>
      </c>
      <c r="K221" s="2" t="str">
        <f>"22/01/2020"</f>
        <v>22/01/2020</v>
      </c>
      <c r="L221" s="2" t="str">
        <f>"28/02/2020"</f>
        <v>28/02/2020</v>
      </c>
      <c r="M221" s="2" t="str">
        <f>"13/03/2020"</f>
        <v>13/03/2020</v>
      </c>
      <c r="N221" s="2">
        <v>967.91</v>
      </c>
      <c r="O221" s="2">
        <v>967.91</v>
      </c>
      <c r="P221" s="2">
        <v>31.3</v>
      </c>
    </row>
    <row r="222" spans="1:16" s="2" customFormat="1" x14ac:dyDescent="0.25">
      <c r="A222" s="2">
        <v>48580107</v>
      </c>
      <c r="B222" s="2">
        <v>48580117</v>
      </c>
      <c r="C222" s="2" t="str">
        <f>"UNIMEDSJN"</f>
        <v>UNIMEDSJN</v>
      </c>
      <c r="D222" s="2" t="str">
        <f>"DH"</f>
        <v>DH</v>
      </c>
      <c r="E222" s="2" t="str">
        <f>"Fabiana da Silva Freire"</f>
        <v>Fabiana da Silva Freire</v>
      </c>
      <c r="F222" s="2" t="str">
        <f>"48580107-1/1"</f>
        <v>48580107-1/1</v>
      </c>
      <c r="G222" s="2" t="str">
        <f>"Carteira 21"</f>
        <v>Carteira 21</v>
      </c>
      <c r="H222" s="2">
        <v>23</v>
      </c>
      <c r="I222" s="3">
        <v>79</v>
      </c>
      <c r="J222" s="2" t="str">
        <f>"02/01/2020"</f>
        <v>02/01/2020</v>
      </c>
      <c r="K222" s="2" t="str">
        <f>"25/01/2020"</f>
        <v>25/01/2020</v>
      </c>
      <c r="L222" s="2" t="str">
        <f>"03/02/2020"</f>
        <v>03/02/2020</v>
      </c>
      <c r="M222" s="2" t="str">
        <f>"04/02/2020"</f>
        <v>04/02/2020</v>
      </c>
      <c r="N222" s="2">
        <v>266.06</v>
      </c>
      <c r="O222" s="2">
        <v>272</v>
      </c>
      <c r="P222" s="2">
        <v>0.18000000000000699</v>
      </c>
    </row>
    <row r="223" spans="1:16" s="2" customFormat="1" x14ac:dyDescent="0.25">
      <c r="A223" s="2">
        <v>47496956</v>
      </c>
      <c r="B223" s="2">
        <v>47496970</v>
      </c>
      <c r="C223" s="2" t="str">
        <f>"UNIMEDSJN"</f>
        <v>UNIMEDSJN</v>
      </c>
      <c r="D223" s="2" t="str">
        <f>"DH"</f>
        <v>DH</v>
      </c>
      <c r="E223" s="2" t="str">
        <f>"FABRICIO MAURICIO MOREIRA"</f>
        <v>FABRICIO MAURICIO MOREIRA</v>
      </c>
      <c r="F223" s="2" t="str">
        <f>"47496956-1/1"</f>
        <v>47496956-1/1</v>
      </c>
      <c r="G223" s="2" t="str">
        <f>"Carteira 21"</f>
        <v>Carteira 21</v>
      </c>
      <c r="H223" s="2">
        <v>24</v>
      </c>
      <c r="I223" s="3">
        <v>110</v>
      </c>
      <c r="J223" s="2" t="str">
        <f>"01/12/2019"</f>
        <v>01/12/2019</v>
      </c>
      <c r="K223" s="2" t="str">
        <f>"25/12/2019"</f>
        <v>25/12/2019</v>
      </c>
      <c r="L223" s="2" t="str">
        <f>"12/03/2020"</f>
        <v>12/03/2020</v>
      </c>
      <c r="M223" s="2" t="str">
        <f>"13/03/2020"</f>
        <v>13/03/2020</v>
      </c>
      <c r="N223" s="2">
        <v>513.54</v>
      </c>
      <c r="O223" s="2">
        <v>537.03</v>
      </c>
      <c r="P223" s="2">
        <v>0.12999999999999501</v>
      </c>
    </row>
    <row r="224" spans="1:16" s="2" customFormat="1" x14ac:dyDescent="0.25">
      <c r="A224" s="2">
        <v>48571053</v>
      </c>
      <c r="B224" s="2">
        <v>48571062</v>
      </c>
      <c r="C224" s="2" t="str">
        <f>"UNIMEDSJN"</f>
        <v>UNIMEDSJN</v>
      </c>
      <c r="D224" s="2" t="str">
        <f>"DH"</f>
        <v>DH</v>
      </c>
      <c r="E224" s="2" t="str">
        <f>"FABRICIO MAURICIO MOREIRA"</f>
        <v>FABRICIO MAURICIO MOREIRA</v>
      </c>
      <c r="F224" s="2" t="str">
        <f>"48571053-1/1"</f>
        <v>48571053-1/1</v>
      </c>
      <c r="G224" s="2" t="str">
        <f>"Carteira 21"</f>
        <v>Carteira 21</v>
      </c>
      <c r="H224" s="2">
        <v>23</v>
      </c>
      <c r="I224" s="3">
        <v>79</v>
      </c>
      <c r="J224" s="2" t="str">
        <f>"02/01/2020"</f>
        <v>02/01/2020</v>
      </c>
      <c r="K224" s="2" t="str">
        <f>"25/01/2020"</f>
        <v>25/01/2020</v>
      </c>
      <c r="L224" s="2" t="str">
        <f>"18/03/2020"</f>
        <v>18/03/2020</v>
      </c>
      <c r="M224" s="2" t="str">
        <f>"19/03/2020"</f>
        <v>19/03/2020</v>
      </c>
      <c r="N224" s="2">
        <v>513.54</v>
      </c>
      <c r="O224" s="2">
        <v>532.45000000000005</v>
      </c>
      <c r="P224" s="2">
        <v>0.42999999999994998</v>
      </c>
    </row>
    <row r="225" spans="1:16" s="2" customFormat="1" x14ac:dyDescent="0.25">
      <c r="A225" s="2">
        <v>48582273</v>
      </c>
      <c r="B225" s="2">
        <v>48582280</v>
      </c>
      <c r="C225" s="2" t="str">
        <f>"UNIMEDSJN"</f>
        <v>UNIMEDSJN</v>
      </c>
      <c r="D225" s="2" t="str">
        <f>"DH"</f>
        <v>DH</v>
      </c>
      <c r="E225" s="2" t="str">
        <f>"FABRICIO MAURICIO MOREIRA"</f>
        <v>FABRICIO MAURICIO MOREIRA</v>
      </c>
      <c r="F225" s="2" t="str">
        <f>"48582273-1/1"</f>
        <v>48582273-1/1</v>
      </c>
      <c r="G225" s="2" t="str">
        <f>"Carteira 21"</f>
        <v>Carteira 21</v>
      </c>
      <c r="H225" s="2">
        <v>23</v>
      </c>
      <c r="I225" s="3">
        <v>79</v>
      </c>
      <c r="J225" s="2" t="str">
        <f>"02/01/2020"</f>
        <v>02/01/2020</v>
      </c>
      <c r="K225" s="2" t="str">
        <f>"25/01/2020"</f>
        <v>25/01/2020</v>
      </c>
      <c r="L225" s="2" t="str">
        <f>"12/03/2020"</f>
        <v>12/03/2020</v>
      </c>
      <c r="M225" s="2" t="str">
        <f>"13/03/2020"</f>
        <v>13/03/2020</v>
      </c>
      <c r="N225" s="2">
        <v>175.6</v>
      </c>
      <c r="O225" s="2">
        <v>181.72</v>
      </c>
      <c r="P225" s="2">
        <v>0.139999999999986</v>
      </c>
    </row>
    <row r="226" spans="1:16" s="2" customFormat="1" x14ac:dyDescent="0.25">
      <c r="A226" s="2">
        <v>45445397</v>
      </c>
      <c r="B226" s="2">
        <v>45445407</v>
      </c>
      <c r="C226" s="2" t="str">
        <f>"UNIMEDSJN"</f>
        <v>UNIMEDSJN</v>
      </c>
      <c r="D226" s="2" t="str">
        <f>"DH"</f>
        <v>DH</v>
      </c>
      <c r="E226" s="2" t="str">
        <f>"Fabricio Tiago Lima Dutra"</f>
        <v>Fabricio Tiago Lima Dutra</v>
      </c>
      <c r="F226" s="2" t="str">
        <f>"45445397-1/1"</f>
        <v>45445397-1/1</v>
      </c>
      <c r="G226" s="2" t="str">
        <f>"Carteira 21"</f>
        <v>Carteira 21</v>
      </c>
      <c r="H226" s="2">
        <v>14</v>
      </c>
      <c r="I226" s="3">
        <v>181</v>
      </c>
      <c r="J226" s="2" t="str">
        <f>"01/10/2019"</f>
        <v>01/10/2019</v>
      </c>
      <c r="K226" s="2" t="str">
        <f>"15/10/2019"</f>
        <v>15/10/2019</v>
      </c>
      <c r="L226" s="2" t="str">
        <f>"17/02/2020"</f>
        <v>17/02/2020</v>
      </c>
      <c r="M226" s="2" t="str">
        <f>"18/02/2020"</f>
        <v>18/02/2020</v>
      </c>
      <c r="N226" s="2">
        <v>84.98</v>
      </c>
      <c r="O226" s="2">
        <v>90.19</v>
      </c>
      <c r="P226" s="2">
        <v>3.0000000000001099E-2</v>
      </c>
    </row>
    <row r="227" spans="1:16" s="2" customFormat="1" x14ac:dyDescent="0.25">
      <c r="A227" s="2">
        <v>45907809</v>
      </c>
      <c r="B227" s="2">
        <v>45907819</v>
      </c>
      <c r="C227" s="2" t="str">
        <f>"UNIMEDSJN"</f>
        <v>UNIMEDSJN</v>
      </c>
      <c r="D227" s="2" t="str">
        <f>"DH"</f>
        <v>DH</v>
      </c>
      <c r="E227" s="2" t="str">
        <f>"Fabricio Tiago Lima Dutra"</f>
        <v>Fabricio Tiago Lima Dutra</v>
      </c>
      <c r="F227" s="2" t="str">
        <f>"45907809-1/1"</f>
        <v>45907809-1/1</v>
      </c>
      <c r="G227" s="2" t="str">
        <f>"Carteira 21"</f>
        <v>Carteira 21</v>
      </c>
      <c r="H227" s="2">
        <v>14</v>
      </c>
      <c r="I227" s="3">
        <v>150</v>
      </c>
      <c r="J227" s="2" t="str">
        <f>"01/11/2019"</f>
        <v>01/11/2019</v>
      </c>
      <c r="K227" s="2" t="str">
        <f>"15/11/2019"</f>
        <v>15/11/2019</v>
      </c>
      <c r="L227" s="2" t="str">
        <f>"17/02/2020"</f>
        <v>17/02/2020</v>
      </c>
      <c r="M227" s="2" t="str">
        <f>"18/02/2020"</f>
        <v>18/02/2020</v>
      </c>
      <c r="N227" s="2">
        <v>84.98</v>
      </c>
      <c r="O227" s="2">
        <v>89.32</v>
      </c>
      <c r="P227" s="2">
        <v>1.9999999999996E-2</v>
      </c>
    </row>
    <row r="228" spans="1:16" s="2" customFormat="1" x14ac:dyDescent="0.25">
      <c r="A228" s="2">
        <v>47499639</v>
      </c>
      <c r="B228" s="2">
        <v>47499653</v>
      </c>
      <c r="C228" s="2" t="str">
        <f>"UNIMEDSJN"</f>
        <v>UNIMEDSJN</v>
      </c>
      <c r="D228" s="2" t="str">
        <f>"DH"</f>
        <v>DH</v>
      </c>
      <c r="E228" s="2" t="str">
        <f>"Fabricio Tiago Lima Dutra"</f>
        <v>Fabricio Tiago Lima Dutra</v>
      </c>
      <c r="F228" s="2" t="str">
        <f>"47499639-1/1"</f>
        <v>47499639-1/1</v>
      </c>
      <c r="G228" s="2" t="str">
        <f>"Carteira 21"</f>
        <v>Carteira 21</v>
      </c>
      <c r="H228" s="2">
        <v>14</v>
      </c>
      <c r="I228" s="3">
        <v>120</v>
      </c>
      <c r="J228" s="2" t="str">
        <f>"01/12/2019"</f>
        <v>01/12/2019</v>
      </c>
      <c r="K228" s="2" t="str">
        <f>"15/12/2019"</f>
        <v>15/12/2019</v>
      </c>
      <c r="L228" s="2" t="str">
        <f>"17/02/2020"</f>
        <v>17/02/2020</v>
      </c>
      <c r="M228" s="2" t="str">
        <f>"18/02/2020"</f>
        <v>18/02/2020</v>
      </c>
      <c r="N228" s="2">
        <v>84.98</v>
      </c>
      <c r="O228" s="2">
        <v>88.45</v>
      </c>
      <c r="P228" s="2">
        <v>4.0000000000006301E-2</v>
      </c>
    </row>
    <row r="229" spans="1:16" s="2" customFormat="1" x14ac:dyDescent="0.25">
      <c r="A229" s="2">
        <v>48573039</v>
      </c>
      <c r="B229" s="2">
        <v>48573046</v>
      </c>
      <c r="C229" s="2" t="str">
        <f>"UNIMEDSJN"</f>
        <v>UNIMEDSJN</v>
      </c>
      <c r="D229" s="2" t="str">
        <f>"DH"</f>
        <v>DH</v>
      </c>
      <c r="E229" s="2" t="str">
        <f>"Fabricio Tiago Lima Dutra"</f>
        <v>Fabricio Tiago Lima Dutra</v>
      </c>
      <c r="F229" s="2" t="str">
        <f>"48573039-1/1"</f>
        <v>48573039-1/1</v>
      </c>
      <c r="G229" s="2" t="str">
        <f>"Carteira 21"</f>
        <v>Carteira 21</v>
      </c>
      <c r="H229" s="2">
        <v>13</v>
      </c>
      <c r="I229" s="3">
        <v>89</v>
      </c>
      <c r="J229" s="2" t="str">
        <f>"02/01/2020"</f>
        <v>02/01/2020</v>
      </c>
      <c r="K229" s="2" t="str">
        <f>"15/01/2020"</f>
        <v>15/01/2020</v>
      </c>
      <c r="L229" s="2" t="str">
        <f>"06/04/2020"</f>
        <v>06/04/2020</v>
      </c>
      <c r="M229" s="2" t="str">
        <f>"07/04/2020"</f>
        <v>07/04/2020</v>
      </c>
      <c r="N229" s="2">
        <v>84.98</v>
      </c>
      <c r="O229" s="2">
        <v>88.98</v>
      </c>
      <c r="P229" s="2">
        <v>1.9999999999996E-2</v>
      </c>
    </row>
    <row r="230" spans="1:16" s="2" customFormat="1" x14ac:dyDescent="0.25">
      <c r="A230" s="2">
        <v>48579803</v>
      </c>
      <c r="B230" s="2">
        <v>48579810</v>
      </c>
      <c r="C230" s="2" t="str">
        <f>"UNIMEDSJN"</f>
        <v>UNIMEDSJN</v>
      </c>
      <c r="D230" s="2" t="str">
        <f>"DH"</f>
        <v>DH</v>
      </c>
      <c r="E230" s="2" t="str">
        <f>"Felipe Aragao da Silva"</f>
        <v>Felipe Aragao da Silva</v>
      </c>
      <c r="F230" s="2" t="str">
        <f>"48579803-1/1"</f>
        <v>48579803-1/1</v>
      </c>
      <c r="G230" s="2" t="str">
        <f>"Carteira 21"</f>
        <v>Carteira 21</v>
      </c>
      <c r="H230" s="2">
        <v>13</v>
      </c>
      <c r="I230" s="3">
        <v>89</v>
      </c>
      <c r="J230" s="2" t="str">
        <f>"02/01/2020"</f>
        <v>02/01/2020</v>
      </c>
      <c r="K230" s="2" t="str">
        <f>"15/01/2020"</f>
        <v>15/01/2020</v>
      </c>
      <c r="L230" s="2" t="str">
        <f>"10/02/2020"</f>
        <v>10/02/2020</v>
      </c>
      <c r="M230" s="2" t="str">
        <f>"11/02/2020"</f>
        <v>11/02/2020</v>
      </c>
      <c r="N230" s="2">
        <v>226.3</v>
      </c>
      <c r="O230" s="2">
        <v>232.77</v>
      </c>
      <c r="P230" s="2">
        <v>2.0000000000010201E-2</v>
      </c>
    </row>
    <row r="231" spans="1:16" s="2" customFormat="1" x14ac:dyDescent="0.25">
      <c r="A231" s="2">
        <v>48575019</v>
      </c>
      <c r="B231" s="2">
        <v>48575030</v>
      </c>
      <c r="C231" s="2" t="str">
        <f>"UNIMEDSJN"</f>
        <v>UNIMEDSJN</v>
      </c>
      <c r="D231" s="2" t="str">
        <f>"DH"</f>
        <v>DH</v>
      </c>
      <c r="E231" s="2" t="str">
        <f>"Felipe Luzia de Oliveira Costa"</f>
        <v>Felipe Luzia de Oliveira Costa</v>
      </c>
      <c r="F231" s="2" t="str">
        <f>"48575019-1/1"</f>
        <v>48575019-1/1</v>
      </c>
      <c r="G231" s="2" t="str">
        <f>"Carteira 21"</f>
        <v>Carteira 21</v>
      </c>
      <c r="H231" s="2">
        <v>13</v>
      </c>
      <c r="I231" s="3">
        <v>89</v>
      </c>
      <c r="J231" s="2" t="str">
        <f>"02/01/2020"</f>
        <v>02/01/2020</v>
      </c>
      <c r="K231" s="2" t="str">
        <f>"15/01/2020"</f>
        <v>15/01/2020</v>
      </c>
      <c r="L231" s="2" t="str">
        <f>"15/01/2020"</f>
        <v>15/01/2020</v>
      </c>
      <c r="M231" s="2" t="str">
        <f>"27/12/2019"</f>
        <v>27/12/2019</v>
      </c>
      <c r="N231" s="2">
        <v>68.900000000000006</v>
      </c>
      <c r="O231" s="2">
        <v>68.900000000000006</v>
      </c>
      <c r="P231" s="2">
        <v>0</v>
      </c>
    </row>
    <row r="232" spans="1:16" s="2" customFormat="1" x14ac:dyDescent="0.25">
      <c r="A232" s="2">
        <v>45446279</v>
      </c>
      <c r="B232" s="2">
        <v>45446301</v>
      </c>
      <c r="C232" s="2" t="str">
        <f>"UNIMEDSJN"</f>
        <v>UNIMEDSJN</v>
      </c>
      <c r="D232" s="2" t="str">
        <f>"DH"</f>
        <v>DH</v>
      </c>
      <c r="E232" s="2" t="str">
        <f>"Fernanda Aparecida Dutra Filgueiras"</f>
        <v>Fernanda Aparecida Dutra Filgueiras</v>
      </c>
      <c r="F232" s="2" t="str">
        <f>"45446279-1/1"</f>
        <v>45446279-1/1</v>
      </c>
      <c r="G232" s="2" t="str">
        <f>"Carteira 21"</f>
        <v>Carteira 21</v>
      </c>
      <c r="H232" s="2">
        <v>24</v>
      </c>
      <c r="I232" s="3">
        <v>171</v>
      </c>
      <c r="J232" s="2" t="str">
        <f>"01/10/2019"</f>
        <v>01/10/2019</v>
      </c>
      <c r="K232" s="2" t="str">
        <f>"25/10/2019"</f>
        <v>25/10/2019</v>
      </c>
      <c r="L232" s="2" t="str">
        <f>"25/10/2019"</f>
        <v>25/10/2019</v>
      </c>
      <c r="M232" s="2" t="str">
        <f>"27/09/2019"</f>
        <v>27/09/2019</v>
      </c>
      <c r="N232" s="2">
        <v>88.45</v>
      </c>
      <c r="O232" s="2">
        <v>88.45</v>
      </c>
      <c r="P232" s="2">
        <v>0</v>
      </c>
    </row>
    <row r="233" spans="1:16" s="2" customFormat="1" x14ac:dyDescent="0.25">
      <c r="A233" s="2">
        <v>48573491</v>
      </c>
      <c r="B233" s="2">
        <v>48573505</v>
      </c>
      <c r="C233" s="2" t="str">
        <f>"UNIMEDSJN"</f>
        <v>UNIMEDSJN</v>
      </c>
      <c r="D233" s="2" t="str">
        <f>"DH"</f>
        <v>DH</v>
      </c>
      <c r="E233" s="2" t="str">
        <f>"Fernanda Aparecida Dutra Filgueiras"</f>
        <v>Fernanda Aparecida Dutra Filgueiras</v>
      </c>
      <c r="F233" s="2" t="str">
        <f>"48573491-1/1"</f>
        <v>48573491-1/1</v>
      </c>
      <c r="G233" s="2" t="str">
        <f>"Carteira 21"</f>
        <v>Carteira 21</v>
      </c>
      <c r="H233" s="2">
        <v>23</v>
      </c>
      <c r="I233" s="3">
        <v>79</v>
      </c>
      <c r="J233" s="2" t="str">
        <f>"02/01/2020"</f>
        <v>02/01/2020</v>
      </c>
      <c r="K233" s="2" t="str">
        <f>"25/01/2020"</f>
        <v>25/01/2020</v>
      </c>
      <c r="L233" s="2" t="str">
        <f>"06/02/2020"</f>
        <v>06/02/2020</v>
      </c>
      <c r="M233" s="2" t="str">
        <f>"07/02/2020"</f>
        <v>07/02/2020</v>
      </c>
      <c r="N233" s="2">
        <v>88.45</v>
      </c>
      <c r="O233" s="2">
        <v>90.51</v>
      </c>
      <c r="P233" s="2">
        <v>6.0000000000002301E-2</v>
      </c>
    </row>
    <row r="234" spans="1:16" s="2" customFormat="1" x14ac:dyDescent="0.25">
      <c r="A234" s="2">
        <v>48572410</v>
      </c>
      <c r="B234" s="2">
        <v>48572420</v>
      </c>
      <c r="C234" s="2" t="str">
        <f>"UNIMEDSJN"</f>
        <v>UNIMEDSJN</v>
      </c>
      <c r="D234" s="2" t="str">
        <f>"DH"</f>
        <v>DH</v>
      </c>
      <c r="E234" s="2" t="str">
        <f>"FERNANDA DE PAULA MACEDO"</f>
        <v>FERNANDA DE PAULA MACEDO</v>
      </c>
      <c r="F234" s="2" t="str">
        <f>"48572410-1/1"</f>
        <v>48572410-1/1</v>
      </c>
      <c r="G234" s="2" t="str">
        <f>"Carteira 21"</f>
        <v>Carteira 21</v>
      </c>
      <c r="H234" s="2">
        <v>23</v>
      </c>
      <c r="I234" s="3">
        <v>79</v>
      </c>
      <c r="J234" s="2" t="str">
        <f>"02/01/2020"</f>
        <v>02/01/2020</v>
      </c>
      <c r="K234" s="2" t="str">
        <f>"25/01/2020"</f>
        <v>25/01/2020</v>
      </c>
      <c r="L234" s="2" t="str">
        <f>"17/02/2020"</f>
        <v>17/02/2020</v>
      </c>
      <c r="M234" s="2" t="str">
        <f>"18/02/2020"</f>
        <v>18/02/2020</v>
      </c>
      <c r="N234" s="2">
        <v>96.97</v>
      </c>
      <c r="O234" s="2">
        <v>99.58</v>
      </c>
      <c r="P234" s="2">
        <v>6.9999999999993207E-2</v>
      </c>
    </row>
    <row r="235" spans="1:16" s="2" customFormat="1" x14ac:dyDescent="0.25">
      <c r="A235" s="2">
        <v>45454861</v>
      </c>
      <c r="B235" s="2">
        <v>45455875</v>
      </c>
      <c r="C235" s="2" t="str">
        <f>"UNIMEDSJN"</f>
        <v>UNIMEDSJN</v>
      </c>
      <c r="D235" s="2" t="str">
        <f>"DH"</f>
        <v>DH</v>
      </c>
      <c r="E235" s="2" t="str">
        <f>"FERNANDA DIAS DE AZEVEDO"</f>
        <v>FERNANDA DIAS DE AZEVEDO</v>
      </c>
      <c r="F235" s="2" t="str">
        <f>"45454861-1/1"</f>
        <v>45454861-1/1</v>
      </c>
      <c r="G235" s="2" t="str">
        <f>"Carteira 21"</f>
        <v>Carteira 21</v>
      </c>
      <c r="H235" s="2">
        <v>24</v>
      </c>
      <c r="I235" s="3">
        <v>171</v>
      </c>
      <c r="J235" s="2" t="str">
        <f>"01/10/2019"</f>
        <v>01/10/2019</v>
      </c>
      <c r="K235" s="2" t="str">
        <f>"25/10/2019"</f>
        <v>25/10/2019</v>
      </c>
      <c r="L235" s="2" t="str">
        <f>"25/03/2020"</f>
        <v>25/03/2020</v>
      </c>
      <c r="M235" s="2" t="str">
        <f>"26/03/2020"</f>
        <v>26/03/2020</v>
      </c>
      <c r="N235" s="2">
        <v>457.26</v>
      </c>
      <c r="O235" s="2">
        <v>489.35</v>
      </c>
      <c r="P235" s="2">
        <v>0.22999999999996101</v>
      </c>
    </row>
    <row r="236" spans="1:16" s="2" customFormat="1" x14ac:dyDescent="0.25">
      <c r="A236" s="2">
        <v>45928576</v>
      </c>
      <c r="B236" s="2">
        <v>45928581</v>
      </c>
      <c r="C236" s="2" t="str">
        <f>"UNIMEDSJN"</f>
        <v>UNIMEDSJN</v>
      </c>
      <c r="D236" s="2" t="str">
        <f>"DH"</f>
        <v>DH</v>
      </c>
      <c r="E236" s="2" t="str">
        <f>"FERNANDA DIAS DE AZEVEDO"</f>
        <v>FERNANDA DIAS DE AZEVEDO</v>
      </c>
      <c r="F236" s="2" t="str">
        <f>"45928576-1/1"</f>
        <v>45928576-1/1</v>
      </c>
      <c r="G236" s="2" t="str">
        <f>"Carteira 21"</f>
        <v>Carteira 21</v>
      </c>
      <c r="H236" s="2">
        <v>24</v>
      </c>
      <c r="I236" s="3">
        <v>140</v>
      </c>
      <c r="J236" s="2" t="str">
        <f>"01/11/2019"</f>
        <v>01/11/2019</v>
      </c>
      <c r="K236" s="2" t="str">
        <f>"25/11/2019"</f>
        <v>25/11/2019</v>
      </c>
      <c r="L236" s="2" t="str">
        <f>"25/03/2020"</f>
        <v>25/03/2020</v>
      </c>
      <c r="M236" s="2" t="str">
        <f>"26/03/2020"</f>
        <v>26/03/2020</v>
      </c>
      <c r="N236" s="2">
        <v>457.26</v>
      </c>
      <c r="O236" s="2">
        <v>484.67</v>
      </c>
      <c r="P236" s="2">
        <v>0.17999999999995001</v>
      </c>
    </row>
    <row r="237" spans="1:16" s="2" customFormat="1" x14ac:dyDescent="0.25">
      <c r="A237" s="2">
        <v>47508291</v>
      </c>
      <c r="B237" s="2">
        <v>47508303</v>
      </c>
      <c r="C237" s="2" t="str">
        <f>"UNIMEDSJN"</f>
        <v>UNIMEDSJN</v>
      </c>
      <c r="D237" s="2" t="str">
        <f>"DH"</f>
        <v>DH</v>
      </c>
      <c r="E237" s="2" t="str">
        <f>"FERNANDA DIAS DE AZEVEDO"</f>
        <v>FERNANDA DIAS DE AZEVEDO</v>
      </c>
      <c r="F237" s="2" t="str">
        <f>"47508291-1/1"</f>
        <v>47508291-1/1</v>
      </c>
      <c r="G237" s="2" t="str">
        <f>"Carteira 21"</f>
        <v>Carteira 21</v>
      </c>
      <c r="H237" s="2">
        <v>24</v>
      </c>
      <c r="I237" s="3">
        <v>110</v>
      </c>
      <c r="J237" s="2" t="str">
        <f>"01/12/2019"</f>
        <v>01/12/2019</v>
      </c>
      <c r="K237" s="2" t="str">
        <f>"25/12/2019"</f>
        <v>25/12/2019</v>
      </c>
      <c r="L237" s="2" t="str">
        <f>"25/12/2019"</f>
        <v>25/12/2019</v>
      </c>
      <c r="M237" s="2" t="str">
        <f>"28/11/2019"</f>
        <v>28/11/2019</v>
      </c>
      <c r="N237" s="2">
        <v>457.26</v>
      </c>
      <c r="O237" s="2">
        <v>457.26</v>
      </c>
      <c r="P237" s="2">
        <v>0</v>
      </c>
    </row>
    <row r="238" spans="1:16" s="2" customFormat="1" x14ac:dyDescent="0.25">
      <c r="A238" s="2">
        <v>48585208</v>
      </c>
      <c r="B238" s="2">
        <v>48585213</v>
      </c>
      <c r="C238" s="2" t="str">
        <f>"UNIMEDSJN"</f>
        <v>UNIMEDSJN</v>
      </c>
      <c r="D238" s="2" t="str">
        <f>"DH"</f>
        <v>DH</v>
      </c>
      <c r="E238" s="2" t="str">
        <f>"FERNANDA DIAS DE AZEVEDO"</f>
        <v>FERNANDA DIAS DE AZEVEDO</v>
      </c>
      <c r="F238" s="2" t="str">
        <f>"48585208-1/1"</f>
        <v>48585208-1/1</v>
      </c>
      <c r="G238" s="2" t="str">
        <f>"Carteira 21"</f>
        <v>Carteira 21</v>
      </c>
      <c r="H238" s="2">
        <v>23</v>
      </c>
      <c r="I238" s="3">
        <v>79</v>
      </c>
      <c r="J238" s="2" t="str">
        <f>"02/01/2020"</f>
        <v>02/01/2020</v>
      </c>
      <c r="K238" s="2" t="str">
        <f>"25/01/2020"</f>
        <v>25/01/2020</v>
      </c>
      <c r="L238" s="2" t="str">
        <f>"27/01/2020"</f>
        <v>27/01/2020</v>
      </c>
      <c r="M238" s="2" t="str">
        <f>"27/12/2019"</f>
        <v>27/12/2019</v>
      </c>
      <c r="N238" s="2">
        <v>457.26</v>
      </c>
      <c r="O238" s="2">
        <v>457.26</v>
      </c>
      <c r="P238" s="2">
        <v>0</v>
      </c>
    </row>
    <row r="239" spans="1:16" s="2" customFormat="1" x14ac:dyDescent="0.25">
      <c r="A239" s="2">
        <v>47506461</v>
      </c>
      <c r="B239" s="2">
        <v>47506468</v>
      </c>
      <c r="C239" s="2" t="str">
        <f>"UNIMEDSJN"</f>
        <v>UNIMEDSJN</v>
      </c>
      <c r="D239" s="2" t="str">
        <f>"DH"</f>
        <v>DH</v>
      </c>
      <c r="E239" s="2" t="str">
        <f>"Fernanda Lhamas Costa"</f>
        <v>Fernanda Lhamas Costa</v>
      </c>
      <c r="F239" s="2" t="str">
        <f>"47506461-1/1"</f>
        <v>47506461-1/1</v>
      </c>
      <c r="G239" s="2" t="str">
        <f>"Carteira 21"</f>
        <v>Carteira 21</v>
      </c>
      <c r="H239" s="2">
        <v>24</v>
      </c>
      <c r="I239" s="3">
        <v>110</v>
      </c>
      <c r="J239" s="2" t="str">
        <f>"01/12/2019"</f>
        <v>01/12/2019</v>
      </c>
      <c r="K239" s="2" t="str">
        <f>"25/12/2019"</f>
        <v>25/12/2019</v>
      </c>
      <c r="L239" s="2" t="str">
        <f>"10/02/2020"</f>
        <v>10/02/2020</v>
      </c>
      <c r="M239" s="2" t="str">
        <f>"11/02/2020"</f>
        <v>11/02/2020</v>
      </c>
      <c r="N239" s="2">
        <v>159.9</v>
      </c>
      <c r="O239" s="2">
        <v>165.58</v>
      </c>
      <c r="P239" s="2">
        <v>3.0000000000001099E-2</v>
      </c>
    </row>
    <row r="240" spans="1:16" s="2" customFormat="1" x14ac:dyDescent="0.25">
      <c r="A240" s="2">
        <v>48579907</v>
      </c>
      <c r="B240" s="2">
        <v>48579914</v>
      </c>
      <c r="C240" s="2" t="str">
        <f>"UNIMEDSJN"</f>
        <v>UNIMEDSJN</v>
      </c>
      <c r="D240" s="2" t="str">
        <f>"DH"</f>
        <v>DH</v>
      </c>
      <c r="E240" s="2" t="str">
        <f>"Fernanda Lhamas Costa"</f>
        <v>Fernanda Lhamas Costa</v>
      </c>
      <c r="F240" s="2" t="str">
        <f>"48579907-1/1"</f>
        <v>48579907-1/1</v>
      </c>
      <c r="G240" s="2" t="str">
        <f>"Carteira 21"</f>
        <v>Carteira 21</v>
      </c>
      <c r="H240" s="2">
        <v>23</v>
      </c>
      <c r="I240" s="3">
        <v>79</v>
      </c>
      <c r="J240" s="2" t="str">
        <f>"02/01/2020"</f>
        <v>02/01/2020</v>
      </c>
      <c r="K240" s="2" t="str">
        <f>"25/01/2020"</f>
        <v>25/01/2020</v>
      </c>
      <c r="L240" s="2" t="str">
        <f>"02/03/2020"</f>
        <v>02/03/2020</v>
      </c>
      <c r="M240" s="2" t="str">
        <f>"03/03/2020"</f>
        <v>03/03/2020</v>
      </c>
      <c r="N240" s="2">
        <v>159.9</v>
      </c>
      <c r="O240" s="2">
        <v>164.95</v>
      </c>
      <c r="P240" s="2">
        <v>0.119999999999976</v>
      </c>
    </row>
    <row r="241" spans="1:16" s="2" customFormat="1" x14ac:dyDescent="0.25">
      <c r="A241" s="2">
        <v>48573089</v>
      </c>
      <c r="B241" s="2">
        <v>48573101</v>
      </c>
      <c r="C241" s="2" t="str">
        <f>"UNIMEDSJN"</f>
        <v>UNIMEDSJN</v>
      </c>
      <c r="D241" s="2" t="str">
        <f>"DH"</f>
        <v>DH</v>
      </c>
      <c r="E241" s="2" t="str">
        <f>"FERNANDO SOARES RIGOLON"</f>
        <v>FERNANDO SOARES RIGOLON</v>
      </c>
      <c r="F241" s="2" t="str">
        <f>"48573089-1/1"</f>
        <v>48573089-1/1</v>
      </c>
      <c r="G241" s="2" t="str">
        <f>"Carteira 21"</f>
        <v>Carteira 21</v>
      </c>
      <c r="H241" s="2">
        <v>23</v>
      </c>
      <c r="I241" s="3">
        <v>79</v>
      </c>
      <c r="J241" s="2" t="str">
        <f>"02/01/2020"</f>
        <v>02/01/2020</v>
      </c>
      <c r="K241" s="2" t="str">
        <f>"25/01/2020"</f>
        <v>25/01/2020</v>
      </c>
      <c r="L241" s="2" t="str">
        <f>"20/02/2020"</f>
        <v>20/02/2020</v>
      </c>
      <c r="M241" s="2" t="str">
        <f>"21/02/2020"</f>
        <v>21/02/2020</v>
      </c>
      <c r="N241" s="2">
        <v>93.73</v>
      </c>
      <c r="O241" s="2">
        <v>96.34</v>
      </c>
      <c r="P241" s="2">
        <v>7.0000000000007404E-2</v>
      </c>
    </row>
    <row r="242" spans="1:16" s="2" customFormat="1" x14ac:dyDescent="0.25">
      <c r="A242" s="2">
        <v>48579494</v>
      </c>
      <c r="B242" s="2">
        <v>48579506</v>
      </c>
      <c r="C242" s="2" t="str">
        <f>"UNIMEDSJN"</f>
        <v>UNIMEDSJN</v>
      </c>
      <c r="D242" s="2" t="str">
        <f>"DH"</f>
        <v>DH</v>
      </c>
      <c r="E242" s="2" t="str">
        <f>"FLAVIA CRISTINA DE SOUZA ABREU"</f>
        <v>FLAVIA CRISTINA DE SOUZA ABREU</v>
      </c>
      <c r="F242" s="2" t="str">
        <f>"48579494-1/1"</f>
        <v>48579494-1/1</v>
      </c>
      <c r="G242" s="2" t="str">
        <f>"Carteira 21"</f>
        <v>Carteira 21</v>
      </c>
      <c r="H242" s="2">
        <v>23</v>
      </c>
      <c r="I242" s="3">
        <v>79</v>
      </c>
      <c r="J242" s="2" t="str">
        <f>"02/01/2020"</f>
        <v>02/01/2020</v>
      </c>
      <c r="K242" s="2" t="str">
        <f>"25/01/2020"</f>
        <v>25/01/2020</v>
      </c>
      <c r="L242" s="2" t="str">
        <f>"26/03/2020"</f>
        <v>26/03/2020</v>
      </c>
      <c r="M242" s="2" t="str">
        <f>"27/03/2020"</f>
        <v>27/03/2020</v>
      </c>
      <c r="N242" s="2">
        <v>144.80000000000001</v>
      </c>
      <c r="O242" s="2">
        <v>150.52000000000001</v>
      </c>
      <c r="P242" s="2">
        <v>0.12000000000000501</v>
      </c>
    </row>
    <row r="243" spans="1:16" s="2" customFormat="1" x14ac:dyDescent="0.25">
      <c r="A243" s="2">
        <v>48585250</v>
      </c>
      <c r="B243" s="2">
        <v>48585257</v>
      </c>
      <c r="C243" s="2" t="str">
        <f>"UNIMEDSJN"</f>
        <v>UNIMEDSJN</v>
      </c>
      <c r="D243" s="2" t="str">
        <f>"DH"</f>
        <v>DH</v>
      </c>
      <c r="E243" s="2" t="str">
        <f>"Flavia de Rezende Macedo"</f>
        <v>Flavia de Rezende Macedo</v>
      </c>
      <c r="F243" s="2" t="str">
        <f>"48585250-1/1"</f>
        <v>48585250-1/1</v>
      </c>
      <c r="G243" s="2" t="str">
        <f>"CARTEIRA PERDA"</f>
        <v>CARTEIRA PERDA</v>
      </c>
      <c r="H243" s="2">
        <v>23</v>
      </c>
      <c r="I243" s="3">
        <v>79</v>
      </c>
      <c r="J243" s="2" t="str">
        <f>"02/01/2020"</f>
        <v>02/01/2020</v>
      </c>
      <c r="K243" s="2" t="str">
        <f>"25/01/2020"</f>
        <v>25/01/2020</v>
      </c>
      <c r="L243" s="2" t="str">
        <f>"27/01/2020"</f>
        <v>27/01/2020</v>
      </c>
      <c r="M243" s="2" t="str">
        <f>"03/02/2020"</f>
        <v>03/02/2020</v>
      </c>
      <c r="N243" s="2">
        <v>186.46</v>
      </c>
      <c r="O243" s="2">
        <v>186.46</v>
      </c>
      <c r="P243" s="2">
        <v>0</v>
      </c>
    </row>
    <row r="244" spans="1:16" s="2" customFormat="1" x14ac:dyDescent="0.25">
      <c r="A244" s="2">
        <v>48568715</v>
      </c>
      <c r="B244" s="2">
        <v>48568727</v>
      </c>
      <c r="C244" s="2" t="str">
        <f>"UNIMEDSJN"</f>
        <v>UNIMEDSJN</v>
      </c>
      <c r="D244" s="2" t="str">
        <f>"DH"</f>
        <v>DH</v>
      </c>
      <c r="E244" s="2" t="str">
        <f>"FLAVIA FERREIRA ALVES REBELLO"</f>
        <v>FLAVIA FERREIRA ALVES REBELLO</v>
      </c>
      <c r="F244" s="2" t="str">
        <f>"48568715-1/1"</f>
        <v>48568715-1/1</v>
      </c>
      <c r="G244" s="2" t="str">
        <f>"Carteira 21"</f>
        <v>Carteira 21</v>
      </c>
      <c r="H244" s="2">
        <v>20</v>
      </c>
      <c r="I244" s="3">
        <v>82</v>
      </c>
      <c r="J244" s="2" t="str">
        <f>"02/01/2020"</f>
        <v>02/01/2020</v>
      </c>
      <c r="K244" s="2" t="str">
        <f>"22/01/2020"</f>
        <v>22/01/2020</v>
      </c>
      <c r="L244" s="2" t="str">
        <f>"13/02/2020"</f>
        <v>13/02/2020</v>
      </c>
      <c r="M244" s="2" t="str">
        <f>"14/02/2020"</f>
        <v>14/02/2020</v>
      </c>
      <c r="N244" s="2">
        <v>258.5</v>
      </c>
      <c r="O244" s="2">
        <v>265.55</v>
      </c>
      <c r="P244" s="2">
        <v>1.99999999999818E-2</v>
      </c>
    </row>
    <row r="245" spans="1:16" s="2" customFormat="1" x14ac:dyDescent="0.25">
      <c r="A245" s="2">
        <v>45011294</v>
      </c>
      <c r="B245" s="2">
        <v>45011299</v>
      </c>
      <c r="C245" s="2" t="str">
        <f>"UNIMEDSJN"</f>
        <v>UNIMEDSJN</v>
      </c>
      <c r="D245" s="2" t="str">
        <f>"DH"</f>
        <v>DH</v>
      </c>
      <c r="E245" s="2" t="str">
        <f>"Flaviane Aparecida Sodre de Almeida"</f>
        <v>Flaviane Aparecida Sodre de Almeida</v>
      </c>
      <c r="F245" s="2" t="str">
        <f>"45011294-1/1"</f>
        <v>45011294-1/1</v>
      </c>
      <c r="G245" s="2" t="str">
        <f>"CARTEIRA PERDA"</f>
        <v>CARTEIRA PERDA</v>
      </c>
      <c r="H245" s="2">
        <v>26</v>
      </c>
      <c r="I245" s="3">
        <v>201</v>
      </c>
      <c r="J245" s="2" t="str">
        <f>"30/08/2019"</f>
        <v>30/08/2019</v>
      </c>
      <c r="K245" s="2" t="str">
        <f>"25/09/2019"</f>
        <v>25/09/2019</v>
      </c>
      <c r="L245" s="2" t="str">
        <f>"25/09/2019"</f>
        <v>25/09/2019</v>
      </c>
      <c r="M245" s="2" t="str">
        <f>"05/03/2020"</f>
        <v>05/03/2020</v>
      </c>
      <c r="N245" s="2">
        <v>173.05</v>
      </c>
      <c r="O245" s="2">
        <v>173.05</v>
      </c>
      <c r="P245" s="2">
        <v>0</v>
      </c>
    </row>
    <row r="246" spans="1:16" s="2" customFormat="1" x14ac:dyDescent="0.25">
      <c r="A246" s="2">
        <v>45496158</v>
      </c>
      <c r="B246" s="2">
        <v>45496171</v>
      </c>
      <c r="C246" s="2" t="str">
        <f>"UNIMEDSJN"</f>
        <v>UNIMEDSJN</v>
      </c>
      <c r="D246" s="2" t="str">
        <f>"DH"</f>
        <v>DH</v>
      </c>
      <c r="E246" s="2" t="str">
        <f>"Flaviane Aparecida Sodre de Almeida"</f>
        <v>Flaviane Aparecida Sodre de Almeida</v>
      </c>
      <c r="F246" s="2" t="str">
        <f>"45496158-1/1"</f>
        <v>45496158-1/1</v>
      </c>
      <c r="G246" s="2" t="str">
        <f>"CARTEIRA PERDA"</f>
        <v>CARTEIRA PERDA</v>
      </c>
      <c r="H246" s="2">
        <v>24</v>
      </c>
      <c r="I246" s="3">
        <v>171</v>
      </c>
      <c r="J246" s="2" t="str">
        <f>"01/10/2019"</f>
        <v>01/10/2019</v>
      </c>
      <c r="K246" s="2" t="str">
        <f>"25/10/2019"</f>
        <v>25/10/2019</v>
      </c>
      <c r="L246" s="2" t="str">
        <f>"25/10/2019"</f>
        <v>25/10/2019</v>
      </c>
      <c r="M246" s="2" t="str">
        <f>"05/03/2020"</f>
        <v>05/03/2020</v>
      </c>
      <c r="N246" s="2">
        <v>173.05</v>
      </c>
      <c r="O246" s="2">
        <v>173.05</v>
      </c>
      <c r="P246" s="2">
        <v>0</v>
      </c>
    </row>
    <row r="247" spans="1:16" s="2" customFormat="1" x14ac:dyDescent="0.25">
      <c r="A247" s="2">
        <v>45930209</v>
      </c>
      <c r="B247" s="2">
        <v>45930214</v>
      </c>
      <c r="C247" s="2" t="str">
        <f>"UNIMEDSJN"</f>
        <v>UNIMEDSJN</v>
      </c>
      <c r="D247" s="2" t="str">
        <f>"DH"</f>
        <v>DH</v>
      </c>
      <c r="E247" s="2" t="str">
        <f>"Flaviane Aparecida Sodre de Almeida"</f>
        <v>Flaviane Aparecida Sodre de Almeida</v>
      </c>
      <c r="F247" s="2" t="str">
        <f>"45930209-1/1"</f>
        <v>45930209-1/1</v>
      </c>
      <c r="G247" s="2" t="str">
        <f>"CARTEIRA PERDA"</f>
        <v>CARTEIRA PERDA</v>
      </c>
      <c r="H247" s="2">
        <v>24</v>
      </c>
      <c r="I247" s="3">
        <v>140</v>
      </c>
      <c r="J247" s="2" t="str">
        <f>"01/11/2019"</f>
        <v>01/11/2019</v>
      </c>
      <c r="K247" s="2" t="str">
        <f>"25/11/2019"</f>
        <v>25/11/2019</v>
      </c>
      <c r="L247" s="2" t="str">
        <f>"25/11/2019"</f>
        <v>25/11/2019</v>
      </c>
      <c r="M247" s="2" t="str">
        <f>"05/03/2020"</f>
        <v>05/03/2020</v>
      </c>
      <c r="N247" s="2">
        <v>173.05</v>
      </c>
      <c r="O247" s="2">
        <v>173.05</v>
      </c>
      <c r="P247" s="2">
        <v>0</v>
      </c>
    </row>
    <row r="248" spans="1:16" s="2" customFormat="1" x14ac:dyDescent="0.25">
      <c r="A248" s="2">
        <v>47512695</v>
      </c>
      <c r="B248" s="2">
        <v>47512711</v>
      </c>
      <c r="C248" s="2" t="str">
        <f>"UNIMEDSJN"</f>
        <v>UNIMEDSJN</v>
      </c>
      <c r="D248" s="2" t="str">
        <f>"DH"</f>
        <v>DH</v>
      </c>
      <c r="E248" s="2" t="str">
        <f>"Flaviane Aparecida Sodre de Almeida"</f>
        <v>Flaviane Aparecida Sodre de Almeida</v>
      </c>
      <c r="F248" s="2" t="str">
        <f>"47512695-1/1"</f>
        <v>47512695-1/1</v>
      </c>
      <c r="G248" s="2" t="str">
        <f>"CARTEIRA PERDA"</f>
        <v>CARTEIRA PERDA</v>
      </c>
      <c r="H248" s="2">
        <v>24</v>
      </c>
      <c r="I248" s="3">
        <v>110</v>
      </c>
      <c r="J248" s="2" t="str">
        <f>"01/12/2019"</f>
        <v>01/12/2019</v>
      </c>
      <c r="K248" s="2" t="str">
        <f>"25/12/2019"</f>
        <v>25/12/2019</v>
      </c>
      <c r="L248" s="2" t="str">
        <f>"25/12/2019"</f>
        <v>25/12/2019</v>
      </c>
      <c r="M248" s="2" t="str">
        <f>"05/03/2020"</f>
        <v>05/03/2020</v>
      </c>
      <c r="N248" s="2">
        <v>173.05</v>
      </c>
      <c r="O248" s="2">
        <v>173.05</v>
      </c>
      <c r="P248" s="2">
        <v>0</v>
      </c>
    </row>
    <row r="249" spans="1:16" s="2" customFormat="1" x14ac:dyDescent="0.25">
      <c r="A249" s="2">
        <v>48563760</v>
      </c>
      <c r="B249" s="2">
        <v>48563765</v>
      </c>
      <c r="C249" s="2" t="str">
        <f>"UNIMEDSJN"</f>
        <v>UNIMEDSJN</v>
      </c>
      <c r="D249" s="2" t="str">
        <f>"DH"</f>
        <v>DH</v>
      </c>
      <c r="E249" s="2" t="str">
        <f>"Flaviane Aparecida Sodre de Almeida"</f>
        <v>Flaviane Aparecida Sodre de Almeida</v>
      </c>
      <c r="F249" s="2" t="str">
        <f>"48563760-1/1"</f>
        <v>48563760-1/1</v>
      </c>
      <c r="G249" s="2" t="str">
        <f>"CARTEIRA PERDA"</f>
        <v>CARTEIRA PERDA</v>
      </c>
      <c r="H249" s="2">
        <v>23</v>
      </c>
      <c r="I249" s="3">
        <v>79</v>
      </c>
      <c r="J249" s="2" t="str">
        <f>"02/01/2020"</f>
        <v>02/01/2020</v>
      </c>
      <c r="K249" s="2" t="str">
        <f>"25/01/2020"</f>
        <v>25/01/2020</v>
      </c>
      <c r="L249" s="2" t="str">
        <f>"27/01/2020"</f>
        <v>27/01/2020</v>
      </c>
      <c r="M249" s="2" t="str">
        <f>"05/03/2020"</f>
        <v>05/03/2020</v>
      </c>
      <c r="N249" s="2">
        <v>173.05</v>
      </c>
      <c r="O249" s="2">
        <v>173.05</v>
      </c>
      <c r="P249" s="2">
        <v>0</v>
      </c>
    </row>
    <row r="250" spans="1:16" s="2" customFormat="1" x14ac:dyDescent="0.25">
      <c r="A250" s="2">
        <v>45927636</v>
      </c>
      <c r="B250" s="2">
        <v>45927648</v>
      </c>
      <c r="C250" s="2" t="str">
        <f>"UNIMEDSJN"</f>
        <v>UNIMEDSJN</v>
      </c>
      <c r="D250" s="2" t="str">
        <f>"DH"</f>
        <v>DH</v>
      </c>
      <c r="E250" s="2" t="str">
        <f>"Flavio Augusto Moraes Medeiros"</f>
        <v>Flavio Augusto Moraes Medeiros</v>
      </c>
      <c r="F250" s="2" t="str">
        <f>"45927636-1/1"</f>
        <v>45927636-1/1</v>
      </c>
      <c r="G250" s="2" t="str">
        <f>"Carteira 21"</f>
        <v>Carteira 21</v>
      </c>
      <c r="H250" s="2">
        <v>24</v>
      </c>
      <c r="I250" s="3">
        <v>140</v>
      </c>
      <c r="J250" s="2" t="str">
        <f>"01/11/2019"</f>
        <v>01/11/2019</v>
      </c>
      <c r="K250" s="2" t="str">
        <f>"25/11/2019"</f>
        <v>25/11/2019</v>
      </c>
      <c r="L250" s="2" t="str">
        <f>"05/02/2020"</f>
        <v>05/02/2020</v>
      </c>
      <c r="M250" s="2" t="str">
        <f>"06/02/2020"</f>
        <v>06/02/2020</v>
      </c>
      <c r="N250" s="2">
        <v>146.04</v>
      </c>
      <c r="O250" s="2">
        <v>152.43</v>
      </c>
      <c r="P250" s="2">
        <v>2.9999999999972701E-2</v>
      </c>
    </row>
    <row r="251" spans="1:16" s="2" customFormat="1" x14ac:dyDescent="0.25">
      <c r="A251" s="2">
        <v>47504428</v>
      </c>
      <c r="B251" s="2">
        <v>47504433</v>
      </c>
      <c r="C251" s="2" t="str">
        <f>"UNIMEDSJN"</f>
        <v>UNIMEDSJN</v>
      </c>
      <c r="D251" s="2" t="str">
        <f>"DH"</f>
        <v>DH</v>
      </c>
      <c r="E251" s="2" t="str">
        <f>"Flavio Augusto Moraes Medeiros"</f>
        <v>Flavio Augusto Moraes Medeiros</v>
      </c>
      <c r="F251" s="2" t="str">
        <f>"47504428-1/1"</f>
        <v>47504428-1/1</v>
      </c>
      <c r="G251" s="2" t="str">
        <f>"Carteira 21"</f>
        <v>Carteira 21</v>
      </c>
      <c r="H251" s="2">
        <v>24</v>
      </c>
      <c r="I251" s="3">
        <v>110</v>
      </c>
      <c r="J251" s="2" t="str">
        <f>"01/12/2019"</f>
        <v>01/12/2019</v>
      </c>
      <c r="K251" s="2" t="str">
        <f>"25/12/2019"</f>
        <v>25/12/2019</v>
      </c>
      <c r="L251" s="2" t="str">
        <f>"18/02/2020"</f>
        <v>18/02/2020</v>
      </c>
      <c r="M251" s="2" t="str">
        <f>"19/02/2020"</f>
        <v>19/02/2020</v>
      </c>
      <c r="N251" s="2">
        <v>146.04</v>
      </c>
      <c r="O251" s="2">
        <v>151.61000000000001</v>
      </c>
      <c r="P251" s="2">
        <v>2.9999999999972701E-2</v>
      </c>
    </row>
    <row r="252" spans="1:16" s="2" customFormat="1" x14ac:dyDescent="0.25">
      <c r="A252" s="2">
        <v>48580764</v>
      </c>
      <c r="B252" s="2">
        <v>48580774</v>
      </c>
      <c r="C252" s="2" t="str">
        <f>"UNIMEDSJN"</f>
        <v>UNIMEDSJN</v>
      </c>
      <c r="D252" s="2" t="str">
        <f>"DH"</f>
        <v>DH</v>
      </c>
      <c r="E252" s="2" t="str">
        <f>"Flavio Augusto Moraes Medeiros"</f>
        <v>Flavio Augusto Moraes Medeiros</v>
      </c>
      <c r="F252" s="2" t="str">
        <f>"48580764-1/1"</f>
        <v>48580764-1/1</v>
      </c>
      <c r="G252" s="2" t="str">
        <f>"Carteira 21"</f>
        <v>Carteira 21</v>
      </c>
      <c r="H252" s="2">
        <v>23</v>
      </c>
      <c r="I252" s="3">
        <v>79</v>
      </c>
      <c r="J252" s="2" t="str">
        <f>"02/01/2020"</f>
        <v>02/01/2020</v>
      </c>
      <c r="K252" s="2" t="str">
        <f>"25/01/2020"</f>
        <v>25/01/2020</v>
      </c>
      <c r="L252" s="2" t="str">
        <f>"12/03/2020"</f>
        <v>12/03/2020</v>
      </c>
      <c r="M252" s="2" t="str">
        <f>"13/03/2020"</f>
        <v>13/03/2020</v>
      </c>
      <c r="N252" s="2">
        <v>146.04</v>
      </c>
      <c r="O252" s="2">
        <v>151.13</v>
      </c>
      <c r="P252" s="2">
        <v>0.12000000000000501</v>
      </c>
    </row>
    <row r="253" spans="1:16" s="2" customFormat="1" x14ac:dyDescent="0.25">
      <c r="A253" s="2">
        <v>47505385</v>
      </c>
      <c r="B253" s="2">
        <v>47505395</v>
      </c>
      <c r="C253" s="2" t="str">
        <f>"UNIMEDSJN"</f>
        <v>UNIMEDSJN</v>
      </c>
      <c r="D253" s="2" t="str">
        <f>"DH"</f>
        <v>DH</v>
      </c>
      <c r="E253" s="2" t="str">
        <f>"Flavio de Almeida Cabral"</f>
        <v>Flavio de Almeida Cabral</v>
      </c>
      <c r="F253" s="2" t="str">
        <f>"47505385-1/1"</f>
        <v>47505385-1/1</v>
      </c>
      <c r="G253" s="2" t="str">
        <f>"Carteira 21"</f>
        <v>Carteira 21</v>
      </c>
      <c r="H253" s="2">
        <v>24</v>
      </c>
      <c r="I253" s="3">
        <v>110</v>
      </c>
      <c r="J253" s="2" t="str">
        <f>"01/12/2019"</f>
        <v>01/12/2019</v>
      </c>
      <c r="K253" s="2" t="str">
        <f>"25/12/2019"</f>
        <v>25/12/2019</v>
      </c>
      <c r="L253" s="2" t="str">
        <f>"12/02/2020"</f>
        <v>12/02/2020</v>
      </c>
      <c r="M253" s="2" t="str">
        <f>"13/02/2020"</f>
        <v>13/02/2020</v>
      </c>
      <c r="N253" s="2">
        <v>149.85</v>
      </c>
      <c r="O253" s="2">
        <v>155.27000000000001</v>
      </c>
      <c r="P253" s="2">
        <v>2.9999999999972701E-2</v>
      </c>
    </row>
    <row r="254" spans="1:16" s="2" customFormat="1" x14ac:dyDescent="0.25">
      <c r="A254" s="2">
        <v>48580413</v>
      </c>
      <c r="B254" s="2">
        <v>48580420</v>
      </c>
      <c r="C254" s="2" t="str">
        <f>"UNIMEDSJN"</f>
        <v>UNIMEDSJN</v>
      </c>
      <c r="D254" s="2" t="str">
        <f>"DH"</f>
        <v>DH</v>
      </c>
      <c r="E254" s="2" t="str">
        <f>"Flavio de Almeida Cabral"</f>
        <v>Flavio de Almeida Cabral</v>
      </c>
      <c r="F254" s="2" t="str">
        <f>"48580413-1/1"</f>
        <v>48580413-1/1</v>
      </c>
      <c r="G254" s="2" t="str">
        <f>"Carteira 21"</f>
        <v>Carteira 21</v>
      </c>
      <c r="H254" s="2">
        <v>23</v>
      </c>
      <c r="I254" s="3">
        <v>79</v>
      </c>
      <c r="J254" s="2" t="str">
        <f>"02/01/2020"</f>
        <v>02/01/2020</v>
      </c>
      <c r="K254" s="2" t="str">
        <f>"25/01/2020"</f>
        <v>25/01/2020</v>
      </c>
      <c r="L254" s="2" t="str">
        <f>"12/02/2020"</f>
        <v>12/02/2020</v>
      </c>
      <c r="M254" s="2" t="str">
        <f>"13/02/2020"</f>
        <v>13/02/2020</v>
      </c>
      <c r="N254" s="2">
        <v>149.85</v>
      </c>
      <c r="O254" s="2">
        <v>153.63999999999999</v>
      </c>
      <c r="P254" s="2">
        <v>0.109999999999985</v>
      </c>
    </row>
    <row r="255" spans="1:16" s="2" customFormat="1" x14ac:dyDescent="0.25">
      <c r="A255" s="2">
        <v>45460065</v>
      </c>
      <c r="B255" s="2">
        <v>45460075</v>
      </c>
      <c r="C255" s="2" t="str">
        <f>"UNIMEDSJN"</f>
        <v>UNIMEDSJN</v>
      </c>
      <c r="D255" s="2" t="str">
        <f>"DH"</f>
        <v>DH</v>
      </c>
      <c r="E255" s="2" t="str">
        <f>"Franciane Linhares"</f>
        <v>Franciane Linhares</v>
      </c>
      <c r="F255" s="2" t="str">
        <f>"45460065-1/1"</f>
        <v>45460065-1/1</v>
      </c>
      <c r="G255" s="2" t="str">
        <f>"Carteira 21"</f>
        <v>Carteira 21</v>
      </c>
      <c r="H255" s="2">
        <v>21</v>
      </c>
      <c r="I255" s="3">
        <v>174</v>
      </c>
      <c r="J255" s="2" t="str">
        <f>"01/10/2019"</f>
        <v>01/10/2019</v>
      </c>
      <c r="K255" s="2" t="str">
        <f>"22/10/2019"</f>
        <v>22/10/2019</v>
      </c>
      <c r="L255" s="2" t="str">
        <f>"22/10/2019"</f>
        <v>22/10/2019</v>
      </c>
      <c r="M255" s="2" t="str">
        <f>"27/09/2019"</f>
        <v>27/09/2019</v>
      </c>
      <c r="N255" s="2">
        <v>178.59</v>
      </c>
      <c r="O255" s="2">
        <v>178.59</v>
      </c>
      <c r="P255" s="2">
        <v>0</v>
      </c>
    </row>
    <row r="256" spans="1:16" s="2" customFormat="1" x14ac:dyDescent="0.25">
      <c r="A256" s="2">
        <v>45460092</v>
      </c>
      <c r="B256" s="2">
        <v>45460110</v>
      </c>
      <c r="C256" s="2" t="str">
        <f>"UNIMEDSJN"</f>
        <v>UNIMEDSJN</v>
      </c>
      <c r="D256" s="2" t="str">
        <f>"DH"</f>
        <v>DH</v>
      </c>
      <c r="E256" s="2" t="str">
        <f>"Franciane Linhares"</f>
        <v>Franciane Linhares</v>
      </c>
      <c r="F256" s="2" t="str">
        <f>"45460092-1/1"</f>
        <v>45460092-1/1</v>
      </c>
      <c r="G256" s="2" t="str">
        <f>"Carteira 21"</f>
        <v>Carteira 21</v>
      </c>
      <c r="H256" s="2">
        <v>24</v>
      </c>
      <c r="I256" s="3">
        <v>171</v>
      </c>
      <c r="J256" s="2" t="str">
        <f>"01/10/2019"</f>
        <v>01/10/2019</v>
      </c>
      <c r="K256" s="2" t="str">
        <f>"25/10/2019"</f>
        <v>25/10/2019</v>
      </c>
      <c r="L256" s="2" t="str">
        <f>"25/10/2019"</f>
        <v>25/10/2019</v>
      </c>
      <c r="M256" s="2" t="str">
        <f>"27/09/2019"</f>
        <v>27/09/2019</v>
      </c>
      <c r="N256" s="2">
        <v>184.73</v>
      </c>
      <c r="O256" s="2">
        <v>184.73</v>
      </c>
      <c r="P256" s="2">
        <v>0</v>
      </c>
    </row>
    <row r="257" spans="1:16" s="2" customFormat="1" x14ac:dyDescent="0.25">
      <c r="A257" s="2">
        <v>45910500</v>
      </c>
      <c r="B257" s="2">
        <v>45910505</v>
      </c>
      <c r="C257" s="2" t="str">
        <f>"UNIMEDSJN"</f>
        <v>UNIMEDSJN</v>
      </c>
      <c r="D257" s="2" t="str">
        <f>"DH"</f>
        <v>DH</v>
      </c>
      <c r="E257" s="2" t="str">
        <f>"Franciane Linhares"</f>
        <v>Franciane Linhares</v>
      </c>
      <c r="F257" s="2" t="str">
        <f>"45910500-1/1"</f>
        <v>45910500-1/1</v>
      </c>
      <c r="G257" s="2" t="str">
        <f>"Carteira 21"</f>
        <v>Carteira 21</v>
      </c>
      <c r="H257" s="2">
        <v>21</v>
      </c>
      <c r="I257" s="3">
        <v>143</v>
      </c>
      <c r="J257" s="2" t="str">
        <f>"01/11/2019"</f>
        <v>01/11/2019</v>
      </c>
      <c r="K257" s="2" t="str">
        <f>"22/11/2019"</f>
        <v>22/11/2019</v>
      </c>
      <c r="L257" s="2" t="str">
        <f>"22/11/2019"</f>
        <v>22/11/2019</v>
      </c>
      <c r="M257" s="2" t="str">
        <f>"31/10/2019"</f>
        <v>31/10/2019</v>
      </c>
      <c r="N257" s="2">
        <v>178.59</v>
      </c>
      <c r="O257" s="2">
        <v>178.59</v>
      </c>
      <c r="P257" s="2">
        <v>0</v>
      </c>
    </row>
    <row r="258" spans="1:16" s="2" customFormat="1" x14ac:dyDescent="0.25">
      <c r="A258" s="2">
        <v>45910514</v>
      </c>
      <c r="B258" s="2">
        <v>45910519</v>
      </c>
      <c r="C258" s="2" t="str">
        <f>"UNIMEDSJN"</f>
        <v>UNIMEDSJN</v>
      </c>
      <c r="D258" s="2" t="str">
        <f>"DH"</f>
        <v>DH</v>
      </c>
      <c r="E258" s="2" t="str">
        <f>"Franciane Linhares"</f>
        <v>Franciane Linhares</v>
      </c>
      <c r="F258" s="2" t="str">
        <f>"45910514-1/1"</f>
        <v>45910514-1/1</v>
      </c>
      <c r="G258" s="2" t="str">
        <f>"Carteira 21"</f>
        <v>Carteira 21</v>
      </c>
      <c r="H258" s="2">
        <v>24</v>
      </c>
      <c r="I258" s="3">
        <v>140</v>
      </c>
      <c r="J258" s="2" t="str">
        <f>"01/11/2019"</f>
        <v>01/11/2019</v>
      </c>
      <c r="K258" s="2" t="str">
        <f>"25/11/2019"</f>
        <v>25/11/2019</v>
      </c>
      <c r="L258" s="2" t="str">
        <f>"25/11/2019"</f>
        <v>25/11/2019</v>
      </c>
      <c r="M258" s="2" t="str">
        <f>"31/10/2019"</f>
        <v>31/10/2019</v>
      </c>
      <c r="N258" s="2">
        <v>184.73</v>
      </c>
      <c r="O258" s="2">
        <v>184.73</v>
      </c>
      <c r="P258" s="2">
        <v>0</v>
      </c>
    </row>
    <row r="259" spans="1:16" s="2" customFormat="1" x14ac:dyDescent="0.25">
      <c r="A259" s="2">
        <v>47510409</v>
      </c>
      <c r="B259" s="2">
        <v>47510414</v>
      </c>
      <c r="C259" s="2" t="str">
        <f>"UNIMEDSJN"</f>
        <v>UNIMEDSJN</v>
      </c>
      <c r="D259" s="2" t="str">
        <f>"DH"</f>
        <v>DH</v>
      </c>
      <c r="E259" s="2" t="str">
        <f>"Franciane Linhares"</f>
        <v>Franciane Linhares</v>
      </c>
      <c r="F259" s="2" t="str">
        <f>"47510409-1/1"</f>
        <v>47510409-1/1</v>
      </c>
      <c r="G259" s="2" t="str">
        <f>"Carteira 21"</f>
        <v>Carteira 21</v>
      </c>
      <c r="H259" s="2">
        <v>21</v>
      </c>
      <c r="I259" s="3">
        <v>113</v>
      </c>
      <c r="J259" s="2" t="str">
        <f>"01/12/2019"</f>
        <v>01/12/2019</v>
      </c>
      <c r="K259" s="2" t="str">
        <f>"22/12/2019"</f>
        <v>22/12/2019</v>
      </c>
      <c r="L259" s="2" t="str">
        <f>"23/12/2019"</f>
        <v>23/12/2019</v>
      </c>
      <c r="M259" s="2" t="str">
        <f>"28/11/2019"</f>
        <v>28/11/2019</v>
      </c>
      <c r="N259" s="2">
        <v>178.59</v>
      </c>
      <c r="O259" s="2">
        <v>178.59</v>
      </c>
      <c r="P259" s="2">
        <v>0</v>
      </c>
    </row>
    <row r="260" spans="1:16" s="2" customFormat="1" x14ac:dyDescent="0.25">
      <c r="A260" s="2">
        <v>47510418</v>
      </c>
      <c r="B260" s="2">
        <v>47510425</v>
      </c>
      <c r="C260" s="2" t="str">
        <f>"UNIMEDSJN"</f>
        <v>UNIMEDSJN</v>
      </c>
      <c r="D260" s="2" t="str">
        <f>"DH"</f>
        <v>DH</v>
      </c>
      <c r="E260" s="2" t="str">
        <f>"Franciane Linhares"</f>
        <v>Franciane Linhares</v>
      </c>
      <c r="F260" s="2" t="str">
        <f>"47510418-1/1"</f>
        <v>47510418-1/1</v>
      </c>
      <c r="G260" s="2" t="str">
        <f>"Carteira 21"</f>
        <v>Carteira 21</v>
      </c>
      <c r="H260" s="2">
        <v>24</v>
      </c>
      <c r="I260" s="3">
        <v>110</v>
      </c>
      <c r="J260" s="2" t="str">
        <f>"01/12/2019"</f>
        <v>01/12/2019</v>
      </c>
      <c r="K260" s="2" t="str">
        <f>"25/12/2019"</f>
        <v>25/12/2019</v>
      </c>
      <c r="L260" s="2" t="str">
        <f>"25/12/2019"</f>
        <v>25/12/2019</v>
      </c>
      <c r="M260" s="2" t="str">
        <f>"28/11/2019"</f>
        <v>28/11/2019</v>
      </c>
      <c r="N260" s="2">
        <v>184.73</v>
      </c>
      <c r="O260" s="2">
        <v>184.73</v>
      </c>
      <c r="P260" s="2">
        <v>0</v>
      </c>
    </row>
    <row r="261" spans="1:16" s="2" customFormat="1" x14ac:dyDescent="0.25">
      <c r="A261" s="2">
        <v>48584098</v>
      </c>
      <c r="B261" s="2">
        <v>48584107</v>
      </c>
      <c r="C261" s="2" t="str">
        <f>"UNIMEDSJN"</f>
        <v>UNIMEDSJN</v>
      </c>
      <c r="D261" s="2" t="str">
        <f>"DH"</f>
        <v>DH</v>
      </c>
      <c r="E261" s="2" t="str">
        <f>"Franciane Linhares"</f>
        <v>Franciane Linhares</v>
      </c>
      <c r="F261" s="2" t="str">
        <f>"48584098-1/1"</f>
        <v>48584098-1/1</v>
      </c>
      <c r="G261" s="2" t="str">
        <f>"Carteira 21"</f>
        <v>Carteira 21</v>
      </c>
      <c r="H261" s="2">
        <v>20</v>
      </c>
      <c r="I261" s="3">
        <v>82</v>
      </c>
      <c r="J261" s="2" t="str">
        <f>"02/01/2020"</f>
        <v>02/01/2020</v>
      </c>
      <c r="K261" s="2" t="str">
        <f>"22/01/2020"</f>
        <v>22/01/2020</v>
      </c>
      <c r="L261" s="2" t="str">
        <f>"22/01/2020"</f>
        <v>22/01/2020</v>
      </c>
      <c r="M261" s="2" t="str">
        <f>"27/12/2019"</f>
        <v>27/12/2019</v>
      </c>
      <c r="N261" s="2">
        <v>178.59</v>
      </c>
      <c r="O261" s="2">
        <v>178.59</v>
      </c>
      <c r="P261" s="2">
        <v>0</v>
      </c>
    </row>
    <row r="262" spans="1:16" s="2" customFormat="1" x14ac:dyDescent="0.25">
      <c r="A262" s="2">
        <v>48584115</v>
      </c>
      <c r="B262" s="2">
        <v>48584122</v>
      </c>
      <c r="C262" s="2" t="str">
        <f>"UNIMEDSJN"</f>
        <v>UNIMEDSJN</v>
      </c>
      <c r="D262" s="2" t="str">
        <f>"DH"</f>
        <v>DH</v>
      </c>
      <c r="E262" s="2" t="str">
        <f>"Franciane Linhares"</f>
        <v>Franciane Linhares</v>
      </c>
      <c r="F262" s="2" t="str">
        <f>"48584115-1/1"</f>
        <v>48584115-1/1</v>
      </c>
      <c r="G262" s="2" t="str">
        <f>"Carteira 21"</f>
        <v>Carteira 21</v>
      </c>
      <c r="H262" s="2">
        <v>23</v>
      </c>
      <c r="I262" s="3">
        <v>79</v>
      </c>
      <c r="J262" s="2" t="str">
        <f>"02/01/2020"</f>
        <v>02/01/2020</v>
      </c>
      <c r="K262" s="2" t="str">
        <f>"25/01/2020"</f>
        <v>25/01/2020</v>
      </c>
      <c r="L262" s="2" t="str">
        <f>"27/01/2020"</f>
        <v>27/01/2020</v>
      </c>
      <c r="M262" s="2" t="str">
        <f>"27/12/2019"</f>
        <v>27/12/2019</v>
      </c>
      <c r="N262" s="2">
        <v>184.73</v>
      </c>
      <c r="O262" s="2">
        <v>184.73</v>
      </c>
      <c r="P262" s="2">
        <v>0</v>
      </c>
    </row>
    <row r="263" spans="1:16" s="2" customFormat="1" x14ac:dyDescent="0.25">
      <c r="A263" s="2">
        <v>48580474</v>
      </c>
      <c r="B263" s="2">
        <v>48580481</v>
      </c>
      <c r="C263" s="2" t="str">
        <f>"UNIMEDSJN"</f>
        <v>UNIMEDSJN</v>
      </c>
      <c r="D263" s="2" t="str">
        <f>"DH"</f>
        <v>DH</v>
      </c>
      <c r="E263" s="2" t="str">
        <f>"Franciani Fernandes da Costa"</f>
        <v>Franciani Fernandes da Costa</v>
      </c>
      <c r="F263" s="2" t="str">
        <f>"48580474-1/1"</f>
        <v>48580474-1/1</v>
      </c>
      <c r="G263" s="2" t="str">
        <f>"Carteira 21"</f>
        <v>Carteira 21</v>
      </c>
      <c r="H263" s="2">
        <v>23</v>
      </c>
      <c r="I263" s="3">
        <v>79</v>
      </c>
      <c r="J263" s="2" t="str">
        <f>"02/01/2020"</f>
        <v>02/01/2020</v>
      </c>
      <c r="K263" s="2" t="str">
        <f>"25/01/2020"</f>
        <v>25/01/2020</v>
      </c>
      <c r="L263" s="2" t="str">
        <f>"06/02/2020"</f>
        <v>06/02/2020</v>
      </c>
      <c r="M263" s="2" t="str">
        <f>"07/02/2020"</f>
        <v>07/02/2020</v>
      </c>
      <c r="N263" s="2">
        <v>149.85</v>
      </c>
      <c r="O263" s="2">
        <v>153.34</v>
      </c>
      <c r="P263" s="2">
        <v>0.109999999999985</v>
      </c>
    </row>
    <row r="264" spans="1:16" s="2" customFormat="1" x14ac:dyDescent="0.25">
      <c r="A264" s="2">
        <v>44958836</v>
      </c>
      <c r="B264" s="2">
        <v>44958846</v>
      </c>
      <c r="C264" s="2" t="str">
        <f>"UNIMEDSJN"</f>
        <v>UNIMEDSJN</v>
      </c>
      <c r="D264" s="2" t="str">
        <f>"DH"</f>
        <v>DH</v>
      </c>
      <c r="E264" s="2" t="str">
        <f>"Franciele Machado"</f>
        <v>Franciele Machado</v>
      </c>
      <c r="F264" s="2" t="str">
        <f>"44958836-1/1"</f>
        <v>44958836-1/1</v>
      </c>
      <c r="G264" s="2" t="str">
        <f>"Carteira 21"</f>
        <v>Carteira 21</v>
      </c>
      <c r="H264" s="2">
        <v>24</v>
      </c>
      <c r="I264" s="3">
        <v>201</v>
      </c>
      <c r="J264" s="2" t="str">
        <f>"01/09/2019"</f>
        <v>01/09/2019</v>
      </c>
      <c r="K264" s="2" t="str">
        <f>"25/09/2019"</f>
        <v>25/09/2019</v>
      </c>
      <c r="L264" s="2" t="str">
        <f>"25/09/2019"</f>
        <v>25/09/2019</v>
      </c>
      <c r="M264" s="2" t="str">
        <f>"29/08/2019"</f>
        <v>29/08/2019</v>
      </c>
      <c r="N264" s="2">
        <v>115.45</v>
      </c>
      <c r="O264" s="2">
        <v>115.45</v>
      </c>
      <c r="P264" s="2">
        <v>0</v>
      </c>
    </row>
    <row r="265" spans="1:16" s="2" customFormat="1" x14ac:dyDescent="0.25">
      <c r="A265" s="2">
        <v>45444946</v>
      </c>
      <c r="B265" s="2">
        <v>45444954</v>
      </c>
      <c r="C265" s="2" t="str">
        <f>"UNIMEDSJN"</f>
        <v>UNIMEDSJN</v>
      </c>
      <c r="D265" s="2" t="str">
        <f>"DH"</f>
        <v>DH</v>
      </c>
      <c r="E265" s="2" t="str">
        <f>"Franciele Machado"</f>
        <v>Franciele Machado</v>
      </c>
      <c r="F265" s="2" t="str">
        <f>"45444946-1/1"</f>
        <v>45444946-1/1</v>
      </c>
      <c r="G265" s="2" t="str">
        <f>"Carteira 21"</f>
        <v>Carteira 21</v>
      </c>
      <c r="H265" s="2">
        <v>24</v>
      </c>
      <c r="I265" s="3">
        <v>171</v>
      </c>
      <c r="J265" s="2" t="str">
        <f>"01/10/2019"</f>
        <v>01/10/2019</v>
      </c>
      <c r="K265" s="2" t="str">
        <f>"25/10/2019"</f>
        <v>25/10/2019</v>
      </c>
      <c r="L265" s="2" t="str">
        <f>"25/10/2019"</f>
        <v>25/10/2019</v>
      </c>
      <c r="M265" s="2" t="str">
        <f>"27/09/2019"</f>
        <v>27/09/2019</v>
      </c>
      <c r="N265" s="2">
        <v>115.45</v>
      </c>
      <c r="O265" s="2">
        <v>115.45</v>
      </c>
      <c r="P265" s="2">
        <v>0</v>
      </c>
    </row>
    <row r="266" spans="1:16" s="2" customFormat="1" x14ac:dyDescent="0.25">
      <c r="A266" s="2">
        <v>45910249</v>
      </c>
      <c r="B266" s="2">
        <v>45910259</v>
      </c>
      <c r="C266" s="2" t="str">
        <f>"UNIMEDSJN"</f>
        <v>UNIMEDSJN</v>
      </c>
      <c r="D266" s="2" t="str">
        <f>"DH"</f>
        <v>DH</v>
      </c>
      <c r="E266" s="2" t="str">
        <f>"Franciele Machado"</f>
        <v>Franciele Machado</v>
      </c>
      <c r="F266" s="2" t="str">
        <f>"45910249-1/1"</f>
        <v>45910249-1/1</v>
      </c>
      <c r="G266" s="2" t="str">
        <f>"Carteira 21"</f>
        <v>Carteira 21</v>
      </c>
      <c r="H266" s="2">
        <v>24</v>
      </c>
      <c r="I266" s="3">
        <v>140</v>
      </c>
      <c r="J266" s="2" t="str">
        <f>"01/11/2019"</f>
        <v>01/11/2019</v>
      </c>
      <c r="K266" s="2" t="str">
        <f>"25/11/2019"</f>
        <v>25/11/2019</v>
      </c>
      <c r="L266" s="2" t="str">
        <f>"25/11/2019"</f>
        <v>25/11/2019</v>
      </c>
      <c r="M266" s="2" t="str">
        <f>"31/10/2019"</f>
        <v>31/10/2019</v>
      </c>
      <c r="N266" s="2">
        <v>115.45</v>
      </c>
      <c r="O266" s="2">
        <v>115.45</v>
      </c>
      <c r="P266" s="2">
        <v>0</v>
      </c>
    </row>
    <row r="267" spans="1:16" s="2" customFormat="1" x14ac:dyDescent="0.25">
      <c r="A267" s="2">
        <v>47508321</v>
      </c>
      <c r="B267" s="2">
        <v>47508331</v>
      </c>
      <c r="C267" s="2" t="str">
        <f>"UNIMEDSJN"</f>
        <v>UNIMEDSJN</v>
      </c>
      <c r="D267" s="2" t="str">
        <f>"DH"</f>
        <v>DH</v>
      </c>
      <c r="E267" s="2" t="str">
        <f>"FRANCIELEN RAMOS BARAO"</f>
        <v>FRANCIELEN RAMOS BARAO</v>
      </c>
      <c r="F267" s="2" t="str">
        <f>"47508321-1/1"</f>
        <v>47508321-1/1</v>
      </c>
      <c r="G267" s="2" t="str">
        <f>"Carteira 21"</f>
        <v>Carteira 21</v>
      </c>
      <c r="H267" s="2">
        <v>24</v>
      </c>
      <c r="I267" s="3">
        <v>110</v>
      </c>
      <c r="J267" s="2" t="str">
        <f>"01/12/2019"</f>
        <v>01/12/2019</v>
      </c>
      <c r="K267" s="2" t="str">
        <f>"25/12/2019"</f>
        <v>25/12/2019</v>
      </c>
      <c r="L267" s="2" t="str">
        <f>"20/02/2020"</f>
        <v>20/02/2020</v>
      </c>
      <c r="M267" s="2" t="str">
        <f>"21/02/2020"</f>
        <v>21/02/2020</v>
      </c>
      <c r="N267" s="2">
        <v>273.04000000000002</v>
      </c>
      <c r="O267" s="2">
        <v>283.64</v>
      </c>
      <c r="P267" s="2">
        <v>5.0000000000011403E-2</v>
      </c>
    </row>
    <row r="268" spans="1:16" s="2" customFormat="1" x14ac:dyDescent="0.25">
      <c r="A268" s="2">
        <v>48585241</v>
      </c>
      <c r="B268" s="2">
        <v>48585248</v>
      </c>
      <c r="C268" s="2" t="str">
        <f>"UNIMEDSJN"</f>
        <v>UNIMEDSJN</v>
      </c>
      <c r="D268" s="2" t="str">
        <f>"DH"</f>
        <v>DH</v>
      </c>
      <c r="E268" s="2" t="str">
        <f>"FRANCIELEN RAMOS BARAO"</f>
        <v>FRANCIELEN RAMOS BARAO</v>
      </c>
      <c r="F268" s="2" t="str">
        <f>"48585241-1/1"</f>
        <v>48585241-1/1</v>
      </c>
      <c r="G268" s="2" t="str">
        <f>"Carteira 21"</f>
        <v>Carteira 21</v>
      </c>
      <c r="H268" s="2">
        <v>23</v>
      </c>
      <c r="I268" s="3">
        <v>79</v>
      </c>
      <c r="J268" s="2" t="str">
        <f>"02/01/2020"</f>
        <v>02/01/2020</v>
      </c>
      <c r="K268" s="2" t="str">
        <f>"25/01/2020"</f>
        <v>25/01/2020</v>
      </c>
      <c r="L268" s="2" t="str">
        <f>"27/01/2020"</f>
        <v>27/01/2020</v>
      </c>
      <c r="M268" s="2" t="str">
        <f>"27/12/2019"</f>
        <v>27/12/2019</v>
      </c>
      <c r="N268" s="2">
        <v>273.04000000000002</v>
      </c>
      <c r="O268" s="2">
        <v>273.04000000000002</v>
      </c>
      <c r="P268" s="2">
        <v>0</v>
      </c>
    </row>
    <row r="269" spans="1:16" s="2" customFormat="1" x14ac:dyDescent="0.25">
      <c r="A269" s="2">
        <v>45083966</v>
      </c>
      <c r="B269" s="2">
        <v>45083973</v>
      </c>
      <c r="C269" s="2" t="str">
        <f>"UNIMEDSJN"</f>
        <v>UNIMEDSJN</v>
      </c>
      <c r="D269" s="2" t="str">
        <f>"DH"</f>
        <v>DH</v>
      </c>
      <c r="E269" s="2" t="str">
        <f>"Francielle Aparecida Araujo Nunes"</f>
        <v>Francielle Aparecida Araujo Nunes</v>
      </c>
      <c r="F269" s="2" t="str">
        <f>"45083966-1/1"</f>
        <v>45083966-1/1</v>
      </c>
      <c r="G269" s="2" t="str">
        <f>"Carteira 21"</f>
        <v>Carteira 21</v>
      </c>
      <c r="H269" s="2">
        <v>21</v>
      </c>
      <c r="I269" s="3">
        <v>201</v>
      </c>
      <c r="J269" s="2" t="str">
        <f>"04/09/2019"</f>
        <v>04/09/2019</v>
      </c>
      <c r="K269" s="2" t="str">
        <f>"25/09/2019"</f>
        <v>25/09/2019</v>
      </c>
      <c r="L269" s="2" t="str">
        <f>"25/09/2019"</f>
        <v>25/09/2019</v>
      </c>
      <c r="M269" s="2" t="str">
        <f>"04/09/2019"</f>
        <v>04/09/2019</v>
      </c>
      <c r="N269" s="2">
        <v>90.9</v>
      </c>
      <c r="O269" s="2">
        <v>90.9</v>
      </c>
      <c r="P269" s="2">
        <v>0</v>
      </c>
    </row>
    <row r="270" spans="1:16" s="2" customFormat="1" x14ac:dyDescent="0.25">
      <c r="A270" s="2">
        <v>45457520</v>
      </c>
      <c r="B270" s="2">
        <v>45457535</v>
      </c>
      <c r="C270" s="2" t="str">
        <f>"UNIMEDSJN"</f>
        <v>UNIMEDSJN</v>
      </c>
      <c r="D270" s="2" t="str">
        <f>"DH"</f>
        <v>DH</v>
      </c>
      <c r="E270" s="2" t="str">
        <f>"Francielle Aparecida Araujo Nunes"</f>
        <v>Francielle Aparecida Araujo Nunes</v>
      </c>
      <c r="F270" s="2" t="str">
        <f>"45457520-1/1"</f>
        <v>45457520-1/1</v>
      </c>
      <c r="G270" s="2" t="str">
        <f>"Carteira 21"</f>
        <v>Carteira 21</v>
      </c>
      <c r="H270" s="2">
        <v>24</v>
      </c>
      <c r="I270" s="3">
        <v>171</v>
      </c>
      <c r="J270" s="2" t="str">
        <f>"01/10/2019"</f>
        <v>01/10/2019</v>
      </c>
      <c r="K270" s="2" t="str">
        <f>"25/10/2019"</f>
        <v>25/10/2019</v>
      </c>
      <c r="L270" s="2" t="str">
        <f>"25/10/2019"</f>
        <v>25/10/2019</v>
      </c>
      <c r="M270" s="2" t="str">
        <f>"27/09/2019"</f>
        <v>27/09/2019</v>
      </c>
      <c r="N270" s="2">
        <v>75.900000000000006</v>
      </c>
      <c r="O270" s="2">
        <v>75.900000000000006</v>
      </c>
      <c r="P270" s="2">
        <v>0</v>
      </c>
    </row>
    <row r="271" spans="1:16" s="2" customFormat="1" x14ac:dyDescent="0.25">
      <c r="A271" s="2">
        <v>45925575</v>
      </c>
      <c r="B271" s="2">
        <v>45925591</v>
      </c>
      <c r="C271" s="2" t="str">
        <f>"UNIMEDSJN"</f>
        <v>UNIMEDSJN</v>
      </c>
      <c r="D271" s="2" t="str">
        <f>"DH"</f>
        <v>DH</v>
      </c>
      <c r="E271" s="2" t="str">
        <f>"Francielle Aparecida Araujo Nunes"</f>
        <v>Francielle Aparecida Araujo Nunes</v>
      </c>
      <c r="F271" s="2" t="str">
        <f>"45925575-1/1"</f>
        <v>45925575-1/1</v>
      </c>
      <c r="G271" s="2" t="str">
        <f>"Carteira 21"</f>
        <v>Carteira 21</v>
      </c>
      <c r="H271" s="2">
        <v>24</v>
      </c>
      <c r="I271" s="3">
        <v>140</v>
      </c>
      <c r="J271" s="2" t="str">
        <f>"01/11/2019"</f>
        <v>01/11/2019</v>
      </c>
      <c r="K271" s="2" t="str">
        <f>"25/11/2019"</f>
        <v>25/11/2019</v>
      </c>
      <c r="L271" s="2" t="str">
        <f>"25/11/2019"</f>
        <v>25/11/2019</v>
      </c>
      <c r="M271" s="2" t="str">
        <f>"31/10/2019"</f>
        <v>31/10/2019</v>
      </c>
      <c r="N271" s="2">
        <v>75.900000000000006</v>
      </c>
      <c r="O271" s="2">
        <v>75.900000000000006</v>
      </c>
      <c r="P271" s="2">
        <v>0</v>
      </c>
    </row>
    <row r="272" spans="1:16" s="2" customFormat="1" x14ac:dyDescent="0.25">
      <c r="A272" s="2">
        <v>47499478</v>
      </c>
      <c r="B272" s="2">
        <v>47499498</v>
      </c>
      <c r="C272" s="2" t="str">
        <f>"UNIMEDSJN"</f>
        <v>UNIMEDSJN</v>
      </c>
      <c r="D272" s="2" t="str">
        <f>"DH"</f>
        <v>DH</v>
      </c>
      <c r="E272" s="2" t="str">
        <f>"Francielle Aparecida Araujo Nunes"</f>
        <v>Francielle Aparecida Araujo Nunes</v>
      </c>
      <c r="F272" s="2" t="str">
        <f>"47499478-1/1"</f>
        <v>47499478-1/1</v>
      </c>
      <c r="G272" s="2" t="str">
        <f>"Carteira 21"</f>
        <v>Carteira 21</v>
      </c>
      <c r="H272" s="2">
        <v>24</v>
      </c>
      <c r="I272" s="3">
        <v>110</v>
      </c>
      <c r="J272" s="2" t="str">
        <f>"01/12/2019"</f>
        <v>01/12/2019</v>
      </c>
      <c r="K272" s="2" t="str">
        <f>"25/12/2019"</f>
        <v>25/12/2019</v>
      </c>
      <c r="L272" s="2" t="str">
        <f>"25/12/2019"</f>
        <v>25/12/2019</v>
      </c>
      <c r="M272" s="2" t="str">
        <f>"28/11/2019"</f>
        <v>28/11/2019</v>
      </c>
      <c r="N272" s="2">
        <v>75.900000000000006</v>
      </c>
      <c r="O272" s="2">
        <v>75.900000000000006</v>
      </c>
      <c r="P272" s="2">
        <v>0</v>
      </c>
    </row>
    <row r="273" spans="1:16" s="2" customFormat="1" x14ac:dyDescent="0.25">
      <c r="A273" s="2">
        <v>48575096</v>
      </c>
      <c r="B273" s="2">
        <v>48575108</v>
      </c>
      <c r="C273" s="2" t="str">
        <f>"UNIMEDSJN"</f>
        <v>UNIMEDSJN</v>
      </c>
      <c r="D273" s="2" t="str">
        <f>"DH"</f>
        <v>DH</v>
      </c>
      <c r="E273" s="2" t="str">
        <f>"Francielle Aparecida Araujo Nunes"</f>
        <v>Francielle Aparecida Araujo Nunes</v>
      </c>
      <c r="F273" s="2" t="str">
        <f>"48575096-1/1"</f>
        <v>48575096-1/1</v>
      </c>
      <c r="G273" s="2" t="str">
        <f>"Carteira 21"</f>
        <v>Carteira 21</v>
      </c>
      <c r="H273" s="2">
        <v>23</v>
      </c>
      <c r="I273" s="3">
        <v>79</v>
      </c>
      <c r="J273" s="2" t="str">
        <f>"02/01/2020"</f>
        <v>02/01/2020</v>
      </c>
      <c r="K273" s="2" t="str">
        <f>"25/01/2020"</f>
        <v>25/01/2020</v>
      </c>
      <c r="L273" s="2" t="str">
        <f>"27/01/2020"</f>
        <v>27/01/2020</v>
      </c>
      <c r="M273" s="2" t="str">
        <f>"27/12/2019"</f>
        <v>27/12/2019</v>
      </c>
      <c r="N273" s="2">
        <v>75.900000000000006</v>
      </c>
      <c r="O273" s="2">
        <v>75.900000000000006</v>
      </c>
      <c r="P273" s="2">
        <v>0</v>
      </c>
    </row>
    <row r="274" spans="1:16" s="2" customFormat="1" x14ac:dyDescent="0.25">
      <c r="A274" s="2">
        <v>48574275</v>
      </c>
      <c r="B274" s="2">
        <v>48574295</v>
      </c>
      <c r="C274" s="2" t="str">
        <f>"UNIMEDSJN"</f>
        <v>UNIMEDSJN</v>
      </c>
      <c r="D274" s="2" t="str">
        <f>"DH"</f>
        <v>DH</v>
      </c>
      <c r="E274" s="2" t="str">
        <f>"Franciscarla Balbino Jacob"</f>
        <v>Franciscarla Balbino Jacob</v>
      </c>
      <c r="F274" s="2" t="str">
        <f>"48574275-1/1"</f>
        <v>48574275-1/1</v>
      </c>
      <c r="G274" s="2" t="str">
        <f>"Carteira 21"</f>
        <v>Carteira 21</v>
      </c>
      <c r="H274" s="2">
        <v>13</v>
      </c>
      <c r="I274" s="3">
        <v>89</v>
      </c>
      <c r="J274" s="2" t="str">
        <f>"02/01/2020"</f>
        <v>02/01/2020</v>
      </c>
      <c r="K274" s="2" t="str">
        <f>"15/01/2020"</f>
        <v>15/01/2020</v>
      </c>
      <c r="L274" s="2" t="str">
        <f>"07/02/2020"</f>
        <v>07/02/2020</v>
      </c>
      <c r="M274" s="2" t="str">
        <f>"10/02/2020"</f>
        <v>10/02/2020</v>
      </c>
      <c r="N274" s="2">
        <v>87.31</v>
      </c>
      <c r="O274" s="2">
        <v>89.72</v>
      </c>
      <c r="P274" s="2">
        <v>1.00000000000051E-2</v>
      </c>
    </row>
    <row r="275" spans="1:16" x14ac:dyDescent="0.25">
      <c r="A275">
        <v>48794053</v>
      </c>
      <c r="B275">
        <v>48794060</v>
      </c>
      <c r="C275" t="str">
        <f>"UNIMEDSJN"</f>
        <v>UNIMEDSJN</v>
      </c>
      <c r="D275" t="str">
        <f>"DH"</f>
        <v>DH</v>
      </c>
      <c r="E275" t="str">
        <f>"FRANCISCO DE OLIVEIRA FILHO"</f>
        <v>FRANCISCO DE OLIVEIRA FILHO</v>
      </c>
      <c r="F275" t="str">
        <f>"48794053-1/1"</f>
        <v>48794053-1/1</v>
      </c>
      <c r="G275" t="str">
        <f>"Carteira 21"</f>
        <v>Carteira 21</v>
      </c>
      <c r="H275">
        <v>40</v>
      </c>
      <c r="I275" s="1">
        <v>44</v>
      </c>
      <c r="J275" t="str">
        <f>"20/01/2020"</f>
        <v>20/01/2020</v>
      </c>
      <c r="K275" t="str">
        <f>"29/02/2020"</f>
        <v>29/02/2020</v>
      </c>
      <c r="L275" t="str">
        <f>"02/03/2020"</f>
        <v>02/03/2020</v>
      </c>
      <c r="M275" t="str">
        <f>"19/02/2020"</f>
        <v>19/02/2020</v>
      </c>
      <c r="N275">
        <v>922.07</v>
      </c>
      <c r="O275">
        <v>922.07</v>
      </c>
      <c r="P275">
        <v>0</v>
      </c>
    </row>
    <row r="276" spans="1:16" s="2" customFormat="1" x14ac:dyDescent="0.25">
      <c r="A276" s="2">
        <v>43551610</v>
      </c>
      <c r="B276" s="2">
        <v>43551629</v>
      </c>
      <c r="C276" s="2" t="str">
        <f>"UNIMEDSJN"</f>
        <v>UNIMEDSJN</v>
      </c>
      <c r="D276" s="2" t="str">
        <f>"DH"</f>
        <v>DH</v>
      </c>
      <c r="E276" s="2" t="str">
        <f>"FRANCISCO DE OLIVEIRA PEREIRA"</f>
        <v>FRANCISCO DE OLIVEIRA PEREIRA</v>
      </c>
      <c r="F276" s="2" t="str">
        <f>"43551610-1/1"</f>
        <v>43551610-1/1</v>
      </c>
      <c r="G276" s="2" t="str">
        <f>"Carteira 21"</f>
        <v>Carteira 21</v>
      </c>
      <c r="H276" s="2">
        <v>22</v>
      </c>
      <c r="I276" s="3">
        <v>293</v>
      </c>
      <c r="J276" s="2" t="str">
        <f>"03/06/2019"</f>
        <v>03/06/2019</v>
      </c>
      <c r="K276" s="2" t="str">
        <f>"25/06/2019"</f>
        <v>25/06/2019</v>
      </c>
      <c r="L276" s="2" t="str">
        <f>"25/06/2019"</f>
        <v>25/06/2019</v>
      </c>
      <c r="M276" s="2" t="str">
        <f>"03/06/2019"</f>
        <v>03/06/2019</v>
      </c>
      <c r="N276" s="2">
        <v>228.58</v>
      </c>
      <c r="O276" s="2">
        <v>228.58</v>
      </c>
      <c r="P276" s="2">
        <v>0</v>
      </c>
    </row>
    <row r="277" spans="1:16" s="2" customFormat="1" x14ac:dyDescent="0.25">
      <c r="A277" s="2">
        <v>48578585</v>
      </c>
      <c r="B277" s="2">
        <v>48578595</v>
      </c>
      <c r="C277" s="2" t="str">
        <f>"UNIMEDSJN"</f>
        <v>UNIMEDSJN</v>
      </c>
      <c r="D277" s="2" t="str">
        <f>"DH"</f>
        <v>DH</v>
      </c>
      <c r="E277" s="2" t="str">
        <f>"FRANCISCO VIEIRA DUTRA"</f>
        <v>FRANCISCO VIEIRA DUTRA</v>
      </c>
      <c r="F277" s="2" t="str">
        <f>"48578585-1/1"</f>
        <v>48578585-1/1</v>
      </c>
      <c r="G277" s="2" t="str">
        <f>"Carteira 21"</f>
        <v>Carteira 21</v>
      </c>
      <c r="H277" s="2">
        <v>23</v>
      </c>
      <c r="I277" s="3">
        <v>79</v>
      </c>
      <c r="J277" s="2" t="str">
        <f>"02/01/2020"</f>
        <v>02/01/2020</v>
      </c>
      <c r="K277" s="2" t="str">
        <f>"25/01/2020"</f>
        <v>25/01/2020</v>
      </c>
      <c r="L277" s="2" t="str">
        <f>"10/02/2020"</f>
        <v>10/02/2020</v>
      </c>
      <c r="M277" s="2" t="str">
        <f>"11/02/2020"</f>
        <v>11/02/2020</v>
      </c>
      <c r="N277" s="2">
        <v>141.62</v>
      </c>
      <c r="O277" s="2">
        <v>145.1</v>
      </c>
      <c r="P277" s="2">
        <v>0.110000000000014</v>
      </c>
    </row>
    <row r="278" spans="1:16" s="2" customFormat="1" x14ac:dyDescent="0.25">
      <c r="A278" s="2">
        <v>44257504</v>
      </c>
      <c r="B278" s="2">
        <v>44257514</v>
      </c>
      <c r="C278" s="2" t="str">
        <f>"UNIMEDSJN"</f>
        <v>UNIMEDSJN</v>
      </c>
      <c r="D278" s="2" t="str">
        <f>"DH"</f>
        <v>DH</v>
      </c>
      <c r="E278" s="2" t="str">
        <f>"GABRIEL COELHO MORAES"</f>
        <v>GABRIEL COELHO MORAES</v>
      </c>
      <c r="F278" s="2" t="str">
        <f>"44257504-1/1"</f>
        <v>44257504-1/1</v>
      </c>
      <c r="G278" s="2" t="str">
        <f>"Carteira 21"</f>
        <v>Carteira 21</v>
      </c>
      <c r="H278" s="2">
        <v>24</v>
      </c>
      <c r="I278" s="3">
        <v>171</v>
      </c>
      <c r="J278" s="2" t="str">
        <f>"01/10/2019"</f>
        <v>01/10/2019</v>
      </c>
      <c r="K278" s="2" t="str">
        <f>"25/10/2019"</f>
        <v>25/10/2019</v>
      </c>
      <c r="L278" s="2" t="str">
        <f>"25/10/2019"</f>
        <v>25/10/2019</v>
      </c>
      <c r="M278" s="2" t="str">
        <f>"27/09/2019"</f>
        <v>27/09/2019</v>
      </c>
      <c r="N278" s="2">
        <v>15.73</v>
      </c>
      <c r="O278" s="2">
        <v>15.73</v>
      </c>
      <c r="P278" s="2">
        <v>0</v>
      </c>
    </row>
    <row r="279" spans="1:16" s="2" customFormat="1" x14ac:dyDescent="0.25">
      <c r="A279" s="2">
        <v>45443706</v>
      </c>
      <c r="B279" s="2">
        <v>45443715</v>
      </c>
      <c r="C279" s="2" t="str">
        <f>"UNIMEDSJN"</f>
        <v>UNIMEDSJN</v>
      </c>
      <c r="D279" s="2" t="str">
        <f>"DH"</f>
        <v>DH</v>
      </c>
      <c r="E279" s="2" t="str">
        <f>"GABRIEL COELHO MORAES"</f>
        <v>GABRIEL COELHO MORAES</v>
      </c>
      <c r="F279" s="2" t="str">
        <f>"45443706-1/1"</f>
        <v>45443706-1/1</v>
      </c>
      <c r="G279" s="2" t="str">
        <f>"Carteira 21"</f>
        <v>Carteira 21</v>
      </c>
      <c r="H279" s="2">
        <v>24</v>
      </c>
      <c r="I279" s="3">
        <v>171</v>
      </c>
      <c r="J279" s="2" t="str">
        <f>"01/10/2019"</f>
        <v>01/10/2019</v>
      </c>
      <c r="K279" s="2" t="str">
        <f>"25/10/2019"</f>
        <v>25/10/2019</v>
      </c>
      <c r="L279" s="2" t="str">
        <f>"25/10/2019"</f>
        <v>25/10/2019</v>
      </c>
      <c r="M279" s="2" t="str">
        <f>"27/09/2019"</f>
        <v>27/09/2019</v>
      </c>
      <c r="N279" s="2">
        <v>229.7</v>
      </c>
      <c r="O279" s="2">
        <v>229.7</v>
      </c>
      <c r="P279" s="2">
        <v>0</v>
      </c>
    </row>
    <row r="280" spans="1:16" s="2" customFormat="1" x14ac:dyDescent="0.25">
      <c r="A280" s="2">
        <v>45920614</v>
      </c>
      <c r="B280" s="2">
        <v>45921127</v>
      </c>
      <c r="C280" s="2" t="str">
        <f>"UNIMEDSJN"</f>
        <v>UNIMEDSJN</v>
      </c>
      <c r="D280" s="2" t="str">
        <f>"DH"</f>
        <v>DH</v>
      </c>
      <c r="E280" s="2" t="str">
        <f>"GABRIEL COELHO MORAES"</f>
        <v>GABRIEL COELHO MORAES</v>
      </c>
      <c r="F280" s="2" t="str">
        <f>"45920614-1/1"</f>
        <v>45920614-1/1</v>
      </c>
      <c r="G280" s="2" t="str">
        <f>"Carteira 21"</f>
        <v>Carteira 21</v>
      </c>
      <c r="H280" s="2">
        <v>24</v>
      </c>
      <c r="I280" s="3">
        <v>140</v>
      </c>
      <c r="J280" s="2" t="str">
        <f>"01/11/2019"</f>
        <v>01/11/2019</v>
      </c>
      <c r="K280" s="2" t="str">
        <f>"25/11/2019"</f>
        <v>25/11/2019</v>
      </c>
      <c r="L280" s="2" t="str">
        <f>"25/11/2019"</f>
        <v>25/11/2019</v>
      </c>
      <c r="M280" s="2" t="str">
        <f>"31/10/2019"</f>
        <v>31/10/2019</v>
      </c>
      <c r="N280" s="2">
        <v>229.7</v>
      </c>
      <c r="O280" s="2">
        <v>229.7</v>
      </c>
      <c r="P280" s="2">
        <v>0</v>
      </c>
    </row>
    <row r="281" spans="1:16" s="2" customFormat="1" x14ac:dyDescent="0.25">
      <c r="A281" s="2">
        <v>47496754</v>
      </c>
      <c r="B281" s="2">
        <v>47496761</v>
      </c>
      <c r="C281" s="2" t="str">
        <f>"UNIMEDSJN"</f>
        <v>UNIMEDSJN</v>
      </c>
      <c r="D281" s="2" t="str">
        <f>"DH"</f>
        <v>DH</v>
      </c>
      <c r="E281" s="2" t="str">
        <f>"GABRIEL COELHO MORAES"</f>
        <v>GABRIEL COELHO MORAES</v>
      </c>
      <c r="F281" s="2" t="str">
        <f>"47496754-1/1"</f>
        <v>47496754-1/1</v>
      </c>
      <c r="G281" s="2" t="str">
        <f>"Carteira 21"</f>
        <v>Carteira 21</v>
      </c>
      <c r="H281" s="2">
        <v>24</v>
      </c>
      <c r="I281" s="3">
        <v>110</v>
      </c>
      <c r="J281" s="2" t="str">
        <f>"01/12/2019"</f>
        <v>01/12/2019</v>
      </c>
      <c r="K281" s="2" t="str">
        <f>"25/12/2019"</f>
        <v>25/12/2019</v>
      </c>
      <c r="L281" s="2" t="str">
        <f>"25/12/2019"</f>
        <v>25/12/2019</v>
      </c>
      <c r="M281" s="2" t="str">
        <f>"28/11/2019"</f>
        <v>28/11/2019</v>
      </c>
      <c r="N281" s="2">
        <v>229.7</v>
      </c>
      <c r="O281" s="2">
        <v>229.7</v>
      </c>
      <c r="P281" s="2">
        <v>0</v>
      </c>
    </row>
    <row r="282" spans="1:16" s="2" customFormat="1" x14ac:dyDescent="0.25">
      <c r="A282" s="2">
        <v>48572153</v>
      </c>
      <c r="B282" s="2">
        <v>48572163</v>
      </c>
      <c r="C282" s="2" t="str">
        <f>"UNIMEDSJN"</f>
        <v>UNIMEDSJN</v>
      </c>
      <c r="D282" s="2" t="str">
        <f>"DH"</f>
        <v>DH</v>
      </c>
      <c r="E282" s="2" t="str">
        <f>"GABRIEL COELHO MORAES"</f>
        <v>GABRIEL COELHO MORAES</v>
      </c>
      <c r="F282" s="2" t="str">
        <f>"48572153-1/1"</f>
        <v>48572153-1/1</v>
      </c>
      <c r="G282" s="2" t="str">
        <f>"Carteira 21"</f>
        <v>Carteira 21</v>
      </c>
      <c r="H282" s="2">
        <v>23</v>
      </c>
      <c r="I282" s="3">
        <v>79</v>
      </c>
      <c r="J282" s="2" t="str">
        <f>"02/01/2020"</f>
        <v>02/01/2020</v>
      </c>
      <c r="K282" s="2" t="str">
        <f>"25/01/2020"</f>
        <v>25/01/2020</v>
      </c>
      <c r="L282" s="2" t="str">
        <f>"27/01/2020"</f>
        <v>27/01/2020</v>
      </c>
      <c r="M282" s="2" t="str">
        <f>"27/12/2019"</f>
        <v>27/12/2019</v>
      </c>
      <c r="N282" s="2">
        <v>229.7</v>
      </c>
      <c r="O282" s="2">
        <v>229.7</v>
      </c>
      <c r="P282" s="2">
        <v>0</v>
      </c>
    </row>
    <row r="283" spans="1:16" s="2" customFormat="1" x14ac:dyDescent="0.25">
      <c r="A283" s="2">
        <v>48583125</v>
      </c>
      <c r="B283" s="2">
        <v>48583135</v>
      </c>
      <c r="C283" s="2" t="str">
        <f>"UNIMEDSJN"</f>
        <v>UNIMEDSJN</v>
      </c>
      <c r="D283" s="2" t="str">
        <f>"DH"</f>
        <v>DH</v>
      </c>
      <c r="E283" s="2" t="str">
        <f>"GABRIEL LIMA AMINO"</f>
        <v>GABRIEL LIMA AMINO</v>
      </c>
      <c r="F283" s="2" t="str">
        <f>"48583125-1/1"</f>
        <v>48583125-1/1</v>
      </c>
      <c r="G283" s="2" t="str">
        <f>"Carteira 21"</f>
        <v>Carteira 21</v>
      </c>
      <c r="H283" s="2">
        <v>23</v>
      </c>
      <c r="I283" s="3">
        <v>79</v>
      </c>
      <c r="J283" s="2" t="str">
        <f>"02/01/2020"</f>
        <v>02/01/2020</v>
      </c>
      <c r="K283" s="2" t="str">
        <f>"25/01/2020"</f>
        <v>25/01/2020</v>
      </c>
      <c r="L283" s="2" t="str">
        <f>"04/02/2020"</f>
        <v>04/02/2020</v>
      </c>
      <c r="M283" s="2" t="str">
        <f>"05/02/2020"</f>
        <v>05/02/2020</v>
      </c>
      <c r="N283" s="2">
        <v>186.9</v>
      </c>
      <c r="O283" s="2">
        <v>191.13</v>
      </c>
      <c r="P283" s="2">
        <v>0.13000000000002401</v>
      </c>
    </row>
    <row r="284" spans="1:16" s="2" customFormat="1" x14ac:dyDescent="0.25">
      <c r="A284" s="2">
        <v>45927489</v>
      </c>
      <c r="B284" s="2">
        <v>45927503</v>
      </c>
      <c r="C284" s="2" t="str">
        <f>"UNIMEDSJN"</f>
        <v>UNIMEDSJN</v>
      </c>
      <c r="D284" s="2" t="str">
        <f>"DH"</f>
        <v>DH</v>
      </c>
      <c r="E284" s="2" t="str">
        <f>"GABRIEL MENDES EGYDIO"</f>
        <v>GABRIEL MENDES EGYDIO</v>
      </c>
      <c r="F284" s="2" t="str">
        <f>"45927489-1/1"</f>
        <v>45927489-1/1</v>
      </c>
      <c r="G284" s="2" t="str">
        <f>"Carteira 21"</f>
        <v>Carteira 21</v>
      </c>
      <c r="H284" s="2">
        <v>24</v>
      </c>
      <c r="I284" s="3">
        <v>140</v>
      </c>
      <c r="J284" s="2" t="str">
        <f>"01/11/2019"</f>
        <v>01/11/2019</v>
      </c>
      <c r="K284" s="2" t="str">
        <f>"25/11/2019"</f>
        <v>25/11/2019</v>
      </c>
      <c r="L284" s="2" t="str">
        <f>"04/02/2020"</f>
        <v>04/02/2020</v>
      </c>
      <c r="M284" s="2" t="str">
        <f>"05/02/2020"</f>
        <v>05/02/2020</v>
      </c>
      <c r="N284" s="2">
        <v>238.79</v>
      </c>
      <c r="O284" s="2">
        <v>249.16</v>
      </c>
      <c r="P284" s="2">
        <v>6.0000000000002301E-2</v>
      </c>
    </row>
    <row r="285" spans="1:16" s="2" customFormat="1" x14ac:dyDescent="0.25">
      <c r="A285" s="2">
        <v>47507334</v>
      </c>
      <c r="B285" s="2">
        <v>47507346</v>
      </c>
      <c r="C285" s="2" t="str">
        <f>"UNIMEDSJN"</f>
        <v>UNIMEDSJN</v>
      </c>
      <c r="D285" s="2" t="str">
        <f>"DH"</f>
        <v>DH</v>
      </c>
      <c r="E285" s="2" t="str">
        <f>"GABRIEL MENDES EGYDIO"</f>
        <v>GABRIEL MENDES EGYDIO</v>
      </c>
      <c r="F285" s="2" t="str">
        <f>"47507334-1/1"</f>
        <v>47507334-1/1</v>
      </c>
      <c r="G285" s="2" t="str">
        <f>"Carteira 21"</f>
        <v>Carteira 21</v>
      </c>
      <c r="H285" s="2">
        <v>24</v>
      </c>
      <c r="I285" s="3">
        <v>110</v>
      </c>
      <c r="J285" s="2" t="str">
        <f>"01/12/2019"</f>
        <v>01/12/2019</v>
      </c>
      <c r="K285" s="2" t="str">
        <f>"25/12/2019"</f>
        <v>25/12/2019</v>
      </c>
      <c r="L285" s="2" t="str">
        <f>"13/03/2020"</f>
        <v>13/03/2020</v>
      </c>
      <c r="M285" s="2" t="str">
        <f>"16/03/2020"</f>
        <v>16/03/2020</v>
      </c>
      <c r="N285" s="2">
        <v>238.79</v>
      </c>
      <c r="O285" s="2">
        <v>249.8</v>
      </c>
      <c r="P285" s="2">
        <v>5.9999999999973803E-2</v>
      </c>
    </row>
    <row r="286" spans="1:16" s="2" customFormat="1" x14ac:dyDescent="0.25">
      <c r="A286" s="2">
        <v>48584742</v>
      </c>
      <c r="B286" s="2">
        <v>48584752</v>
      </c>
      <c r="C286" s="2" t="str">
        <f>"UNIMEDSJN"</f>
        <v>UNIMEDSJN</v>
      </c>
      <c r="D286" s="2" t="str">
        <f>"DH"</f>
        <v>DH</v>
      </c>
      <c r="E286" s="2" t="str">
        <f>"GABRIEL MENDES EGYDIO"</f>
        <v>GABRIEL MENDES EGYDIO</v>
      </c>
      <c r="F286" s="2" t="str">
        <f>"48584742-1/1"</f>
        <v>48584742-1/1</v>
      </c>
      <c r="G286" s="2" t="str">
        <f>"Carteira 21"</f>
        <v>Carteira 21</v>
      </c>
      <c r="H286" s="2">
        <v>23</v>
      </c>
      <c r="I286" s="3">
        <v>79</v>
      </c>
      <c r="J286" s="2" t="str">
        <f>"02/01/2020"</f>
        <v>02/01/2020</v>
      </c>
      <c r="K286" s="2" t="str">
        <f>"25/01/2020"</f>
        <v>25/01/2020</v>
      </c>
      <c r="L286" s="2" t="str">
        <f>"03/04/2020"</f>
        <v>03/04/2020</v>
      </c>
      <c r="M286" s="2" t="str">
        <f>"06/04/2020"</f>
        <v>06/04/2020</v>
      </c>
      <c r="N286" s="2">
        <v>238.79</v>
      </c>
      <c r="O286" s="2">
        <v>248.85</v>
      </c>
      <c r="P286" s="2">
        <v>0.21000000000000801</v>
      </c>
    </row>
    <row r="287" spans="1:16" s="2" customFormat="1" x14ac:dyDescent="0.25">
      <c r="A287" s="2">
        <v>43572110</v>
      </c>
      <c r="B287" s="2">
        <v>43572119</v>
      </c>
      <c r="C287" s="2" t="str">
        <f>"UNIMEDSJN"</f>
        <v>UNIMEDSJN</v>
      </c>
      <c r="D287" s="2" t="str">
        <f>"DH"</f>
        <v>DH</v>
      </c>
      <c r="E287" s="2" t="str">
        <f>"Gabriella Pinton Pavanelli"</f>
        <v>Gabriella Pinton Pavanelli</v>
      </c>
      <c r="F287" s="2" t="str">
        <f>"43572110-1/1"</f>
        <v>43572110-1/1</v>
      </c>
      <c r="G287" s="2" t="str">
        <f>"Carteira 21"</f>
        <v>Carteira 21</v>
      </c>
      <c r="H287" s="2">
        <v>22</v>
      </c>
      <c r="I287" s="3">
        <v>293</v>
      </c>
      <c r="J287" s="2" t="str">
        <f>"03/06/2019"</f>
        <v>03/06/2019</v>
      </c>
      <c r="K287" s="2" t="str">
        <f>"25/06/2019"</f>
        <v>25/06/2019</v>
      </c>
      <c r="L287" s="2" t="str">
        <f>"25/06/2019"</f>
        <v>25/06/2019</v>
      </c>
      <c r="M287" s="2" t="str">
        <f>"03/06/2019"</f>
        <v>03/06/2019</v>
      </c>
      <c r="N287" s="2">
        <v>139.9</v>
      </c>
      <c r="O287" s="2">
        <v>139.9</v>
      </c>
      <c r="P287" s="2">
        <v>0</v>
      </c>
    </row>
    <row r="288" spans="1:16" s="2" customFormat="1" x14ac:dyDescent="0.25">
      <c r="A288" s="2">
        <v>43983810</v>
      </c>
      <c r="B288" s="2">
        <v>43983819</v>
      </c>
      <c r="C288" s="2" t="str">
        <f>"UNIMEDSJN"</f>
        <v>UNIMEDSJN</v>
      </c>
      <c r="D288" s="2" t="str">
        <f>"DH"</f>
        <v>DH</v>
      </c>
      <c r="E288" s="2" t="str">
        <f>"Geder Matos Mendonca"</f>
        <v>Geder Matos Mendonca</v>
      </c>
      <c r="F288" s="2" t="str">
        <f>"43983810-1/1"</f>
        <v>43983810-1/1</v>
      </c>
      <c r="G288" s="2" t="str">
        <f>"Carteira 21"</f>
        <v>Carteira 21</v>
      </c>
      <c r="H288" s="2">
        <v>24</v>
      </c>
      <c r="I288" s="3">
        <v>263</v>
      </c>
      <c r="J288" s="2" t="str">
        <f>"01/07/2019"</f>
        <v>01/07/2019</v>
      </c>
      <c r="K288" s="2" t="str">
        <f>"25/07/2019"</f>
        <v>25/07/2019</v>
      </c>
      <c r="L288" s="2" t="str">
        <f>"25/07/2019"</f>
        <v>25/07/2019</v>
      </c>
      <c r="M288" s="2" t="str">
        <f>"01/07/2019"</f>
        <v>01/07/2019</v>
      </c>
      <c r="N288" s="2">
        <v>122.44</v>
      </c>
      <c r="O288" s="2">
        <v>122.44</v>
      </c>
      <c r="P288" s="2">
        <v>0</v>
      </c>
    </row>
    <row r="289" spans="1:16" s="2" customFormat="1" x14ac:dyDescent="0.25">
      <c r="A289" s="2">
        <v>47510533</v>
      </c>
      <c r="B289" s="2">
        <v>47510538</v>
      </c>
      <c r="C289" s="2" t="str">
        <f>"UNIMEDSJN"</f>
        <v>UNIMEDSJN</v>
      </c>
      <c r="D289" s="2" t="str">
        <f>"DH"</f>
        <v>DH</v>
      </c>
      <c r="E289" s="2" t="str">
        <f>"Geisimara Alves de Oliveira"</f>
        <v>Geisimara Alves de Oliveira</v>
      </c>
      <c r="F289" s="2" t="str">
        <f>"47510533-1/1"</f>
        <v>47510533-1/1</v>
      </c>
      <c r="G289" s="2" t="str">
        <f>"Carteira 21"</f>
        <v>Carteira 21</v>
      </c>
      <c r="H289" s="2">
        <v>24</v>
      </c>
      <c r="I289" s="3">
        <v>110</v>
      </c>
      <c r="J289" s="2" t="str">
        <f>"01/12/2019"</f>
        <v>01/12/2019</v>
      </c>
      <c r="K289" s="2" t="str">
        <f>"25/12/2019"</f>
        <v>25/12/2019</v>
      </c>
      <c r="L289" s="2" t="str">
        <f>"11/02/2020"</f>
        <v>11/02/2020</v>
      </c>
      <c r="M289" s="2" t="str">
        <f>"12/02/2020"</f>
        <v>12/02/2020</v>
      </c>
      <c r="N289" s="2">
        <v>198.31</v>
      </c>
      <c r="O289" s="2">
        <v>205.42</v>
      </c>
      <c r="P289" s="2">
        <v>2.9999999999972701E-2</v>
      </c>
    </row>
    <row r="290" spans="1:16" s="2" customFormat="1" x14ac:dyDescent="0.25">
      <c r="A290" s="2">
        <v>48584489</v>
      </c>
      <c r="B290" s="2">
        <v>48584499</v>
      </c>
      <c r="C290" s="2" t="str">
        <f>"UNIMEDSJN"</f>
        <v>UNIMEDSJN</v>
      </c>
      <c r="D290" s="2" t="str">
        <f>"DH"</f>
        <v>DH</v>
      </c>
      <c r="E290" s="2" t="str">
        <f>"Geisimara Alves de Oliveira"</f>
        <v>Geisimara Alves de Oliveira</v>
      </c>
      <c r="F290" s="2" t="str">
        <f>"48584489-1/1"</f>
        <v>48584489-1/1</v>
      </c>
      <c r="G290" s="2" t="str">
        <f>"Carteira 21"</f>
        <v>Carteira 21</v>
      </c>
      <c r="H290" s="2">
        <v>23</v>
      </c>
      <c r="I290" s="3">
        <v>79</v>
      </c>
      <c r="J290" s="2" t="str">
        <f>"02/01/2020"</f>
        <v>02/01/2020</v>
      </c>
      <c r="K290" s="2" t="str">
        <f>"25/01/2020"</f>
        <v>25/01/2020</v>
      </c>
      <c r="L290" s="2" t="str">
        <f>"12/03/2020"</f>
        <v>12/03/2020</v>
      </c>
      <c r="M290" s="2" t="str">
        <f>"13/03/2020"</f>
        <v>13/03/2020</v>
      </c>
      <c r="N290" s="2">
        <v>198.31</v>
      </c>
      <c r="O290" s="2">
        <v>205.22</v>
      </c>
      <c r="P290" s="2">
        <v>0.170000000000016</v>
      </c>
    </row>
    <row r="291" spans="1:16" x14ac:dyDescent="0.25">
      <c r="A291">
        <v>48793373</v>
      </c>
      <c r="B291">
        <v>48793883</v>
      </c>
      <c r="C291" t="str">
        <f>"UNIMEDSJN"</f>
        <v>UNIMEDSJN</v>
      </c>
      <c r="D291" t="str">
        <f>"DH"</f>
        <v>DH</v>
      </c>
      <c r="E291" t="str">
        <f>"GENEZIA MENDONCA RODRIGUES"</f>
        <v>GENEZIA MENDONCA RODRIGUES</v>
      </c>
      <c r="F291" t="str">
        <f>"48793373-1/1"</f>
        <v>48793373-1/1</v>
      </c>
      <c r="G291" t="str">
        <f>"Carteira 21"</f>
        <v>Carteira 21</v>
      </c>
      <c r="H291">
        <v>27</v>
      </c>
      <c r="I291" s="1">
        <v>57</v>
      </c>
      <c r="J291" t="str">
        <f>"20/01/2020"</f>
        <v>20/01/2020</v>
      </c>
      <c r="K291" t="str">
        <f>"16/02/2020"</f>
        <v>16/02/2020</v>
      </c>
      <c r="L291" t="str">
        <f>"17/02/2020"</f>
        <v>17/02/2020</v>
      </c>
      <c r="M291" t="str">
        <f>"11/02/2020"</f>
        <v>11/02/2020</v>
      </c>
      <c r="N291">
        <v>414.44</v>
      </c>
      <c r="O291">
        <v>414.44</v>
      </c>
      <c r="P291">
        <v>0</v>
      </c>
    </row>
    <row r="292" spans="1:16" s="2" customFormat="1" x14ac:dyDescent="0.25">
      <c r="A292" s="2">
        <v>47543110</v>
      </c>
      <c r="B292" s="2">
        <v>47543117</v>
      </c>
      <c r="C292" s="2" t="str">
        <f>"UNIMEDSJN"</f>
        <v>UNIMEDSJN</v>
      </c>
      <c r="D292" s="2" t="str">
        <f>"DH"</f>
        <v>DH</v>
      </c>
      <c r="E292" s="2" t="str">
        <f>"GENI FERREIRA CALEGARO"</f>
        <v>GENI FERREIRA CALEGARO</v>
      </c>
      <c r="F292" s="2" t="str">
        <f>"47543110-1/1"</f>
        <v>47543110-1/1</v>
      </c>
      <c r="G292" s="2" t="str">
        <f>"Carteira 21"</f>
        <v>Carteira 21</v>
      </c>
      <c r="H292" s="2">
        <v>25</v>
      </c>
      <c r="I292" s="3">
        <v>84</v>
      </c>
      <c r="J292" s="2" t="str">
        <f>"26/12/2019"</f>
        <v>26/12/2019</v>
      </c>
      <c r="K292" s="2" t="str">
        <f>"20/01/2020"</f>
        <v>20/01/2020</v>
      </c>
      <c r="L292" s="2" t="str">
        <f>"05/02/2020"</f>
        <v>05/02/2020</v>
      </c>
      <c r="M292" s="2" t="str">
        <f>"06/02/2020"</f>
        <v>06/02/2020</v>
      </c>
      <c r="N292" s="2">
        <v>243.52</v>
      </c>
      <c r="O292" s="2">
        <v>249.68</v>
      </c>
      <c r="P292" s="2">
        <v>9.9999999999909103E-3</v>
      </c>
    </row>
    <row r="293" spans="1:16" x14ac:dyDescent="0.25">
      <c r="A293">
        <v>48615988</v>
      </c>
      <c r="B293">
        <v>48615995</v>
      </c>
      <c r="C293" t="str">
        <f>"UNIMEDSJN"</f>
        <v>UNIMEDSJN</v>
      </c>
      <c r="D293" t="str">
        <f>"DH"</f>
        <v>DH</v>
      </c>
      <c r="E293" t="str">
        <f>"GENI FERREIRA CALEGARO"</f>
        <v>GENI FERREIRA CALEGARO</v>
      </c>
      <c r="F293" t="str">
        <f>"48615988-1/1"</f>
        <v>48615988-1/1</v>
      </c>
      <c r="G293" t="str">
        <f>"Carteira 21"</f>
        <v>Carteira 21</v>
      </c>
      <c r="H293">
        <v>31</v>
      </c>
      <c r="I293" s="1">
        <v>53</v>
      </c>
      <c r="J293" t="str">
        <f>"20/01/2020"</f>
        <v>20/01/2020</v>
      </c>
      <c r="K293" t="str">
        <f>"20/02/2020"</f>
        <v>20/02/2020</v>
      </c>
      <c r="L293" t="str">
        <f>"02/03/2020"</f>
        <v>02/03/2020</v>
      </c>
      <c r="M293" t="str">
        <f>"03/03/2020"</f>
        <v>03/03/2020</v>
      </c>
      <c r="N293">
        <v>243.52</v>
      </c>
      <c r="O293">
        <v>249.27</v>
      </c>
      <c r="P293">
        <v>9.9999999999909103E-3</v>
      </c>
    </row>
    <row r="294" spans="1:16" s="2" customFormat="1" x14ac:dyDescent="0.25">
      <c r="A294" s="2">
        <v>48562448</v>
      </c>
      <c r="B294" s="2">
        <v>48562459</v>
      </c>
      <c r="C294" s="2" t="str">
        <f>"UNIMEDSJN"</f>
        <v>UNIMEDSJN</v>
      </c>
      <c r="D294" s="2" t="str">
        <f>"DH"</f>
        <v>DH</v>
      </c>
      <c r="E294" s="2" t="str">
        <f>"GEOVANNI RABELO CORREA"</f>
        <v>GEOVANNI RABELO CORREA</v>
      </c>
      <c r="F294" s="2" t="str">
        <f>"48562448-1/1"</f>
        <v>48562448-1/1</v>
      </c>
      <c r="G294" s="2" t="str">
        <f>"Carteira 21"</f>
        <v>Carteira 21</v>
      </c>
      <c r="H294" s="2">
        <v>16</v>
      </c>
      <c r="I294" s="3">
        <v>86</v>
      </c>
      <c r="J294" s="2" t="str">
        <f>"02/01/2020"</f>
        <v>02/01/2020</v>
      </c>
      <c r="K294" s="2" t="str">
        <f>"18/01/2020"</f>
        <v>18/01/2020</v>
      </c>
      <c r="L294" s="2" t="str">
        <f>"23/03/2020"</f>
        <v>23/03/2020</v>
      </c>
      <c r="M294" s="2" t="str">
        <f>"24/03/2020"</f>
        <v>24/03/2020</v>
      </c>
      <c r="N294" s="2">
        <v>499.56</v>
      </c>
      <c r="O294" s="2">
        <v>519.94000000000005</v>
      </c>
      <c r="P294" s="2">
        <v>0.42999999999994998</v>
      </c>
    </row>
    <row r="295" spans="1:16" x14ac:dyDescent="0.25">
      <c r="A295">
        <v>48798458</v>
      </c>
      <c r="B295">
        <v>48798465</v>
      </c>
      <c r="C295" t="str">
        <f>"UNIMEDSJN"</f>
        <v>UNIMEDSJN</v>
      </c>
      <c r="D295" t="str">
        <f>"DH"</f>
        <v>DH</v>
      </c>
      <c r="E295" t="str">
        <f>"Geralda Castro Lima Barroso"</f>
        <v>Geralda Castro Lima Barroso</v>
      </c>
      <c r="F295" t="str">
        <f>"48798458-1/1"</f>
        <v>48798458-1/1</v>
      </c>
      <c r="G295" t="str">
        <f>"Carteira 21"</f>
        <v>Carteira 21</v>
      </c>
      <c r="H295">
        <v>27</v>
      </c>
      <c r="I295" s="1">
        <v>57</v>
      </c>
      <c r="J295" t="str">
        <f>"20/01/2020"</f>
        <v>20/01/2020</v>
      </c>
      <c r="K295" t="str">
        <f>"16/02/2020"</f>
        <v>16/02/2020</v>
      </c>
      <c r="L295" t="str">
        <f>"28/02/2020"</f>
        <v>28/02/2020</v>
      </c>
      <c r="M295" t="str">
        <f>"13/03/2020"</f>
        <v>13/03/2020</v>
      </c>
      <c r="N295">
        <v>758.67</v>
      </c>
      <c r="O295">
        <v>776.59</v>
      </c>
      <c r="P295">
        <v>0.27999999999997299</v>
      </c>
    </row>
    <row r="296" spans="1:16" s="2" customFormat="1" x14ac:dyDescent="0.25">
      <c r="A296" s="2">
        <v>47508583</v>
      </c>
      <c r="B296" s="2">
        <v>47508588</v>
      </c>
      <c r="C296" s="2" t="str">
        <f>"UNIMEDSJN"</f>
        <v>UNIMEDSJN</v>
      </c>
      <c r="D296" s="2" t="str">
        <f>"DH"</f>
        <v>DH</v>
      </c>
      <c r="E296" s="2" t="str">
        <f>"GESSICA ROBERTA MENDES PACHECO"</f>
        <v>GESSICA ROBERTA MENDES PACHECO</v>
      </c>
      <c r="F296" s="2" t="str">
        <f>"47508583-1/1"</f>
        <v>47508583-1/1</v>
      </c>
      <c r="G296" s="2" t="str">
        <f>"Carteira 21"</f>
        <v>Carteira 21</v>
      </c>
      <c r="H296" s="2">
        <v>24</v>
      </c>
      <c r="I296" s="3">
        <v>110</v>
      </c>
      <c r="J296" s="2" t="str">
        <f>"01/12/2019"</f>
        <v>01/12/2019</v>
      </c>
      <c r="K296" s="2" t="str">
        <f>"25/12/2019"</f>
        <v>25/12/2019</v>
      </c>
      <c r="L296" s="2" t="str">
        <f>"20/02/2020"</f>
        <v>20/02/2020</v>
      </c>
      <c r="M296" s="2" t="str">
        <f>"21/02/2020"</f>
        <v>21/02/2020</v>
      </c>
      <c r="N296" s="2">
        <v>271.67</v>
      </c>
      <c r="O296" s="2">
        <v>282.20999999999998</v>
      </c>
      <c r="P296" s="2">
        <v>5.0000000000011403E-2</v>
      </c>
    </row>
    <row r="297" spans="1:16" s="2" customFormat="1" x14ac:dyDescent="0.25">
      <c r="A297" s="2">
        <v>48582961</v>
      </c>
      <c r="B297" s="2">
        <v>48582971</v>
      </c>
      <c r="C297" s="2" t="str">
        <f>"UNIMEDSJN"</f>
        <v>UNIMEDSJN</v>
      </c>
      <c r="D297" s="2" t="str">
        <f>"DH"</f>
        <v>DH</v>
      </c>
      <c r="E297" s="2" t="str">
        <f>"GESSICA ROBERTA MENDES PACHECO"</f>
        <v>GESSICA ROBERTA MENDES PACHECO</v>
      </c>
      <c r="F297" s="2" t="str">
        <f>"48582961-1/1"</f>
        <v>48582961-1/1</v>
      </c>
      <c r="G297" s="2" t="str">
        <f>"Carteira 21"</f>
        <v>Carteira 21</v>
      </c>
      <c r="H297" s="2">
        <v>23</v>
      </c>
      <c r="I297" s="3">
        <v>79</v>
      </c>
      <c r="J297" s="2" t="str">
        <f>"02/01/2020"</f>
        <v>02/01/2020</v>
      </c>
      <c r="K297" s="2" t="str">
        <f>"25/01/2020"</f>
        <v>25/01/2020</v>
      </c>
      <c r="L297" s="2" t="str">
        <f>"20/02/2020"</f>
        <v>20/02/2020</v>
      </c>
      <c r="M297" s="2" t="str">
        <f>"21/02/2020"</f>
        <v>21/02/2020</v>
      </c>
      <c r="N297" s="2">
        <v>271.67</v>
      </c>
      <c r="O297" s="2">
        <v>279.25</v>
      </c>
      <c r="P297" s="2">
        <v>0.19999999999998899</v>
      </c>
    </row>
    <row r="298" spans="1:16" x14ac:dyDescent="0.25">
      <c r="A298">
        <v>48615555</v>
      </c>
      <c r="B298">
        <v>48615562</v>
      </c>
      <c r="C298" t="str">
        <f>"UNIMEDSJN"</f>
        <v>UNIMEDSJN</v>
      </c>
      <c r="D298" t="str">
        <f>"DH"</f>
        <v>DH</v>
      </c>
      <c r="E298" t="str">
        <f>"GEUSA MARIA RODRIGUES"</f>
        <v>GEUSA MARIA RODRIGUES</v>
      </c>
      <c r="F298" t="str">
        <f>"48615555-1/1"</f>
        <v>48615555-1/1</v>
      </c>
      <c r="G298" t="str">
        <f>"Carteira 21"</f>
        <v>Carteira 21</v>
      </c>
      <c r="H298">
        <v>27</v>
      </c>
      <c r="I298" s="1">
        <v>57</v>
      </c>
      <c r="J298" t="str">
        <f>"20/01/2020"</f>
        <v>20/01/2020</v>
      </c>
      <c r="K298" t="str">
        <f>"16/02/2020"</f>
        <v>16/02/2020</v>
      </c>
      <c r="L298" t="str">
        <f>"17/02/2020"</f>
        <v>17/02/2020</v>
      </c>
      <c r="M298" t="str">
        <f>"11/02/2020"</f>
        <v>11/02/2020</v>
      </c>
      <c r="N298">
        <v>443.44</v>
      </c>
      <c r="O298">
        <v>443.44</v>
      </c>
      <c r="P298">
        <v>0</v>
      </c>
    </row>
    <row r="299" spans="1:16" s="2" customFormat="1" x14ac:dyDescent="0.25">
      <c r="A299" s="2">
        <v>47499106</v>
      </c>
      <c r="B299" s="2">
        <v>47499624</v>
      </c>
      <c r="C299" s="2" t="str">
        <f>"UNIMEDSJN"</f>
        <v>UNIMEDSJN</v>
      </c>
      <c r="D299" s="2" t="str">
        <f>"DH"</f>
        <v>DH</v>
      </c>
      <c r="E299" s="2" t="str">
        <f>"Gilcelina Aparecida Edvirgem Silva"</f>
        <v>Gilcelina Aparecida Edvirgem Silva</v>
      </c>
      <c r="F299" s="2" t="str">
        <f>"47499106-1/1"</f>
        <v>47499106-1/1</v>
      </c>
      <c r="G299" s="2" t="str">
        <f>"Carteira 21"</f>
        <v>Carteira 21</v>
      </c>
      <c r="H299" s="2">
        <v>24</v>
      </c>
      <c r="I299" s="3">
        <v>110</v>
      </c>
      <c r="J299" s="2" t="str">
        <f>"01/12/2019"</f>
        <v>01/12/2019</v>
      </c>
      <c r="K299" s="2" t="str">
        <f>"25/12/2019"</f>
        <v>25/12/2019</v>
      </c>
      <c r="L299" s="2" t="str">
        <f>"02/03/2020"</f>
        <v>02/03/2020</v>
      </c>
      <c r="M299" s="2" t="str">
        <f>"03/03/2020"</f>
        <v>03/03/2020</v>
      </c>
      <c r="N299" s="2">
        <v>84.98</v>
      </c>
      <c r="O299" s="2">
        <v>88.59</v>
      </c>
      <c r="P299" s="2">
        <v>1.9999999999996E-2</v>
      </c>
    </row>
    <row r="300" spans="1:16" s="2" customFormat="1" x14ac:dyDescent="0.25">
      <c r="A300" s="2">
        <v>48573006</v>
      </c>
      <c r="B300" s="2">
        <v>48573022</v>
      </c>
      <c r="C300" s="2" t="str">
        <f>"UNIMEDSJN"</f>
        <v>UNIMEDSJN</v>
      </c>
      <c r="D300" s="2" t="str">
        <f>"DH"</f>
        <v>DH</v>
      </c>
      <c r="E300" s="2" t="str">
        <f>"Gilcelina Aparecida Edvirgem Silva"</f>
        <v>Gilcelina Aparecida Edvirgem Silva</v>
      </c>
      <c r="F300" s="2" t="str">
        <f>"48573006-1/1"</f>
        <v>48573006-1/1</v>
      </c>
      <c r="G300" s="2" t="str">
        <f>"Carteira 21"</f>
        <v>Carteira 21</v>
      </c>
      <c r="H300" s="2">
        <v>23</v>
      </c>
      <c r="I300" s="3">
        <v>79</v>
      </c>
      <c r="J300" s="2" t="str">
        <f>"02/01/2020"</f>
        <v>02/01/2020</v>
      </c>
      <c r="K300" s="2" t="str">
        <f>"25/01/2020"</f>
        <v>25/01/2020</v>
      </c>
      <c r="L300" s="2" t="str">
        <f>"27/01/2020"</f>
        <v>27/01/2020</v>
      </c>
      <c r="M300" s="2" t="str">
        <f>"27/12/2019"</f>
        <v>27/12/2019</v>
      </c>
      <c r="N300" s="2">
        <v>84.98</v>
      </c>
      <c r="O300" s="2">
        <v>84.98</v>
      </c>
      <c r="P300" s="2">
        <v>0</v>
      </c>
    </row>
    <row r="301" spans="1:16" s="2" customFormat="1" x14ac:dyDescent="0.25">
      <c r="A301" s="2">
        <v>47505107</v>
      </c>
      <c r="B301" s="2">
        <v>47505112</v>
      </c>
      <c r="C301" s="2" t="str">
        <f>"UNIMEDSJN"</f>
        <v>UNIMEDSJN</v>
      </c>
      <c r="D301" s="2" t="str">
        <f>"DH"</f>
        <v>DH</v>
      </c>
      <c r="E301" s="2" t="str">
        <f>"Gilcelio Mendonca da Silva"</f>
        <v>Gilcelio Mendonca da Silva</v>
      </c>
      <c r="F301" s="2" t="str">
        <f>"47505107-1/1"</f>
        <v>47505107-1/1</v>
      </c>
      <c r="G301" s="2" t="str">
        <f>"Carteira 21"</f>
        <v>Carteira 21</v>
      </c>
      <c r="H301" s="2">
        <v>24</v>
      </c>
      <c r="I301" s="3">
        <v>110</v>
      </c>
      <c r="J301" s="2" t="str">
        <f>"01/12/2019"</f>
        <v>01/12/2019</v>
      </c>
      <c r="K301" s="2" t="str">
        <f>"25/12/2019"</f>
        <v>25/12/2019</v>
      </c>
      <c r="L301" s="2" t="str">
        <f>"25/12/2019"</f>
        <v>25/12/2019</v>
      </c>
      <c r="M301" s="2" t="str">
        <f>"28/11/2019"</f>
        <v>28/11/2019</v>
      </c>
      <c r="N301" s="2">
        <v>344.92</v>
      </c>
      <c r="O301" s="2">
        <v>344.92</v>
      </c>
      <c r="P301" s="2">
        <v>0</v>
      </c>
    </row>
    <row r="302" spans="1:16" s="2" customFormat="1" x14ac:dyDescent="0.25">
      <c r="A302" s="2">
        <v>48580312</v>
      </c>
      <c r="B302" s="2">
        <v>48580319</v>
      </c>
      <c r="C302" s="2" t="str">
        <f>"UNIMEDSJN"</f>
        <v>UNIMEDSJN</v>
      </c>
      <c r="D302" s="2" t="str">
        <f>"DH"</f>
        <v>DH</v>
      </c>
      <c r="E302" s="2" t="str">
        <f>"Gilcelio Mendonca da Silva"</f>
        <v>Gilcelio Mendonca da Silva</v>
      </c>
      <c r="F302" s="2" t="str">
        <f>"48580312-1/1"</f>
        <v>48580312-1/1</v>
      </c>
      <c r="G302" s="2" t="str">
        <f>"Carteira 21"</f>
        <v>Carteira 21</v>
      </c>
      <c r="H302" s="2">
        <v>23</v>
      </c>
      <c r="I302" s="3">
        <v>79</v>
      </c>
      <c r="J302" s="2" t="str">
        <f>"02/01/2020"</f>
        <v>02/01/2020</v>
      </c>
      <c r="K302" s="2" t="str">
        <f>"25/01/2020"</f>
        <v>25/01/2020</v>
      </c>
      <c r="L302" s="2" t="str">
        <f>"27/01/2020"</f>
        <v>27/01/2020</v>
      </c>
      <c r="M302" s="2" t="str">
        <f>"27/12/2019"</f>
        <v>27/12/2019</v>
      </c>
      <c r="N302" s="2">
        <v>344.92</v>
      </c>
      <c r="O302" s="2">
        <v>344.92</v>
      </c>
      <c r="P302" s="2">
        <v>0</v>
      </c>
    </row>
    <row r="303" spans="1:16" s="2" customFormat="1" x14ac:dyDescent="0.25">
      <c r="A303" s="2">
        <v>48563316</v>
      </c>
      <c r="B303" s="2">
        <v>48563340</v>
      </c>
      <c r="C303" s="2" t="str">
        <f>"UNIMEDSJN"</f>
        <v>UNIMEDSJN</v>
      </c>
      <c r="D303" s="2" t="str">
        <f>"DH"</f>
        <v>DH</v>
      </c>
      <c r="E303" s="2" t="str">
        <f>"GIOVANA FERREIRA"</f>
        <v>GIOVANA FERREIRA</v>
      </c>
      <c r="F303" s="2" t="str">
        <f>"48563316-1/1"</f>
        <v>48563316-1/1</v>
      </c>
      <c r="G303" s="2" t="str">
        <f>"Carteira 21"</f>
        <v>Carteira 21</v>
      </c>
      <c r="H303" s="2">
        <v>13</v>
      </c>
      <c r="I303" s="3">
        <v>89</v>
      </c>
      <c r="J303" s="2" t="str">
        <f>"02/01/2020"</f>
        <v>02/01/2020</v>
      </c>
      <c r="K303" s="2" t="str">
        <f>"15/01/2020"</f>
        <v>15/01/2020</v>
      </c>
      <c r="L303" s="2" t="str">
        <f>"17/02/2020"</f>
        <v>17/02/2020</v>
      </c>
      <c r="M303" s="2" t="str">
        <f>"18/02/2020"</f>
        <v>18/02/2020</v>
      </c>
      <c r="N303" s="2">
        <v>658.5</v>
      </c>
      <c r="O303" s="2">
        <v>678.85</v>
      </c>
      <c r="P303" s="2">
        <v>5.9999999999945403E-2</v>
      </c>
    </row>
    <row r="304" spans="1:16" s="2" customFormat="1" x14ac:dyDescent="0.25">
      <c r="A304" s="2">
        <v>48572165</v>
      </c>
      <c r="B304" s="2">
        <v>48572175</v>
      </c>
      <c r="C304" s="2" t="str">
        <f>"UNIMEDSJN"</f>
        <v>UNIMEDSJN</v>
      </c>
      <c r="D304" s="2" t="str">
        <f>"DH"</f>
        <v>DH</v>
      </c>
      <c r="E304" s="2" t="str">
        <f>"GIOVANA VENTURA AUGUSTO"</f>
        <v>GIOVANA VENTURA AUGUSTO</v>
      </c>
      <c r="F304" s="2" t="str">
        <f>"48572165-1/1"</f>
        <v>48572165-1/1</v>
      </c>
      <c r="G304" s="2" t="str">
        <f>"Carteira 21"</f>
        <v>Carteira 21</v>
      </c>
      <c r="H304" s="2">
        <v>20</v>
      </c>
      <c r="I304" s="3">
        <v>82</v>
      </c>
      <c r="J304" s="2" t="str">
        <f>"02/01/2020"</f>
        <v>02/01/2020</v>
      </c>
      <c r="K304" s="2" t="str">
        <f>"22/01/2020"</f>
        <v>22/01/2020</v>
      </c>
      <c r="L304" s="2" t="str">
        <f>"11/02/2020"</f>
        <v>11/02/2020</v>
      </c>
      <c r="M304" s="2" t="str">
        <f>"12/02/2020"</f>
        <v>12/02/2020</v>
      </c>
      <c r="N304" s="2">
        <v>260.94</v>
      </c>
      <c r="O304" s="2">
        <v>267.88</v>
      </c>
      <c r="P304" s="2">
        <v>1.99999999999818E-2</v>
      </c>
    </row>
    <row r="305" spans="1:16" s="2" customFormat="1" x14ac:dyDescent="0.25">
      <c r="A305" s="2">
        <v>47510049</v>
      </c>
      <c r="B305" s="2">
        <v>47510058</v>
      </c>
      <c r="C305" s="2" t="str">
        <f>"UNIMEDSJN"</f>
        <v>UNIMEDSJN</v>
      </c>
      <c r="D305" s="2" t="str">
        <f>"DH"</f>
        <v>DH</v>
      </c>
      <c r="E305" s="2" t="str">
        <f>"GIOVANNA MATTOS DE ALMEIDA OLIVEIRA"</f>
        <v>GIOVANNA MATTOS DE ALMEIDA OLIVEIRA</v>
      </c>
      <c r="F305" s="2" t="str">
        <f>"47510049-1/1"</f>
        <v>47510049-1/1</v>
      </c>
      <c r="G305" s="2" t="str">
        <f>"Carteira 21"</f>
        <v>Carteira 21</v>
      </c>
      <c r="H305" s="2">
        <v>24</v>
      </c>
      <c r="I305" s="3">
        <v>110</v>
      </c>
      <c r="J305" s="2" t="str">
        <f>"01/12/2019"</f>
        <v>01/12/2019</v>
      </c>
      <c r="K305" s="2" t="str">
        <f>"25/12/2019"</f>
        <v>25/12/2019</v>
      </c>
      <c r="L305" s="2" t="str">
        <f>"14/02/2020"</f>
        <v>14/02/2020</v>
      </c>
      <c r="M305" s="2" t="str">
        <f>"17/02/2020"</f>
        <v>17/02/2020</v>
      </c>
      <c r="N305" s="2">
        <v>262.61</v>
      </c>
      <c r="O305" s="2">
        <v>272.27999999999997</v>
      </c>
      <c r="P305" s="2">
        <v>3.9999999999963599E-2</v>
      </c>
    </row>
    <row r="306" spans="1:16" s="2" customFormat="1" x14ac:dyDescent="0.25">
      <c r="A306" s="2">
        <v>48583527</v>
      </c>
      <c r="B306" s="2">
        <v>48583537</v>
      </c>
      <c r="C306" s="2" t="str">
        <f>"UNIMEDSJN"</f>
        <v>UNIMEDSJN</v>
      </c>
      <c r="D306" s="2" t="str">
        <f>"DH"</f>
        <v>DH</v>
      </c>
      <c r="E306" s="2" t="str">
        <f>"GIOVANNA MATTOS DE ALMEIDA OLIVEIRA"</f>
        <v>GIOVANNA MATTOS DE ALMEIDA OLIVEIRA</v>
      </c>
      <c r="F306" s="2" t="str">
        <f>"48583527-1/1"</f>
        <v>48583527-1/1</v>
      </c>
      <c r="G306" s="2" t="str">
        <f>"Carteira 21"</f>
        <v>Carteira 21</v>
      </c>
      <c r="H306" s="2">
        <v>23</v>
      </c>
      <c r="I306" s="3">
        <v>79</v>
      </c>
      <c r="J306" s="2" t="str">
        <f>"02/01/2020"</f>
        <v>02/01/2020</v>
      </c>
      <c r="K306" s="2" t="str">
        <f>"25/01/2020"</f>
        <v>25/01/2020</v>
      </c>
      <c r="L306" s="2" t="str">
        <f>"27/03/2020"</f>
        <v>27/03/2020</v>
      </c>
      <c r="M306" s="2" t="str">
        <f>"30/03/2020"</f>
        <v>30/03/2020</v>
      </c>
      <c r="N306" s="2">
        <v>262.61</v>
      </c>
      <c r="O306" s="2">
        <v>273.06</v>
      </c>
      <c r="P306" s="2">
        <v>0.230000000000018</v>
      </c>
    </row>
    <row r="307" spans="1:16" s="2" customFormat="1" x14ac:dyDescent="0.25">
      <c r="A307" s="2">
        <v>44315451</v>
      </c>
      <c r="B307" s="2">
        <v>44315462</v>
      </c>
      <c r="C307" s="2" t="str">
        <f>"UNIMEDSJN"</f>
        <v>UNIMEDSJN</v>
      </c>
      <c r="D307" s="2" t="str">
        <f>"DH"</f>
        <v>DH</v>
      </c>
      <c r="E307" s="2" t="str">
        <f>"Giselli Prado Calegari"</f>
        <v>Giselli Prado Calegari</v>
      </c>
      <c r="F307" s="2" t="str">
        <f>"44315451-1/1"</f>
        <v>44315451-1/1</v>
      </c>
      <c r="G307" s="2" t="str">
        <f>"CARTEIRA PERDA"</f>
        <v>CARTEIRA PERDA</v>
      </c>
      <c r="H307" s="2">
        <v>24</v>
      </c>
      <c r="I307" s="3">
        <v>232</v>
      </c>
      <c r="J307" s="2" t="str">
        <f>"01/08/2019"</f>
        <v>01/08/2019</v>
      </c>
      <c r="K307" s="2" t="str">
        <f>"25/08/2019"</f>
        <v>25/08/2019</v>
      </c>
      <c r="L307" s="2" t="str">
        <f>"26/08/2019"</f>
        <v>26/08/2019</v>
      </c>
      <c r="M307" s="2" t="str">
        <f>"05/03/2020"</f>
        <v>05/03/2020</v>
      </c>
      <c r="N307" s="2">
        <v>84.03</v>
      </c>
      <c r="O307" s="2">
        <v>84.03</v>
      </c>
      <c r="P307" s="2">
        <v>0</v>
      </c>
    </row>
    <row r="308" spans="1:16" s="2" customFormat="1" x14ac:dyDescent="0.25">
      <c r="A308" s="2">
        <v>44959501</v>
      </c>
      <c r="B308" s="2">
        <v>44959515</v>
      </c>
      <c r="C308" s="2" t="str">
        <f>"UNIMEDSJN"</f>
        <v>UNIMEDSJN</v>
      </c>
      <c r="D308" s="2" t="str">
        <f>"DH"</f>
        <v>DH</v>
      </c>
      <c r="E308" s="2" t="str">
        <f>"Giselli Prado Calegari"</f>
        <v>Giselli Prado Calegari</v>
      </c>
      <c r="F308" s="2" t="str">
        <f>"44959501-1/1"</f>
        <v>44959501-1/1</v>
      </c>
      <c r="G308" s="2" t="str">
        <f>"CARTEIRA PERDA"</f>
        <v>CARTEIRA PERDA</v>
      </c>
      <c r="H308" s="2">
        <v>24</v>
      </c>
      <c r="I308" s="3">
        <v>201</v>
      </c>
      <c r="J308" s="2" t="str">
        <f>"01/09/2019"</f>
        <v>01/09/2019</v>
      </c>
      <c r="K308" s="2" t="str">
        <f>"25/09/2019"</f>
        <v>25/09/2019</v>
      </c>
      <c r="L308" s="2" t="str">
        <f>"25/09/2019"</f>
        <v>25/09/2019</v>
      </c>
      <c r="M308" s="2" t="str">
        <f>"05/03/2020"</f>
        <v>05/03/2020</v>
      </c>
      <c r="N308" s="2">
        <v>84.03</v>
      </c>
      <c r="O308" s="2">
        <v>84.03</v>
      </c>
      <c r="P308" s="2">
        <v>0</v>
      </c>
    </row>
    <row r="309" spans="1:16" s="2" customFormat="1" x14ac:dyDescent="0.25">
      <c r="A309" s="2">
        <v>45455765</v>
      </c>
      <c r="B309" s="2">
        <v>45455781</v>
      </c>
      <c r="C309" s="2" t="str">
        <f>"UNIMEDSJN"</f>
        <v>UNIMEDSJN</v>
      </c>
      <c r="D309" s="2" t="str">
        <f>"DH"</f>
        <v>DH</v>
      </c>
      <c r="E309" s="2" t="str">
        <f>"Giselli Prado Calegari"</f>
        <v>Giselli Prado Calegari</v>
      </c>
      <c r="F309" s="2" t="str">
        <f>"45455765-1/1"</f>
        <v>45455765-1/1</v>
      </c>
      <c r="G309" s="2" t="str">
        <f>"Carteira 21"</f>
        <v>Carteira 21</v>
      </c>
      <c r="H309" s="2">
        <v>24</v>
      </c>
      <c r="I309" s="3">
        <v>171</v>
      </c>
      <c r="J309" s="2" t="str">
        <f>"01/10/2019"</f>
        <v>01/10/2019</v>
      </c>
      <c r="K309" s="2" t="str">
        <f>"25/10/2019"</f>
        <v>25/10/2019</v>
      </c>
      <c r="L309" s="2" t="str">
        <f>"25/10/2019"</f>
        <v>25/10/2019</v>
      </c>
      <c r="M309" s="2" t="str">
        <f>"27/09/2019"</f>
        <v>27/09/2019</v>
      </c>
      <c r="N309" s="2">
        <v>84.03</v>
      </c>
      <c r="O309" s="2">
        <v>84.03</v>
      </c>
      <c r="P309" s="2">
        <v>0</v>
      </c>
    </row>
    <row r="310" spans="1:16" s="2" customFormat="1" x14ac:dyDescent="0.25">
      <c r="A310" s="2">
        <v>45455812</v>
      </c>
      <c r="B310" s="2">
        <v>45455844</v>
      </c>
      <c r="C310" s="2" t="str">
        <f>"UNIMEDSJN"</f>
        <v>UNIMEDSJN</v>
      </c>
      <c r="D310" s="2" t="str">
        <f>"DH"</f>
        <v>DH</v>
      </c>
      <c r="E310" s="2" t="str">
        <f>"Giselli Prado Calegari"</f>
        <v>Giselli Prado Calegari</v>
      </c>
      <c r="F310" s="2" t="str">
        <f>"45455812-1/1"</f>
        <v>45455812-1/1</v>
      </c>
      <c r="G310" s="2" t="str">
        <f>"CARTEIRA PERDA"</f>
        <v>CARTEIRA PERDA</v>
      </c>
      <c r="H310" s="2">
        <v>24</v>
      </c>
      <c r="I310" s="3">
        <v>171</v>
      </c>
      <c r="J310" s="2" t="str">
        <f>"01/10/2019"</f>
        <v>01/10/2019</v>
      </c>
      <c r="K310" s="2" t="str">
        <f>"25/10/2019"</f>
        <v>25/10/2019</v>
      </c>
      <c r="L310" s="2" t="str">
        <f>"25/10/2019"</f>
        <v>25/10/2019</v>
      </c>
      <c r="M310" s="2" t="str">
        <f>"05/03/2020"</f>
        <v>05/03/2020</v>
      </c>
      <c r="N310" s="2">
        <v>84.03</v>
      </c>
      <c r="O310" s="2">
        <v>84.03</v>
      </c>
      <c r="P310" s="2">
        <v>0</v>
      </c>
    </row>
    <row r="311" spans="1:16" s="2" customFormat="1" x14ac:dyDescent="0.25">
      <c r="A311" s="2">
        <v>45910154</v>
      </c>
      <c r="B311" s="2">
        <v>45910167</v>
      </c>
      <c r="C311" s="2" t="str">
        <f>"UNIMEDSJN"</f>
        <v>UNIMEDSJN</v>
      </c>
      <c r="D311" s="2" t="str">
        <f>"DH"</f>
        <v>DH</v>
      </c>
      <c r="E311" s="2" t="str">
        <f>"Giselli Prado Calegari"</f>
        <v>Giselli Prado Calegari</v>
      </c>
      <c r="F311" s="2" t="str">
        <f>"45910154-1/1"</f>
        <v>45910154-1/1</v>
      </c>
      <c r="G311" s="2" t="str">
        <f>"Carteira 21"</f>
        <v>Carteira 21</v>
      </c>
      <c r="H311" s="2">
        <v>24</v>
      </c>
      <c r="I311" s="3">
        <v>140</v>
      </c>
      <c r="J311" s="2" t="str">
        <f>"01/11/2019"</f>
        <v>01/11/2019</v>
      </c>
      <c r="K311" s="2" t="str">
        <f>"25/11/2019"</f>
        <v>25/11/2019</v>
      </c>
      <c r="L311" s="2" t="str">
        <f>"25/11/2019"</f>
        <v>25/11/2019</v>
      </c>
      <c r="M311" s="2" t="str">
        <f>"31/10/2019"</f>
        <v>31/10/2019</v>
      </c>
      <c r="N311" s="2">
        <v>84.03</v>
      </c>
      <c r="O311" s="2">
        <v>84.03</v>
      </c>
      <c r="P311" s="2">
        <v>0</v>
      </c>
    </row>
    <row r="312" spans="1:16" s="2" customFormat="1" x14ac:dyDescent="0.25">
      <c r="A312" s="2">
        <v>45910175</v>
      </c>
      <c r="B312" s="2">
        <v>45910184</v>
      </c>
      <c r="C312" s="2" t="str">
        <f>"UNIMEDSJN"</f>
        <v>UNIMEDSJN</v>
      </c>
      <c r="D312" s="2" t="str">
        <f>"DH"</f>
        <v>DH</v>
      </c>
      <c r="E312" s="2" t="str">
        <f>"Giselli Prado Calegari"</f>
        <v>Giselli Prado Calegari</v>
      </c>
      <c r="F312" s="2" t="str">
        <f>"45910175-1/1"</f>
        <v>45910175-1/1</v>
      </c>
      <c r="G312" s="2" t="str">
        <f>"CARTEIRA PERDA"</f>
        <v>CARTEIRA PERDA</v>
      </c>
      <c r="H312" s="2">
        <v>24</v>
      </c>
      <c r="I312" s="3">
        <v>140</v>
      </c>
      <c r="J312" s="2" t="str">
        <f>"01/11/2019"</f>
        <v>01/11/2019</v>
      </c>
      <c r="K312" s="2" t="str">
        <f>"25/11/2019"</f>
        <v>25/11/2019</v>
      </c>
      <c r="L312" s="2" t="str">
        <f>"25/11/2019"</f>
        <v>25/11/2019</v>
      </c>
      <c r="M312" s="2" t="str">
        <f>"05/03/2020"</f>
        <v>05/03/2020</v>
      </c>
      <c r="N312" s="2">
        <v>84.03</v>
      </c>
      <c r="O312" s="2">
        <v>84.03</v>
      </c>
      <c r="P312" s="2">
        <v>0</v>
      </c>
    </row>
    <row r="313" spans="1:16" s="2" customFormat="1" x14ac:dyDescent="0.25">
      <c r="A313" s="2">
        <v>47498318</v>
      </c>
      <c r="B313" s="2">
        <v>47498340</v>
      </c>
      <c r="C313" s="2" t="str">
        <f>"UNIMEDSJN"</f>
        <v>UNIMEDSJN</v>
      </c>
      <c r="D313" s="2" t="str">
        <f>"DH"</f>
        <v>DH</v>
      </c>
      <c r="E313" s="2" t="str">
        <f>"Giselli Prado Calegari"</f>
        <v>Giselli Prado Calegari</v>
      </c>
      <c r="F313" s="2" t="str">
        <f>"47498318-1/1"</f>
        <v>47498318-1/1</v>
      </c>
      <c r="G313" s="2" t="str">
        <f>"Carteira 21"</f>
        <v>Carteira 21</v>
      </c>
      <c r="H313" s="2">
        <v>24</v>
      </c>
      <c r="I313" s="3">
        <v>110</v>
      </c>
      <c r="J313" s="2" t="str">
        <f>"01/12/2019"</f>
        <v>01/12/2019</v>
      </c>
      <c r="K313" s="2" t="str">
        <f>"25/12/2019"</f>
        <v>25/12/2019</v>
      </c>
      <c r="L313" s="2" t="str">
        <f>"25/12/2019"</f>
        <v>25/12/2019</v>
      </c>
      <c r="M313" s="2" t="str">
        <f>"28/11/2019"</f>
        <v>28/11/2019</v>
      </c>
      <c r="N313" s="2">
        <v>84.03</v>
      </c>
      <c r="O313" s="2">
        <v>84.03</v>
      </c>
      <c r="P313" s="2">
        <v>0</v>
      </c>
    </row>
    <row r="314" spans="1:16" s="2" customFormat="1" x14ac:dyDescent="0.25">
      <c r="A314" s="2">
        <v>47498354</v>
      </c>
      <c r="B314" s="2">
        <v>47498633</v>
      </c>
      <c r="C314" s="2" t="str">
        <f>"UNIMEDSJN"</f>
        <v>UNIMEDSJN</v>
      </c>
      <c r="D314" s="2" t="str">
        <f>"DH"</f>
        <v>DH</v>
      </c>
      <c r="E314" s="2" t="str">
        <f>"Giselli Prado Calegari"</f>
        <v>Giselli Prado Calegari</v>
      </c>
      <c r="F314" s="2" t="str">
        <f>"47498354-1/1"</f>
        <v>47498354-1/1</v>
      </c>
      <c r="G314" s="2" t="str">
        <f>"CARTEIRA PERDA"</f>
        <v>CARTEIRA PERDA</v>
      </c>
      <c r="H314" s="2">
        <v>24</v>
      </c>
      <c r="I314" s="3">
        <v>110</v>
      </c>
      <c r="J314" s="2" t="str">
        <f>"01/12/2019"</f>
        <v>01/12/2019</v>
      </c>
      <c r="K314" s="2" t="str">
        <f>"25/12/2019"</f>
        <v>25/12/2019</v>
      </c>
      <c r="L314" s="2" t="str">
        <f>"25/12/2019"</f>
        <v>25/12/2019</v>
      </c>
      <c r="M314" s="2" t="str">
        <f>"05/03/2020"</f>
        <v>05/03/2020</v>
      </c>
      <c r="N314" s="2">
        <v>84.03</v>
      </c>
      <c r="O314" s="2">
        <v>84.03</v>
      </c>
      <c r="P314" s="2">
        <v>0</v>
      </c>
    </row>
    <row r="315" spans="1:16" s="2" customFormat="1" x14ac:dyDescent="0.25">
      <c r="A315" s="2">
        <v>48574342</v>
      </c>
      <c r="B315" s="2">
        <v>48574353</v>
      </c>
      <c r="C315" s="2" t="str">
        <f>"UNIMEDSJN"</f>
        <v>UNIMEDSJN</v>
      </c>
      <c r="D315" s="2" t="str">
        <f>"DH"</f>
        <v>DH</v>
      </c>
      <c r="E315" s="2" t="str">
        <f>"Giselli Prado Calegari"</f>
        <v>Giselli Prado Calegari</v>
      </c>
      <c r="F315" s="2" t="str">
        <f>"48574342-1/1"</f>
        <v>48574342-1/1</v>
      </c>
      <c r="G315" s="2" t="str">
        <f>"Carteira 21"</f>
        <v>Carteira 21</v>
      </c>
      <c r="H315" s="2">
        <v>23</v>
      </c>
      <c r="I315" s="3">
        <v>79</v>
      </c>
      <c r="J315" s="2" t="str">
        <f>"02/01/2020"</f>
        <v>02/01/2020</v>
      </c>
      <c r="K315" s="2" t="str">
        <f>"25/01/2020"</f>
        <v>25/01/2020</v>
      </c>
      <c r="L315" s="2" t="str">
        <f>"27/01/2020"</f>
        <v>27/01/2020</v>
      </c>
      <c r="M315" s="2" t="str">
        <f>"27/12/2019"</f>
        <v>27/12/2019</v>
      </c>
      <c r="N315" s="2">
        <v>84.03</v>
      </c>
      <c r="O315" s="2">
        <v>84.03</v>
      </c>
      <c r="P315" s="2">
        <v>0</v>
      </c>
    </row>
    <row r="316" spans="1:16" s="2" customFormat="1" x14ac:dyDescent="0.25">
      <c r="A316" s="2">
        <v>48584885</v>
      </c>
      <c r="B316" s="2">
        <v>48584893</v>
      </c>
      <c r="C316" s="2" t="str">
        <f>"UNIMEDSJN"</f>
        <v>UNIMEDSJN</v>
      </c>
      <c r="D316" s="2" t="str">
        <f>"DH"</f>
        <v>DH</v>
      </c>
      <c r="E316" s="2" t="str">
        <f>"Gizele Costa"</f>
        <v>Gizele Costa</v>
      </c>
      <c r="F316" s="2" t="str">
        <f>"48584885-1/1"</f>
        <v>48584885-1/1</v>
      </c>
      <c r="G316" s="2" t="str">
        <f>"Carteira 21"</f>
        <v>Carteira 21</v>
      </c>
      <c r="H316" s="2">
        <v>23</v>
      </c>
      <c r="I316" s="3">
        <v>79</v>
      </c>
      <c r="J316" s="2" t="str">
        <f>"02/01/2020"</f>
        <v>02/01/2020</v>
      </c>
      <c r="K316" s="2" t="str">
        <f>"25/01/2020"</f>
        <v>25/01/2020</v>
      </c>
      <c r="L316" s="2" t="str">
        <f>"13/02/2020"</f>
        <v>13/02/2020</v>
      </c>
      <c r="M316" s="2" t="str">
        <f>"14/02/2020"</f>
        <v>14/02/2020</v>
      </c>
      <c r="N316" s="2">
        <v>174.65</v>
      </c>
      <c r="O316" s="2">
        <v>179.13</v>
      </c>
      <c r="P316" s="2">
        <v>0.12000000000000501</v>
      </c>
    </row>
    <row r="317" spans="1:16" s="2" customFormat="1" x14ac:dyDescent="0.25">
      <c r="A317" s="2">
        <v>48584897</v>
      </c>
      <c r="B317" s="2">
        <v>48584903</v>
      </c>
      <c r="C317" s="2" t="str">
        <f>"UNIMEDSJN"</f>
        <v>UNIMEDSJN</v>
      </c>
      <c r="D317" s="2" t="str">
        <f>"DH"</f>
        <v>DH</v>
      </c>
      <c r="E317" s="2" t="str">
        <f>"Gizele Costa"</f>
        <v>Gizele Costa</v>
      </c>
      <c r="F317" s="2" t="str">
        <f>"48584897-1/1"</f>
        <v>48584897-1/1</v>
      </c>
      <c r="G317" s="2" t="str">
        <f>"Carteira 21"</f>
        <v>Carteira 21</v>
      </c>
      <c r="H317" s="2">
        <v>23</v>
      </c>
      <c r="I317" s="3">
        <v>79</v>
      </c>
      <c r="J317" s="2" t="str">
        <f>"02/01/2020"</f>
        <v>02/01/2020</v>
      </c>
      <c r="K317" s="2" t="str">
        <f>"25/01/2020"</f>
        <v>25/01/2020</v>
      </c>
      <c r="L317" s="2" t="str">
        <f>"10/02/2020"</f>
        <v>10/02/2020</v>
      </c>
      <c r="M317" s="2" t="str">
        <f>"11/02/2020"</f>
        <v>11/02/2020</v>
      </c>
      <c r="N317" s="2">
        <v>169.51</v>
      </c>
      <c r="O317" s="2">
        <v>173.69</v>
      </c>
      <c r="P317" s="2">
        <v>0.109999999999985</v>
      </c>
    </row>
    <row r="318" spans="1:16" s="2" customFormat="1" x14ac:dyDescent="0.25">
      <c r="A318" s="2">
        <v>47504972</v>
      </c>
      <c r="B318" s="2">
        <v>47504982</v>
      </c>
      <c r="C318" s="2" t="str">
        <f>"UNIMEDSJN"</f>
        <v>UNIMEDSJN</v>
      </c>
      <c r="D318" s="2" t="str">
        <f>"DH"</f>
        <v>DH</v>
      </c>
      <c r="E318" s="2" t="str">
        <f>"Glaucimar Barroso do Nascimento"</f>
        <v>Glaucimar Barroso do Nascimento</v>
      </c>
      <c r="F318" s="2" t="str">
        <f>"47504972-1/1"</f>
        <v>47504972-1/1</v>
      </c>
      <c r="G318" s="2" t="str">
        <f>"Carteira 21"</f>
        <v>Carteira 21</v>
      </c>
      <c r="H318" s="2">
        <v>24</v>
      </c>
      <c r="I318" s="3">
        <v>110</v>
      </c>
      <c r="J318" s="2" t="str">
        <f>"01/12/2019"</f>
        <v>01/12/2019</v>
      </c>
      <c r="K318" s="2" t="str">
        <f>"25/12/2019"</f>
        <v>25/12/2019</v>
      </c>
      <c r="L318" s="2" t="str">
        <f>"17/03/2020"</f>
        <v>17/03/2020</v>
      </c>
      <c r="M318" s="2" t="str">
        <f>"18/03/2020"</f>
        <v>18/03/2020</v>
      </c>
      <c r="N318" s="2">
        <v>265.99</v>
      </c>
      <c r="O318" s="2">
        <v>278.60000000000002</v>
      </c>
      <c r="P318" s="2">
        <v>6.9999999999993207E-2</v>
      </c>
    </row>
    <row r="319" spans="1:16" s="2" customFormat="1" x14ac:dyDescent="0.25">
      <c r="A319" s="2">
        <v>48580194</v>
      </c>
      <c r="B319" s="2">
        <v>48580199</v>
      </c>
      <c r="C319" s="2" t="str">
        <f>"UNIMEDSJN"</f>
        <v>UNIMEDSJN</v>
      </c>
      <c r="D319" s="2" t="str">
        <f>"DH"</f>
        <v>DH</v>
      </c>
      <c r="E319" s="2" t="str">
        <f>"Glaucimar Barroso do Nascimento"</f>
        <v>Glaucimar Barroso do Nascimento</v>
      </c>
      <c r="F319" s="2" t="str">
        <f>"48580194-1/1"</f>
        <v>48580194-1/1</v>
      </c>
      <c r="G319" s="2" t="str">
        <f>"Carteira 21"</f>
        <v>Carteira 21</v>
      </c>
      <c r="H319" s="2">
        <v>23</v>
      </c>
      <c r="I319" s="3">
        <v>79</v>
      </c>
      <c r="J319" s="2" t="str">
        <f>"02/01/2020"</f>
        <v>02/01/2020</v>
      </c>
      <c r="K319" s="2" t="str">
        <f>"25/01/2020"</f>
        <v>25/01/2020</v>
      </c>
      <c r="L319" s="2" t="str">
        <f>"17/03/2020"</f>
        <v>17/03/2020</v>
      </c>
      <c r="M319" s="2" t="str">
        <f>"18/03/2020"</f>
        <v>18/03/2020</v>
      </c>
      <c r="N319" s="2">
        <v>265.99</v>
      </c>
      <c r="O319" s="2">
        <v>275.7</v>
      </c>
      <c r="P319" s="2">
        <v>0.22000000000002701</v>
      </c>
    </row>
    <row r="320" spans="1:16" s="2" customFormat="1" x14ac:dyDescent="0.25">
      <c r="A320" s="2">
        <v>47497151</v>
      </c>
      <c r="B320" s="2">
        <v>47497162</v>
      </c>
      <c r="C320" s="2" t="str">
        <f>"UNIMEDSJN"</f>
        <v>UNIMEDSJN</v>
      </c>
      <c r="D320" s="2" t="str">
        <f>"DH"</f>
        <v>DH</v>
      </c>
      <c r="E320" s="2" t="str">
        <f>"Gleice Kelli Navarini Amado"</f>
        <v>Gleice Kelli Navarini Amado</v>
      </c>
      <c r="F320" s="2" t="str">
        <f>"47497151-1/1"</f>
        <v>47497151-1/1</v>
      </c>
      <c r="G320" s="2" t="str">
        <f>"Carteira 21"</f>
        <v>Carteira 21</v>
      </c>
      <c r="H320" s="2">
        <v>24</v>
      </c>
      <c r="I320" s="3">
        <v>110</v>
      </c>
      <c r="J320" s="2" t="str">
        <f>"01/12/2019"</f>
        <v>01/12/2019</v>
      </c>
      <c r="K320" s="2" t="str">
        <f>"25/12/2019"</f>
        <v>25/12/2019</v>
      </c>
      <c r="L320" s="2" t="str">
        <f>"13/02/2020"</f>
        <v>13/02/2020</v>
      </c>
      <c r="M320" s="2" t="str">
        <f>"14/02/2020"</f>
        <v>14/02/2020</v>
      </c>
      <c r="N320" s="2">
        <v>245.5</v>
      </c>
      <c r="O320" s="2">
        <v>254.46</v>
      </c>
      <c r="P320" s="2">
        <v>3.9999999999992E-2</v>
      </c>
    </row>
    <row r="321" spans="1:16" s="2" customFormat="1" x14ac:dyDescent="0.25">
      <c r="A321" s="2">
        <v>48571887</v>
      </c>
      <c r="B321" s="2">
        <v>48571904</v>
      </c>
      <c r="C321" s="2" t="str">
        <f>"UNIMEDSJN"</f>
        <v>UNIMEDSJN</v>
      </c>
      <c r="D321" s="2" t="str">
        <f>"DH"</f>
        <v>DH</v>
      </c>
      <c r="E321" s="2" t="str">
        <f>"Gleice Kelli Navarini Amado"</f>
        <v>Gleice Kelli Navarini Amado</v>
      </c>
      <c r="F321" s="2" t="str">
        <f>"48571887-1/1"</f>
        <v>48571887-1/1</v>
      </c>
      <c r="G321" s="2" t="str">
        <f>"Carteira 21"</f>
        <v>Carteira 21</v>
      </c>
      <c r="H321" s="2">
        <v>23</v>
      </c>
      <c r="I321" s="3">
        <v>79</v>
      </c>
      <c r="J321" s="2" t="str">
        <f>"02/01/2020"</f>
        <v>02/01/2020</v>
      </c>
      <c r="K321" s="2" t="str">
        <f>"25/01/2020"</f>
        <v>25/01/2020</v>
      </c>
      <c r="L321" s="2" t="str">
        <f>"13/02/2020"</f>
        <v>13/02/2020</v>
      </c>
      <c r="M321" s="2" t="str">
        <f>"14/02/2020"</f>
        <v>14/02/2020</v>
      </c>
      <c r="N321" s="2">
        <v>245.5</v>
      </c>
      <c r="O321" s="2">
        <v>251.79</v>
      </c>
      <c r="P321" s="2">
        <v>0.170000000000016</v>
      </c>
    </row>
    <row r="322" spans="1:16" s="2" customFormat="1" x14ac:dyDescent="0.25">
      <c r="A322" s="2">
        <v>47505354</v>
      </c>
      <c r="B322" s="2">
        <v>47505361</v>
      </c>
      <c r="C322" s="2" t="str">
        <f>"UNIMEDSJN"</f>
        <v>UNIMEDSJN</v>
      </c>
      <c r="D322" s="2" t="str">
        <f>"DH"</f>
        <v>DH</v>
      </c>
      <c r="E322" s="2" t="str">
        <f>"GLORIA DE PAULO ALVES"</f>
        <v>GLORIA DE PAULO ALVES</v>
      </c>
      <c r="F322" s="2" t="str">
        <f>"47505354-1/1"</f>
        <v>47505354-1/1</v>
      </c>
      <c r="G322" s="2" t="str">
        <f>"Carteira 21"</f>
        <v>Carteira 21</v>
      </c>
      <c r="H322" s="2">
        <v>24</v>
      </c>
      <c r="I322" s="3">
        <v>110</v>
      </c>
      <c r="J322" s="2" t="str">
        <f>"01/12/2019"</f>
        <v>01/12/2019</v>
      </c>
      <c r="K322" s="2" t="str">
        <f>"25/12/2019"</f>
        <v>25/12/2019</v>
      </c>
      <c r="L322" s="2" t="str">
        <f>"13/02/2020"</f>
        <v>13/02/2020</v>
      </c>
      <c r="M322" s="2" t="str">
        <f>"14/02/2020"</f>
        <v>14/02/2020</v>
      </c>
      <c r="N322" s="2">
        <v>189.27</v>
      </c>
      <c r="O322" s="2">
        <v>196.18</v>
      </c>
      <c r="P322" s="2">
        <v>3.0000000000001099E-2</v>
      </c>
    </row>
    <row r="323" spans="1:16" s="2" customFormat="1" x14ac:dyDescent="0.25">
      <c r="A323" s="2">
        <v>48570252</v>
      </c>
      <c r="B323" s="2">
        <v>48570268</v>
      </c>
      <c r="C323" s="2" t="str">
        <f>"UNIMEDSJN"</f>
        <v>UNIMEDSJN</v>
      </c>
      <c r="D323" s="2" t="str">
        <f>"DH"</f>
        <v>DH</v>
      </c>
      <c r="E323" s="2" t="str">
        <f>"Guilherme Alves Teixeira"</f>
        <v>Guilherme Alves Teixeira</v>
      </c>
      <c r="F323" s="2" t="str">
        <f>"48570252-1/1"</f>
        <v>48570252-1/1</v>
      </c>
      <c r="G323" s="2" t="str">
        <f>"Carteira 21"</f>
        <v>Carteira 21</v>
      </c>
      <c r="H323" s="2">
        <v>23</v>
      </c>
      <c r="I323" s="3">
        <v>79</v>
      </c>
      <c r="J323" s="2" t="str">
        <f>"02/01/2020"</f>
        <v>02/01/2020</v>
      </c>
      <c r="K323" s="2" t="str">
        <f>"25/01/2020"</f>
        <v>25/01/2020</v>
      </c>
      <c r="L323" s="2" t="str">
        <f>"05/02/2020"</f>
        <v>05/02/2020</v>
      </c>
      <c r="M323" s="2" t="str">
        <f>"06/02/2020"</f>
        <v>06/02/2020</v>
      </c>
      <c r="N323" s="2">
        <v>172.92</v>
      </c>
      <c r="O323" s="2">
        <v>176.89</v>
      </c>
      <c r="P323" s="2">
        <v>0.12000000000000501</v>
      </c>
    </row>
    <row r="324" spans="1:16" s="2" customFormat="1" x14ac:dyDescent="0.25">
      <c r="A324" s="2">
        <v>47499428</v>
      </c>
      <c r="B324" s="2">
        <v>47499438</v>
      </c>
      <c r="C324" s="2" t="str">
        <f>"UNIMEDSJN"</f>
        <v>UNIMEDSJN</v>
      </c>
      <c r="D324" s="2" t="str">
        <f>"DH"</f>
        <v>DH</v>
      </c>
      <c r="E324" s="2" t="str">
        <f>"GUILHERME LIMA VIVAQUA"</f>
        <v>GUILHERME LIMA VIVAQUA</v>
      </c>
      <c r="F324" s="2" t="str">
        <f>"47499428-1/1"</f>
        <v>47499428-1/1</v>
      </c>
      <c r="G324" s="2" t="str">
        <f>"Carteira 21"</f>
        <v>Carteira 21</v>
      </c>
      <c r="H324" s="2">
        <v>24</v>
      </c>
      <c r="I324" s="3">
        <v>110</v>
      </c>
      <c r="J324" s="2" t="str">
        <f>"01/12/2019"</f>
        <v>01/12/2019</v>
      </c>
      <c r="K324" s="2" t="str">
        <f>"25/12/2019"</f>
        <v>25/12/2019</v>
      </c>
      <c r="L324" s="2" t="str">
        <f>"25/12/2019"</f>
        <v>25/12/2019</v>
      </c>
      <c r="M324" s="2" t="str">
        <f>"28/11/2019"</f>
        <v>28/11/2019</v>
      </c>
      <c r="N324" s="2">
        <v>146.04</v>
      </c>
      <c r="O324" s="2">
        <v>146.04</v>
      </c>
      <c r="P324" s="2">
        <v>0</v>
      </c>
    </row>
    <row r="325" spans="1:16" s="2" customFormat="1" x14ac:dyDescent="0.25">
      <c r="A325" s="2">
        <v>48566262</v>
      </c>
      <c r="B325" s="2">
        <v>48566274</v>
      </c>
      <c r="C325" s="2" t="str">
        <f>"UNIMEDSJN"</f>
        <v>UNIMEDSJN</v>
      </c>
      <c r="D325" s="2" t="str">
        <f>"DH"</f>
        <v>DH</v>
      </c>
      <c r="E325" s="2" t="str">
        <f>"GUILHERME MORAES BARBOSA"</f>
        <v>GUILHERME MORAES BARBOSA</v>
      </c>
      <c r="F325" s="2" t="str">
        <f>"48566262-1/1"</f>
        <v>48566262-1/1</v>
      </c>
      <c r="G325" s="2" t="str">
        <f>"Carteira 21"</f>
        <v>Carteira 21</v>
      </c>
      <c r="H325" s="2">
        <v>16</v>
      </c>
      <c r="I325" s="3">
        <v>86</v>
      </c>
      <c r="J325" s="2" t="str">
        <f>"02/01/2020"</f>
        <v>02/01/2020</v>
      </c>
      <c r="K325" s="2" t="str">
        <f>"18/01/2020"</f>
        <v>18/01/2020</v>
      </c>
      <c r="L325" s="2" t="str">
        <f>"27/02/2020"</f>
        <v>27/02/2020</v>
      </c>
      <c r="M325" s="2" t="str">
        <f>"28/02/2020"</f>
        <v>28/02/2020</v>
      </c>
      <c r="N325" s="2">
        <v>169.28</v>
      </c>
      <c r="O325" s="2">
        <v>174.79</v>
      </c>
      <c r="P325" s="2">
        <v>0.140000000000015</v>
      </c>
    </row>
    <row r="326" spans="1:16" s="2" customFormat="1" x14ac:dyDescent="0.25">
      <c r="A326" s="2">
        <v>48569145</v>
      </c>
      <c r="B326" s="2">
        <v>48569156</v>
      </c>
      <c r="C326" s="2" t="str">
        <f>"UNIMEDSJN"</f>
        <v>UNIMEDSJN</v>
      </c>
      <c r="D326" s="2" t="str">
        <f>"DH"</f>
        <v>DH</v>
      </c>
      <c r="E326" s="2" t="str">
        <f>"GUSTAVO BOLOTARE SILVEIRA"</f>
        <v>GUSTAVO BOLOTARE SILVEIRA</v>
      </c>
      <c r="F326" s="2" t="str">
        <f>"48569145-1/1"</f>
        <v>48569145-1/1</v>
      </c>
      <c r="G326" s="2" t="str">
        <f>"Carteira 21"</f>
        <v>Carteira 21</v>
      </c>
      <c r="H326" s="2">
        <v>20</v>
      </c>
      <c r="I326" s="3">
        <v>82</v>
      </c>
      <c r="J326" s="2" t="str">
        <f>"02/01/2020"</f>
        <v>02/01/2020</v>
      </c>
      <c r="K326" s="2" t="str">
        <f>"22/01/2020"</f>
        <v>22/01/2020</v>
      </c>
      <c r="L326" s="2" t="str">
        <f>"11/02/2020"</f>
        <v>11/02/2020</v>
      </c>
      <c r="M326" s="2" t="str">
        <f>"12/02/2020"</f>
        <v>12/02/2020</v>
      </c>
      <c r="N326" s="2">
        <v>281.14999999999998</v>
      </c>
      <c r="O326" s="2">
        <v>288.63</v>
      </c>
      <c r="P326" s="2">
        <v>1.00000000000477E-2</v>
      </c>
    </row>
    <row r="327" spans="1:16" s="2" customFormat="1" x14ac:dyDescent="0.25">
      <c r="A327" s="2">
        <v>48584110</v>
      </c>
      <c r="B327" s="2">
        <v>48584117</v>
      </c>
      <c r="C327" s="2" t="str">
        <f>"UNIMEDSJN"</f>
        <v>UNIMEDSJN</v>
      </c>
      <c r="D327" s="2" t="str">
        <f>"DH"</f>
        <v>DH</v>
      </c>
      <c r="E327" s="2" t="str">
        <f>"Gustavo Henrique Fiaz Eiterer"</f>
        <v>Gustavo Henrique Fiaz Eiterer</v>
      </c>
      <c r="F327" s="2" t="str">
        <f>"48584110-1/1"</f>
        <v>48584110-1/1</v>
      </c>
      <c r="G327" s="2" t="str">
        <f>"Carteira 21"</f>
        <v>Carteira 21</v>
      </c>
      <c r="H327" s="2">
        <v>16</v>
      </c>
      <c r="I327" s="3">
        <v>86</v>
      </c>
      <c r="J327" s="2" t="str">
        <f>"02/01/2020"</f>
        <v>02/01/2020</v>
      </c>
      <c r="K327" s="2" t="str">
        <f>"18/01/2020"</f>
        <v>18/01/2020</v>
      </c>
      <c r="L327" s="2" t="str">
        <f>"04/02/2020"</f>
        <v>04/02/2020</v>
      </c>
      <c r="M327" s="2" t="str">
        <f>"05/02/2020"</f>
        <v>05/02/2020</v>
      </c>
      <c r="N327" s="2">
        <v>291.64</v>
      </c>
      <c r="O327" s="2">
        <v>298.91000000000003</v>
      </c>
      <c r="P327" s="2">
        <v>0.20999999999998001</v>
      </c>
    </row>
    <row r="328" spans="1:16" x14ac:dyDescent="0.25">
      <c r="A328">
        <v>48793909</v>
      </c>
      <c r="B328">
        <v>48793919</v>
      </c>
      <c r="C328" t="str">
        <f>"UNIMEDSJN"</f>
        <v>UNIMEDSJN</v>
      </c>
      <c r="D328" t="str">
        <f>"DH"</f>
        <v>DH</v>
      </c>
      <c r="E328" t="str">
        <f>"HELDER TAVARES FAJARDO"</f>
        <v>HELDER TAVARES FAJARDO</v>
      </c>
      <c r="F328" t="str">
        <f>"48793909-1/1"</f>
        <v>48793909-1/1</v>
      </c>
      <c r="G328" t="str">
        <f>"Carteira 21"</f>
        <v>Carteira 21</v>
      </c>
      <c r="H328">
        <v>27</v>
      </c>
      <c r="I328" s="1">
        <v>57</v>
      </c>
      <c r="J328" t="str">
        <f>"20/01/2020"</f>
        <v>20/01/2020</v>
      </c>
      <c r="K328" t="str">
        <f>"16/02/2020"</f>
        <v>16/02/2020</v>
      </c>
      <c r="L328" t="str">
        <f>"17/02/2020"</f>
        <v>17/02/2020</v>
      </c>
      <c r="M328" t="str">
        <f>"18/02/2020"</f>
        <v>18/02/2020</v>
      </c>
      <c r="N328">
        <v>237.84</v>
      </c>
      <c r="O328">
        <v>237.84</v>
      </c>
      <c r="P328">
        <v>0</v>
      </c>
    </row>
    <row r="329" spans="1:16" x14ac:dyDescent="0.25">
      <c r="A329">
        <v>48615945</v>
      </c>
      <c r="B329">
        <v>48615955</v>
      </c>
      <c r="C329" t="str">
        <f>"UNIMEDSJN"</f>
        <v>UNIMEDSJN</v>
      </c>
      <c r="D329" t="str">
        <f>"DH"</f>
        <v>DH</v>
      </c>
      <c r="E329" t="str">
        <f>"HELENA APARECIDA VALENTE"</f>
        <v>HELENA APARECIDA VALENTE</v>
      </c>
      <c r="F329" t="str">
        <f>"48615945-1/1"</f>
        <v>48615945-1/1</v>
      </c>
      <c r="G329" t="str">
        <f>"Carteira 21"</f>
        <v>Carteira 21</v>
      </c>
      <c r="H329">
        <v>31</v>
      </c>
      <c r="I329" s="1">
        <v>53</v>
      </c>
      <c r="J329" t="str">
        <f>"20/01/2020"</f>
        <v>20/01/2020</v>
      </c>
      <c r="K329" t="str">
        <f>"20/02/2020"</f>
        <v>20/02/2020</v>
      </c>
      <c r="L329" t="str">
        <f>"20/02/2020"</f>
        <v>20/02/2020</v>
      </c>
      <c r="M329" t="str">
        <f>"11/02/2020"</f>
        <v>11/02/2020</v>
      </c>
      <c r="N329">
        <v>208.21</v>
      </c>
      <c r="O329">
        <v>208.21</v>
      </c>
      <c r="P329">
        <v>0</v>
      </c>
    </row>
    <row r="330" spans="1:16" x14ac:dyDescent="0.25">
      <c r="A330">
        <v>48793965</v>
      </c>
      <c r="B330">
        <v>48793976</v>
      </c>
      <c r="C330" t="str">
        <f>"UNIMEDSJN"</f>
        <v>UNIMEDSJN</v>
      </c>
      <c r="D330" t="str">
        <f>"DH"</f>
        <v>DH</v>
      </c>
      <c r="E330" t="str">
        <f>"HELENIZE HENRIQUES DE FREITAS"</f>
        <v>HELENIZE HENRIQUES DE FREITAS</v>
      </c>
      <c r="F330" t="str">
        <f>"48793965-1/1"</f>
        <v>48793965-1/1</v>
      </c>
      <c r="G330" t="str">
        <f>"Carteira 21"</f>
        <v>Carteira 21</v>
      </c>
      <c r="H330">
        <v>37</v>
      </c>
      <c r="I330" s="1">
        <v>47</v>
      </c>
      <c r="J330" t="str">
        <f>"20/01/2020"</f>
        <v>20/01/2020</v>
      </c>
      <c r="K330" t="str">
        <f>"26/02/2020"</f>
        <v>26/02/2020</v>
      </c>
      <c r="L330" t="str">
        <f>"26/02/2020"</f>
        <v>26/02/2020</v>
      </c>
      <c r="M330" t="str">
        <f>"11/02/2020"</f>
        <v>11/02/2020</v>
      </c>
      <c r="N330">
        <v>471.71</v>
      </c>
      <c r="O330">
        <v>471.71</v>
      </c>
      <c r="P330">
        <v>0</v>
      </c>
    </row>
    <row r="331" spans="1:16" s="2" customFormat="1" x14ac:dyDescent="0.25">
      <c r="A331" s="2">
        <v>47508939</v>
      </c>
      <c r="B331" s="2">
        <v>47508953</v>
      </c>
      <c r="C331" s="2" t="str">
        <f>"UNIMEDSJN"</f>
        <v>UNIMEDSJN</v>
      </c>
      <c r="D331" s="2" t="str">
        <f>"DH"</f>
        <v>DH</v>
      </c>
      <c r="E331" s="2" t="str">
        <f>"HENRIQUE HUNGARO DE SOUZA"</f>
        <v>HENRIQUE HUNGARO DE SOUZA</v>
      </c>
      <c r="F331" s="2" t="str">
        <f>"47508939-1/1"</f>
        <v>47508939-1/1</v>
      </c>
      <c r="G331" s="2" t="str">
        <f>"Carteira 21"</f>
        <v>Carteira 21</v>
      </c>
      <c r="H331" s="2">
        <v>24</v>
      </c>
      <c r="I331" s="3">
        <v>110</v>
      </c>
      <c r="J331" s="2" t="str">
        <f>"01/12/2019"</f>
        <v>01/12/2019</v>
      </c>
      <c r="K331" s="2" t="str">
        <f>"25/12/2019"</f>
        <v>25/12/2019</v>
      </c>
      <c r="L331" s="2" t="str">
        <f>"11/02/2020"</f>
        <v>11/02/2020</v>
      </c>
      <c r="M331" s="2" t="str">
        <f>"12/02/2020"</f>
        <v>12/02/2020</v>
      </c>
      <c r="N331" s="2">
        <v>188.31</v>
      </c>
      <c r="O331" s="2">
        <v>195.06</v>
      </c>
      <c r="P331" s="2">
        <v>3.0000000000001099E-2</v>
      </c>
    </row>
    <row r="332" spans="1:16" s="2" customFormat="1" x14ac:dyDescent="0.25">
      <c r="A332" s="2">
        <v>48583241</v>
      </c>
      <c r="B332" s="2">
        <v>48583248</v>
      </c>
      <c r="C332" s="2" t="str">
        <f>"UNIMEDSJN"</f>
        <v>UNIMEDSJN</v>
      </c>
      <c r="D332" s="2" t="str">
        <f>"DH"</f>
        <v>DH</v>
      </c>
      <c r="E332" s="2" t="str">
        <f>"HENRIQUE HUNGARO DE SOUZA"</f>
        <v>HENRIQUE HUNGARO DE SOUZA</v>
      </c>
      <c r="F332" s="2" t="str">
        <f>"48583241-1/1"</f>
        <v>48583241-1/1</v>
      </c>
      <c r="G332" s="2" t="str">
        <f>"Carteira 21"</f>
        <v>Carteira 21</v>
      </c>
      <c r="H332" s="2">
        <v>23</v>
      </c>
      <c r="I332" s="3">
        <v>79</v>
      </c>
      <c r="J332" s="2" t="str">
        <f>"02/01/2020"</f>
        <v>02/01/2020</v>
      </c>
      <c r="K332" s="2" t="str">
        <f>"25/01/2020"</f>
        <v>25/01/2020</v>
      </c>
      <c r="L332" s="2" t="str">
        <f>"02/03/2020"</f>
        <v>02/03/2020</v>
      </c>
      <c r="M332" s="2" t="str">
        <f>"03/03/2020"</f>
        <v>03/03/2020</v>
      </c>
      <c r="N332" s="2">
        <v>188.31</v>
      </c>
      <c r="O332" s="2">
        <v>194.25</v>
      </c>
      <c r="P332" s="2">
        <v>0.15000000000000599</v>
      </c>
    </row>
    <row r="333" spans="1:16" s="2" customFormat="1" x14ac:dyDescent="0.25">
      <c r="A333" s="2">
        <v>48567275</v>
      </c>
      <c r="B333" s="2">
        <v>48567285</v>
      </c>
      <c r="C333" s="2" t="str">
        <f>"UNIMEDSJN"</f>
        <v>UNIMEDSJN</v>
      </c>
      <c r="D333" s="2" t="str">
        <f>"DH"</f>
        <v>DH</v>
      </c>
      <c r="E333" s="2" t="str">
        <f>"HENRIQUE PONTES DE ANDRADE"</f>
        <v>HENRIQUE PONTES DE ANDRADE</v>
      </c>
      <c r="F333" s="2" t="str">
        <f>"48567275-1/1"</f>
        <v>48567275-1/1</v>
      </c>
      <c r="G333" s="2" t="str">
        <f>"Carteira 21"</f>
        <v>Carteira 21</v>
      </c>
      <c r="H333" s="2">
        <v>20</v>
      </c>
      <c r="I333" s="3">
        <v>82</v>
      </c>
      <c r="J333" s="2" t="str">
        <f>"02/01/2020"</f>
        <v>02/01/2020</v>
      </c>
      <c r="K333" s="2" t="str">
        <f>"22/01/2020"</f>
        <v>22/01/2020</v>
      </c>
      <c r="L333" s="2" t="str">
        <f>"22/01/2020"</f>
        <v>22/01/2020</v>
      </c>
      <c r="M333" s="2" t="str">
        <f>"27/12/2019"</f>
        <v>27/12/2019</v>
      </c>
      <c r="N333" s="2">
        <v>518.26</v>
      </c>
      <c r="O333" s="2">
        <v>518.26</v>
      </c>
      <c r="P333" s="2">
        <v>0</v>
      </c>
    </row>
    <row r="334" spans="1:16" s="2" customFormat="1" x14ac:dyDescent="0.25">
      <c r="A334" s="2">
        <v>47502131</v>
      </c>
      <c r="B334" s="2">
        <v>47502152</v>
      </c>
      <c r="C334" s="2" t="str">
        <f>"UNIMEDSJN"</f>
        <v>UNIMEDSJN</v>
      </c>
      <c r="D334" s="2" t="str">
        <f>"DH"</f>
        <v>DH</v>
      </c>
      <c r="E334" s="2" t="str">
        <f>"HENRIQUE TRINDADE NASCIMENTO"</f>
        <v>HENRIQUE TRINDADE NASCIMENTO</v>
      </c>
      <c r="F334" s="2" t="str">
        <f>"47502131-1/1"</f>
        <v>47502131-1/1</v>
      </c>
      <c r="G334" s="2" t="str">
        <f>"Carteira 21"</f>
        <v>Carteira 21</v>
      </c>
      <c r="H334" s="2">
        <v>24</v>
      </c>
      <c r="I334" s="3">
        <v>110</v>
      </c>
      <c r="J334" s="2" t="str">
        <f>"01/12/2019"</f>
        <v>01/12/2019</v>
      </c>
      <c r="K334" s="2" t="str">
        <f>"25/12/2019"</f>
        <v>25/12/2019</v>
      </c>
      <c r="L334" s="2" t="str">
        <f>"09/03/2020"</f>
        <v>09/03/2020</v>
      </c>
      <c r="M334" s="2" t="str">
        <f>"10/03/2020"</f>
        <v>10/03/2020</v>
      </c>
      <c r="N334" s="2">
        <v>150.72</v>
      </c>
      <c r="O334" s="2">
        <v>157.46</v>
      </c>
      <c r="P334" s="2">
        <v>3.9999999999992E-2</v>
      </c>
    </row>
    <row r="335" spans="1:16" s="2" customFormat="1" x14ac:dyDescent="0.25">
      <c r="A335" s="2">
        <v>48575676</v>
      </c>
      <c r="B335" s="2">
        <v>48575697</v>
      </c>
      <c r="C335" s="2" t="str">
        <f>"UNIMEDSJN"</f>
        <v>UNIMEDSJN</v>
      </c>
      <c r="D335" s="2" t="str">
        <f>"DH"</f>
        <v>DH</v>
      </c>
      <c r="E335" s="2" t="str">
        <f>"HENRIQUE TRINDADE NASCIMENTO"</f>
        <v>HENRIQUE TRINDADE NASCIMENTO</v>
      </c>
      <c r="F335" s="2" t="str">
        <f>"48575676-1/1"</f>
        <v>48575676-1/1</v>
      </c>
      <c r="G335" s="2" t="str">
        <f>"Carteira 21"</f>
        <v>Carteira 21</v>
      </c>
      <c r="H335" s="2">
        <v>23</v>
      </c>
      <c r="I335" s="3">
        <v>79</v>
      </c>
      <c r="J335" s="2" t="str">
        <f>"02/01/2020"</f>
        <v>02/01/2020</v>
      </c>
      <c r="K335" s="2" t="str">
        <f>"25/01/2020"</f>
        <v>25/01/2020</v>
      </c>
      <c r="L335" s="2" t="str">
        <f>"20/03/2020"</f>
        <v>20/03/2020</v>
      </c>
      <c r="M335" s="2" t="str">
        <f>"23/03/2020"</f>
        <v>23/03/2020</v>
      </c>
      <c r="N335" s="2">
        <v>150.72</v>
      </c>
      <c r="O335" s="2">
        <v>156.36000000000001</v>
      </c>
      <c r="P335" s="2">
        <v>0.12999999999999501</v>
      </c>
    </row>
    <row r="336" spans="1:16" s="2" customFormat="1" x14ac:dyDescent="0.25">
      <c r="A336" s="2">
        <v>47498599</v>
      </c>
      <c r="B336" s="2">
        <v>47498619</v>
      </c>
      <c r="C336" s="2" t="str">
        <f>"UNIMEDSJN"</f>
        <v>UNIMEDSJN</v>
      </c>
      <c r="D336" s="2" t="str">
        <f>"DH"</f>
        <v>DH</v>
      </c>
      <c r="E336" s="2" t="str">
        <f>"HENRIQUE VIDAL MENDONCA E OLIVEIRA"</f>
        <v>HENRIQUE VIDAL MENDONCA E OLIVEIRA</v>
      </c>
      <c r="F336" s="2" t="str">
        <f>"47498599-1/1"</f>
        <v>47498599-1/1</v>
      </c>
      <c r="G336" s="2" t="str">
        <f>"Carteira 21"</f>
        <v>Carteira 21</v>
      </c>
      <c r="H336" s="2">
        <v>21</v>
      </c>
      <c r="I336" s="3">
        <v>113</v>
      </c>
      <c r="J336" s="2" t="str">
        <f>"01/12/2019"</f>
        <v>01/12/2019</v>
      </c>
      <c r="K336" s="2" t="str">
        <f>"22/12/2019"</f>
        <v>22/12/2019</v>
      </c>
      <c r="L336" s="2" t="str">
        <f>"07/02/2020"</f>
        <v>07/02/2020</v>
      </c>
      <c r="M336" s="2" t="str">
        <f>"10/02/2020"</f>
        <v>10/02/2020</v>
      </c>
      <c r="N336" s="2">
        <v>67.56</v>
      </c>
      <c r="O336" s="2">
        <v>69.94</v>
      </c>
      <c r="P336" s="2">
        <v>3.0000000000001099E-2</v>
      </c>
    </row>
    <row r="337" spans="1:16" s="2" customFormat="1" x14ac:dyDescent="0.25">
      <c r="A337" s="2">
        <v>48572085</v>
      </c>
      <c r="B337" s="2">
        <v>48572097</v>
      </c>
      <c r="C337" s="2" t="str">
        <f>"UNIMEDSJN"</f>
        <v>UNIMEDSJN</v>
      </c>
      <c r="D337" s="2" t="str">
        <f>"DH"</f>
        <v>DH</v>
      </c>
      <c r="E337" s="2" t="str">
        <f>"HENRIQUE VIDAL MENDONCA E OLIVEIRA"</f>
        <v>HENRIQUE VIDAL MENDONCA E OLIVEIRA</v>
      </c>
      <c r="F337" s="2" t="str">
        <f>"48572085-1/1"</f>
        <v>48572085-1/1</v>
      </c>
      <c r="G337" s="2" t="str">
        <f>"Carteira 21"</f>
        <v>Carteira 21</v>
      </c>
      <c r="H337" s="2">
        <v>20</v>
      </c>
      <c r="I337" s="3">
        <v>82</v>
      </c>
      <c r="J337" s="2" t="str">
        <f>"02/01/2020"</f>
        <v>02/01/2020</v>
      </c>
      <c r="K337" s="2" t="str">
        <f>"22/01/2020"</f>
        <v>22/01/2020</v>
      </c>
      <c r="L337" s="2" t="str">
        <f>"02/03/2020"</f>
        <v>02/03/2020</v>
      </c>
      <c r="M337" s="2" t="str">
        <f>"03/03/2020"</f>
        <v>03/03/2020</v>
      </c>
      <c r="N337" s="2">
        <v>72.53</v>
      </c>
      <c r="O337" s="2">
        <v>74.94</v>
      </c>
      <c r="P337" s="2">
        <v>1.00000000000051E-2</v>
      </c>
    </row>
    <row r="338" spans="1:16" s="2" customFormat="1" x14ac:dyDescent="0.25">
      <c r="A338" s="2">
        <v>44307102</v>
      </c>
      <c r="B338" s="2">
        <v>44307109</v>
      </c>
      <c r="C338" s="2" t="str">
        <f>"UNIMEDSJN"</f>
        <v>UNIMEDSJN</v>
      </c>
      <c r="D338" s="2" t="str">
        <f>"DH"</f>
        <v>DH</v>
      </c>
      <c r="E338" s="2" t="str">
        <f>"HUGO KNOP ZAMPA"</f>
        <v>HUGO KNOP ZAMPA</v>
      </c>
      <c r="F338" s="2" t="str">
        <f>"44307102-1/1"</f>
        <v>44307102-1/1</v>
      </c>
      <c r="G338" s="2" t="str">
        <f>"Carteira 21"</f>
        <v>Carteira 21</v>
      </c>
      <c r="H338" s="2">
        <v>17</v>
      </c>
      <c r="I338" s="3">
        <v>239</v>
      </c>
      <c r="J338" s="2" t="str">
        <f>"01/08/2019"</f>
        <v>01/08/2019</v>
      </c>
      <c r="K338" s="2" t="str">
        <f>"18/08/2019"</f>
        <v>18/08/2019</v>
      </c>
      <c r="L338" s="2" t="str">
        <f>"19/08/2019"</f>
        <v>19/08/2019</v>
      </c>
      <c r="M338" s="2" t="str">
        <f>"31/07/2019"</f>
        <v>31/07/2019</v>
      </c>
      <c r="N338" s="2">
        <v>239.22</v>
      </c>
      <c r="O338" s="2">
        <v>239.22</v>
      </c>
      <c r="P338" s="2">
        <v>0</v>
      </c>
    </row>
    <row r="339" spans="1:16" s="2" customFormat="1" x14ac:dyDescent="0.25">
      <c r="A339" s="2">
        <v>45466179</v>
      </c>
      <c r="B339" s="2">
        <v>45466191</v>
      </c>
      <c r="C339" s="2" t="str">
        <f>"UNIMEDSJN"</f>
        <v>UNIMEDSJN</v>
      </c>
      <c r="D339" s="2" t="str">
        <f>"DH"</f>
        <v>DH</v>
      </c>
      <c r="E339" s="2" t="str">
        <f>"Humberto Bernardo Rodrigues"</f>
        <v>Humberto Bernardo Rodrigues</v>
      </c>
      <c r="F339" s="2" t="str">
        <f>"45466179-1/1"</f>
        <v>45466179-1/1</v>
      </c>
      <c r="G339" s="2" t="str">
        <f>"Carteira 21"</f>
        <v>Carteira 21</v>
      </c>
      <c r="H339" s="2">
        <v>24</v>
      </c>
      <c r="I339" s="3">
        <v>171</v>
      </c>
      <c r="J339" s="2" t="str">
        <f>"01/10/2019"</f>
        <v>01/10/2019</v>
      </c>
      <c r="K339" s="2" t="str">
        <f>"25/10/2019"</f>
        <v>25/10/2019</v>
      </c>
      <c r="L339" s="2" t="str">
        <f>"07/02/2020"</f>
        <v>07/02/2020</v>
      </c>
      <c r="M339" s="2" t="str">
        <f>"10/02/2020"</f>
        <v>10/02/2020</v>
      </c>
      <c r="N339" s="2">
        <v>232.72</v>
      </c>
      <c r="O339" s="2">
        <v>245.43</v>
      </c>
      <c r="P339" s="2">
        <v>9.0000000000003397E-2</v>
      </c>
    </row>
    <row r="340" spans="1:16" s="2" customFormat="1" x14ac:dyDescent="0.25">
      <c r="A340" s="2">
        <v>45909363</v>
      </c>
      <c r="B340" s="2">
        <v>45909370</v>
      </c>
      <c r="C340" s="2" t="str">
        <f>"UNIMEDSJN"</f>
        <v>UNIMEDSJN</v>
      </c>
      <c r="D340" s="2" t="str">
        <f>"DH"</f>
        <v>DH</v>
      </c>
      <c r="E340" s="2" t="str">
        <f>"Humberto Bernardo Rodrigues"</f>
        <v>Humberto Bernardo Rodrigues</v>
      </c>
      <c r="F340" s="2" t="str">
        <f>"45909363-1/1"</f>
        <v>45909363-1/1</v>
      </c>
      <c r="G340" s="2" t="str">
        <f>"Carteira 21"</f>
        <v>Carteira 21</v>
      </c>
      <c r="H340" s="2">
        <v>24</v>
      </c>
      <c r="I340" s="3">
        <v>140</v>
      </c>
      <c r="J340" s="2" t="str">
        <f>"01/11/2019"</f>
        <v>01/11/2019</v>
      </c>
      <c r="K340" s="2" t="str">
        <f>"25/11/2019"</f>
        <v>25/11/2019</v>
      </c>
      <c r="L340" s="2" t="str">
        <f>"07/02/2020"</f>
        <v>07/02/2020</v>
      </c>
      <c r="M340" s="2" t="str">
        <f>"10/02/2020"</f>
        <v>10/02/2020</v>
      </c>
      <c r="N340" s="2">
        <v>249.82</v>
      </c>
      <c r="O340" s="2">
        <v>260.92</v>
      </c>
      <c r="P340" s="2">
        <v>5.9999999999973803E-2</v>
      </c>
    </row>
    <row r="341" spans="1:16" s="2" customFormat="1" x14ac:dyDescent="0.25">
      <c r="A341" s="2">
        <v>47507828</v>
      </c>
      <c r="B341" s="2">
        <v>47507833</v>
      </c>
      <c r="C341" s="2" t="str">
        <f>"UNIMEDSJN"</f>
        <v>UNIMEDSJN</v>
      </c>
      <c r="D341" s="2" t="str">
        <f>"DH"</f>
        <v>DH</v>
      </c>
      <c r="E341" s="2" t="str">
        <f>"Humberto Bernardo Rodrigues"</f>
        <v>Humberto Bernardo Rodrigues</v>
      </c>
      <c r="F341" s="2" t="str">
        <f>"47507828-1/1"</f>
        <v>47507828-1/1</v>
      </c>
      <c r="G341" s="2" t="str">
        <f>"Carteira 21"</f>
        <v>Carteira 21</v>
      </c>
      <c r="H341" s="2">
        <v>24</v>
      </c>
      <c r="I341" s="3">
        <v>110</v>
      </c>
      <c r="J341" s="2" t="str">
        <f>"01/12/2019"</f>
        <v>01/12/2019</v>
      </c>
      <c r="K341" s="2" t="str">
        <f>"25/12/2019"</f>
        <v>25/12/2019</v>
      </c>
      <c r="L341" s="2" t="str">
        <f>"26/03/2020"</f>
        <v>26/03/2020</v>
      </c>
      <c r="M341" s="2" t="str">
        <f>"27/03/2020"</f>
        <v>27/03/2020</v>
      </c>
      <c r="N341" s="2">
        <v>249.82</v>
      </c>
      <c r="O341" s="2">
        <v>262.41000000000003</v>
      </c>
      <c r="P341" s="2">
        <v>6.9999999999964799E-2</v>
      </c>
    </row>
    <row r="342" spans="1:16" s="2" customFormat="1" x14ac:dyDescent="0.25">
      <c r="A342" s="2">
        <v>48580854</v>
      </c>
      <c r="B342" s="2">
        <v>48580859</v>
      </c>
      <c r="C342" s="2" t="str">
        <f>"UNIMEDSJN"</f>
        <v>UNIMEDSJN</v>
      </c>
      <c r="D342" s="2" t="str">
        <f>"DH"</f>
        <v>DH</v>
      </c>
      <c r="E342" s="2" t="str">
        <f>"Humberto Bernardo Rodrigues"</f>
        <v>Humberto Bernardo Rodrigues</v>
      </c>
      <c r="F342" s="2" t="str">
        <f>"48580854-1/1"</f>
        <v>48580854-1/1</v>
      </c>
      <c r="G342" s="2" t="str">
        <f>"Carteira 21"</f>
        <v>Carteira 21</v>
      </c>
      <c r="H342" s="2">
        <v>23</v>
      </c>
      <c r="I342" s="3">
        <v>79</v>
      </c>
      <c r="J342" s="2" t="str">
        <f>"02/01/2020"</f>
        <v>02/01/2020</v>
      </c>
      <c r="K342" s="2" t="str">
        <f>"25/01/2020"</f>
        <v>25/01/2020</v>
      </c>
      <c r="L342" s="2" t="str">
        <f>"27/01/2020"</f>
        <v>27/01/2020</v>
      </c>
      <c r="M342" s="2" t="str">
        <f>"27/12/2019"</f>
        <v>27/12/2019</v>
      </c>
      <c r="N342" s="2">
        <v>249.82</v>
      </c>
      <c r="O342" s="2">
        <v>249.82</v>
      </c>
      <c r="P342" s="2">
        <v>0</v>
      </c>
    </row>
    <row r="343" spans="1:16" s="2" customFormat="1" x14ac:dyDescent="0.25">
      <c r="A343" s="2">
        <v>45462638</v>
      </c>
      <c r="B343" s="2">
        <v>45462647</v>
      </c>
      <c r="C343" s="2" t="str">
        <f>"UNIMEDSJN"</f>
        <v>UNIMEDSJN</v>
      </c>
      <c r="D343" s="2" t="str">
        <f>"DH"</f>
        <v>DH</v>
      </c>
      <c r="E343" s="2" t="str">
        <f>"IGOR FARIA AZEVEDO"</f>
        <v>IGOR FARIA AZEVEDO</v>
      </c>
      <c r="F343" s="2" t="str">
        <f>"45462638-1/1"</f>
        <v>45462638-1/1</v>
      </c>
      <c r="G343" s="2" t="str">
        <f>"Carteira 21"</f>
        <v>Carteira 21</v>
      </c>
      <c r="H343" s="2">
        <v>24</v>
      </c>
      <c r="I343" s="3">
        <v>171</v>
      </c>
      <c r="J343" s="2" t="str">
        <f>"01/10/2019"</f>
        <v>01/10/2019</v>
      </c>
      <c r="K343" s="2" t="str">
        <f>"25/10/2019"</f>
        <v>25/10/2019</v>
      </c>
      <c r="L343" s="2" t="str">
        <f>"25/10/2019"</f>
        <v>25/10/2019</v>
      </c>
      <c r="M343" s="2" t="str">
        <f>"27/09/2019"</f>
        <v>27/09/2019</v>
      </c>
      <c r="N343" s="2">
        <v>141.63</v>
      </c>
      <c r="O343" s="2">
        <v>141.63</v>
      </c>
      <c r="P343" s="2">
        <v>0</v>
      </c>
    </row>
    <row r="344" spans="1:16" s="2" customFormat="1" x14ac:dyDescent="0.25">
      <c r="A344" s="2">
        <v>45922325</v>
      </c>
      <c r="B344" s="2">
        <v>45922334</v>
      </c>
      <c r="C344" s="2" t="str">
        <f>"UNIMEDSJN"</f>
        <v>UNIMEDSJN</v>
      </c>
      <c r="D344" s="2" t="str">
        <f>"DH"</f>
        <v>DH</v>
      </c>
      <c r="E344" s="2" t="str">
        <f>"IGOR FARIA AZEVEDO"</f>
        <v>IGOR FARIA AZEVEDO</v>
      </c>
      <c r="F344" s="2" t="str">
        <f>"45922325-1/1"</f>
        <v>45922325-1/1</v>
      </c>
      <c r="G344" s="2" t="str">
        <f>"Carteira 21"</f>
        <v>Carteira 21</v>
      </c>
      <c r="H344" s="2">
        <v>24</v>
      </c>
      <c r="I344" s="3">
        <v>140</v>
      </c>
      <c r="J344" s="2" t="str">
        <f>"01/11/2019"</f>
        <v>01/11/2019</v>
      </c>
      <c r="K344" s="2" t="str">
        <f>"25/11/2019"</f>
        <v>25/11/2019</v>
      </c>
      <c r="L344" s="2" t="str">
        <f>"25/11/2019"</f>
        <v>25/11/2019</v>
      </c>
      <c r="M344" s="2" t="str">
        <f>"31/10/2019"</f>
        <v>31/10/2019</v>
      </c>
      <c r="N344" s="2">
        <v>141.63</v>
      </c>
      <c r="O344" s="2">
        <v>141.63</v>
      </c>
      <c r="P344" s="2">
        <v>0</v>
      </c>
    </row>
    <row r="345" spans="1:16" s="2" customFormat="1" x14ac:dyDescent="0.25">
      <c r="A345" s="2">
        <v>47504182</v>
      </c>
      <c r="B345" s="2">
        <v>47504187</v>
      </c>
      <c r="C345" s="2" t="str">
        <f>"UNIMEDSJN"</f>
        <v>UNIMEDSJN</v>
      </c>
      <c r="D345" s="2" t="str">
        <f>"DH"</f>
        <v>DH</v>
      </c>
      <c r="E345" s="2" t="str">
        <f>"IGOR FARIA AZEVEDO"</f>
        <v>IGOR FARIA AZEVEDO</v>
      </c>
      <c r="F345" s="2" t="str">
        <f>"47504182-1/1"</f>
        <v>47504182-1/1</v>
      </c>
      <c r="G345" s="2" t="str">
        <f>"Carteira 21"</f>
        <v>Carteira 21</v>
      </c>
      <c r="H345" s="2">
        <v>24</v>
      </c>
      <c r="I345" s="3">
        <v>110</v>
      </c>
      <c r="J345" s="2" t="str">
        <f>"01/12/2019"</f>
        <v>01/12/2019</v>
      </c>
      <c r="K345" s="2" t="str">
        <f>"25/12/2019"</f>
        <v>25/12/2019</v>
      </c>
      <c r="L345" s="2" t="str">
        <f>"25/12/2019"</f>
        <v>25/12/2019</v>
      </c>
      <c r="M345" s="2" t="str">
        <f>"28/11/2019"</f>
        <v>28/11/2019</v>
      </c>
      <c r="N345" s="2">
        <v>141.63</v>
      </c>
      <c r="O345" s="2">
        <v>141.63</v>
      </c>
      <c r="P345" s="2">
        <v>0</v>
      </c>
    </row>
    <row r="346" spans="1:16" s="2" customFormat="1" x14ac:dyDescent="0.25">
      <c r="A346" s="2">
        <v>48578835</v>
      </c>
      <c r="B346" s="2">
        <v>48578846</v>
      </c>
      <c r="C346" s="2" t="str">
        <f>"UNIMEDSJN"</f>
        <v>UNIMEDSJN</v>
      </c>
      <c r="D346" s="2" t="str">
        <f>"DH"</f>
        <v>DH</v>
      </c>
      <c r="E346" s="2" t="str">
        <f>"IGOR FARIA AZEVEDO"</f>
        <v>IGOR FARIA AZEVEDO</v>
      </c>
      <c r="F346" s="2" t="str">
        <f>"48578835-1/1"</f>
        <v>48578835-1/1</v>
      </c>
      <c r="G346" s="2" t="str">
        <f>"Carteira 21"</f>
        <v>Carteira 21</v>
      </c>
      <c r="H346" s="2">
        <v>23</v>
      </c>
      <c r="I346" s="3">
        <v>79</v>
      </c>
      <c r="J346" s="2" t="str">
        <f>"02/01/2020"</f>
        <v>02/01/2020</v>
      </c>
      <c r="K346" s="2" t="str">
        <f>"25/01/2020"</f>
        <v>25/01/2020</v>
      </c>
      <c r="L346" s="2" t="str">
        <f>"27/01/2020"</f>
        <v>27/01/2020</v>
      </c>
      <c r="M346" s="2" t="str">
        <f>"27/12/2019"</f>
        <v>27/12/2019</v>
      </c>
      <c r="N346" s="2">
        <v>141.63</v>
      </c>
      <c r="O346" s="2">
        <v>141.63</v>
      </c>
      <c r="P346" s="2">
        <v>0</v>
      </c>
    </row>
    <row r="347" spans="1:16" s="2" customFormat="1" x14ac:dyDescent="0.25">
      <c r="A347" s="2">
        <v>44307083</v>
      </c>
      <c r="B347" s="2">
        <v>44307092</v>
      </c>
      <c r="C347" s="2" t="str">
        <f>"UNIMEDSJN"</f>
        <v>UNIMEDSJN</v>
      </c>
      <c r="D347" s="2" t="str">
        <f>"DH"</f>
        <v>DH</v>
      </c>
      <c r="E347" s="2" t="str">
        <f>"IGOR KNOP ZAMPA"</f>
        <v>IGOR KNOP ZAMPA</v>
      </c>
      <c r="F347" s="2" t="str">
        <f>"44307083-1/1"</f>
        <v>44307083-1/1</v>
      </c>
      <c r="G347" s="2" t="str">
        <f>"Carteira 21"</f>
        <v>Carteira 21</v>
      </c>
      <c r="H347" s="2">
        <v>17</v>
      </c>
      <c r="I347" s="3">
        <v>239</v>
      </c>
      <c r="J347" s="2" t="str">
        <f>"01/08/2019"</f>
        <v>01/08/2019</v>
      </c>
      <c r="K347" s="2" t="str">
        <f>"18/08/2019"</f>
        <v>18/08/2019</v>
      </c>
      <c r="L347" s="2" t="str">
        <f>"19/08/2019"</f>
        <v>19/08/2019</v>
      </c>
      <c r="M347" s="2" t="str">
        <f>"31/07/2019"</f>
        <v>31/07/2019</v>
      </c>
      <c r="N347" s="2">
        <v>239.22</v>
      </c>
      <c r="O347" s="2">
        <v>239.22</v>
      </c>
      <c r="P347" s="2">
        <v>0</v>
      </c>
    </row>
    <row r="348" spans="1:16" s="2" customFormat="1" x14ac:dyDescent="0.25">
      <c r="A348" s="2">
        <v>48566922</v>
      </c>
      <c r="B348" s="2">
        <v>48566933</v>
      </c>
      <c r="C348" s="2" t="str">
        <f>"UNIMEDSJN"</f>
        <v>UNIMEDSJN</v>
      </c>
      <c r="D348" s="2" t="str">
        <f>"DH"</f>
        <v>DH</v>
      </c>
      <c r="E348" s="2" t="str">
        <f>"ILCA RODRIGUES LIMA"</f>
        <v>ILCA RODRIGUES LIMA</v>
      </c>
      <c r="F348" s="2" t="str">
        <f>"48566922-1/1"</f>
        <v>48566922-1/1</v>
      </c>
      <c r="G348" s="2" t="str">
        <f>"Carteira 21"</f>
        <v>Carteira 21</v>
      </c>
      <c r="H348" s="2">
        <v>23</v>
      </c>
      <c r="I348" s="3">
        <v>79</v>
      </c>
      <c r="J348" s="2" t="str">
        <f>"02/01/2020"</f>
        <v>02/01/2020</v>
      </c>
      <c r="K348" s="2" t="str">
        <f>"25/01/2020"</f>
        <v>25/01/2020</v>
      </c>
      <c r="L348" s="2" t="str">
        <f>"04/02/2020"</f>
        <v>04/02/2020</v>
      </c>
      <c r="M348" s="2" t="str">
        <f>"05/02/2020"</f>
        <v>05/02/2020</v>
      </c>
      <c r="N348" s="2">
        <v>644.71</v>
      </c>
      <c r="O348" s="2">
        <v>659.3</v>
      </c>
      <c r="P348" s="2">
        <v>0.44999999999993201</v>
      </c>
    </row>
    <row r="349" spans="1:16" x14ac:dyDescent="0.25">
      <c r="A349">
        <v>48793949</v>
      </c>
      <c r="B349">
        <v>48793956</v>
      </c>
      <c r="C349" t="str">
        <f>"UNIMEDSJN"</f>
        <v>UNIMEDSJN</v>
      </c>
      <c r="D349" t="str">
        <f>"DH"</f>
        <v>DH</v>
      </c>
      <c r="E349" t="str">
        <f>"IOLANDA FAJARDO"</f>
        <v>IOLANDA FAJARDO</v>
      </c>
      <c r="F349" t="str">
        <f>"48793949-1/1"</f>
        <v>48793949-1/1</v>
      </c>
      <c r="G349" t="str">
        <f>"Carteira 21"</f>
        <v>Carteira 21</v>
      </c>
      <c r="H349">
        <v>27</v>
      </c>
      <c r="I349" s="1">
        <v>57</v>
      </c>
      <c r="J349" t="str">
        <f>"20/01/2020"</f>
        <v>20/01/2020</v>
      </c>
      <c r="K349" t="str">
        <f>"16/02/2020"</f>
        <v>16/02/2020</v>
      </c>
      <c r="L349" t="str">
        <f>"18/02/2020"</f>
        <v>18/02/2020</v>
      </c>
      <c r="M349" t="str">
        <f>"19/02/2020"</f>
        <v>19/02/2020</v>
      </c>
      <c r="N349">
        <v>516.19000000000005</v>
      </c>
      <c r="O349">
        <v>526.67999999999995</v>
      </c>
      <c r="P349">
        <v>0.16999999999995899</v>
      </c>
    </row>
    <row r="350" spans="1:16" s="2" customFormat="1" x14ac:dyDescent="0.25">
      <c r="A350" s="2">
        <v>47507770</v>
      </c>
      <c r="B350" s="2">
        <v>47507777</v>
      </c>
      <c r="C350" s="2" t="str">
        <f>"UNIMEDSJN"</f>
        <v>UNIMEDSJN</v>
      </c>
      <c r="D350" s="2" t="str">
        <f>"DH"</f>
        <v>DH</v>
      </c>
      <c r="E350" s="2" t="str">
        <f>"Irene Chaves Kattah"</f>
        <v>Irene Chaves Kattah</v>
      </c>
      <c r="F350" s="2" t="str">
        <f>"47507770-1/1"</f>
        <v>47507770-1/1</v>
      </c>
      <c r="G350" s="2" t="str">
        <f>"Carteira 21"</f>
        <v>Carteira 21</v>
      </c>
      <c r="H350" s="2">
        <v>24</v>
      </c>
      <c r="I350" s="3">
        <v>110</v>
      </c>
      <c r="J350" s="2" t="str">
        <f>"01/12/2019"</f>
        <v>01/12/2019</v>
      </c>
      <c r="K350" s="2" t="str">
        <f>"25/12/2019"</f>
        <v>25/12/2019</v>
      </c>
      <c r="L350" s="2" t="str">
        <f>"04/02/2020"</f>
        <v>04/02/2020</v>
      </c>
      <c r="M350" s="2" t="str">
        <f>"05/02/2020"</f>
        <v>05/02/2020</v>
      </c>
      <c r="N350" s="2">
        <v>900.95</v>
      </c>
      <c r="O350" s="2">
        <v>931.16</v>
      </c>
      <c r="P350" s="2">
        <v>0.120000000000118</v>
      </c>
    </row>
    <row r="351" spans="1:16" s="2" customFormat="1" x14ac:dyDescent="0.25">
      <c r="A351" s="2">
        <v>48582363</v>
      </c>
      <c r="B351" s="2">
        <v>48582373</v>
      </c>
      <c r="C351" s="2" t="str">
        <f>"UNIMEDSJN"</f>
        <v>UNIMEDSJN</v>
      </c>
      <c r="D351" s="2" t="str">
        <f>"DH"</f>
        <v>DH</v>
      </c>
      <c r="E351" s="2" t="str">
        <f>"Irene Chaves Kattah"</f>
        <v>Irene Chaves Kattah</v>
      </c>
      <c r="F351" s="2" t="str">
        <f>"48582363-1/1"</f>
        <v>48582363-1/1</v>
      </c>
      <c r="G351" s="2" t="str">
        <f>"Carteira 21"</f>
        <v>Carteira 21</v>
      </c>
      <c r="H351" s="2">
        <v>23</v>
      </c>
      <c r="I351" s="3">
        <v>79</v>
      </c>
      <c r="J351" s="2" t="str">
        <f>"02/01/2020"</f>
        <v>02/01/2020</v>
      </c>
      <c r="K351" s="2" t="str">
        <f>"25/01/2020"</f>
        <v>25/01/2020</v>
      </c>
      <c r="L351" s="2" t="str">
        <f>"02/03/2020"</f>
        <v>02/03/2020</v>
      </c>
      <c r="M351" s="2" t="str">
        <f>"03/03/2020"</f>
        <v>03/03/2020</v>
      </c>
      <c r="N351" s="2">
        <v>900.95</v>
      </c>
      <c r="O351" s="2">
        <v>929.37</v>
      </c>
      <c r="P351" s="2">
        <v>0.71000000000003605</v>
      </c>
    </row>
    <row r="352" spans="1:16" s="2" customFormat="1" x14ac:dyDescent="0.25">
      <c r="A352" s="2">
        <v>48576180</v>
      </c>
      <c r="B352" s="2">
        <v>48576197</v>
      </c>
      <c r="C352" s="2" t="str">
        <f>"UNIMEDSJN"</f>
        <v>UNIMEDSJN</v>
      </c>
      <c r="D352" s="2" t="str">
        <f>"DH"</f>
        <v>DH</v>
      </c>
      <c r="E352" s="2" t="str">
        <f>"Isaac Pinheiro Sequeto"</f>
        <v>Isaac Pinheiro Sequeto</v>
      </c>
      <c r="F352" s="2" t="str">
        <f>"48576180-1/1"</f>
        <v>48576180-1/1</v>
      </c>
      <c r="G352" s="2" t="str">
        <f>"Carteira 21"</f>
        <v>Carteira 21</v>
      </c>
      <c r="H352" s="2">
        <v>23</v>
      </c>
      <c r="I352" s="3">
        <v>79</v>
      </c>
      <c r="J352" s="2" t="str">
        <f>"02/01/2020"</f>
        <v>02/01/2020</v>
      </c>
      <c r="K352" s="2" t="str">
        <f>"25/01/2020"</f>
        <v>25/01/2020</v>
      </c>
      <c r="L352" s="2" t="str">
        <f>"04/03/2020"</f>
        <v>04/03/2020</v>
      </c>
      <c r="M352" s="2" t="str">
        <f>"05/03/2020"</f>
        <v>05/03/2020</v>
      </c>
      <c r="N352" s="2">
        <v>75.900000000000006</v>
      </c>
      <c r="O352" s="2">
        <v>78.349999999999994</v>
      </c>
      <c r="P352" s="2">
        <v>6.0000000000002301E-2</v>
      </c>
    </row>
    <row r="353" spans="1:16" s="2" customFormat="1" x14ac:dyDescent="0.25">
      <c r="A353" s="2">
        <v>48570469</v>
      </c>
      <c r="B353" s="2">
        <v>48570481</v>
      </c>
      <c r="C353" s="2" t="str">
        <f>"UNIMEDSJN"</f>
        <v>UNIMEDSJN</v>
      </c>
      <c r="D353" s="2" t="str">
        <f>"DH"</f>
        <v>DH</v>
      </c>
      <c r="E353" s="2" t="str">
        <f>"ISABEL CRISTINA REZENDE MARTINS"</f>
        <v>ISABEL CRISTINA REZENDE MARTINS</v>
      </c>
      <c r="F353" s="2" t="str">
        <f>"48570469-1/1"</f>
        <v>48570469-1/1</v>
      </c>
      <c r="G353" s="2" t="str">
        <f>"Carteira 21"</f>
        <v>Carteira 21</v>
      </c>
      <c r="H353" s="2">
        <v>23</v>
      </c>
      <c r="I353" s="3">
        <v>79</v>
      </c>
      <c r="J353" s="2" t="str">
        <f>"02/01/2020"</f>
        <v>02/01/2020</v>
      </c>
      <c r="K353" s="2" t="str">
        <f>"25/01/2020"</f>
        <v>25/01/2020</v>
      </c>
      <c r="L353" s="2" t="str">
        <f>"04/02/2020"</f>
        <v>04/02/2020</v>
      </c>
      <c r="M353" s="2" t="str">
        <f>"05/02/2020"</f>
        <v>05/02/2020</v>
      </c>
      <c r="N353" s="2">
        <v>200.4</v>
      </c>
      <c r="O353" s="2">
        <v>204.94</v>
      </c>
      <c r="P353" s="2">
        <v>0.140000000000015</v>
      </c>
    </row>
    <row r="354" spans="1:16" s="2" customFormat="1" x14ac:dyDescent="0.25">
      <c r="A354" s="2">
        <v>48565747</v>
      </c>
      <c r="B354" s="2">
        <v>48565752</v>
      </c>
      <c r="C354" s="2" t="str">
        <f>"UNIMEDSJN"</f>
        <v>UNIMEDSJN</v>
      </c>
      <c r="D354" s="2" t="str">
        <f>"DH"</f>
        <v>DH</v>
      </c>
      <c r="E354" s="2" t="str">
        <f>"ISABELLA DETONI ALVES"</f>
        <v>ISABELLA DETONI ALVES</v>
      </c>
      <c r="F354" s="2" t="str">
        <f>"48565747-1/1"</f>
        <v>48565747-1/1</v>
      </c>
      <c r="G354" s="2" t="str">
        <f>"Carteira 21"</f>
        <v>Carteira 21</v>
      </c>
      <c r="H354" s="2">
        <v>20</v>
      </c>
      <c r="I354" s="3">
        <v>82</v>
      </c>
      <c r="J354" s="2" t="str">
        <f>"02/01/2020"</f>
        <v>02/01/2020</v>
      </c>
      <c r="K354" s="2" t="str">
        <f>"22/01/2020"</f>
        <v>22/01/2020</v>
      </c>
      <c r="L354" s="2" t="str">
        <f>"04/02/2020"</f>
        <v>04/02/2020</v>
      </c>
      <c r="M354" s="2" t="str">
        <f>"05/02/2020"</f>
        <v>05/02/2020</v>
      </c>
      <c r="N354" s="2">
        <v>216.55</v>
      </c>
      <c r="O354" s="2">
        <v>221.81</v>
      </c>
      <c r="P354" s="2">
        <v>1.0000000000019301E-2</v>
      </c>
    </row>
    <row r="355" spans="1:16" s="2" customFormat="1" x14ac:dyDescent="0.25">
      <c r="A355" s="2">
        <v>48578291</v>
      </c>
      <c r="B355" s="2">
        <v>48578296</v>
      </c>
      <c r="C355" s="2" t="str">
        <f>"UNIMEDSJN"</f>
        <v>UNIMEDSJN</v>
      </c>
      <c r="D355" s="2" t="str">
        <f>"DH"</f>
        <v>DH</v>
      </c>
      <c r="E355" s="2" t="str">
        <f>"ISABELLE COSTA MAIA"</f>
        <v>ISABELLE COSTA MAIA</v>
      </c>
      <c r="F355" s="2" t="str">
        <f>"48578291-1/1"</f>
        <v>48578291-1/1</v>
      </c>
      <c r="G355" s="2" t="str">
        <f>"Carteira 21"</f>
        <v>Carteira 21</v>
      </c>
      <c r="H355" s="2">
        <v>23</v>
      </c>
      <c r="I355" s="3">
        <v>79</v>
      </c>
      <c r="J355" s="2" t="str">
        <f>"02/01/2020"</f>
        <v>02/01/2020</v>
      </c>
      <c r="K355" s="2" t="str">
        <f>"25/01/2020"</f>
        <v>25/01/2020</v>
      </c>
      <c r="L355" s="2" t="str">
        <f>"07/02/2020"</f>
        <v>07/02/2020</v>
      </c>
      <c r="M355" s="2" t="str">
        <f>"10/02/2020"</f>
        <v>10/02/2020</v>
      </c>
      <c r="N355" s="2">
        <v>150.72</v>
      </c>
      <c r="O355" s="2">
        <v>154.28</v>
      </c>
      <c r="P355" s="2">
        <v>9.9999999999994302E-2</v>
      </c>
    </row>
    <row r="356" spans="1:16" x14ac:dyDescent="0.25">
      <c r="A356">
        <v>48616006</v>
      </c>
      <c r="B356">
        <v>48616017</v>
      </c>
      <c r="C356" t="str">
        <f>"UNIMEDSJN"</f>
        <v>UNIMEDSJN</v>
      </c>
      <c r="D356" t="str">
        <f>"DH"</f>
        <v>DH</v>
      </c>
      <c r="E356" t="str">
        <f>"ISRAEL AFONSO LIMA"</f>
        <v>ISRAEL AFONSO LIMA</v>
      </c>
      <c r="F356" t="str">
        <f>"48616006-1/1"</f>
        <v>48616006-1/1</v>
      </c>
      <c r="G356" t="str">
        <f>"Carteira 21"</f>
        <v>Carteira 21</v>
      </c>
      <c r="H356">
        <v>37</v>
      </c>
      <c r="I356" s="1">
        <v>47</v>
      </c>
      <c r="J356" t="str">
        <f>"20/01/2020"</f>
        <v>20/01/2020</v>
      </c>
      <c r="K356" t="str">
        <f>"26/02/2020"</f>
        <v>26/02/2020</v>
      </c>
      <c r="L356" t="str">
        <f>"26/02/2020"</f>
        <v>26/02/2020</v>
      </c>
      <c r="M356" t="str">
        <f>"19/02/2020"</f>
        <v>19/02/2020</v>
      </c>
      <c r="N356">
        <v>465.15</v>
      </c>
      <c r="O356">
        <v>465.15</v>
      </c>
      <c r="P356">
        <v>0</v>
      </c>
    </row>
    <row r="357" spans="1:16" s="2" customFormat="1" x14ac:dyDescent="0.25">
      <c r="A357" s="2">
        <v>48579278</v>
      </c>
      <c r="B357" s="2">
        <v>48579283</v>
      </c>
      <c r="C357" s="2" t="str">
        <f>"UNIMEDSJN"</f>
        <v>UNIMEDSJN</v>
      </c>
      <c r="D357" s="2" t="str">
        <f>"DH"</f>
        <v>DH</v>
      </c>
      <c r="E357" s="2" t="str">
        <f>"IVAN BARBOSA DE OLIVEIRA"</f>
        <v>IVAN BARBOSA DE OLIVEIRA</v>
      </c>
      <c r="F357" s="2" t="str">
        <f>"48579278-1/1"</f>
        <v>48579278-1/1</v>
      </c>
      <c r="G357" s="2" t="str">
        <f>"Carteira 21"</f>
        <v>Carteira 21</v>
      </c>
      <c r="H357" s="2">
        <v>23</v>
      </c>
      <c r="I357" s="3">
        <v>79</v>
      </c>
      <c r="J357" s="2" t="str">
        <f>"02/01/2020"</f>
        <v>02/01/2020</v>
      </c>
      <c r="K357" s="2" t="str">
        <f>"25/01/2020"</f>
        <v>25/01/2020</v>
      </c>
      <c r="L357" s="2" t="str">
        <f>"03/03/2020"</f>
        <v>03/03/2020</v>
      </c>
      <c r="M357" s="2" t="str">
        <f>"04/03/2020"</f>
        <v>04/03/2020</v>
      </c>
      <c r="N357" s="2">
        <v>215.09</v>
      </c>
      <c r="O357" s="2">
        <v>221.95</v>
      </c>
      <c r="P357" s="2">
        <v>0.15999999999999701</v>
      </c>
    </row>
    <row r="358" spans="1:16" s="2" customFormat="1" x14ac:dyDescent="0.25">
      <c r="A358" s="2">
        <v>48579952</v>
      </c>
      <c r="B358" s="2">
        <v>48579966</v>
      </c>
      <c r="C358" s="2" t="str">
        <f>"UNIMEDSJN"</f>
        <v>UNIMEDSJN</v>
      </c>
      <c r="D358" s="2" t="str">
        <f>"DH"</f>
        <v>DH</v>
      </c>
      <c r="E358" s="2" t="str">
        <f>"Izabel Cristina Vogel Romano"</f>
        <v>Izabel Cristina Vogel Romano</v>
      </c>
      <c r="F358" s="2" t="str">
        <f>"48579952-1/1"</f>
        <v>48579952-1/1</v>
      </c>
      <c r="G358" s="2" t="str">
        <f>"Carteira 21"</f>
        <v>Carteira 21</v>
      </c>
      <c r="H358" s="2">
        <v>23</v>
      </c>
      <c r="I358" s="3">
        <v>79</v>
      </c>
      <c r="J358" s="2" t="str">
        <f>"02/01/2020"</f>
        <v>02/01/2020</v>
      </c>
      <c r="K358" s="2" t="str">
        <f>"25/01/2020"</f>
        <v>25/01/2020</v>
      </c>
      <c r="L358" s="2" t="str">
        <f>"05/02/2020"</f>
        <v>05/02/2020</v>
      </c>
      <c r="M358" s="2" t="str">
        <f>"06/02/2020"</f>
        <v>06/02/2020</v>
      </c>
      <c r="N358" s="2">
        <v>198.45</v>
      </c>
      <c r="O358" s="2">
        <v>203.01</v>
      </c>
      <c r="P358" s="2">
        <v>0.140000000000015</v>
      </c>
    </row>
    <row r="359" spans="1:16" s="2" customFormat="1" x14ac:dyDescent="0.25">
      <c r="A359" s="2">
        <v>48563489</v>
      </c>
      <c r="B359" s="2">
        <v>48563496</v>
      </c>
      <c r="C359" s="2" t="str">
        <f>"UNIMEDSJN"</f>
        <v>UNIMEDSJN</v>
      </c>
      <c r="D359" s="2" t="str">
        <f>"DH"</f>
        <v>DH</v>
      </c>
      <c r="E359" s="2" t="str">
        <f>"IZABELA ALBERTONI LOUZADA"</f>
        <v>IZABELA ALBERTONI LOUZADA</v>
      </c>
      <c r="F359" s="2" t="str">
        <f>"48563489-1/1"</f>
        <v>48563489-1/1</v>
      </c>
      <c r="G359" s="2" t="str">
        <f>"Carteira 21"</f>
        <v>Carteira 21</v>
      </c>
      <c r="H359" s="2">
        <v>20</v>
      </c>
      <c r="I359" s="3">
        <v>82</v>
      </c>
      <c r="J359" s="2" t="str">
        <f>"02/01/2020"</f>
        <v>02/01/2020</v>
      </c>
      <c r="K359" s="2" t="str">
        <f>"22/01/2020"</f>
        <v>22/01/2020</v>
      </c>
      <c r="L359" s="2" t="str">
        <f>"17/02/2020"</f>
        <v>17/02/2020</v>
      </c>
      <c r="M359" s="2" t="str">
        <f>"18/02/2020"</f>
        <v>18/02/2020</v>
      </c>
      <c r="N359" s="2">
        <v>280.14999999999998</v>
      </c>
      <c r="O359" s="2">
        <v>288.16000000000003</v>
      </c>
      <c r="P359" s="2">
        <v>2.0000000000038699E-2</v>
      </c>
    </row>
    <row r="360" spans="1:16" x14ac:dyDescent="0.25">
      <c r="A360">
        <v>48615532</v>
      </c>
      <c r="B360">
        <v>48615544</v>
      </c>
      <c r="C360" t="str">
        <f>"UNIMEDSJN"</f>
        <v>UNIMEDSJN</v>
      </c>
      <c r="D360" t="str">
        <f>"DH"</f>
        <v>DH</v>
      </c>
      <c r="E360" t="str">
        <f>"JAIRO NOGUEIRA FURTADO"</f>
        <v>JAIRO NOGUEIRA FURTADO</v>
      </c>
      <c r="F360" t="str">
        <f>"48615532-1/1"</f>
        <v>48615532-1/1</v>
      </c>
      <c r="G360" t="str">
        <f>"Carteira 21"</f>
        <v>Carteira 21</v>
      </c>
      <c r="H360">
        <v>37</v>
      </c>
      <c r="I360" s="1">
        <v>47</v>
      </c>
      <c r="J360" t="str">
        <f>"20/01/2020"</f>
        <v>20/01/2020</v>
      </c>
      <c r="K360" t="str">
        <f>"26/02/2020"</f>
        <v>26/02/2020</v>
      </c>
      <c r="L360" t="str">
        <f>"28/02/2020"</f>
        <v>28/02/2020</v>
      </c>
      <c r="M360" t="str">
        <f>"13/03/2020"</f>
        <v>13/03/2020</v>
      </c>
      <c r="N360">
        <v>1056.52</v>
      </c>
      <c r="O360">
        <v>1078.3499999999999</v>
      </c>
      <c r="P360">
        <v>0</v>
      </c>
    </row>
    <row r="361" spans="1:16" s="2" customFormat="1" x14ac:dyDescent="0.25">
      <c r="A361" s="2">
        <v>45921998</v>
      </c>
      <c r="B361" s="2">
        <v>45922011</v>
      </c>
      <c r="C361" s="2" t="str">
        <f>"UNIMEDSJN"</f>
        <v>UNIMEDSJN</v>
      </c>
      <c r="D361" s="2" t="str">
        <f>"DH"</f>
        <v>DH</v>
      </c>
      <c r="E361" s="2" t="str">
        <f>"Jairo Pereira Toledo"</f>
        <v>Jairo Pereira Toledo</v>
      </c>
      <c r="F361" s="2" t="str">
        <f>"45921998-1/1"</f>
        <v>45921998-1/1</v>
      </c>
      <c r="G361" s="2" t="str">
        <f>"Carteira 21"</f>
        <v>Carteira 21</v>
      </c>
      <c r="H361" s="2">
        <v>24</v>
      </c>
      <c r="I361" s="3">
        <v>140</v>
      </c>
      <c r="J361" s="2" t="str">
        <f>"01/11/2019"</f>
        <v>01/11/2019</v>
      </c>
      <c r="K361" s="2" t="str">
        <f>"25/11/2019"</f>
        <v>25/11/2019</v>
      </c>
      <c r="L361" s="2" t="str">
        <f>"25/11/2019"</f>
        <v>25/11/2019</v>
      </c>
      <c r="M361" s="2" t="str">
        <f>"31/10/2019"</f>
        <v>31/10/2019</v>
      </c>
      <c r="N361" s="2">
        <v>70.260000000000005</v>
      </c>
      <c r="O361" s="2">
        <v>70.260000000000005</v>
      </c>
      <c r="P361" s="2">
        <v>0</v>
      </c>
    </row>
    <row r="362" spans="1:16" s="2" customFormat="1" x14ac:dyDescent="0.25">
      <c r="A362" s="2">
        <v>45922019</v>
      </c>
      <c r="B362" s="2">
        <v>45922036</v>
      </c>
      <c r="C362" s="2" t="str">
        <f>"UNIMEDSJN"</f>
        <v>UNIMEDSJN</v>
      </c>
      <c r="D362" s="2" t="str">
        <f>"DH"</f>
        <v>DH</v>
      </c>
      <c r="E362" s="2" t="str">
        <f>"Jairo Pereira Toledo"</f>
        <v>Jairo Pereira Toledo</v>
      </c>
      <c r="F362" s="2" t="str">
        <f>"45922019-1/1"</f>
        <v>45922019-1/1</v>
      </c>
      <c r="G362" s="2" t="str">
        <f>"Carteira 21"</f>
        <v>Carteira 21</v>
      </c>
      <c r="H362" s="2">
        <v>24</v>
      </c>
      <c r="I362" s="3">
        <v>140</v>
      </c>
      <c r="J362" s="2" t="str">
        <f>"01/11/2019"</f>
        <v>01/11/2019</v>
      </c>
      <c r="K362" s="2" t="str">
        <f>"25/11/2019"</f>
        <v>25/11/2019</v>
      </c>
      <c r="L362" s="2" t="str">
        <f>"25/11/2019"</f>
        <v>25/11/2019</v>
      </c>
      <c r="M362" s="2" t="str">
        <f>"31/10/2019"</f>
        <v>31/10/2019</v>
      </c>
      <c r="N362" s="2">
        <v>70.260000000000005</v>
      </c>
      <c r="O362" s="2">
        <v>70.260000000000005</v>
      </c>
      <c r="P362" s="2">
        <v>0</v>
      </c>
    </row>
    <row r="363" spans="1:16" s="2" customFormat="1" x14ac:dyDescent="0.25">
      <c r="A363" s="2">
        <v>47499209</v>
      </c>
      <c r="B363" s="2">
        <v>47499230</v>
      </c>
      <c r="C363" s="2" t="str">
        <f>"UNIMEDSJN"</f>
        <v>UNIMEDSJN</v>
      </c>
      <c r="D363" s="2" t="str">
        <f>"DH"</f>
        <v>DH</v>
      </c>
      <c r="E363" s="2" t="str">
        <f>"Jairo Pereira Toledo"</f>
        <v>Jairo Pereira Toledo</v>
      </c>
      <c r="F363" s="2" t="str">
        <f>"47499209-1/1"</f>
        <v>47499209-1/1</v>
      </c>
      <c r="G363" s="2" t="str">
        <f>"Carteira 21"</f>
        <v>Carteira 21</v>
      </c>
      <c r="H363" s="2">
        <v>24</v>
      </c>
      <c r="I363" s="3">
        <v>110</v>
      </c>
      <c r="J363" s="2" t="str">
        <f>"01/12/2019"</f>
        <v>01/12/2019</v>
      </c>
      <c r="K363" s="2" t="str">
        <f>"25/12/2019"</f>
        <v>25/12/2019</v>
      </c>
      <c r="L363" s="2" t="str">
        <f>"25/12/2019"</f>
        <v>25/12/2019</v>
      </c>
      <c r="M363" s="2" t="str">
        <f>"28/11/2019"</f>
        <v>28/11/2019</v>
      </c>
      <c r="N363" s="2">
        <v>70.260000000000005</v>
      </c>
      <c r="O363" s="2">
        <v>70.260000000000005</v>
      </c>
      <c r="P363" s="2">
        <v>0</v>
      </c>
    </row>
    <row r="364" spans="1:16" s="2" customFormat="1" x14ac:dyDescent="0.25">
      <c r="A364" s="2">
        <v>47499246</v>
      </c>
      <c r="B364" s="2">
        <v>47499266</v>
      </c>
      <c r="C364" s="2" t="str">
        <f>"UNIMEDSJN"</f>
        <v>UNIMEDSJN</v>
      </c>
      <c r="D364" s="2" t="str">
        <f>"DH"</f>
        <v>DH</v>
      </c>
      <c r="E364" s="2" t="str">
        <f>"Jairo Pereira Toledo"</f>
        <v>Jairo Pereira Toledo</v>
      </c>
      <c r="F364" s="2" t="str">
        <f>"47499246-1/1"</f>
        <v>47499246-1/1</v>
      </c>
      <c r="G364" s="2" t="str">
        <f>"Carteira 21"</f>
        <v>Carteira 21</v>
      </c>
      <c r="H364" s="2">
        <v>24</v>
      </c>
      <c r="I364" s="3">
        <v>110</v>
      </c>
      <c r="J364" s="2" t="str">
        <f>"01/12/2019"</f>
        <v>01/12/2019</v>
      </c>
      <c r="K364" s="2" t="str">
        <f>"25/12/2019"</f>
        <v>25/12/2019</v>
      </c>
      <c r="L364" s="2" t="str">
        <f>"25/12/2019"</f>
        <v>25/12/2019</v>
      </c>
      <c r="M364" s="2" t="str">
        <f>"28/11/2019"</f>
        <v>28/11/2019</v>
      </c>
      <c r="N364" s="2">
        <v>70.260000000000005</v>
      </c>
      <c r="O364" s="2">
        <v>70.260000000000005</v>
      </c>
      <c r="P364" s="2">
        <v>0</v>
      </c>
    </row>
    <row r="365" spans="1:16" s="2" customFormat="1" x14ac:dyDescent="0.25">
      <c r="A365" s="2">
        <v>48575122</v>
      </c>
      <c r="B365" s="2">
        <v>48575392</v>
      </c>
      <c r="C365" s="2" t="str">
        <f>"UNIMEDSJN"</f>
        <v>UNIMEDSJN</v>
      </c>
      <c r="D365" s="2" t="str">
        <f>"DH"</f>
        <v>DH</v>
      </c>
      <c r="E365" s="2" t="str">
        <f>"Jairo Pereira Toledo"</f>
        <v>Jairo Pereira Toledo</v>
      </c>
      <c r="F365" s="2" t="str">
        <f>"48575122-1/1"</f>
        <v>48575122-1/1</v>
      </c>
      <c r="G365" s="2" t="str">
        <f>"Carteira 21"</f>
        <v>Carteira 21</v>
      </c>
      <c r="H365" s="2">
        <v>23</v>
      </c>
      <c r="I365" s="3">
        <v>79</v>
      </c>
      <c r="J365" s="2" t="str">
        <f>"02/01/2020"</f>
        <v>02/01/2020</v>
      </c>
      <c r="K365" s="2" t="str">
        <f>"25/01/2020"</f>
        <v>25/01/2020</v>
      </c>
      <c r="L365" s="2" t="str">
        <f>"27/01/2020"</f>
        <v>27/01/2020</v>
      </c>
      <c r="M365" s="2" t="str">
        <f>"27/12/2019"</f>
        <v>27/12/2019</v>
      </c>
      <c r="N365" s="2">
        <v>70.260000000000005</v>
      </c>
      <c r="O365" s="2">
        <v>70.260000000000005</v>
      </c>
      <c r="P365" s="2">
        <v>0</v>
      </c>
    </row>
    <row r="366" spans="1:16" s="2" customFormat="1" x14ac:dyDescent="0.25">
      <c r="A366" s="2">
        <v>48575400</v>
      </c>
      <c r="B366" s="2">
        <v>48575413</v>
      </c>
      <c r="C366" s="2" t="str">
        <f>"UNIMEDSJN"</f>
        <v>UNIMEDSJN</v>
      </c>
      <c r="D366" s="2" t="str">
        <f>"DH"</f>
        <v>DH</v>
      </c>
      <c r="E366" s="2" t="str">
        <f>"Jairo Pereira Toledo"</f>
        <v>Jairo Pereira Toledo</v>
      </c>
      <c r="F366" s="2" t="str">
        <f>"48575400-1/1"</f>
        <v>48575400-1/1</v>
      </c>
      <c r="G366" s="2" t="str">
        <f>"Carteira 21"</f>
        <v>Carteira 21</v>
      </c>
      <c r="H366" s="2">
        <v>23</v>
      </c>
      <c r="I366" s="3">
        <v>79</v>
      </c>
      <c r="J366" s="2" t="str">
        <f>"02/01/2020"</f>
        <v>02/01/2020</v>
      </c>
      <c r="K366" s="2" t="str">
        <f>"25/01/2020"</f>
        <v>25/01/2020</v>
      </c>
      <c r="L366" s="2" t="str">
        <f>"27/01/2020"</f>
        <v>27/01/2020</v>
      </c>
      <c r="M366" s="2" t="str">
        <f>"27/12/2019"</f>
        <v>27/12/2019</v>
      </c>
      <c r="N366" s="2">
        <v>70.260000000000005</v>
      </c>
      <c r="O366" s="2">
        <v>70.260000000000005</v>
      </c>
      <c r="P366" s="2">
        <v>0</v>
      </c>
    </row>
    <row r="367" spans="1:16" s="2" customFormat="1" x14ac:dyDescent="0.25">
      <c r="A367" s="2">
        <v>43550644</v>
      </c>
      <c r="B367" s="2">
        <v>43550651</v>
      </c>
      <c r="C367" s="2" t="str">
        <f>"UNIMEDSJN"</f>
        <v>UNIMEDSJN</v>
      </c>
      <c r="D367" s="2" t="str">
        <f>"DH"</f>
        <v>DH</v>
      </c>
      <c r="E367" s="2" t="str">
        <f>"JANA AMORIM DOS SANTOS"</f>
        <v>JANA AMORIM DOS SANTOS</v>
      </c>
      <c r="F367" s="2" t="str">
        <f>"43550644-1/1"</f>
        <v>43550644-1/1</v>
      </c>
      <c r="G367" s="2" t="str">
        <f>"Carteira 21"</f>
        <v>Carteira 21</v>
      </c>
      <c r="H367" s="2">
        <v>22</v>
      </c>
      <c r="I367" s="3">
        <v>293</v>
      </c>
      <c r="J367" s="2" t="str">
        <f>"03/06/2019"</f>
        <v>03/06/2019</v>
      </c>
      <c r="K367" s="2" t="str">
        <f>"25/06/2019"</f>
        <v>25/06/2019</v>
      </c>
      <c r="L367" s="2" t="str">
        <f>"25/06/2019"</f>
        <v>25/06/2019</v>
      </c>
      <c r="M367" s="2" t="str">
        <f>"03/06/2019"</f>
        <v>03/06/2019</v>
      </c>
      <c r="N367" s="2">
        <v>188.3</v>
      </c>
      <c r="O367" s="2">
        <v>188.3</v>
      </c>
      <c r="P367" s="2">
        <v>0</v>
      </c>
    </row>
    <row r="368" spans="1:16" s="2" customFormat="1" x14ac:dyDescent="0.25">
      <c r="A368" s="2">
        <v>47510352</v>
      </c>
      <c r="B368" s="2">
        <v>47510368</v>
      </c>
      <c r="C368" s="2" t="str">
        <f>"UNIMEDSJN"</f>
        <v>UNIMEDSJN</v>
      </c>
      <c r="D368" s="2" t="str">
        <f>"DH"</f>
        <v>DH</v>
      </c>
      <c r="E368" s="2" t="str">
        <f>"JANE FERREIRA ALBERTONI LOUZADA"</f>
        <v>JANE FERREIRA ALBERTONI LOUZADA</v>
      </c>
      <c r="F368" s="2" t="str">
        <f>"47510352-1/1"</f>
        <v>47510352-1/1</v>
      </c>
      <c r="G368" s="2" t="str">
        <f>"Carteira 21"</f>
        <v>Carteira 21</v>
      </c>
      <c r="H368" s="2">
        <v>14</v>
      </c>
      <c r="I368" s="3">
        <v>120</v>
      </c>
      <c r="J368" s="2" t="str">
        <f>"01/12/2019"</f>
        <v>01/12/2019</v>
      </c>
      <c r="K368" s="2" t="str">
        <f>"15/12/2019"</f>
        <v>15/12/2019</v>
      </c>
      <c r="L368" s="2" t="str">
        <f>"13/02/2020"</f>
        <v>13/02/2020</v>
      </c>
      <c r="M368" s="2" t="str">
        <f>"14/02/2020"</f>
        <v>14/02/2020</v>
      </c>
      <c r="N368" s="2">
        <v>504.01</v>
      </c>
      <c r="O368" s="2">
        <v>523.9</v>
      </c>
      <c r="P368" s="2">
        <v>0.27000000000003899</v>
      </c>
    </row>
    <row r="369" spans="1:16" s="2" customFormat="1" x14ac:dyDescent="0.25">
      <c r="A369" s="2">
        <v>48562100</v>
      </c>
      <c r="B369" s="2">
        <v>48562107</v>
      </c>
      <c r="C369" s="2" t="str">
        <f>"UNIMEDSJN"</f>
        <v>UNIMEDSJN</v>
      </c>
      <c r="D369" s="2" t="str">
        <f>"DH"</f>
        <v>DH</v>
      </c>
      <c r="E369" s="2" t="str">
        <f>"JANE FERREIRA ALBERTONI LOUZADA"</f>
        <v>JANE FERREIRA ALBERTONI LOUZADA</v>
      </c>
      <c r="F369" s="2" t="str">
        <f>"48562100-1/1"</f>
        <v>48562100-1/1</v>
      </c>
      <c r="G369" s="2" t="str">
        <f>"Carteira 21"</f>
        <v>Carteira 21</v>
      </c>
      <c r="H369" s="2">
        <v>13</v>
      </c>
      <c r="I369" s="3">
        <v>89</v>
      </c>
      <c r="J369" s="2" t="str">
        <f>"02/01/2020"</f>
        <v>02/01/2020</v>
      </c>
      <c r="K369" s="2" t="str">
        <f>"15/01/2020"</f>
        <v>15/01/2020</v>
      </c>
      <c r="L369" s="2" t="str">
        <f>"27/02/2020"</f>
        <v>27/02/2020</v>
      </c>
      <c r="M369" s="2" t="str">
        <f>"28/02/2020"</f>
        <v>28/02/2020</v>
      </c>
      <c r="N369" s="2">
        <v>504.01</v>
      </c>
      <c r="O369" s="2">
        <v>521.24</v>
      </c>
      <c r="P369" s="2">
        <v>6.9999999999993207E-2</v>
      </c>
    </row>
    <row r="370" spans="1:16" s="2" customFormat="1" x14ac:dyDescent="0.25">
      <c r="A370" s="2">
        <v>45650472</v>
      </c>
      <c r="B370" s="2">
        <v>45650486</v>
      </c>
      <c r="C370" s="2" t="str">
        <f>"UNIMEDSJN"</f>
        <v>UNIMEDSJN</v>
      </c>
      <c r="D370" s="2" t="str">
        <f>"DH"</f>
        <v>DH</v>
      </c>
      <c r="E370" s="2" t="str">
        <f>"JANIMAR DE MELO MARQUES"</f>
        <v>JANIMAR DE MELO MARQUES</v>
      </c>
      <c r="F370" s="2" t="str">
        <f>"45650472-1/1"</f>
        <v>45650472-1/1</v>
      </c>
      <c r="G370" s="2" t="str">
        <f>"Carteira 21"</f>
        <v>Carteira 21</v>
      </c>
      <c r="H370" s="2">
        <v>24</v>
      </c>
      <c r="I370" s="3">
        <v>140</v>
      </c>
      <c r="J370" s="2" t="str">
        <f>"01/11/2019"</f>
        <v>01/11/2019</v>
      </c>
      <c r="K370" s="2" t="str">
        <f>"25/11/2019"</f>
        <v>25/11/2019</v>
      </c>
      <c r="L370" s="2" t="str">
        <f>"03/02/2020"</f>
        <v>03/02/2020</v>
      </c>
      <c r="M370" s="2" t="str">
        <f>"04/02/2020"</f>
        <v>04/02/2020</v>
      </c>
      <c r="N370" s="2">
        <v>260.47000000000003</v>
      </c>
      <c r="O370" s="2">
        <v>271.69</v>
      </c>
      <c r="P370" s="2">
        <v>7.0000000000049994E-2</v>
      </c>
    </row>
    <row r="371" spans="1:16" s="2" customFormat="1" x14ac:dyDescent="0.25">
      <c r="A371" s="2">
        <v>47490046</v>
      </c>
      <c r="B371" s="2">
        <v>47490056</v>
      </c>
      <c r="C371" s="2" t="str">
        <f>"UNIMEDSJN"</f>
        <v>UNIMEDSJN</v>
      </c>
      <c r="D371" s="2" t="str">
        <f>"DH"</f>
        <v>DH</v>
      </c>
      <c r="E371" s="2" t="str">
        <f>"JANIMAR DE MELO MARQUES"</f>
        <v>JANIMAR DE MELO MARQUES</v>
      </c>
      <c r="F371" s="2" t="str">
        <f>"47490046-1/1"</f>
        <v>47490046-1/1</v>
      </c>
      <c r="G371" s="2" t="str">
        <f>"Carteira 21"</f>
        <v>Carteira 21</v>
      </c>
      <c r="H371" s="2">
        <v>24</v>
      </c>
      <c r="I371" s="3">
        <v>110</v>
      </c>
      <c r="J371" s="2" t="str">
        <f>"01/12/2019"</f>
        <v>01/12/2019</v>
      </c>
      <c r="K371" s="2" t="str">
        <f>"25/12/2019"</f>
        <v>25/12/2019</v>
      </c>
      <c r="L371" s="2" t="str">
        <f>"16/03/2020"</f>
        <v>16/03/2020</v>
      </c>
      <c r="M371" s="2" t="str">
        <f>"17/03/2020"</f>
        <v>17/03/2020</v>
      </c>
      <c r="N371" s="2">
        <v>260.47000000000003</v>
      </c>
      <c r="O371" s="2">
        <v>272.73</v>
      </c>
      <c r="P371" s="2">
        <v>6.9999999999993207E-2</v>
      </c>
    </row>
    <row r="372" spans="1:16" s="2" customFormat="1" x14ac:dyDescent="0.25">
      <c r="A372" s="2">
        <v>48564164</v>
      </c>
      <c r="B372" s="2">
        <v>48564174</v>
      </c>
      <c r="C372" s="2" t="str">
        <f>"UNIMEDSJN"</f>
        <v>UNIMEDSJN</v>
      </c>
      <c r="D372" s="2" t="str">
        <f>"DH"</f>
        <v>DH</v>
      </c>
      <c r="E372" s="2" t="str">
        <f>"JANIMAR DE MELO MARQUES"</f>
        <v>JANIMAR DE MELO MARQUES</v>
      </c>
      <c r="F372" s="2" t="str">
        <f>"48564164-1/1"</f>
        <v>48564164-1/1</v>
      </c>
      <c r="G372" s="2" t="str">
        <f>"Carteira 21"</f>
        <v>Carteira 21</v>
      </c>
      <c r="H372" s="2">
        <v>23</v>
      </c>
      <c r="I372" s="3">
        <v>79</v>
      </c>
      <c r="J372" s="2" t="str">
        <f>"02/01/2020"</f>
        <v>02/01/2020</v>
      </c>
      <c r="K372" s="2" t="str">
        <f>"25/01/2020"</f>
        <v>25/01/2020</v>
      </c>
      <c r="L372" s="2" t="str">
        <f>"09/04/2020"</f>
        <v>09/04/2020</v>
      </c>
      <c r="M372" s="2" t="str">
        <f>"10/04/2020"</f>
        <v>10/04/2020</v>
      </c>
      <c r="N372" s="2">
        <v>260.47000000000003</v>
      </c>
      <c r="O372" s="2">
        <v>271.95</v>
      </c>
      <c r="P372" s="2">
        <v>0.24000000000000901</v>
      </c>
    </row>
    <row r="373" spans="1:16" s="2" customFormat="1" x14ac:dyDescent="0.25">
      <c r="A373" s="2">
        <v>45926590</v>
      </c>
      <c r="B373" s="2">
        <v>45926597</v>
      </c>
      <c r="C373" s="2" t="str">
        <f>"UNIMEDSJN"</f>
        <v>UNIMEDSJN</v>
      </c>
      <c r="D373" s="2" t="str">
        <f>"DH"</f>
        <v>DH</v>
      </c>
      <c r="E373" s="2" t="str">
        <f>"Jayne Ferreira Callegaro"</f>
        <v>Jayne Ferreira Callegaro</v>
      </c>
      <c r="F373" s="2" t="str">
        <f>"45926590-1/1"</f>
        <v>45926590-1/1</v>
      </c>
      <c r="G373" s="2" t="str">
        <f>"Carteira 21"</f>
        <v>Carteira 21</v>
      </c>
      <c r="H373" s="2">
        <v>24</v>
      </c>
      <c r="I373" s="3">
        <v>140</v>
      </c>
      <c r="J373" s="2" t="str">
        <f>"01/11/2019"</f>
        <v>01/11/2019</v>
      </c>
      <c r="K373" s="2" t="str">
        <f>"25/11/2019"</f>
        <v>25/11/2019</v>
      </c>
      <c r="L373" s="2" t="str">
        <f>"06/03/2020"</f>
        <v>06/03/2020</v>
      </c>
      <c r="M373" s="2" t="str">
        <f>"09/03/2020"</f>
        <v>09/03/2020</v>
      </c>
      <c r="N373" s="2">
        <v>264.2</v>
      </c>
      <c r="O373" s="2">
        <v>278.37</v>
      </c>
      <c r="P373" s="2">
        <v>8.9999999999975003E-2</v>
      </c>
    </row>
    <row r="374" spans="1:16" s="2" customFormat="1" x14ac:dyDescent="0.25">
      <c r="A374" s="2">
        <v>47509331</v>
      </c>
      <c r="B374" s="2">
        <v>47509338</v>
      </c>
      <c r="C374" s="2" t="str">
        <f>"UNIMEDSJN"</f>
        <v>UNIMEDSJN</v>
      </c>
      <c r="D374" s="2" t="str">
        <f>"DH"</f>
        <v>DH</v>
      </c>
      <c r="E374" s="2" t="str">
        <f>"Jayne Ferreira Callegaro"</f>
        <v>Jayne Ferreira Callegaro</v>
      </c>
      <c r="F374" s="2" t="str">
        <f>"47509331-1/1"</f>
        <v>47509331-1/1</v>
      </c>
      <c r="G374" s="2" t="str">
        <f>"Carteira 21"</f>
        <v>Carteira 21</v>
      </c>
      <c r="H374" s="2">
        <v>24</v>
      </c>
      <c r="I374" s="3">
        <v>110</v>
      </c>
      <c r="J374" s="2" t="str">
        <f>"01/12/2019"</f>
        <v>01/12/2019</v>
      </c>
      <c r="K374" s="2" t="str">
        <f>"25/12/2019"</f>
        <v>25/12/2019</v>
      </c>
      <c r="L374" s="2" t="str">
        <f>"06/03/2020"</f>
        <v>06/03/2020</v>
      </c>
      <c r="M374" s="2" t="str">
        <f>"09/03/2020"</f>
        <v>09/03/2020</v>
      </c>
      <c r="N374" s="2">
        <v>264.2</v>
      </c>
      <c r="O374" s="2">
        <v>275.76</v>
      </c>
      <c r="P374" s="2">
        <v>6.0000000000002301E-2</v>
      </c>
    </row>
    <row r="375" spans="1:16" s="2" customFormat="1" x14ac:dyDescent="0.25">
      <c r="A375" s="2">
        <v>48586314</v>
      </c>
      <c r="B375" s="2">
        <v>48586319</v>
      </c>
      <c r="C375" s="2" t="str">
        <f>"UNIMEDSJN"</f>
        <v>UNIMEDSJN</v>
      </c>
      <c r="D375" s="2" t="str">
        <f>"DH"</f>
        <v>DH</v>
      </c>
      <c r="E375" s="2" t="str">
        <f>"Jayne Ferreira Callegaro"</f>
        <v>Jayne Ferreira Callegaro</v>
      </c>
      <c r="F375" s="2" t="str">
        <f>"48586314-1/1"</f>
        <v>48586314-1/1</v>
      </c>
      <c r="G375" s="2" t="str">
        <f>"Carteira 21"</f>
        <v>Carteira 21</v>
      </c>
      <c r="H375" s="2">
        <v>23</v>
      </c>
      <c r="I375" s="3">
        <v>79</v>
      </c>
      <c r="J375" s="2" t="str">
        <f>"02/01/2020"</f>
        <v>02/01/2020</v>
      </c>
      <c r="K375" s="2" t="str">
        <f>"25/01/2020"</f>
        <v>25/01/2020</v>
      </c>
      <c r="L375" s="2" t="str">
        <f>"06/03/2020"</f>
        <v>06/03/2020</v>
      </c>
      <c r="M375" s="2" t="str">
        <f>"09/03/2020"</f>
        <v>09/03/2020</v>
      </c>
      <c r="N375" s="2">
        <v>264.2</v>
      </c>
      <c r="O375" s="2">
        <v>272.88</v>
      </c>
      <c r="P375" s="2">
        <v>0.20999999999998001</v>
      </c>
    </row>
    <row r="376" spans="1:16" s="2" customFormat="1" x14ac:dyDescent="0.25">
      <c r="A376" s="2">
        <v>45443367</v>
      </c>
      <c r="B376" s="2">
        <v>45443372</v>
      </c>
      <c r="C376" s="2" t="str">
        <f>"UNIMEDSJN"</f>
        <v>UNIMEDSJN</v>
      </c>
      <c r="D376" s="2" t="str">
        <f>"DH"</f>
        <v>DH</v>
      </c>
      <c r="E376" s="2" t="str">
        <f>"Jean Carlos Tostes Vieira"</f>
        <v>Jean Carlos Tostes Vieira</v>
      </c>
      <c r="F376" s="2" t="str">
        <f>"45443367-1/1"</f>
        <v>45443367-1/1</v>
      </c>
      <c r="G376" s="2" t="str">
        <f>"Carteira 21"</f>
        <v>Carteira 21</v>
      </c>
      <c r="H376" s="2">
        <v>24</v>
      </c>
      <c r="I376" s="3">
        <v>171</v>
      </c>
      <c r="J376" s="2" t="str">
        <f>"01/10/2019"</f>
        <v>01/10/2019</v>
      </c>
      <c r="K376" s="2" t="str">
        <f>"25/10/2019"</f>
        <v>25/10/2019</v>
      </c>
      <c r="L376" s="2" t="str">
        <f>"25/10/2019"</f>
        <v>25/10/2019</v>
      </c>
      <c r="M376" s="2" t="str">
        <f>"27/09/2019"</f>
        <v>27/09/2019</v>
      </c>
      <c r="N376" s="2">
        <v>96.51</v>
      </c>
      <c r="O376" s="2">
        <v>96.51</v>
      </c>
      <c r="P376" s="2">
        <v>0</v>
      </c>
    </row>
    <row r="377" spans="1:16" s="2" customFormat="1" x14ac:dyDescent="0.25">
      <c r="A377" s="2">
        <v>45925514</v>
      </c>
      <c r="B377" s="2">
        <v>45925524</v>
      </c>
      <c r="C377" s="2" t="str">
        <f>"UNIMEDSJN"</f>
        <v>UNIMEDSJN</v>
      </c>
      <c r="D377" s="2" t="str">
        <f>"DH"</f>
        <v>DH</v>
      </c>
      <c r="E377" s="2" t="str">
        <f>"Jean Carlos Tostes Vieira"</f>
        <v>Jean Carlos Tostes Vieira</v>
      </c>
      <c r="F377" s="2" t="str">
        <f>"45925514-1/1"</f>
        <v>45925514-1/1</v>
      </c>
      <c r="G377" s="2" t="str">
        <f>"Carteira 21"</f>
        <v>Carteira 21</v>
      </c>
      <c r="H377" s="2">
        <v>24</v>
      </c>
      <c r="I377" s="3">
        <v>140</v>
      </c>
      <c r="J377" s="2" t="str">
        <f>"01/11/2019"</f>
        <v>01/11/2019</v>
      </c>
      <c r="K377" s="2" t="str">
        <f>"25/11/2019"</f>
        <v>25/11/2019</v>
      </c>
      <c r="L377" s="2" t="str">
        <f>"25/11/2019"</f>
        <v>25/11/2019</v>
      </c>
      <c r="M377" s="2" t="str">
        <f>"31/10/2019"</f>
        <v>31/10/2019</v>
      </c>
      <c r="N377" s="2">
        <v>96.51</v>
      </c>
      <c r="O377" s="2">
        <v>96.51</v>
      </c>
      <c r="P377" s="2">
        <v>0</v>
      </c>
    </row>
    <row r="378" spans="1:16" s="2" customFormat="1" x14ac:dyDescent="0.25">
      <c r="A378" s="2">
        <v>47500229</v>
      </c>
      <c r="B378" s="2">
        <v>47500247</v>
      </c>
      <c r="C378" s="2" t="str">
        <f>"UNIMEDSJN"</f>
        <v>UNIMEDSJN</v>
      </c>
      <c r="D378" s="2" t="str">
        <f>"DH"</f>
        <v>DH</v>
      </c>
      <c r="E378" s="2" t="str">
        <f>"Jean Carlos Tostes Vieira"</f>
        <v>Jean Carlos Tostes Vieira</v>
      </c>
      <c r="F378" s="2" t="str">
        <f>"47500229-1/1"</f>
        <v>47500229-1/1</v>
      </c>
      <c r="G378" s="2" t="str">
        <f>"Carteira 21"</f>
        <v>Carteira 21</v>
      </c>
      <c r="H378" s="2">
        <v>24</v>
      </c>
      <c r="I378" s="3">
        <v>110</v>
      </c>
      <c r="J378" s="2" t="str">
        <f>"01/12/2019"</f>
        <v>01/12/2019</v>
      </c>
      <c r="K378" s="2" t="str">
        <f>"25/12/2019"</f>
        <v>25/12/2019</v>
      </c>
      <c r="L378" s="2" t="str">
        <f>"25/12/2019"</f>
        <v>25/12/2019</v>
      </c>
      <c r="M378" s="2" t="str">
        <f>"28/11/2019"</f>
        <v>28/11/2019</v>
      </c>
      <c r="N378" s="2">
        <v>96.51</v>
      </c>
      <c r="O378" s="2">
        <v>96.51</v>
      </c>
      <c r="P378" s="2">
        <v>0</v>
      </c>
    </row>
    <row r="379" spans="1:16" s="2" customFormat="1" x14ac:dyDescent="0.25">
      <c r="A379" s="2">
        <v>48574968</v>
      </c>
      <c r="B379" s="2">
        <v>48574982</v>
      </c>
      <c r="C379" s="2" t="str">
        <f>"UNIMEDSJN"</f>
        <v>UNIMEDSJN</v>
      </c>
      <c r="D379" s="2" t="str">
        <f>"DH"</f>
        <v>DH</v>
      </c>
      <c r="E379" s="2" t="str">
        <f>"Jean Carlos Tostes Vieira"</f>
        <v>Jean Carlos Tostes Vieira</v>
      </c>
      <c r="F379" s="2" t="str">
        <f>"48574968-1/1"</f>
        <v>48574968-1/1</v>
      </c>
      <c r="G379" s="2" t="str">
        <f>"Carteira 21"</f>
        <v>Carteira 21</v>
      </c>
      <c r="H379" s="2">
        <v>23</v>
      </c>
      <c r="I379" s="3">
        <v>79</v>
      </c>
      <c r="J379" s="2" t="str">
        <f>"02/01/2020"</f>
        <v>02/01/2020</v>
      </c>
      <c r="K379" s="2" t="str">
        <f>"25/01/2020"</f>
        <v>25/01/2020</v>
      </c>
      <c r="L379" s="2" t="str">
        <f>"27/01/2020"</f>
        <v>27/01/2020</v>
      </c>
      <c r="M379" s="2" t="str">
        <f>"27/12/2019"</f>
        <v>27/12/2019</v>
      </c>
      <c r="N379" s="2">
        <v>96.51</v>
      </c>
      <c r="O379" s="2">
        <v>96.51</v>
      </c>
      <c r="P379" s="2">
        <v>0</v>
      </c>
    </row>
    <row r="380" spans="1:16" s="2" customFormat="1" x14ac:dyDescent="0.25">
      <c r="A380" s="2">
        <v>48583302</v>
      </c>
      <c r="B380" s="2">
        <v>48583307</v>
      </c>
      <c r="C380" s="2" t="str">
        <f>"UNIMEDSJN"</f>
        <v>UNIMEDSJN</v>
      </c>
      <c r="D380" s="2" t="str">
        <f>"DH"</f>
        <v>DH</v>
      </c>
      <c r="E380" s="2" t="str">
        <f>"Jeandra Aparecida de Oliveira"</f>
        <v>Jeandra Aparecida de Oliveira</v>
      </c>
      <c r="F380" s="2" t="str">
        <f>"48583302-1/1"</f>
        <v>48583302-1/1</v>
      </c>
      <c r="G380" s="2" t="str">
        <f>"Carteira 21"</f>
        <v>Carteira 21</v>
      </c>
      <c r="H380" s="2">
        <v>23</v>
      </c>
      <c r="I380" s="3">
        <v>79</v>
      </c>
      <c r="J380" s="2" t="str">
        <f>"02/01/2020"</f>
        <v>02/01/2020</v>
      </c>
      <c r="K380" s="2" t="str">
        <f>"25/01/2020"</f>
        <v>25/01/2020</v>
      </c>
      <c r="L380" s="2" t="str">
        <f>"11/03/2020"</f>
        <v>11/03/2020</v>
      </c>
      <c r="M380" s="2" t="str">
        <f>"12/03/2020"</f>
        <v>12/03/2020</v>
      </c>
      <c r="N380" s="2">
        <v>139.9</v>
      </c>
      <c r="O380" s="2">
        <v>144.72999999999999</v>
      </c>
      <c r="P380" s="2">
        <v>0.12000000000000501</v>
      </c>
    </row>
    <row r="381" spans="1:16" s="2" customFormat="1" x14ac:dyDescent="0.25">
      <c r="A381" s="2">
        <v>45925480</v>
      </c>
      <c r="B381" s="2">
        <v>45925487</v>
      </c>
      <c r="C381" s="2" t="str">
        <f>"UNIMEDSJN"</f>
        <v>UNIMEDSJN</v>
      </c>
      <c r="D381" s="2" t="str">
        <f>"DH"</f>
        <v>DH</v>
      </c>
      <c r="E381" s="2" t="str">
        <f>"Jeli Patricia de Souza"</f>
        <v>Jeli Patricia de Souza</v>
      </c>
      <c r="F381" s="2" t="str">
        <f>"45925480-1/1"</f>
        <v>45925480-1/1</v>
      </c>
      <c r="G381" s="2" t="str">
        <f>"Carteira 21"</f>
        <v>Carteira 21</v>
      </c>
      <c r="H381" s="2">
        <v>14</v>
      </c>
      <c r="I381" s="3">
        <v>150</v>
      </c>
      <c r="J381" s="2" t="str">
        <f>"01/11/2019"</f>
        <v>01/11/2019</v>
      </c>
      <c r="K381" s="2" t="str">
        <f>"15/11/2019"</f>
        <v>15/11/2019</v>
      </c>
      <c r="L381" s="2" t="str">
        <f>"17/02/2020"</f>
        <v>17/02/2020</v>
      </c>
      <c r="M381" s="2" t="str">
        <f>"18/02/2020"</f>
        <v>18/02/2020</v>
      </c>
      <c r="N381" s="2">
        <v>136.04</v>
      </c>
      <c r="O381" s="2">
        <v>142.97999999999999</v>
      </c>
      <c r="P381" s="2">
        <v>3.9999999999992E-2</v>
      </c>
    </row>
    <row r="382" spans="1:16" s="2" customFormat="1" x14ac:dyDescent="0.25">
      <c r="A382" s="2">
        <v>48579902</v>
      </c>
      <c r="B382" s="2">
        <v>48579912</v>
      </c>
      <c r="C382" s="2" t="str">
        <f>"UNIMEDSJN"</f>
        <v>UNIMEDSJN</v>
      </c>
      <c r="D382" s="2" t="str">
        <f>"DH"</f>
        <v>DH</v>
      </c>
      <c r="E382" s="2" t="str">
        <f>"Jeli Patricia de Souza"</f>
        <v>Jeli Patricia de Souza</v>
      </c>
      <c r="F382" s="2" t="str">
        <f>"48579902-1/1"</f>
        <v>48579902-1/1</v>
      </c>
      <c r="G382" s="2" t="str">
        <f>"Carteira 21"</f>
        <v>Carteira 21</v>
      </c>
      <c r="H382" s="2">
        <v>23</v>
      </c>
      <c r="I382" s="3">
        <v>79</v>
      </c>
      <c r="J382" s="2" t="str">
        <f>"02/01/2020"</f>
        <v>02/01/2020</v>
      </c>
      <c r="K382" s="2" t="str">
        <f>"25/01/2020"</f>
        <v>25/01/2020</v>
      </c>
      <c r="L382" s="2" t="str">
        <f>"17/02/2020"</f>
        <v>17/02/2020</v>
      </c>
      <c r="M382" s="2" t="str">
        <f>"18/02/2020"</f>
        <v>18/02/2020</v>
      </c>
      <c r="N382" s="2">
        <v>146.04</v>
      </c>
      <c r="O382" s="2">
        <v>149.97</v>
      </c>
      <c r="P382" s="2">
        <v>0.109999999999985</v>
      </c>
    </row>
    <row r="383" spans="1:16" s="2" customFormat="1" x14ac:dyDescent="0.25">
      <c r="A383" s="2">
        <v>48579991</v>
      </c>
      <c r="B383" s="2">
        <v>48580001</v>
      </c>
      <c r="C383" s="2" t="str">
        <f>"UNIMEDSJN"</f>
        <v>UNIMEDSJN</v>
      </c>
      <c r="D383" s="2" t="str">
        <f>"DH"</f>
        <v>DH</v>
      </c>
      <c r="E383" s="2" t="str">
        <f>"Jessica da Silva Zampa"</f>
        <v>Jessica da Silva Zampa</v>
      </c>
      <c r="F383" s="2" t="str">
        <f>"48579991-1/1"</f>
        <v>48579991-1/1</v>
      </c>
      <c r="G383" s="2" t="str">
        <f>"Carteira 21"</f>
        <v>Carteira 21</v>
      </c>
      <c r="H383" s="2">
        <v>13</v>
      </c>
      <c r="I383" s="3">
        <v>89</v>
      </c>
      <c r="J383" s="2" t="str">
        <f>"02/01/2020"</f>
        <v>02/01/2020</v>
      </c>
      <c r="K383" s="2" t="str">
        <f>"15/01/2020"</f>
        <v>15/01/2020</v>
      </c>
      <c r="L383" s="2" t="str">
        <f>"31/03/2020"</f>
        <v>31/03/2020</v>
      </c>
      <c r="M383" s="2" t="str">
        <f>"03/04/2020"</f>
        <v>03/04/2020</v>
      </c>
      <c r="N383" s="2">
        <v>159.9</v>
      </c>
      <c r="O383" s="2">
        <v>167.11</v>
      </c>
      <c r="P383" s="2">
        <v>3.9999999999992E-2</v>
      </c>
    </row>
    <row r="384" spans="1:16" s="2" customFormat="1" x14ac:dyDescent="0.25">
      <c r="A384" s="2">
        <v>47502722</v>
      </c>
      <c r="B384" s="2">
        <v>47502748</v>
      </c>
      <c r="C384" s="2" t="str">
        <f>"UNIMEDSJN"</f>
        <v>UNIMEDSJN</v>
      </c>
      <c r="D384" s="2" t="str">
        <f>"DH"</f>
        <v>DH</v>
      </c>
      <c r="E384" s="2" t="str">
        <f>"JESSYNARA FERREIRA DESSUPOIO"</f>
        <v>JESSYNARA FERREIRA DESSUPOIO</v>
      </c>
      <c r="F384" s="2" t="str">
        <f>"47502722-1/1"</f>
        <v>47502722-1/1</v>
      </c>
      <c r="G384" s="2" t="str">
        <f>"Carteira 21"</f>
        <v>Carteira 21</v>
      </c>
      <c r="H384" s="2">
        <v>24</v>
      </c>
      <c r="I384" s="3">
        <v>110</v>
      </c>
      <c r="J384" s="2" t="str">
        <f>"01/12/2019"</f>
        <v>01/12/2019</v>
      </c>
      <c r="K384" s="2" t="str">
        <f>"25/12/2019"</f>
        <v>25/12/2019</v>
      </c>
      <c r="L384" s="2" t="str">
        <f>"04/02/2020"</f>
        <v>04/02/2020</v>
      </c>
      <c r="M384" s="2" t="str">
        <f>"05/02/2020"</f>
        <v>05/02/2020</v>
      </c>
      <c r="N384" s="2">
        <v>130.05000000000001</v>
      </c>
      <c r="O384" s="2">
        <v>134.41</v>
      </c>
      <c r="P384" s="2">
        <v>2.0000000000010201E-2</v>
      </c>
    </row>
    <row r="385" spans="1:16" s="2" customFormat="1" x14ac:dyDescent="0.25">
      <c r="A385" s="2">
        <v>47502761</v>
      </c>
      <c r="B385" s="2">
        <v>47502782</v>
      </c>
      <c r="C385" s="2" t="str">
        <f>"UNIMEDSJN"</f>
        <v>UNIMEDSJN</v>
      </c>
      <c r="D385" s="2" t="str">
        <f>"DH"</f>
        <v>DH</v>
      </c>
      <c r="E385" s="2" t="str">
        <f>"JESSYNARA FERREIRA DESSUPOIO"</f>
        <v>JESSYNARA FERREIRA DESSUPOIO</v>
      </c>
      <c r="F385" s="2" t="str">
        <f>"47502761-1/1"</f>
        <v>47502761-1/1</v>
      </c>
      <c r="G385" s="2" t="str">
        <f>"Carteira 21"</f>
        <v>Carteira 21</v>
      </c>
      <c r="H385" s="2">
        <v>24</v>
      </c>
      <c r="I385" s="3">
        <v>110</v>
      </c>
      <c r="J385" s="2" t="str">
        <f>"01/12/2019"</f>
        <v>01/12/2019</v>
      </c>
      <c r="K385" s="2" t="str">
        <f>"25/12/2019"</f>
        <v>25/12/2019</v>
      </c>
      <c r="L385" s="2" t="str">
        <f>"04/02/2020"</f>
        <v>04/02/2020</v>
      </c>
      <c r="M385" s="2" t="str">
        <f>"05/02/2020"</f>
        <v>05/02/2020</v>
      </c>
      <c r="N385" s="2">
        <v>130.05000000000001</v>
      </c>
      <c r="O385" s="2">
        <v>134.41</v>
      </c>
      <c r="P385" s="2">
        <v>2.0000000000010201E-2</v>
      </c>
    </row>
    <row r="386" spans="1:16" s="2" customFormat="1" x14ac:dyDescent="0.25">
      <c r="A386" s="2">
        <v>48576307</v>
      </c>
      <c r="B386" s="2">
        <v>48576325</v>
      </c>
      <c r="C386" s="2" t="str">
        <f>"UNIMEDSJN"</f>
        <v>UNIMEDSJN</v>
      </c>
      <c r="D386" s="2" t="str">
        <f>"DH"</f>
        <v>DH</v>
      </c>
      <c r="E386" s="2" t="str">
        <f>"JESSYNARA FERREIRA DESSUPOIO"</f>
        <v>JESSYNARA FERREIRA DESSUPOIO</v>
      </c>
      <c r="F386" s="2" t="str">
        <f>"48576307-1/1"</f>
        <v>48576307-1/1</v>
      </c>
      <c r="G386" s="2" t="str">
        <f>"Carteira 21"</f>
        <v>Carteira 21</v>
      </c>
      <c r="H386" s="2">
        <v>23</v>
      </c>
      <c r="I386" s="3">
        <v>79</v>
      </c>
      <c r="J386" s="2" t="str">
        <f>"02/01/2020"</f>
        <v>02/01/2020</v>
      </c>
      <c r="K386" s="2" t="str">
        <f>"25/01/2020"</f>
        <v>25/01/2020</v>
      </c>
      <c r="L386" s="2" t="str">
        <f>"05/03/2020"</f>
        <v>05/03/2020</v>
      </c>
      <c r="M386" s="2" t="str">
        <f>"06/03/2020"</f>
        <v>06/03/2020</v>
      </c>
      <c r="N386" s="2">
        <v>130.05000000000001</v>
      </c>
      <c r="O386" s="2">
        <v>134.28</v>
      </c>
      <c r="P386" s="2">
        <v>0.100000000000023</v>
      </c>
    </row>
    <row r="387" spans="1:16" s="2" customFormat="1" x14ac:dyDescent="0.25">
      <c r="A387" s="2">
        <v>48576336</v>
      </c>
      <c r="B387" s="2">
        <v>48576350</v>
      </c>
      <c r="C387" s="2" t="str">
        <f>"UNIMEDSJN"</f>
        <v>UNIMEDSJN</v>
      </c>
      <c r="D387" s="2" t="str">
        <f>"DH"</f>
        <v>DH</v>
      </c>
      <c r="E387" s="2" t="str">
        <f>"JESSYNARA FERREIRA DESSUPOIO"</f>
        <v>JESSYNARA FERREIRA DESSUPOIO</v>
      </c>
      <c r="F387" s="2" t="str">
        <f>"48576336-1/1"</f>
        <v>48576336-1/1</v>
      </c>
      <c r="G387" s="2" t="str">
        <f>"Carteira 21"</f>
        <v>Carteira 21</v>
      </c>
      <c r="H387" s="2">
        <v>23</v>
      </c>
      <c r="I387" s="3">
        <v>79</v>
      </c>
      <c r="J387" s="2" t="str">
        <f>"02/01/2020"</f>
        <v>02/01/2020</v>
      </c>
      <c r="K387" s="2" t="str">
        <f>"25/01/2020"</f>
        <v>25/01/2020</v>
      </c>
      <c r="L387" s="2" t="str">
        <f>"05/03/2020"</f>
        <v>05/03/2020</v>
      </c>
      <c r="M387" s="2" t="str">
        <f>"06/03/2020"</f>
        <v>06/03/2020</v>
      </c>
      <c r="N387" s="2">
        <v>130.05000000000001</v>
      </c>
      <c r="O387" s="2">
        <v>134.28</v>
      </c>
      <c r="P387" s="2">
        <v>0.100000000000023</v>
      </c>
    </row>
    <row r="388" spans="1:16" x14ac:dyDescent="0.25">
      <c r="A388">
        <v>48615575</v>
      </c>
      <c r="B388">
        <v>48615580</v>
      </c>
      <c r="C388" t="str">
        <f>"UNIMEDSJN"</f>
        <v>UNIMEDSJN</v>
      </c>
      <c r="D388" t="str">
        <f>"DH"</f>
        <v>DH</v>
      </c>
      <c r="E388" t="str">
        <f>"JOANA DARC MIRANDA PARREIRAS"</f>
        <v>JOANA DARC MIRANDA PARREIRAS</v>
      </c>
      <c r="F388" t="str">
        <f>"48615575-1/1"</f>
        <v>48615575-1/1</v>
      </c>
      <c r="G388" t="str">
        <f>"Carteira 21"</f>
        <v>Carteira 21</v>
      </c>
      <c r="H388">
        <v>40</v>
      </c>
      <c r="I388" s="1">
        <v>44</v>
      </c>
      <c r="J388" t="str">
        <f>"20/01/2020"</f>
        <v>20/01/2020</v>
      </c>
      <c r="K388" t="str">
        <f>"29/02/2020"</f>
        <v>29/02/2020</v>
      </c>
      <c r="L388" t="str">
        <f>"02/03/2020"</f>
        <v>02/03/2020</v>
      </c>
      <c r="M388" t="str">
        <f>"03/03/2020"</f>
        <v>03/03/2020</v>
      </c>
      <c r="N388">
        <v>376.5</v>
      </c>
      <c r="O388">
        <v>376.5</v>
      </c>
      <c r="P388">
        <v>0</v>
      </c>
    </row>
    <row r="389" spans="1:16" s="2" customFormat="1" x14ac:dyDescent="0.25">
      <c r="A389" s="2">
        <v>44958592</v>
      </c>
      <c r="B389" s="2">
        <v>44958601</v>
      </c>
      <c r="C389" s="2" t="str">
        <f>"UNIMEDSJN"</f>
        <v>UNIMEDSJN</v>
      </c>
      <c r="D389" s="2" t="str">
        <f>"DH"</f>
        <v>DH</v>
      </c>
      <c r="E389" s="2" t="str">
        <f>"JOANA DARC PEREIRA ALVES"</f>
        <v>JOANA DARC PEREIRA ALVES</v>
      </c>
      <c r="F389" s="2" t="str">
        <f>"44958592-1/1"</f>
        <v>44958592-1/1</v>
      </c>
      <c r="G389" s="2" t="str">
        <f>"Carteira 21"</f>
        <v>Carteira 21</v>
      </c>
      <c r="H389" s="2">
        <v>24</v>
      </c>
      <c r="I389" s="3">
        <v>201</v>
      </c>
      <c r="J389" s="2" t="str">
        <f>"01/09/2019"</f>
        <v>01/09/2019</v>
      </c>
      <c r="K389" s="2" t="str">
        <f>"25/09/2019"</f>
        <v>25/09/2019</v>
      </c>
      <c r="L389" s="2" t="str">
        <f>"25/09/2019"</f>
        <v>25/09/2019</v>
      </c>
      <c r="M389" s="2" t="str">
        <f>"29/08/2019"</f>
        <v>29/08/2019</v>
      </c>
      <c r="N389" s="2">
        <v>87.31</v>
      </c>
      <c r="O389" s="2">
        <v>87.31</v>
      </c>
      <c r="P389" s="2">
        <v>0</v>
      </c>
    </row>
    <row r="390" spans="1:16" s="2" customFormat="1" x14ac:dyDescent="0.25">
      <c r="A390" s="2">
        <v>45445320</v>
      </c>
      <c r="B390" s="2">
        <v>45445325</v>
      </c>
      <c r="C390" s="2" t="str">
        <f>"UNIMEDSJN"</f>
        <v>UNIMEDSJN</v>
      </c>
      <c r="D390" s="2" t="str">
        <f>"DH"</f>
        <v>DH</v>
      </c>
      <c r="E390" s="2" t="str">
        <f>"JOANA DARC PEREIRA ALVES"</f>
        <v>JOANA DARC PEREIRA ALVES</v>
      </c>
      <c r="F390" s="2" t="str">
        <f>"45445320-1/1"</f>
        <v>45445320-1/1</v>
      </c>
      <c r="G390" s="2" t="str">
        <f>"Carteira 21"</f>
        <v>Carteira 21</v>
      </c>
      <c r="H390" s="2">
        <v>24</v>
      </c>
      <c r="I390" s="3">
        <v>171</v>
      </c>
      <c r="J390" s="2" t="str">
        <f>"01/10/2019"</f>
        <v>01/10/2019</v>
      </c>
      <c r="K390" s="2" t="str">
        <f>"25/10/2019"</f>
        <v>25/10/2019</v>
      </c>
      <c r="L390" s="2" t="str">
        <f>"25/10/2019"</f>
        <v>25/10/2019</v>
      </c>
      <c r="M390" s="2" t="str">
        <f>"27/09/2019"</f>
        <v>27/09/2019</v>
      </c>
      <c r="N390" s="2">
        <v>87.31</v>
      </c>
      <c r="O390" s="2">
        <v>87.31</v>
      </c>
      <c r="P390" s="2">
        <v>0</v>
      </c>
    </row>
    <row r="391" spans="1:16" s="2" customFormat="1" x14ac:dyDescent="0.25">
      <c r="A391" s="2">
        <v>45910202</v>
      </c>
      <c r="B391" s="2">
        <v>45910210</v>
      </c>
      <c r="C391" s="2" t="str">
        <f>"UNIMEDSJN"</f>
        <v>UNIMEDSJN</v>
      </c>
      <c r="D391" s="2" t="str">
        <f>"DH"</f>
        <v>DH</v>
      </c>
      <c r="E391" s="2" t="str">
        <f>"JOANA DARC PEREIRA ALVES"</f>
        <v>JOANA DARC PEREIRA ALVES</v>
      </c>
      <c r="F391" s="2" t="str">
        <f>"45910202-1/1"</f>
        <v>45910202-1/1</v>
      </c>
      <c r="G391" s="2" t="str">
        <f>"Carteira 21"</f>
        <v>Carteira 21</v>
      </c>
      <c r="H391" s="2">
        <v>24</v>
      </c>
      <c r="I391" s="3">
        <v>140</v>
      </c>
      <c r="J391" s="2" t="str">
        <f>"01/11/2019"</f>
        <v>01/11/2019</v>
      </c>
      <c r="K391" s="2" t="str">
        <f>"25/11/2019"</f>
        <v>25/11/2019</v>
      </c>
      <c r="L391" s="2" t="str">
        <f>"25/11/2019"</f>
        <v>25/11/2019</v>
      </c>
      <c r="M391" s="2" t="str">
        <f>"31/10/2019"</f>
        <v>31/10/2019</v>
      </c>
      <c r="N391" s="2">
        <v>87.31</v>
      </c>
      <c r="O391" s="2">
        <v>87.31</v>
      </c>
      <c r="P391" s="2">
        <v>0</v>
      </c>
    </row>
    <row r="392" spans="1:16" s="2" customFormat="1" x14ac:dyDescent="0.25">
      <c r="A392" s="2">
        <v>47499067</v>
      </c>
      <c r="B392" s="2">
        <v>47499086</v>
      </c>
      <c r="C392" s="2" t="str">
        <f>"UNIMEDSJN"</f>
        <v>UNIMEDSJN</v>
      </c>
      <c r="D392" s="2" t="str">
        <f>"DH"</f>
        <v>DH</v>
      </c>
      <c r="E392" s="2" t="str">
        <f>"JOANA DARC PEREIRA ALVES"</f>
        <v>JOANA DARC PEREIRA ALVES</v>
      </c>
      <c r="F392" s="2" t="str">
        <f>"47499067-1/1"</f>
        <v>47499067-1/1</v>
      </c>
      <c r="G392" s="2" t="str">
        <f>"Carteira 21"</f>
        <v>Carteira 21</v>
      </c>
      <c r="H392" s="2">
        <v>24</v>
      </c>
      <c r="I392" s="3">
        <v>110</v>
      </c>
      <c r="J392" s="2" t="str">
        <f>"01/12/2019"</f>
        <v>01/12/2019</v>
      </c>
      <c r="K392" s="2" t="str">
        <f>"25/12/2019"</f>
        <v>25/12/2019</v>
      </c>
      <c r="L392" s="2" t="str">
        <f>"25/12/2019"</f>
        <v>25/12/2019</v>
      </c>
      <c r="M392" s="2" t="str">
        <f>"28/11/2019"</f>
        <v>28/11/2019</v>
      </c>
      <c r="N392" s="2">
        <v>87.31</v>
      </c>
      <c r="O392" s="2">
        <v>87.31</v>
      </c>
      <c r="P392" s="2">
        <v>0</v>
      </c>
    </row>
    <row r="393" spans="1:16" s="2" customFormat="1" x14ac:dyDescent="0.25">
      <c r="A393" s="2">
        <v>48572521</v>
      </c>
      <c r="B393" s="2">
        <v>48572532</v>
      </c>
      <c r="C393" s="2" t="str">
        <f>"UNIMEDSJN"</f>
        <v>UNIMEDSJN</v>
      </c>
      <c r="D393" s="2" t="str">
        <f>"DH"</f>
        <v>DH</v>
      </c>
      <c r="E393" s="2" t="str">
        <f>"JOANA DARC PEREIRA ALVES"</f>
        <v>JOANA DARC PEREIRA ALVES</v>
      </c>
      <c r="F393" s="2" t="str">
        <f>"48572521-1/1"</f>
        <v>48572521-1/1</v>
      </c>
      <c r="G393" s="2" t="str">
        <f>"Carteira 21"</f>
        <v>Carteira 21</v>
      </c>
      <c r="H393" s="2">
        <v>23</v>
      </c>
      <c r="I393" s="3">
        <v>79</v>
      </c>
      <c r="J393" s="2" t="str">
        <f>"02/01/2020"</f>
        <v>02/01/2020</v>
      </c>
      <c r="K393" s="2" t="str">
        <f>"25/01/2020"</f>
        <v>25/01/2020</v>
      </c>
      <c r="L393" s="2" t="str">
        <f>"27/01/2020"</f>
        <v>27/01/2020</v>
      </c>
      <c r="M393" s="2" t="str">
        <f>"27/12/2019"</f>
        <v>27/12/2019</v>
      </c>
      <c r="N393" s="2">
        <v>87.31</v>
      </c>
      <c r="O393" s="2">
        <v>87.31</v>
      </c>
      <c r="P393" s="2">
        <v>0</v>
      </c>
    </row>
    <row r="394" spans="1:16" s="2" customFormat="1" x14ac:dyDescent="0.25">
      <c r="A394" s="2">
        <v>47500104</v>
      </c>
      <c r="B394" s="2">
        <v>47500373</v>
      </c>
      <c r="C394" s="2" t="str">
        <f>"UNIMEDSJN"</f>
        <v>UNIMEDSJN</v>
      </c>
      <c r="D394" s="2" t="str">
        <f>"DH"</f>
        <v>DH</v>
      </c>
      <c r="E394" s="2" t="str">
        <f>"JOANA DARC PINTO DANELON"</f>
        <v>JOANA DARC PINTO DANELON</v>
      </c>
      <c r="F394" s="2" t="str">
        <f>"47500104-1/1"</f>
        <v>47500104-1/1</v>
      </c>
      <c r="G394" s="2" t="str">
        <f>"Carteira 21"</f>
        <v>Carteira 21</v>
      </c>
      <c r="H394" s="2">
        <v>24</v>
      </c>
      <c r="I394" s="3">
        <v>110</v>
      </c>
      <c r="J394" s="2" t="str">
        <f>"01/12/2019"</f>
        <v>01/12/2019</v>
      </c>
      <c r="K394" s="2" t="str">
        <f>"25/12/2019"</f>
        <v>25/12/2019</v>
      </c>
      <c r="L394" s="2" t="str">
        <f>"16/03/2020"</f>
        <v>16/03/2020</v>
      </c>
      <c r="M394" s="2" t="str">
        <f>"17/03/2020"</f>
        <v>17/03/2020</v>
      </c>
      <c r="N394" s="2">
        <v>609.49</v>
      </c>
      <c r="O394" s="2">
        <v>638.16999999999996</v>
      </c>
      <c r="P394" s="2">
        <v>0.17000000000007301</v>
      </c>
    </row>
    <row r="395" spans="1:16" s="2" customFormat="1" x14ac:dyDescent="0.25">
      <c r="A395" s="2">
        <v>48577636</v>
      </c>
      <c r="B395" s="2">
        <v>48577646</v>
      </c>
      <c r="C395" s="2" t="str">
        <f>"UNIMEDSJN"</f>
        <v>UNIMEDSJN</v>
      </c>
      <c r="D395" s="2" t="str">
        <f>"DH"</f>
        <v>DH</v>
      </c>
      <c r="E395" s="2" t="str">
        <f>"JOANA DARC PINTO DANELON"</f>
        <v>JOANA DARC PINTO DANELON</v>
      </c>
      <c r="F395" s="2" t="str">
        <f>"48577636-1/1"</f>
        <v>48577636-1/1</v>
      </c>
      <c r="G395" s="2" t="str">
        <f>"Carteira 21"</f>
        <v>Carteira 21</v>
      </c>
      <c r="H395" s="2">
        <v>23</v>
      </c>
      <c r="I395" s="3">
        <v>79</v>
      </c>
      <c r="J395" s="2" t="str">
        <f>"02/01/2020"</f>
        <v>02/01/2020</v>
      </c>
      <c r="K395" s="2" t="str">
        <f>"25/01/2020"</f>
        <v>25/01/2020</v>
      </c>
      <c r="L395" s="2" t="str">
        <f>"16/03/2020"</f>
        <v>16/03/2020</v>
      </c>
      <c r="M395" s="2" t="str">
        <f>"17/03/2020"</f>
        <v>17/03/2020</v>
      </c>
      <c r="N395" s="2">
        <v>609.49</v>
      </c>
      <c r="O395" s="2">
        <v>631.54</v>
      </c>
      <c r="P395" s="2">
        <v>0.5</v>
      </c>
    </row>
    <row r="396" spans="1:16" s="2" customFormat="1" x14ac:dyDescent="0.25">
      <c r="A396" s="2">
        <v>48581718</v>
      </c>
      <c r="B396" s="2">
        <v>48581725</v>
      </c>
      <c r="C396" s="2" t="str">
        <f>"UNIMEDSJN"</f>
        <v>UNIMEDSJN</v>
      </c>
      <c r="D396" s="2" t="str">
        <f>"DH"</f>
        <v>DH</v>
      </c>
      <c r="E396" s="2" t="str">
        <f>"Joao Paulo de Souza Goncalves"</f>
        <v>Joao Paulo de Souza Goncalves</v>
      </c>
      <c r="F396" s="2" t="str">
        <f>"48581718-1/1"</f>
        <v>48581718-1/1</v>
      </c>
      <c r="G396" s="2" t="str">
        <f>"Carteira 21"</f>
        <v>Carteira 21</v>
      </c>
      <c r="H396" s="2">
        <v>23</v>
      </c>
      <c r="I396" s="3">
        <v>79</v>
      </c>
      <c r="J396" s="2" t="str">
        <f>"02/01/2020"</f>
        <v>02/01/2020</v>
      </c>
      <c r="K396" s="2" t="str">
        <f>"25/01/2020"</f>
        <v>25/01/2020</v>
      </c>
      <c r="L396" s="2" t="str">
        <f>"02/03/2020"</f>
        <v>02/03/2020</v>
      </c>
      <c r="M396" s="2" t="str">
        <f>"03/03/2020"</f>
        <v>03/03/2020</v>
      </c>
      <c r="N396" s="2">
        <v>128.58000000000001</v>
      </c>
      <c r="O396" s="2">
        <v>132.63</v>
      </c>
      <c r="P396" s="2">
        <v>0.110000000000014</v>
      </c>
    </row>
    <row r="397" spans="1:16" s="2" customFormat="1" x14ac:dyDescent="0.25">
      <c r="A397" s="2">
        <v>48579677</v>
      </c>
      <c r="B397" s="2">
        <v>48579688</v>
      </c>
      <c r="C397" s="2" t="str">
        <f>"UNIMEDSJN"</f>
        <v>UNIMEDSJN</v>
      </c>
      <c r="D397" s="2" t="str">
        <f>"DH"</f>
        <v>DH</v>
      </c>
      <c r="E397" s="2" t="str">
        <f>"JOAO PAULO FERREIRA AMARAL"</f>
        <v>JOAO PAULO FERREIRA AMARAL</v>
      </c>
      <c r="F397" s="2" t="str">
        <f>"48579677-1/1"</f>
        <v>48579677-1/1</v>
      </c>
      <c r="G397" s="2" t="str">
        <f>"Carteira 21"</f>
        <v>Carteira 21</v>
      </c>
      <c r="H397" s="2">
        <v>23</v>
      </c>
      <c r="I397" s="3">
        <v>79</v>
      </c>
      <c r="J397" s="2" t="str">
        <f>"02/01/2020"</f>
        <v>02/01/2020</v>
      </c>
      <c r="K397" s="2" t="str">
        <f>"25/01/2020"</f>
        <v>25/01/2020</v>
      </c>
      <c r="L397" s="2" t="str">
        <f>"03/03/2020"</f>
        <v>03/03/2020</v>
      </c>
      <c r="M397" s="2" t="str">
        <f>"04/03/2020"</f>
        <v>04/03/2020</v>
      </c>
      <c r="N397" s="2">
        <v>150.72</v>
      </c>
      <c r="O397" s="2">
        <v>155.52000000000001</v>
      </c>
      <c r="P397" s="2">
        <v>0.119999999999976</v>
      </c>
    </row>
    <row r="398" spans="1:16" s="2" customFormat="1" x14ac:dyDescent="0.25">
      <c r="A398" s="2">
        <v>48578755</v>
      </c>
      <c r="B398" s="2">
        <v>48578765</v>
      </c>
      <c r="C398" s="2" t="str">
        <f>"UNIMEDSJN"</f>
        <v>UNIMEDSJN</v>
      </c>
      <c r="D398" s="2" t="str">
        <f>"DH"</f>
        <v>DH</v>
      </c>
      <c r="E398" s="2" t="str">
        <f>"JOAO PEDRO MACHADO CARVALHO"</f>
        <v>JOAO PEDRO MACHADO CARVALHO</v>
      </c>
      <c r="F398" s="2" t="str">
        <f>"48578755-1/1"</f>
        <v>48578755-1/1</v>
      </c>
      <c r="G398" s="2" t="str">
        <f>"Carteira 21"</f>
        <v>Carteira 21</v>
      </c>
      <c r="H398" s="2">
        <v>23</v>
      </c>
      <c r="I398" s="3">
        <v>79</v>
      </c>
      <c r="J398" s="2" t="str">
        <f>"02/01/2020"</f>
        <v>02/01/2020</v>
      </c>
      <c r="K398" s="2" t="str">
        <f>"25/01/2020"</f>
        <v>25/01/2020</v>
      </c>
      <c r="L398" s="2" t="str">
        <f>"27/01/2020"</f>
        <v>27/01/2020</v>
      </c>
      <c r="M398" s="2" t="str">
        <f>"27/12/2019"</f>
        <v>27/12/2019</v>
      </c>
      <c r="N398" s="2">
        <v>194.59</v>
      </c>
      <c r="O398" s="2">
        <v>194.59</v>
      </c>
      <c r="P398" s="2">
        <v>0</v>
      </c>
    </row>
    <row r="399" spans="1:16" s="2" customFormat="1" x14ac:dyDescent="0.25">
      <c r="A399" s="2">
        <v>48583758</v>
      </c>
      <c r="B399" s="2">
        <v>48583767</v>
      </c>
      <c r="C399" s="2" t="str">
        <f>"UNIMEDSJN"</f>
        <v>UNIMEDSJN</v>
      </c>
      <c r="D399" s="2" t="str">
        <f>"DH"</f>
        <v>DH</v>
      </c>
      <c r="E399" s="2" t="str">
        <f>"JOAO PEDRO MENDES FURTADO MACHADO"</f>
        <v>JOAO PEDRO MENDES FURTADO MACHADO</v>
      </c>
      <c r="F399" s="2" t="str">
        <f>"48583758-1/1"</f>
        <v>48583758-1/1</v>
      </c>
      <c r="G399" s="2" t="str">
        <f>"Carteira 21"</f>
        <v>Carteira 21</v>
      </c>
      <c r="H399" s="2">
        <v>23</v>
      </c>
      <c r="I399" s="3">
        <v>79</v>
      </c>
      <c r="J399" s="2" t="str">
        <f>"02/01/2020"</f>
        <v>02/01/2020</v>
      </c>
      <c r="K399" s="2" t="str">
        <f>"25/01/2020"</f>
        <v>25/01/2020</v>
      </c>
      <c r="L399" s="2" t="str">
        <f>"03/02/2020"</f>
        <v>03/02/2020</v>
      </c>
      <c r="M399" s="2" t="str">
        <f>"04/02/2020"</f>
        <v>04/02/2020</v>
      </c>
      <c r="N399" s="2">
        <v>184.84</v>
      </c>
      <c r="O399" s="2">
        <v>188.97</v>
      </c>
      <c r="P399" s="2">
        <v>0.12000000000000501</v>
      </c>
    </row>
    <row r="400" spans="1:16" s="2" customFormat="1" x14ac:dyDescent="0.25">
      <c r="A400" s="2">
        <v>48577885</v>
      </c>
      <c r="B400" s="2">
        <v>48577890</v>
      </c>
      <c r="C400" s="2" t="str">
        <f>"UNIMEDSJN"</f>
        <v>UNIMEDSJN</v>
      </c>
      <c r="D400" s="2" t="str">
        <f>"DH"</f>
        <v>DH</v>
      </c>
      <c r="E400" s="2" t="str">
        <f>"JOAO VITOR CORREA MENDONCA"</f>
        <v>JOAO VITOR CORREA MENDONCA</v>
      </c>
      <c r="F400" s="2" t="str">
        <f>"48577885-1/1"</f>
        <v>48577885-1/1</v>
      </c>
      <c r="G400" s="2" t="str">
        <f>"Carteira 21"</f>
        <v>Carteira 21</v>
      </c>
      <c r="H400" s="2">
        <v>13</v>
      </c>
      <c r="I400" s="3">
        <v>89</v>
      </c>
      <c r="J400" s="2" t="str">
        <f>"02/01/2020"</f>
        <v>02/01/2020</v>
      </c>
      <c r="K400" s="2" t="str">
        <f>"15/01/2020"</f>
        <v>15/01/2020</v>
      </c>
      <c r="L400" s="2" t="str">
        <f>"11/03/2020"</f>
        <v>11/03/2020</v>
      </c>
      <c r="M400" s="2" t="str">
        <f>"12/03/2020"</f>
        <v>12/03/2020</v>
      </c>
      <c r="N400" s="2">
        <v>152.87</v>
      </c>
      <c r="O400" s="2">
        <v>158.76</v>
      </c>
      <c r="P400" s="2">
        <v>2.0000000000010201E-2</v>
      </c>
    </row>
    <row r="401" spans="1:16" s="2" customFormat="1" x14ac:dyDescent="0.25">
      <c r="A401" s="2">
        <v>47500932</v>
      </c>
      <c r="B401" s="2">
        <v>47500945</v>
      </c>
      <c r="C401" s="2" t="str">
        <f>"UNIMEDSJN"</f>
        <v>UNIMEDSJN</v>
      </c>
      <c r="D401" s="2" t="str">
        <f>"DH"</f>
        <v>DH</v>
      </c>
      <c r="E401" s="2" t="str">
        <f>"JOCASTA JOSIANE DO NASCIMENTO"</f>
        <v>JOCASTA JOSIANE DO NASCIMENTO</v>
      </c>
      <c r="F401" s="2" t="str">
        <f>"47500932-1/1"</f>
        <v>47500932-1/1</v>
      </c>
      <c r="G401" s="2" t="str">
        <f>"Carteira 21"</f>
        <v>Carteira 21</v>
      </c>
      <c r="H401" s="2">
        <v>24</v>
      </c>
      <c r="I401" s="3">
        <v>110</v>
      </c>
      <c r="J401" s="2" t="str">
        <f>"01/12/2019"</f>
        <v>01/12/2019</v>
      </c>
      <c r="K401" s="2" t="str">
        <f>"25/12/2019"</f>
        <v>25/12/2019</v>
      </c>
      <c r="L401" s="2" t="str">
        <f>"07/02/2020"</f>
        <v>07/02/2020</v>
      </c>
      <c r="M401" s="2" t="str">
        <f>"10/02/2020"</f>
        <v>10/02/2020</v>
      </c>
      <c r="N401" s="2">
        <v>207.48</v>
      </c>
      <c r="O401" s="2">
        <v>214.64</v>
      </c>
      <c r="P401" s="2">
        <v>3.0000000000001099E-2</v>
      </c>
    </row>
    <row r="402" spans="1:16" s="2" customFormat="1" x14ac:dyDescent="0.25">
      <c r="A402" s="2">
        <v>48577788</v>
      </c>
      <c r="B402" s="2">
        <v>48577798</v>
      </c>
      <c r="C402" s="2" t="str">
        <f>"UNIMEDSJN"</f>
        <v>UNIMEDSJN</v>
      </c>
      <c r="D402" s="2" t="str">
        <f>"DH"</f>
        <v>DH</v>
      </c>
      <c r="E402" s="2" t="str">
        <f>"JOCASTA JOSIANE DO NASCIMENTO"</f>
        <v>JOCASTA JOSIANE DO NASCIMENTO</v>
      </c>
      <c r="F402" s="2" t="str">
        <f>"48577788-1/1"</f>
        <v>48577788-1/1</v>
      </c>
      <c r="G402" s="2" t="str">
        <f>"Carteira 21"</f>
        <v>Carteira 21</v>
      </c>
      <c r="H402" s="2">
        <v>23</v>
      </c>
      <c r="I402" s="3">
        <v>79</v>
      </c>
      <c r="J402" s="2" t="str">
        <f>"02/01/2020"</f>
        <v>02/01/2020</v>
      </c>
      <c r="K402" s="2" t="str">
        <f>"25/01/2020"</f>
        <v>25/01/2020</v>
      </c>
      <c r="L402" s="2" t="str">
        <f>"31/03/2020"</f>
        <v>31/03/2020</v>
      </c>
      <c r="M402" s="2" t="str">
        <f>"03/04/2020"</f>
        <v>03/04/2020</v>
      </c>
      <c r="N402" s="2">
        <v>207.48</v>
      </c>
      <c r="O402" s="2">
        <v>216.01</v>
      </c>
      <c r="P402" s="2">
        <v>0.18000000000003499</v>
      </c>
    </row>
    <row r="403" spans="1:16" s="2" customFormat="1" x14ac:dyDescent="0.25">
      <c r="A403" s="2">
        <v>47505443</v>
      </c>
      <c r="B403" s="2">
        <v>47505448</v>
      </c>
      <c r="C403" s="2" t="str">
        <f>"UNIMEDSJN"</f>
        <v>UNIMEDSJN</v>
      </c>
      <c r="D403" s="2" t="str">
        <f>"DH"</f>
        <v>DH</v>
      </c>
      <c r="E403" s="2" t="str">
        <f>"Jocinara Candida da Silva Lopes"</f>
        <v>Jocinara Candida da Silva Lopes</v>
      </c>
      <c r="F403" s="2" t="str">
        <f>"47505443-1/1"</f>
        <v>47505443-1/1</v>
      </c>
      <c r="G403" s="2" t="str">
        <f>"Carteira 21"</f>
        <v>Carteira 21</v>
      </c>
      <c r="H403" s="2">
        <v>24</v>
      </c>
      <c r="I403" s="3">
        <v>110</v>
      </c>
      <c r="J403" s="2" t="str">
        <f>"01/12/2019"</f>
        <v>01/12/2019</v>
      </c>
      <c r="K403" s="2" t="str">
        <f>"25/12/2019"</f>
        <v>25/12/2019</v>
      </c>
      <c r="L403" s="2" t="str">
        <f>"25/12/2019"</f>
        <v>25/12/2019</v>
      </c>
      <c r="M403" s="2" t="str">
        <f>"28/11/2019"</f>
        <v>28/11/2019</v>
      </c>
      <c r="N403" s="2">
        <v>149.85</v>
      </c>
      <c r="O403" s="2">
        <v>149.85</v>
      </c>
      <c r="P403" s="2">
        <v>0</v>
      </c>
    </row>
    <row r="404" spans="1:16" s="2" customFormat="1" x14ac:dyDescent="0.25">
      <c r="A404" s="2">
        <v>45909281</v>
      </c>
      <c r="B404" s="2">
        <v>45909295</v>
      </c>
      <c r="C404" s="2" t="str">
        <f>"UNIMEDSJN"</f>
        <v>UNIMEDSJN</v>
      </c>
      <c r="D404" s="2" t="str">
        <f>"DH"</f>
        <v>DH</v>
      </c>
      <c r="E404" s="2" t="str">
        <f>"Jonatan Rodrigues Souza"</f>
        <v>Jonatan Rodrigues Souza</v>
      </c>
      <c r="F404" s="2" t="str">
        <f>"45909281-1/1"</f>
        <v>45909281-1/1</v>
      </c>
      <c r="G404" s="2" t="str">
        <f>"Carteira 21"</f>
        <v>Carteira 21</v>
      </c>
      <c r="H404" s="2">
        <v>24</v>
      </c>
      <c r="I404" s="3">
        <v>140</v>
      </c>
      <c r="J404" s="2" t="str">
        <f>"01/11/2019"</f>
        <v>01/11/2019</v>
      </c>
      <c r="K404" s="2" t="str">
        <f>"25/11/2019"</f>
        <v>25/11/2019</v>
      </c>
      <c r="L404" s="2" t="str">
        <f>"25/11/2019"</f>
        <v>25/11/2019</v>
      </c>
      <c r="M404" s="2" t="str">
        <f>"31/10/2019"</f>
        <v>31/10/2019</v>
      </c>
      <c r="N404" s="2">
        <v>263.74</v>
      </c>
      <c r="O404" s="2">
        <v>263.74</v>
      </c>
      <c r="P404" s="2">
        <v>0</v>
      </c>
    </row>
    <row r="405" spans="1:16" s="2" customFormat="1" x14ac:dyDescent="0.25">
      <c r="A405" s="2">
        <v>47505615</v>
      </c>
      <c r="B405" s="2">
        <v>47505625</v>
      </c>
      <c r="C405" s="2" t="str">
        <f>"UNIMEDSJN"</f>
        <v>UNIMEDSJN</v>
      </c>
      <c r="D405" s="2" t="str">
        <f>"DH"</f>
        <v>DH</v>
      </c>
      <c r="E405" s="2" t="str">
        <f>"Jonatan Rodrigues Souza"</f>
        <v>Jonatan Rodrigues Souza</v>
      </c>
      <c r="F405" s="2" t="str">
        <f>"47505615-1/1"</f>
        <v>47505615-1/1</v>
      </c>
      <c r="G405" s="2" t="str">
        <f>"Carteira 21"</f>
        <v>Carteira 21</v>
      </c>
      <c r="H405" s="2">
        <v>24</v>
      </c>
      <c r="I405" s="3">
        <v>110</v>
      </c>
      <c r="J405" s="2" t="str">
        <f>"01/12/2019"</f>
        <v>01/12/2019</v>
      </c>
      <c r="K405" s="2" t="str">
        <f>"25/12/2019"</f>
        <v>25/12/2019</v>
      </c>
      <c r="L405" s="2" t="str">
        <f>"25/12/2019"</f>
        <v>25/12/2019</v>
      </c>
      <c r="M405" s="2" t="str">
        <f>"28/11/2019"</f>
        <v>28/11/2019</v>
      </c>
      <c r="N405" s="2">
        <v>263.74</v>
      </c>
      <c r="O405" s="2">
        <v>263.74</v>
      </c>
      <c r="P405" s="2">
        <v>0</v>
      </c>
    </row>
    <row r="406" spans="1:16" s="2" customFormat="1" x14ac:dyDescent="0.25">
      <c r="A406" s="2">
        <v>48580722</v>
      </c>
      <c r="B406" s="2">
        <v>48580729</v>
      </c>
      <c r="C406" s="2" t="str">
        <f>"UNIMEDSJN"</f>
        <v>UNIMEDSJN</v>
      </c>
      <c r="D406" s="2" t="str">
        <f>"DH"</f>
        <v>DH</v>
      </c>
      <c r="E406" s="2" t="str">
        <f>"Jonatan Rodrigues Souza"</f>
        <v>Jonatan Rodrigues Souza</v>
      </c>
      <c r="F406" s="2" t="str">
        <f>"48580722-1/1"</f>
        <v>48580722-1/1</v>
      </c>
      <c r="G406" s="2" t="str">
        <f>"Carteira 21"</f>
        <v>Carteira 21</v>
      </c>
      <c r="H406" s="2">
        <v>23</v>
      </c>
      <c r="I406" s="3">
        <v>79</v>
      </c>
      <c r="J406" s="2" t="str">
        <f>"02/01/2020"</f>
        <v>02/01/2020</v>
      </c>
      <c r="K406" s="2" t="str">
        <f>"25/01/2020"</f>
        <v>25/01/2020</v>
      </c>
      <c r="L406" s="2" t="str">
        <f>"27/01/2020"</f>
        <v>27/01/2020</v>
      </c>
      <c r="M406" s="2" t="str">
        <f>"27/12/2019"</f>
        <v>27/12/2019</v>
      </c>
      <c r="N406" s="2">
        <v>263.74</v>
      </c>
      <c r="O406" s="2">
        <v>263.74</v>
      </c>
      <c r="P406" s="2">
        <v>0</v>
      </c>
    </row>
    <row r="407" spans="1:16" s="2" customFormat="1" x14ac:dyDescent="0.25">
      <c r="A407" s="2">
        <v>47506115</v>
      </c>
      <c r="B407" s="2">
        <v>47506120</v>
      </c>
      <c r="C407" s="2" t="str">
        <f>"UNIMEDSJN"</f>
        <v>UNIMEDSJN</v>
      </c>
      <c r="D407" s="2" t="str">
        <f>"DH"</f>
        <v>DH</v>
      </c>
      <c r="E407" s="2" t="str">
        <f>"Jonatas Biano Villaca"</f>
        <v>Jonatas Biano Villaca</v>
      </c>
      <c r="F407" s="2" t="str">
        <f>"47506115-1/1"</f>
        <v>47506115-1/1</v>
      </c>
      <c r="G407" s="2" t="str">
        <f>"Carteira 21"</f>
        <v>Carteira 21</v>
      </c>
      <c r="H407" s="2">
        <v>24</v>
      </c>
      <c r="I407" s="3">
        <v>110</v>
      </c>
      <c r="J407" s="2" t="str">
        <f>"01/12/2019"</f>
        <v>01/12/2019</v>
      </c>
      <c r="K407" s="2" t="str">
        <f>"25/12/2019"</f>
        <v>25/12/2019</v>
      </c>
      <c r="L407" s="2" t="str">
        <f>"30/03/2020"</f>
        <v>30/03/2020</v>
      </c>
      <c r="M407" s="2" t="str">
        <f>"31/03/2020"</f>
        <v>31/03/2020</v>
      </c>
      <c r="N407" s="2">
        <v>150.18</v>
      </c>
      <c r="O407" s="2">
        <v>157.94</v>
      </c>
      <c r="P407" s="2">
        <v>5.0000000000011403E-2</v>
      </c>
    </row>
    <row r="408" spans="1:16" s="2" customFormat="1" x14ac:dyDescent="0.25">
      <c r="A408" s="2">
        <v>48580376</v>
      </c>
      <c r="B408" s="2">
        <v>48580383</v>
      </c>
      <c r="C408" s="2" t="str">
        <f>"UNIMEDSJN"</f>
        <v>UNIMEDSJN</v>
      </c>
      <c r="D408" s="2" t="str">
        <f>"DH"</f>
        <v>DH</v>
      </c>
      <c r="E408" s="2" t="str">
        <f>"Jonatas Biano Villaca"</f>
        <v>Jonatas Biano Villaca</v>
      </c>
      <c r="F408" s="2" t="str">
        <f>"48580376-1/1"</f>
        <v>48580376-1/1</v>
      </c>
      <c r="G408" s="2" t="str">
        <f>"Carteira 21"</f>
        <v>Carteira 21</v>
      </c>
      <c r="H408" s="2">
        <v>23</v>
      </c>
      <c r="I408" s="3">
        <v>79</v>
      </c>
      <c r="J408" s="2" t="str">
        <f>"02/01/2020"</f>
        <v>02/01/2020</v>
      </c>
      <c r="K408" s="2" t="str">
        <f>"25/01/2020"</f>
        <v>25/01/2020</v>
      </c>
      <c r="L408" s="2" t="str">
        <f>"27/01/2020"</f>
        <v>27/01/2020</v>
      </c>
      <c r="M408" s="2" t="str">
        <f>"27/12/2019"</f>
        <v>27/12/2019</v>
      </c>
      <c r="N408" s="2">
        <v>150.18</v>
      </c>
      <c r="O408" s="2">
        <v>150.18</v>
      </c>
      <c r="P408" s="2">
        <v>0</v>
      </c>
    </row>
    <row r="409" spans="1:16" s="2" customFormat="1" x14ac:dyDescent="0.25">
      <c r="A409" s="2">
        <v>48563457</v>
      </c>
      <c r="B409" s="2">
        <v>48563462</v>
      </c>
      <c r="C409" s="2" t="str">
        <f>"UNIMEDSJN"</f>
        <v>UNIMEDSJN</v>
      </c>
      <c r="D409" s="2" t="str">
        <f>"DH"</f>
        <v>DH</v>
      </c>
      <c r="E409" s="2" t="str">
        <f>"JORGE LUIZ ANASTACIO"</f>
        <v>JORGE LUIZ ANASTACIO</v>
      </c>
      <c r="F409" s="2" t="str">
        <f>"48563457-1/1"</f>
        <v>48563457-1/1</v>
      </c>
      <c r="G409" s="2" t="str">
        <f>"Carteira 21"</f>
        <v>Carteira 21</v>
      </c>
      <c r="H409" s="2">
        <v>13</v>
      </c>
      <c r="I409" s="3">
        <v>89</v>
      </c>
      <c r="J409" s="2" t="str">
        <f>"02/01/2020"</f>
        <v>02/01/2020</v>
      </c>
      <c r="K409" s="2" t="str">
        <f>"15/01/2020"</f>
        <v>15/01/2020</v>
      </c>
      <c r="L409" s="2" t="str">
        <f>"17/02/2020"</f>
        <v>17/02/2020</v>
      </c>
      <c r="M409" s="2" t="str">
        <f>"18/02/2020"</f>
        <v>18/02/2020</v>
      </c>
      <c r="N409" s="2">
        <v>954.51</v>
      </c>
      <c r="O409" s="2">
        <v>983.99</v>
      </c>
      <c r="P409" s="2">
        <v>0.110000000000014</v>
      </c>
    </row>
    <row r="410" spans="1:16" s="2" customFormat="1" x14ac:dyDescent="0.25">
      <c r="A410" s="2">
        <v>45909633</v>
      </c>
      <c r="B410" s="2">
        <v>45909640</v>
      </c>
      <c r="C410" s="2" t="str">
        <f>"UNIMEDSJN"</f>
        <v>UNIMEDSJN</v>
      </c>
      <c r="D410" s="2" t="str">
        <f>"DH"</f>
        <v>DH</v>
      </c>
      <c r="E410" s="2" t="str">
        <f>"Jose Adelson de Souza"</f>
        <v>Jose Adelson de Souza</v>
      </c>
      <c r="F410" s="2" t="str">
        <f>"45909633-1/1"</f>
        <v>45909633-1/1</v>
      </c>
      <c r="G410" s="2" t="str">
        <f>"Carteira 21"</f>
        <v>Carteira 21</v>
      </c>
      <c r="H410" s="2">
        <v>24</v>
      </c>
      <c r="I410" s="3">
        <v>140</v>
      </c>
      <c r="J410" s="2" t="str">
        <f>"01/11/2019"</f>
        <v>01/11/2019</v>
      </c>
      <c r="K410" s="2" t="str">
        <f>"25/11/2019"</f>
        <v>25/11/2019</v>
      </c>
      <c r="L410" s="2" t="str">
        <f>"13/02/2020"</f>
        <v>13/02/2020</v>
      </c>
      <c r="M410" s="2" t="str">
        <f>"14/02/2020"</f>
        <v>14/02/2020</v>
      </c>
      <c r="N410" s="2">
        <v>150.18</v>
      </c>
      <c r="O410" s="2">
        <v>157.15</v>
      </c>
      <c r="P410" s="2">
        <v>3.0000000000001099E-2</v>
      </c>
    </row>
    <row r="411" spans="1:16" s="2" customFormat="1" x14ac:dyDescent="0.25">
      <c r="A411" s="2">
        <v>47507842</v>
      </c>
      <c r="B411" s="2">
        <v>47507847</v>
      </c>
      <c r="C411" s="2" t="str">
        <f>"UNIMEDSJN"</f>
        <v>UNIMEDSJN</v>
      </c>
      <c r="D411" s="2" t="str">
        <f>"DH"</f>
        <v>DH</v>
      </c>
      <c r="E411" s="2" t="str">
        <f>"Jose Adelson de Souza"</f>
        <v>Jose Adelson de Souza</v>
      </c>
      <c r="F411" s="2" t="str">
        <f>"47507842-1/1"</f>
        <v>47507842-1/1</v>
      </c>
      <c r="G411" s="2" t="str">
        <f>"Carteira 21"</f>
        <v>Carteira 21</v>
      </c>
      <c r="H411" s="2">
        <v>24</v>
      </c>
      <c r="I411" s="3">
        <v>110</v>
      </c>
      <c r="J411" s="2" t="str">
        <f>"01/12/2019"</f>
        <v>01/12/2019</v>
      </c>
      <c r="K411" s="2" t="str">
        <f>"25/12/2019"</f>
        <v>25/12/2019</v>
      </c>
      <c r="L411" s="2" t="str">
        <f>"13/02/2020"</f>
        <v>13/02/2020</v>
      </c>
      <c r="M411" s="2" t="str">
        <f>"14/02/2020"</f>
        <v>14/02/2020</v>
      </c>
      <c r="N411" s="2">
        <v>150.18</v>
      </c>
      <c r="O411" s="2">
        <v>155.66</v>
      </c>
      <c r="P411" s="2">
        <v>2.0000000000010201E-2</v>
      </c>
    </row>
    <row r="412" spans="1:16" s="2" customFormat="1" x14ac:dyDescent="0.25">
      <c r="A412" s="2">
        <v>48580873</v>
      </c>
      <c r="B412" s="2">
        <v>48581629</v>
      </c>
      <c r="C412" s="2" t="str">
        <f>"UNIMEDSJN"</f>
        <v>UNIMEDSJN</v>
      </c>
      <c r="D412" s="2" t="str">
        <f>"DH"</f>
        <v>DH</v>
      </c>
      <c r="E412" s="2" t="str">
        <f>"Jose Adelson de Souza"</f>
        <v>Jose Adelson de Souza</v>
      </c>
      <c r="F412" s="2" t="str">
        <f>"48580873-1/1"</f>
        <v>48580873-1/1</v>
      </c>
      <c r="G412" s="2" t="str">
        <f>"Carteira 21"</f>
        <v>Carteira 21</v>
      </c>
      <c r="H412" s="2">
        <v>23</v>
      </c>
      <c r="I412" s="3">
        <v>79</v>
      </c>
      <c r="J412" s="2" t="str">
        <f>"02/01/2020"</f>
        <v>02/01/2020</v>
      </c>
      <c r="K412" s="2" t="str">
        <f>"25/01/2020"</f>
        <v>25/01/2020</v>
      </c>
      <c r="L412" s="2" t="str">
        <f>"13/02/2020"</f>
        <v>13/02/2020</v>
      </c>
      <c r="M412" s="2" t="str">
        <f>"14/02/2020"</f>
        <v>14/02/2020</v>
      </c>
      <c r="N412" s="2">
        <v>150.18</v>
      </c>
      <c r="O412" s="2">
        <v>154.02000000000001</v>
      </c>
      <c r="P412" s="2">
        <v>0.109999999999985</v>
      </c>
    </row>
    <row r="413" spans="1:16" x14ac:dyDescent="0.25">
      <c r="A413">
        <v>48794026</v>
      </c>
      <c r="B413">
        <v>48794038</v>
      </c>
      <c r="C413" t="str">
        <f>"UNIMEDSJN"</f>
        <v>UNIMEDSJN</v>
      </c>
      <c r="D413" t="str">
        <f>"DH"</f>
        <v>DH</v>
      </c>
      <c r="E413" t="str">
        <f>"JOSE ADELSON FERREIRA"</f>
        <v>JOSE ADELSON FERREIRA</v>
      </c>
      <c r="F413" t="str">
        <f>"48794026-1/1"</f>
        <v>48794026-1/1</v>
      </c>
      <c r="G413" t="str">
        <f>"Carteira 21"</f>
        <v>Carteira 21</v>
      </c>
      <c r="H413">
        <v>27</v>
      </c>
      <c r="I413" s="1">
        <v>57</v>
      </c>
      <c r="J413" t="str">
        <f>"20/01/2020"</f>
        <v>20/01/2020</v>
      </c>
      <c r="K413" t="str">
        <f>"16/02/2020"</f>
        <v>16/02/2020</v>
      </c>
      <c r="L413" t="str">
        <f>"17/02/2020"</f>
        <v>17/02/2020</v>
      </c>
      <c r="M413" t="str">
        <f>"18/02/2020"</f>
        <v>18/02/2020</v>
      </c>
      <c r="N413">
        <v>1648.39</v>
      </c>
      <c r="O413">
        <v>1648.39</v>
      </c>
      <c r="P413">
        <v>0</v>
      </c>
    </row>
    <row r="414" spans="1:16" x14ac:dyDescent="0.25">
      <c r="A414">
        <v>48798449</v>
      </c>
      <c r="B414">
        <v>48798456</v>
      </c>
      <c r="C414" t="str">
        <f>"UNIMEDSJN"</f>
        <v>UNIMEDSJN</v>
      </c>
      <c r="D414" t="str">
        <f>"DH"</f>
        <v>DH</v>
      </c>
      <c r="E414" t="str">
        <f>"JOSE ALOISIO CASCARDO DE CARVALHO"</f>
        <v>JOSE ALOISIO CASCARDO DE CARVALHO</v>
      </c>
      <c r="F414" t="str">
        <f>"48798449-1/1"</f>
        <v>48798449-1/1</v>
      </c>
      <c r="G414" t="str">
        <f>"Carteira 21"</f>
        <v>Carteira 21</v>
      </c>
      <c r="H414">
        <v>40</v>
      </c>
      <c r="I414" s="1">
        <v>44</v>
      </c>
      <c r="J414" t="str">
        <f>"20/01/2020"</f>
        <v>20/01/2020</v>
      </c>
      <c r="K414" t="str">
        <f>"29/02/2020"</f>
        <v>29/02/2020</v>
      </c>
      <c r="L414" t="str">
        <f>"02/03/2020"</f>
        <v>02/03/2020</v>
      </c>
      <c r="M414" t="str">
        <f>"03/03/2020"</f>
        <v>03/03/2020</v>
      </c>
      <c r="N414">
        <v>136.69999999999999</v>
      </c>
      <c r="O414">
        <v>136.69999999999999</v>
      </c>
      <c r="P414">
        <v>0</v>
      </c>
    </row>
    <row r="415" spans="1:16" s="2" customFormat="1" x14ac:dyDescent="0.25">
      <c r="A415" s="2">
        <v>48562867</v>
      </c>
      <c r="B415" s="2">
        <v>48562884</v>
      </c>
      <c r="C415" s="2" t="str">
        <f>"UNIMEDSJN"</f>
        <v>UNIMEDSJN</v>
      </c>
      <c r="D415" s="2" t="str">
        <f>"DH"</f>
        <v>DH</v>
      </c>
      <c r="E415" s="2" t="str">
        <f>"JOSE ANTONIO GALVAO DUARTE DE OLIVEIRA"</f>
        <v>JOSE ANTONIO GALVAO DUARTE DE OLIVEIRA</v>
      </c>
      <c r="F415" s="2" t="str">
        <f>"48562867-1/1"</f>
        <v>48562867-1/1</v>
      </c>
      <c r="G415" s="2" t="str">
        <f>"Carteira 21"</f>
        <v>Carteira 21</v>
      </c>
      <c r="H415" s="2">
        <v>16</v>
      </c>
      <c r="I415" s="3">
        <v>86</v>
      </c>
      <c r="J415" s="2" t="str">
        <f>"02/01/2020"</f>
        <v>02/01/2020</v>
      </c>
      <c r="K415" s="2" t="str">
        <f>"18/01/2020"</f>
        <v>18/01/2020</v>
      </c>
      <c r="L415" s="2" t="str">
        <f>"19/02/2020"</f>
        <v>19/02/2020</v>
      </c>
      <c r="M415" s="2" t="str">
        <f>"20/02/2020"</f>
        <v>20/02/2020</v>
      </c>
      <c r="N415" s="2">
        <v>1320.78</v>
      </c>
      <c r="O415" s="2">
        <v>1360.27</v>
      </c>
      <c r="P415" s="2">
        <v>1.01999999999998</v>
      </c>
    </row>
    <row r="416" spans="1:16" x14ac:dyDescent="0.25">
      <c r="A416">
        <v>48794086</v>
      </c>
      <c r="B416">
        <v>48794100</v>
      </c>
      <c r="C416" t="str">
        <f>"UNIMEDSJN"</f>
        <v>UNIMEDSJN</v>
      </c>
      <c r="D416" t="str">
        <f>"DH"</f>
        <v>DH</v>
      </c>
      <c r="E416" t="str">
        <f>"JOSE ARCANJO BAZILIO"</f>
        <v>JOSE ARCANJO BAZILIO</v>
      </c>
      <c r="F416" t="str">
        <f>"48794086-1/1"</f>
        <v>48794086-1/1</v>
      </c>
      <c r="G416" t="str">
        <f>"Carteira 21"</f>
        <v>Carteira 21</v>
      </c>
      <c r="H416">
        <v>37</v>
      </c>
      <c r="I416" s="1">
        <v>47</v>
      </c>
      <c r="J416" t="str">
        <f>"20/01/2020"</f>
        <v>20/01/2020</v>
      </c>
      <c r="K416" t="str">
        <f>"26/02/2020"</f>
        <v>26/02/2020</v>
      </c>
      <c r="L416" t="str">
        <f>"26/02/2020"</f>
        <v>26/02/2020</v>
      </c>
      <c r="M416" t="str">
        <f>"24/02/2020"</f>
        <v>24/02/2020</v>
      </c>
      <c r="N416">
        <v>736.62</v>
      </c>
      <c r="O416">
        <v>736.62</v>
      </c>
      <c r="P416">
        <v>0</v>
      </c>
    </row>
    <row r="417" spans="1:16" s="2" customFormat="1" x14ac:dyDescent="0.25">
      <c r="A417" s="2">
        <v>45930154</v>
      </c>
      <c r="B417" s="2">
        <v>45930164</v>
      </c>
      <c r="C417" s="2" t="str">
        <f>"UNIMEDSJN"</f>
        <v>UNIMEDSJN</v>
      </c>
      <c r="D417" s="2" t="str">
        <f>"DH"</f>
        <v>DH</v>
      </c>
      <c r="E417" s="2" t="str">
        <f>"JOSE AUGUSTO TEMPONI"</f>
        <v>JOSE AUGUSTO TEMPONI</v>
      </c>
      <c r="F417" s="2" t="str">
        <f>"45930154-1/1"</f>
        <v>45930154-1/1</v>
      </c>
      <c r="G417" s="2" t="str">
        <f>"Carteira 21"</f>
        <v>Carteira 21</v>
      </c>
      <c r="H417" s="2">
        <v>50</v>
      </c>
      <c r="I417" s="3">
        <v>114</v>
      </c>
      <c r="J417" s="2" t="str">
        <f>"01/11/2019"</f>
        <v>01/11/2019</v>
      </c>
      <c r="K417" s="2" t="str">
        <f>"21/12/2019"</f>
        <v>21/12/2019</v>
      </c>
      <c r="L417" s="2" t="str">
        <f>"03/02/2020"</f>
        <v>03/02/2020</v>
      </c>
      <c r="M417" s="2" t="str">
        <f>"04/02/2020"</f>
        <v>04/02/2020</v>
      </c>
      <c r="N417" s="2">
        <v>258.87</v>
      </c>
      <c r="O417" s="2">
        <v>270.29000000000002</v>
      </c>
      <c r="P417" s="2">
        <v>-2.44</v>
      </c>
    </row>
    <row r="418" spans="1:16" s="2" customFormat="1" x14ac:dyDescent="0.25">
      <c r="A418" s="2">
        <v>47512388</v>
      </c>
      <c r="B418" s="2">
        <v>47512400</v>
      </c>
      <c r="C418" s="2" t="str">
        <f>"UNIMEDSJN"</f>
        <v>UNIMEDSJN</v>
      </c>
      <c r="D418" s="2" t="str">
        <f>"DH"</f>
        <v>DH</v>
      </c>
      <c r="E418" s="2" t="str">
        <f>"JOSE AUGUSTO TEMPONI"</f>
        <v>JOSE AUGUSTO TEMPONI</v>
      </c>
      <c r="F418" s="2" t="str">
        <f>"47512388-1/1"</f>
        <v>47512388-1/1</v>
      </c>
      <c r="G418" s="2" t="str">
        <f>"Carteira 21"</f>
        <v>Carteira 21</v>
      </c>
      <c r="H418" s="2">
        <v>21</v>
      </c>
      <c r="I418" s="3">
        <v>113</v>
      </c>
      <c r="J418" s="2" t="str">
        <f>"01/12/2019"</f>
        <v>01/12/2019</v>
      </c>
      <c r="K418" s="2" t="str">
        <f>"22/12/2019"</f>
        <v>22/12/2019</v>
      </c>
      <c r="L418" s="2" t="str">
        <f>"05/03/2020"</f>
        <v>05/03/2020</v>
      </c>
      <c r="M418" s="2" t="str">
        <f>"06/03/2020"</f>
        <v>06/03/2020</v>
      </c>
      <c r="N418" s="2">
        <v>258.87</v>
      </c>
      <c r="O418" s="2">
        <v>270.29000000000002</v>
      </c>
      <c r="P418" s="2">
        <v>0.14999999999997701</v>
      </c>
    </row>
    <row r="419" spans="1:16" s="2" customFormat="1" x14ac:dyDescent="0.25">
      <c r="A419" s="2">
        <v>48563314</v>
      </c>
      <c r="B419" s="2">
        <v>48563338</v>
      </c>
      <c r="C419" s="2" t="str">
        <f>"UNIMEDSJN"</f>
        <v>UNIMEDSJN</v>
      </c>
      <c r="D419" s="2" t="str">
        <f>"DH"</f>
        <v>DH</v>
      </c>
      <c r="E419" s="2" t="str">
        <f>"JOSE AUGUSTO TEMPONI"</f>
        <v>JOSE AUGUSTO TEMPONI</v>
      </c>
      <c r="F419" s="2" t="str">
        <f>"48563314-1/1"</f>
        <v>48563314-1/1</v>
      </c>
      <c r="G419" s="2" t="str">
        <f>"Carteira 21"</f>
        <v>Carteira 21</v>
      </c>
      <c r="H419" s="2">
        <v>20</v>
      </c>
      <c r="I419" s="3">
        <v>82</v>
      </c>
      <c r="J419" s="2" t="str">
        <f>"02/01/2020"</f>
        <v>02/01/2020</v>
      </c>
      <c r="K419" s="2" t="str">
        <f>"22/01/2020"</f>
        <v>22/01/2020</v>
      </c>
      <c r="L419" s="2" t="str">
        <f>"01/04/2020"</f>
        <v>01/04/2020</v>
      </c>
      <c r="M419" s="2" t="str">
        <f>"02/04/2020"</f>
        <v>02/04/2020</v>
      </c>
      <c r="N419" s="2">
        <v>284.76</v>
      </c>
      <c r="O419" s="2">
        <v>297.04000000000002</v>
      </c>
      <c r="P419" s="2">
        <v>5.9999999999945403E-2</v>
      </c>
    </row>
    <row r="420" spans="1:16" s="2" customFormat="1" x14ac:dyDescent="0.25">
      <c r="A420" s="2">
        <v>47497524</v>
      </c>
      <c r="B420" s="2">
        <v>47497540</v>
      </c>
      <c r="C420" s="2" t="str">
        <f>"UNIMEDSJN"</f>
        <v>UNIMEDSJN</v>
      </c>
      <c r="D420" s="2" t="str">
        <f>"DH"</f>
        <v>DH</v>
      </c>
      <c r="E420" s="2" t="str">
        <f>"JOSE AURELIO ALVES DA SILVA"</f>
        <v>JOSE AURELIO ALVES DA SILVA</v>
      </c>
      <c r="F420" s="2" t="str">
        <f>"47497524-1/1"</f>
        <v>47497524-1/1</v>
      </c>
      <c r="G420" s="2" t="str">
        <f>"Carteira 21"</f>
        <v>Carteira 21</v>
      </c>
      <c r="H420" s="2">
        <v>24</v>
      </c>
      <c r="I420" s="3">
        <v>110</v>
      </c>
      <c r="J420" s="2" t="str">
        <f>"01/12/2019"</f>
        <v>01/12/2019</v>
      </c>
      <c r="K420" s="2" t="str">
        <f>"25/12/2019"</f>
        <v>25/12/2019</v>
      </c>
      <c r="L420" s="2" t="str">
        <f>"25/12/2019"</f>
        <v>25/12/2019</v>
      </c>
      <c r="M420" s="2" t="str">
        <f>"28/11/2019"</f>
        <v>28/11/2019</v>
      </c>
      <c r="N420" s="2">
        <v>712.75</v>
      </c>
      <c r="O420" s="2">
        <v>712.75</v>
      </c>
      <c r="P420" s="2">
        <v>0</v>
      </c>
    </row>
    <row r="421" spans="1:16" s="2" customFormat="1" x14ac:dyDescent="0.25">
      <c r="A421" s="2">
        <v>48571701</v>
      </c>
      <c r="B421" s="2">
        <v>48571706</v>
      </c>
      <c r="C421" s="2" t="str">
        <f>"UNIMEDSJN"</f>
        <v>UNIMEDSJN</v>
      </c>
      <c r="D421" s="2" t="str">
        <f>"DH"</f>
        <v>DH</v>
      </c>
      <c r="E421" s="2" t="str">
        <f>"JOSE AURELIO ALVES DA SILVA"</f>
        <v>JOSE AURELIO ALVES DA SILVA</v>
      </c>
      <c r="F421" s="2" t="str">
        <f>"48571701-1/1"</f>
        <v>48571701-1/1</v>
      </c>
      <c r="G421" s="2" t="str">
        <f>"Carteira 21"</f>
        <v>Carteira 21</v>
      </c>
      <c r="H421" s="2">
        <v>23</v>
      </c>
      <c r="I421" s="3">
        <v>79</v>
      </c>
      <c r="J421" s="2" t="str">
        <f>"02/01/2020"</f>
        <v>02/01/2020</v>
      </c>
      <c r="K421" s="2" t="str">
        <f>"25/01/2020"</f>
        <v>25/01/2020</v>
      </c>
      <c r="L421" s="2" t="str">
        <f>"27/01/2020"</f>
        <v>27/01/2020</v>
      </c>
      <c r="M421" s="2" t="str">
        <f>"27/12/2019"</f>
        <v>27/12/2019</v>
      </c>
      <c r="N421" s="2">
        <v>712.75</v>
      </c>
      <c r="O421" s="2">
        <v>712.75</v>
      </c>
      <c r="P421" s="2">
        <v>0</v>
      </c>
    </row>
    <row r="422" spans="1:16" x14ac:dyDescent="0.25">
      <c r="A422">
        <v>48615912</v>
      </c>
      <c r="B422">
        <v>48615919</v>
      </c>
      <c r="C422" t="str">
        <f>"UNIMEDSJN"</f>
        <v>UNIMEDSJN</v>
      </c>
      <c r="D422" t="str">
        <f>"DH"</f>
        <v>DH</v>
      </c>
      <c r="E422" t="str">
        <f>"JOSE CARLOS TEIXEIRA"</f>
        <v>JOSE CARLOS TEIXEIRA</v>
      </c>
      <c r="F422" t="str">
        <f>"48615912-1/1"</f>
        <v>48615912-1/1</v>
      </c>
      <c r="G422" t="str">
        <f>"Carteira 21"</f>
        <v>Carteira 21</v>
      </c>
      <c r="H422">
        <v>31</v>
      </c>
      <c r="I422" s="1">
        <v>53</v>
      </c>
      <c r="J422" t="str">
        <f>"20/01/2020"</f>
        <v>20/01/2020</v>
      </c>
      <c r="K422" t="str">
        <f>"20/02/2020"</f>
        <v>20/02/2020</v>
      </c>
      <c r="L422" t="str">
        <f>"20/02/2020"</f>
        <v>20/02/2020</v>
      </c>
      <c r="M422" t="str">
        <f>"13/02/2020"</f>
        <v>13/02/2020</v>
      </c>
      <c r="N422">
        <v>211.35</v>
      </c>
      <c r="O422">
        <v>211.35</v>
      </c>
      <c r="P422">
        <v>0</v>
      </c>
    </row>
    <row r="423" spans="1:16" s="2" customFormat="1" x14ac:dyDescent="0.25">
      <c r="A423" s="2">
        <v>45951806</v>
      </c>
      <c r="B423" s="2">
        <v>45951816</v>
      </c>
      <c r="C423" s="2" t="str">
        <f>"UNIMEDSJN"</f>
        <v>UNIMEDSJN</v>
      </c>
      <c r="D423" s="2" t="str">
        <f>"DH"</f>
        <v>DH</v>
      </c>
      <c r="E423" s="2" t="str">
        <f>"JOSE CARLOS XAVIER DE CHAVES E MELLO DIAS"</f>
        <v>JOSE CARLOS XAVIER DE CHAVES E MELLO DIAS</v>
      </c>
      <c r="F423" s="2" t="str">
        <f>"45951806-1/1"</f>
        <v>45951806-1/1</v>
      </c>
      <c r="G423" s="2" t="str">
        <f>"Carteira 21"</f>
        <v>Carteira 21</v>
      </c>
      <c r="H423" s="2">
        <v>38</v>
      </c>
      <c r="I423" s="3">
        <v>105</v>
      </c>
      <c r="J423" s="2" t="str">
        <f>"22/11/2019"</f>
        <v>22/11/2019</v>
      </c>
      <c r="K423" s="2" t="str">
        <f>"30/12/2019"</f>
        <v>30/12/2019</v>
      </c>
      <c r="L423" s="2" t="str">
        <f>"05/02/2020"</f>
        <v>05/02/2020</v>
      </c>
      <c r="M423" s="2" t="str">
        <f>"06/02/2020"</f>
        <v>06/02/2020</v>
      </c>
      <c r="N423" s="2">
        <v>438.78</v>
      </c>
      <c r="O423" s="2">
        <v>452.92</v>
      </c>
      <c r="P423" s="2">
        <v>5.0000000000011403E-2</v>
      </c>
    </row>
    <row r="424" spans="1:16" s="2" customFormat="1" x14ac:dyDescent="0.25">
      <c r="A424" s="2">
        <v>48496569</v>
      </c>
      <c r="B424" s="2">
        <v>48496574</v>
      </c>
      <c r="C424" s="2" t="str">
        <f>"UNIMEDSJN"</f>
        <v>UNIMEDSJN</v>
      </c>
      <c r="D424" s="2" t="str">
        <f>"DH"</f>
        <v>DH</v>
      </c>
      <c r="E424" s="2" t="str">
        <f>"JOSE CARLOS XAVIER DE CHAVES E MELLO DIAS"</f>
        <v>JOSE CARLOS XAVIER DE CHAVES E MELLO DIAS</v>
      </c>
      <c r="F424" s="2" t="str">
        <f>"48496569-1/1"</f>
        <v>48496569-1/1</v>
      </c>
      <c r="G424" s="2" t="str">
        <f>"Carteira 21"</f>
        <v>Carteira 21</v>
      </c>
      <c r="H424" s="2">
        <v>35</v>
      </c>
      <c r="I424" s="3">
        <v>74</v>
      </c>
      <c r="J424" s="2" t="str">
        <f>"26/12/2019"</f>
        <v>26/12/2019</v>
      </c>
      <c r="K424" s="2" t="str">
        <f>"30/01/2020"</f>
        <v>30/01/2020</v>
      </c>
      <c r="L424" s="2" t="str">
        <f>"27/02/2020"</f>
        <v>27/02/2020</v>
      </c>
      <c r="M424" s="2" t="str">
        <f>"28/02/2020"</f>
        <v>28/02/2020</v>
      </c>
      <c r="N424" s="2">
        <v>438.78</v>
      </c>
      <c r="O424" s="2">
        <v>451.61</v>
      </c>
      <c r="P424" s="2">
        <v>5.0000000000011403E-2</v>
      </c>
    </row>
    <row r="425" spans="1:16" x14ac:dyDescent="0.25">
      <c r="A425">
        <v>48615512</v>
      </c>
      <c r="B425">
        <v>48615519</v>
      </c>
      <c r="C425" t="str">
        <f>"UNIMEDSJN"</f>
        <v>UNIMEDSJN</v>
      </c>
      <c r="D425" t="str">
        <f>"DH"</f>
        <v>DH</v>
      </c>
      <c r="E425" t="str">
        <f>"JOSE CARLOS XAVIER DE CHAVES E MELLO DIAS"</f>
        <v>JOSE CARLOS XAVIER DE CHAVES E MELLO DIAS</v>
      </c>
      <c r="F425" t="str">
        <f>"48615512-1/1"</f>
        <v>48615512-1/1</v>
      </c>
      <c r="G425" t="str">
        <f>"Carteira 21"</f>
        <v>Carteira 21</v>
      </c>
      <c r="H425">
        <v>40</v>
      </c>
      <c r="I425" s="1">
        <v>44</v>
      </c>
      <c r="J425" t="str">
        <f>"20/01/2020"</f>
        <v>20/01/2020</v>
      </c>
      <c r="K425" t="str">
        <f>"29/02/2020"</f>
        <v>29/02/2020</v>
      </c>
      <c r="L425" t="str">
        <f>"01/04/2020"</f>
        <v>01/04/2020</v>
      </c>
      <c r="M425" t="str">
        <f>"02/04/2020"</f>
        <v>02/04/2020</v>
      </c>
      <c r="N425">
        <v>438.78</v>
      </c>
      <c r="O425">
        <v>451.9</v>
      </c>
      <c r="P425">
        <v>0.33999999999997499</v>
      </c>
    </row>
    <row r="426" spans="1:16" s="2" customFormat="1" x14ac:dyDescent="0.25">
      <c r="A426" s="2">
        <v>48586375</v>
      </c>
      <c r="B426" s="2">
        <v>48586380</v>
      </c>
      <c r="C426" s="2" t="str">
        <f>"UNIMEDSJN"</f>
        <v>UNIMEDSJN</v>
      </c>
      <c r="D426" s="2" t="str">
        <f>"DH"</f>
        <v>DH</v>
      </c>
      <c r="E426" s="2" t="str">
        <f>"Jose Domingos dos Santos"</f>
        <v>Jose Domingos dos Santos</v>
      </c>
      <c r="F426" s="2" t="str">
        <f>"48586375-1/1"</f>
        <v>48586375-1/1</v>
      </c>
      <c r="G426" s="2" t="str">
        <f>"Carteira 21"</f>
        <v>Carteira 21</v>
      </c>
      <c r="H426" s="2">
        <v>23</v>
      </c>
      <c r="I426" s="3">
        <v>79</v>
      </c>
      <c r="J426" s="2" t="str">
        <f>"02/01/2020"</f>
        <v>02/01/2020</v>
      </c>
      <c r="K426" s="2" t="str">
        <f>"25/01/2020"</f>
        <v>25/01/2020</v>
      </c>
      <c r="L426" s="2" t="str">
        <f>"17/02/2020"</f>
        <v>17/02/2020</v>
      </c>
      <c r="M426" s="2" t="str">
        <f>"18/02/2020"</f>
        <v>18/02/2020</v>
      </c>
      <c r="N426" s="2">
        <v>186.68</v>
      </c>
      <c r="O426" s="2">
        <v>191.7</v>
      </c>
      <c r="P426" s="2">
        <v>0.139999999999986</v>
      </c>
    </row>
    <row r="427" spans="1:16" s="2" customFormat="1" x14ac:dyDescent="0.25">
      <c r="A427" s="2">
        <v>45440511</v>
      </c>
      <c r="B427" s="2">
        <v>45440523</v>
      </c>
      <c r="C427" s="2" t="str">
        <f>"UNIMEDSJN"</f>
        <v>UNIMEDSJN</v>
      </c>
      <c r="D427" s="2" t="str">
        <f>"DH"</f>
        <v>DH</v>
      </c>
      <c r="E427" s="2" t="str">
        <f>"JOSE EDUARDO GRIBEL VIVAQUA"</f>
        <v>JOSE EDUARDO GRIBEL VIVAQUA</v>
      </c>
      <c r="F427" s="2" t="str">
        <f>"45440511-1/1"</f>
        <v>45440511-1/1</v>
      </c>
      <c r="G427" s="2" t="str">
        <f>"Carteira 21"</f>
        <v>Carteira 21</v>
      </c>
      <c r="H427" s="2">
        <v>24</v>
      </c>
      <c r="I427" s="3">
        <v>171</v>
      </c>
      <c r="J427" s="2" t="str">
        <f>"01/10/2019"</f>
        <v>01/10/2019</v>
      </c>
      <c r="K427" s="2" t="str">
        <f>"25/10/2019"</f>
        <v>25/10/2019</v>
      </c>
      <c r="L427" s="2" t="str">
        <f>"25/10/2019"</f>
        <v>25/10/2019</v>
      </c>
      <c r="M427" s="2" t="str">
        <f>"27/09/2019"</f>
        <v>27/09/2019</v>
      </c>
      <c r="N427" s="2">
        <v>557.66999999999996</v>
      </c>
      <c r="O427" s="2">
        <v>557.66999999999996</v>
      </c>
      <c r="P427" s="2">
        <v>0</v>
      </c>
    </row>
    <row r="428" spans="1:16" s="2" customFormat="1" x14ac:dyDescent="0.25">
      <c r="A428" s="2">
        <v>45797068</v>
      </c>
      <c r="B428" s="2">
        <v>45797075</v>
      </c>
      <c r="C428" s="2" t="str">
        <f>"UNIMEDSJN"</f>
        <v>UNIMEDSJN</v>
      </c>
      <c r="D428" s="2" t="str">
        <f>"DH"</f>
        <v>DH</v>
      </c>
      <c r="E428" s="2" t="str">
        <f>"JOSE EDUARDO GRIBEL VIVAQUA"</f>
        <v>JOSE EDUARDO GRIBEL VIVAQUA</v>
      </c>
      <c r="F428" s="2" t="str">
        <f>"45797068-1/1"</f>
        <v>45797068-1/1</v>
      </c>
      <c r="G428" s="2" t="str">
        <f>"Carteira 21"</f>
        <v>Carteira 21</v>
      </c>
      <c r="H428" s="2">
        <v>24</v>
      </c>
      <c r="I428" s="3">
        <v>140</v>
      </c>
      <c r="J428" s="2" t="str">
        <f>"01/11/2019"</f>
        <v>01/11/2019</v>
      </c>
      <c r="K428" s="2" t="str">
        <f>"25/11/2019"</f>
        <v>25/11/2019</v>
      </c>
      <c r="L428" s="2" t="str">
        <f>"25/11/2019"</f>
        <v>25/11/2019</v>
      </c>
      <c r="M428" s="2" t="str">
        <f>"31/10/2019"</f>
        <v>31/10/2019</v>
      </c>
      <c r="N428" s="2">
        <v>557.66999999999996</v>
      </c>
      <c r="O428" s="2">
        <v>557.66999999999996</v>
      </c>
      <c r="P428" s="2">
        <v>0</v>
      </c>
    </row>
    <row r="429" spans="1:16" s="2" customFormat="1" x14ac:dyDescent="0.25">
      <c r="A429" s="2">
        <v>47491481</v>
      </c>
      <c r="B429" s="2">
        <v>47491491</v>
      </c>
      <c r="C429" s="2" t="str">
        <f>"UNIMEDSJN"</f>
        <v>UNIMEDSJN</v>
      </c>
      <c r="D429" s="2" t="str">
        <f>"DH"</f>
        <v>DH</v>
      </c>
      <c r="E429" s="2" t="str">
        <f>"JOSE EDUARDO GRIBEL VIVAQUA"</f>
        <v>JOSE EDUARDO GRIBEL VIVAQUA</v>
      </c>
      <c r="F429" s="2" t="str">
        <f>"47491481-1/1"</f>
        <v>47491481-1/1</v>
      </c>
      <c r="G429" s="2" t="str">
        <f>"Carteira 21"</f>
        <v>Carteira 21</v>
      </c>
      <c r="H429" s="2">
        <v>24</v>
      </c>
      <c r="I429" s="3">
        <v>110</v>
      </c>
      <c r="J429" s="2" t="str">
        <f>"01/12/2019"</f>
        <v>01/12/2019</v>
      </c>
      <c r="K429" s="2" t="str">
        <f>"25/12/2019"</f>
        <v>25/12/2019</v>
      </c>
      <c r="L429" s="2" t="str">
        <f>"25/12/2019"</f>
        <v>25/12/2019</v>
      </c>
      <c r="M429" s="2" t="str">
        <f>"28/11/2019"</f>
        <v>28/11/2019</v>
      </c>
      <c r="N429" s="2">
        <v>557.66999999999996</v>
      </c>
      <c r="O429" s="2">
        <v>557.66999999999996</v>
      </c>
      <c r="P429" s="2">
        <v>0</v>
      </c>
    </row>
    <row r="430" spans="1:16" s="2" customFormat="1" x14ac:dyDescent="0.25">
      <c r="A430" s="2">
        <v>48566354</v>
      </c>
      <c r="B430" s="2">
        <v>48566370</v>
      </c>
      <c r="C430" s="2" t="str">
        <f>"UNIMEDSJN"</f>
        <v>UNIMEDSJN</v>
      </c>
      <c r="D430" s="2" t="str">
        <f>"DH"</f>
        <v>DH</v>
      </c>
      <c r="E430" s="2" t="str">
        <f>"JOSE EDUARDO GRIBEL VIVAQUA"</f>
        <v>JOSE EDUARDO GRIBEL VIVAQUA</v>
      </c>
      <c r="F430" s="2" t="str">
        <f>"48566354-1/1"</f>
        <v>48566354-1/1</v>
      </c>
      <c r="G430" s="2" t="str">
        <f>"Carteira 21"</f>
        <v>Carteira 21</v>
      </c>
      <c r="H430" s="2">
        <v>23</v>
      </c>
      <c r="I430" s="3">
        <v>79</v>
      </c>
      <c r="J430" s="2" t="str">
        <f>"02/01/2020"</f>
        <v>02/01/2020</v>
      </c>
      <c r="K430" s="2" t="str">
        <f>"25/01/2020"</f>
        <v>25/01/2020</v>
      </c>
      <c r="L430" s="2" t="str">
        <f>"27/01/2020"</f>
        <v>27/01/2020</v>
      </c>
      <c r="M430" s="2" t="str">
        <f>"27/12/2019"</f>
        <v>27/12/2019</v>
      </c>
      <c r="N430" s="2">
        <v>557.66999999999996</v>
      </c>
      <c r="O430" s="2">
        <v>557.66999999999996</v>
      </c>
      <c r="P430" s="2">
        <v>0</v>
      </c>
    </row>
    <row r="431" spans="1:16" s="2" customFormat="1" x14ac:dyDescent="0.25">
      <c r="A431" s="2">
        <v>47505202</v>
      </c>
      <c r="B431" s="2">
        <v>47505209</v>
      </c>
      <c r="C431" s="2" t="str">
        <f>"UNIMEDSJN"</f>
        <v>UNIMEDSJN</v>
      </c>
      <c r="D431" s="2" t="str">
        <f>"DH"</f>
        <v>DH</v>
      </c>
      <c r="E431" s="2" t="str">
        <f>"JOSE GERALDO DO NASCIMENTO"</f>
        <v>JOSE GERALDO DO NASCIMENTO</v>
      </c>
      <c r="F431" s="2" t="str">
        <f>"47505202-1/1"</f>
        <v>47505202-1/1</v>
      </c>
      <c r="G431" s="2" t="str">
        <f>"Carteira 21"</f>
        <v>Carteira 21</v>
      </c>
      <c r="H431" s="2">
        <v>24</v>
      </c>
      <c r="I431" s="3">
        <v>110</v>
      </c>
      <c r="J431" s="2" t="str">
        <f>"01/12/2019"</f>
        <v>01/12/2019</v>
      </c>
      <c r="K431" s="2" t="str">
        <f>"25/12/2019"</f>
        <v>25/12/2019</v>
      </c>
      <c r="L431" s="2" t="str">
        <f>"28/02/2020"</f>
        <v>28/02/2020</v>
      </c>
      <c r="M431" s="2" t="str">
        <f>"13/03/2020"</f>
        <v>13/03/2020</v>
      </c>
      <c r="N431" s="2">
        <v>139.59</v>
      </c>
      <c r="O431" s="2">
        <v>145.37</v>
      </c>
      <c r="P431" s="2">
        <v>3.0000000000001099E-2</v>
      </c>
    </row>
    <row r="432" spans="1:16" s="2" customFormat="1" x14ac:dyDescent="0.25">
      <c r="A432" s="2">
        <v>48579457</v>
      </c>
      <c r="B432" s="2">
        <v>48579464</v>
      </c>
      <c r="C432" s="2" t="str">
        <f>"UNIMEDSJN"</f>
        <v>UNIMEDSJN</v>
      </c>
      <c r="D432" s="2" t="str">
        <f>"DH"</f>
        <v>DH</v>
      </c>
      <c r="E432" s="2" t="str">
        <f>"JOSE GERALDO DO NASCIMENTO"</f>
        <v>JOSE GERALDO DO NASCIMENTO</v>
      </c>
      <c r="F432" s="2" t="str">
        <f>"48579457-1/1"</f>
        <v>48579457-1/1</v>
      </c>
      <c r="G432" s="2" t="str">
        <f>"Carteira 21"</f>
        <v>Carteira 21</v>
      </c>
      <c r="H432" s="2">
        <v>23</v>
      </c>
      <c r="I432" s="3">
        <v>79</v>
      </c>
      <c r="J432" s="2" t="str">
        <f>"02/01/2020"</f>
        <v>02/01/2020</v>
      </c>
      <c r="K432" s="2" t="str">
        <f>"25/01/2020"</f>
        <v>25/01/2020</v>
      </c>
      <c r="L432" s="2" t="str">
        <f>"23/03/2020"</f>
        <v>23/03/2020</v>
      </c>
      <c r="M432" s="2" t="str">
        <f>"24/03/2020"</f>
        <v>24/03/2020</v>
      </c>
      <c r="N432" s="2">
        <v>149.85</v>
      </c>
      <c r="O432" s="2">
        <v>155.62</v>
      </c>
      <c r="P432" s="2">
        <v>0.12999999999999501</v>
      </c>
    </row>
    <row r="433" spans="1:16" x14ac:dyDescent="0.25">
      <c r="A433">
        <v>48793914</v>
      </c>
      <c r="B433">
        <v>48793929</v>
      </c>
      <c r="C433" t="str">
        <f>"UNIMEDSJN"</f>
        <v>UNIMEDSJN</v>
      </c>
      <c r="D433" t="str">
        <f>"DH"</f>
        <v>DH</v>
      </c>
      <c r="E433" t="str">
        <f>"JOSE JORGE AYUPE TAMIOSO"</f>
        <v>JOSE JORGE AYUPE TAMIOSO</v>
      </c>
      <c r="F433" t="str">
        <f>"48793914-1/1"</f>
        <v>48793914-1/1</v>
      </c>
      <c r="G433" t="str">
        <f>"Carteira 21"</f>
        <v>Carteira 21</v>
      </c>
      <c r="H433">
        <v>37</v>
      </c>
      <c r="I433" s="1">
        <v>47</v>
      </c>
      <c r="J433" t="str">
        <f>"20/01/2020"</f>
        <v>20/01/2020</v>
      </c>
      <c r="K433" t="str">
        <f>"26/02/2020"</f>
        <v>26/02/2020</v>
      </c>
      <c r="L433" t="str">
        <f>"26/02/2020"</f>
        <v>26/02/2020</v>
      </c>
      <c r="M433" t="str">
        <f>"21/02/2020"</f>
        <v>21/02/2020</v>
      </c>
      <c r="N433">
        <v>1237.22</v>
      </c>
      <c r="O433">
        <v>1237.22</v>
      </c>
      <c r="P433">
        <v>0</v>
      </c>
    </row>
    <row r="434" spans="1:16" x14ac:dyDescent="0.25">
      <c r="A434">
        <v>47513096</v>
      </c>
      <c r="B434">
        <v>47513109</v>
      </c>
      <c r="C434" t="str">
        <f>"UNIMEDSJN"</f>
        <v>UNIMEDSJN</v>
      </c>
      <c r="D434" t="str">
        <f>"DH"</f>
        <v>DH</v>
      </c>
      <c r="E434" t="str">
        <f>"JOSE LUIS DOMINGOS"</f>
        <v>JOSE LUIS DOMINGOS</v>
      </c>
      <c r="F434" t="str">
        <f>"47513096-1/1"</f>
        <v>47513096-1/1</v>
      </c>
      <c r="G434" t="str">
        <f>"Carteira 21"</f>
        <v>Carteira 21</v>
      </c>
      <c r="H434">
        <v>89</v>
      </c>
      <c r="I434" s="1">
        <v>45</v>
      </c>
      <c r="J434" t="str">
        <f>"01/12/2019"</f>
        <v>01/12/2019</v>
      </c>
      <c r="K434" t="str">
        <f>"28/02/2020"</f>
        <v>28/02/2020</v>
      </c>
      <c r="L434" t="str">
        <f>"27/03/2020"</f>
        <v>27/03/2020</v>
      </c>
      <c r="M434" t="str">
        <f>"30/03/2020"</f>
        <v>30/03/2020</v>
      </c>
      <c r="N434">
        <v>440.05</v>
      </c>
      <c r="O434">
        <v>440.05</v>
      </c>
      <c r="P434">
        <v>12.91</v>
      </c>
    </row>
    <row r="435" spans="1:16" x14ac:dyDescent="0.25">
      <c r="A435">
        <v>48585471</v>
      </c>
      <c r="B435">
        <v>48585486</v>
      </c>
      <c r="C435" t="str">
        <f>"UNIMEDSJN"</f>
        <v>UNIMEDSJN</v>
      </c>
      <c r="D435" t="str">
        <f>"DH"</f>
        <v>DH</v>
      </c>
      <c r="E435" t="str">
        <f>"JOSE LUIS DOMINGOS"</f>
        <v>JOSE LUIS DOMINGOS</v>
      </c>
      <c r="F435" t="str">
        <f>"48585471-1/1"</f>
        <v>48585471-1/1</v>
      </c>
      <c r="G435" t="str">
        <f>"Carteira 21"</f>
        <v>Carteira 21</v>
      </c>
      <c r="H435">
        <v>58</v>
      </c>
      <c r="I435" s="1">
        <v>44</v>
      </c>
      <c r="J435" t="str">
        <f>"02/01/2020"</f>
        <v>02/01/2020</v>
      </c>
      <c r="K435" t="str">
        <f>"29/02/2020"</f>
        <v>29/02/2020</v>
      </c>
      <c r="L435" t="str">
        <f>"27/03/2020"</f>
        <v>27/03/2020</v>
      </c>
      <c r="M435" t="str">
        <f>"30/03/2020"</f>
        <v>30/03/2020</v>
      </c>
      <c r="N435">
        <v>440.05</v>
      </c>
      <c r="O435">
        <v>440.05</v>
      </c>
      <c r="P435">
        <v>12.76</v>
      </c>
    </row>
    <row r="436" spans="1:16" s="2" customFormat="1" x14ac:dyDescent="0.25">
      <c r="A436" s="2">
        <v>47508806</v>
      </c>
      <c r="B436" s="2">
        <v>47508819</v>
      </c>
      <c r="C436" s="2" t="str">
        <f>"UNIMEDSJN"</f>
        <v>UNIMEDSJN</v>
      </c>
      <c r="D436" s="2" t="str">
        <f>"DH"</f>
        <v>DH</v>
      </c>
      <c r="E436" s="2" t="str">
        <f>"Jose Luiz Inacio"</f>
        <v>Jose Luiz Inacio</v>
      </c>
      <c r="F436" s="2" t="str">
        <f>"47508806-1/1"</f>
        <v>47508806-1/1</v>
      </c>
      <c r="G436" s="2" t="str">
        <f>"Carteira 21"</f>
        <v>Carteira 21</v>
      </c>
      <c r="H436" s="2">
        <v>24</v>
      </c>
      <c r="I436" s="3">
        <v>110</v>
      </c>
      <c r="J436" s="2" t="str">
        <f>"01/12/2019"</f>
        <v>01/12/2019</v>
      </c>
      <c r="K436" s="2" t="str">
        <f>"25/12/2019"</f>
        <v>25/12/2019</v>
      </c>
      <c r="L436" s="2" t="str">
        <f>"16/03/2020"</f>
        <v>16/03/2020</v>
      </c>
      <c r="M436" s="2" t="str">
        <f>"17/03/2020"</f>
        <v>17/03/2020</v>
      </c>
      <c r="N436" s="2">
        <v>1108.22</v>
      </c>
      <c r="O436" s="2">
        <v>1160.3699999999999</v>
      </c>
      <c r="P436" s="2">
        <v>0.29999999999995403</v>
      </c>
    </row>
    <row r="437" spans="1:16" s="2" customFormat="1" x14ac:dyDescent="0.25">
      <c r="A437" s="2">
        <v>48586200</v>
      </c>
      <c r="B437" s="2">
        <v>48586205</v>
      </c>
      <c r="C437" s="2" t="str">
        <f>"UNIMEDSJN"</f>
        <v>UNIMEDSJN</v>
      </c>
      <c r="D437" s="2" t="str">
        <f>"DH"</f>
        <v>DH</v>
      </c>
      <c r="E437" s="2" t="str">
        <f>"Jose Luiz Inacio"</f>
        <v>Jose Luiz Inacio</v>
      </c>
      <c r="F437" s="2" t="str">
        <f>"48586200-1/1"</f>
        <v>48586200-1/1</v>
      </c>
      <c r="G437" s="2" t="str">
        <f>"Carteira 21"</f>
        <v>Carteira 21</v>
      </c>
      <c r="H437" s="2">
        <v>23</v>
      </c>
      <c r="I437" s="3">
        <v>79</v>
      </c>
      <c r="J437" s="2" t="str">
        <f>"02/01/2020"</f>
        <v>02/01/2020</v>
      </c>
      <c r="K437" s="2" t="str">
        <f>"25/01/2020"</f>
        <v>25/01/2020</v>
      </c>
      <c r="L437" s="2" t="str">
        <f>"24/03/2020"</f>
        <v>24/03/2020</v>
      </c>
      <c r="M437" s="2" t="str">
        <f>"25/03/2020"</f>
        <v>25/03/2020</v>
      </c>
      <c r="N437" s="2">
        <v>1108.22</v>
      </c>
      <c r="O437" s="2">
        <v>1151.23</v>
      </c>
      <c r="P437" s="2">
        <v>0.94000000000005501</v>
      </c>
    </row>
    <row r="438" spans="1:16" s="2" customFormat="1" x14ac:dyDescent="0.25">
      <c r="A438" s="2">
        <v>48563430</v>
      </c>
      <c r="B438" s="2">
        <v>48563448</v>
      </c>
      <c r="C438" s="2" t="str">
        <f>"UNIMEDSJN"</f>
        <v>UNIMEDSJN</v>
      </c>
      <c r="D438" s="2" t="str">
        <f>"DH"</f>
        <v>DH</v>
      </c>
      <c r="E438" s="2" t="str">
        <f>"JOSE LUIZ LONGO JUNIOR"</f>
        <v>JOSE LUIZ LONGO JUNIOR</v>
      </c>
      <c r="F438" s="2" t="str">
        <f>"48563430-1/1"</f>
        <v>48563430-1/1</v>
      </c>
      <c r="G438" s="2" t="str">
        <f>"Carteira 21"</f>
        <v>Carteira 21</v>
      </c>
      <c r="H438" s="2">
        <v>23</v>
      </c>
      <c r="I438" s="3">
        <v>79</v>
      </c>
      <c r="J438" s="2" t="str">
        <f>"02/01/2020"</f>
        <v>02/01/2020</v>
      </c>
      <c r="K438" s="2" t="str">
        <f>"25/01/2020"</f>
        <v>25/01/2020</v>
      </c>
      <c r="L438" s="2" t="str">
        <f>"10/02/2020"</f>
        <v>10/02/2020</v>
      </c>
      <c r="M438" s="2" t="str">
        <f>"11/02/2020"</f>
        <v>11/02/2020</v>
      </c>
      <c r="N438" s="2">
        <v>350.24</v>
      </c>
      <c r="O438" s="2">
        <v>358.86</v>
      </c>
      <c r="P438" s="2">
        <v>0.25</v>
      </c>
    </row>
    <row r="439" spans="1:16" s="2" customFormat="1" x14ac:dyDescent="0.25">
      <c r="A439" s="2">
        <v>48562535</v>
      </c>
      <c r="B439" s="2">
        <v>48562562</v>
      </c>
      <c r="C439" s="2" t="str">
        <f>"UNIMEDSJN"</f>
        <v>UNIMEDSJN</v>
      </c>
      <c r="D439" s="2" t="str">
        <f>"DH"</f>
        <v>DH</v>
      </c>
      <c r="E439" s="2" t="str">
        <f>"JOSE LUIZ RODRIGUES DE OLIVEIRA"</f>
        <v>JOSE LUIZ RODRIGUES DE OLIVEIRA</v>
      </c>
      <c r="F439" s="2" t="str">
        <f>"48562535-1/1"</f>
        <v>48562535-1/1</v>
      </c>
      <c r="G439" s="2" t="str">
        <f>"Carteira 21"</f>
        <v>Carteira 21</v>
      </c>
      <c r="H439" s="2">
        <v>16</v>
      </c>
      <c r="I439" s="3">
        <v>86</v>
      </c>
      <c r="J439" s="2" t="str">
        <f>"02/01/2020"</f>
        <v>02/01/2020</v>
      </c>
      <c r="K439" s="2" t="str">
        <f>"18/01/2020"</f>
        <v>18/01/2020</v>
      </c>
      <c r="L439" s="2" t="str">
        <f>"19/02/2020"</f>
        <v>19/02/2020</v>
      </c>
      <c r="M439" s="2" t="str">
        <f>"20/02/2020"</f>
        <v>20/02/2020</v>
      </c>
      <c r="N439" s="2">
        <v>946.15</v>
      </c>
      <c r="O439" s="2">
        <v>974.44</v>
      </c>
      <c r="P439" s="2">
        <v>0.71999999999991404</v>
      </c>
    </row>
    <row r="440" spans="1:16" s="2" customFormat="1" x14ac:dyDescent="0.25">
      <c r="A440" s="2">
        <v>48563101</v>
      </c>
      <c r="B440" s="2">
        <v>48563119</v>
      </c>
      <c r="C440" s="2" t="str">
        <f>"UNIMEDSJN"</f>
        <v>UNIMEDSJN</v>
      </c>
      <c r="D440" s="2" t="str">
        <f>"DH"</f>
        <v>DH</v>
      </c>
      <c r="E440" s="2" t="str">
        <f>"JOSE MAURICIO DE SALES"</f>
        <v>JOSE MAURICIO DE SALES</v>
      </c>
      <c r="F440" s="2" t="str">
        <f>"48563101-1/1"</f>
        <v>48563101-1/1</v>
      </c>
      <c r="G440" s="2" t="str">
        <f>"Carteira 21"</f>
        <v>Carteira 21</v>
      </c>
      <c r="H440" s="2">
        <v>16</v>
      </c>
      <c r="I440" s="3">
        <v>86</v>
      </c>
      <c r="J440" s="2" t="str">
        <f>"02/01/2020"</f>
        <v>02/01/2020</v>
      </c>
      <c r="K440" s="2" t="str">
        <f>"18/01/2020"</f>
        <v>18/01/2020</v>
      </c>
      <c r="L440" s="2" t="str">
        <f>"07/04/2020"</f>
        <v>07/04/2020</v>
      </c>
      <c r="M440" s="2" t="str">
        <f>"08/04/2020"</f>
        <v>08/04/2020</v>
      </c>
      <c r="N440" s="2">
        <v>1771.16</v>
      </c>
      <c r="O440" s="2">
        <v>1852.17</v>
      </c>
      <c r="P440" s="2">
        <v>1.6400000000001</v>
      </c>
    </row>
    <row r="441" spans="1:16" s="2" customFormat="1" x14ac:dyDescent="0.25">
      <c r="A441" s="2">
        <v>48571369</v>
      </c>
      <c r="B441" s="2">
        <v>48571381</v>
      </c>
      <c r="C441" s="2" t="str">
        <f>"UNIMEDSJN"</f>
        <v>UNIMEDSJN</v>
      </c>
      <c r="D441" s="2" t="str">
        <f>"DH"</f>
        <v>DH</v>
      </c>
      <c r="E441" s="2" t="str">
        <f>"JOSE OTAVIO OLIVEIRA PINHEIRO"</f>
        <v>JOSE OTAVIO OLIVEIRA PINHEIRO</v>
      </c>
      <c r="F441" s="2" t="str">
        <f>"48571369-1/1"</f>
        <v>48571369-1/1</v>
      </c>
      <c r="G441" s="2" t="str">
        <f>"Carteira 21"</f>
        <v>Carteira 21</v>
      </c>
      <c r="H441" s="2">
        <v>13</v>
      </c>
      <c r="I441" s="3">
        <v>89</v>
      </c>
      <c r="J441" s="2" t="str">
        <f>"02/01/2020"</f>
        <v>02/01/2020</v>
      </c>
      <c r="K441" s="2" t="str">
        <f>"15/01/2020"</f>
        <v>15/01/2020</v>
      </c>
      <c r="L441" s="2" t="str">
        <f>"06/03/2020"</f>
        <v>06/03/2020</v>
      </c>
      <c r="M441" s="2" t="str">
        <f>"09/03/2020"</f>
        <v>09/03/2020</v>
      </c>
      <c r="N441" s="2">
        <v>260.83999999999997</v>
      </c>
      <c r="O441" s="2">
        <v>270.45</v>
      </c>
      <c r="P441" s="2">
        <v>4.0000000000020498E-2</v>
      </c>
    </row>
    <row r="442" spans="1:16" s="2" customFormat="1" x14ac:dyDescent="0.25">
      <c r="A442" s="2">
        <v>45922789</v>
      </c>
      <c r="B442" s="2">
        <v>45922806</v>
      </c>
      <c r="C442" s="2" t="str">
        <f>"UNIMEDSJN"</f>
        <v>UNIMEDSJN</v>
      </c>
      <c r="D442" s="2" t="str">
        <f>"DH"</f>
        <v>DH</v>
      </c>
      <c r="E442" s="2" t="str">
        <f>"JOSE ROBERTO AMERICO CALEGARI"</f>
        <v>JOSE ROBERTO AMERICO CALEGARI</v>
      </c>
      <c r="F442" s="2" t="str">
        <f>"45922789-1/1"</f>
        <v>45922789-1/1</v>
      </c>
      <c r="G442" s="2" t="str">
        <f>"Carteira 21"</f>
        <v>Carteira 21</v>
      </c>
      <c r="H442" s="2">
        <v>50</v>
      </c>
      <c r="I442" s="3">
        <v>114</v>
      </c>
      <c r="J442" s="2" t="str">
        <f>"01/11/2019"</f>
        <v>01/11/2019</v>
      </c>
      <c r="K442" s="2" t="str">
        <f>"21/12/2019"</f>
        <v>21/12/2019</v>
      </c>
      <c r="L442" s="2" t="str">
        <f>"06/02/2020"</f>
        <v>06/02/2020</v>
      </c>
      <c r="M442" s="2" t="str">
        <f>"07/02/2020"</f>
        <v>07/02/2020</v>
      </c>
      <c r="N442" s="2">
        <v>227.94</v>
      </c>
      <c r="O442" s="2">
        <v>238.21</v>
      </c>
      <c r="P442" s="2">
        <v>-2.1400000000000099</v>
      </c>
    </row>
    <row r="443" spans="1:16" s="2" customFormat="1" x14ac:dyDescent="0.25">
      <c r="A443" s="2">
        <v>48570471</v>
      </c>
      <c r="B443" s="2">
        <v>48570487</v>
      </c>
      <c r="C443" s="2" t="str">
        <f>"UNIMEDSJN"</f>
        <v>UNIMEDSJN</v>
      </c>
      <c r="D443" s="2" t="str">
        <f>"DH"</f>
        <v>DH</v>
      </c>
      <c r="E443" s="2" t="str">
        <f>"Josiane Cirilo Almeida"</f>
        <v>Josiane Cirilo Almeida</v>
      </c>
      <c r="F443" s="2" t="str">
        <f>"48570471-1/1"</f>
        <v>48570471-1/1</v>
      </c>
      <c r="G443" s="2" t="str">
        <f>"Carteira 21"</f>
        <v>Carteira 21</v>
      </c>
      <c r="H443" s="2">
        <v>23</v>
      </c>
      <c r="I443" s="3">
        <v>79</v>
      </c>
      <c r="J443" s="2" t="str">
        <f>"02/01/2020"</f>
        <v>02/01/2020</v>
      </c>
      <c r="K443" s="2" t="str">
        <f>"25/01/2020"</f>
        <v>25/01/2020</v>
      </c>
      <c r="L443" s="2" t="str">
        <f>"07/02/2020"</f>
        <v>07/02/2020</v>
      </c>
      <c r="M443" s="2" t="str">
        <f>"10/02/2020"</f>
        <v>10/02/2020</v>
      </c>
      <c r="N443" s="2">
        <v>179.9</v>
      </c>
      <c r="O443" s="2">
        <v>184.15</v>
      </c>
      <c r="P443" s="2">
        <v>0.12999999999999501</v>
      </c>
    </row>
    <row r="444" spans="1:16" s="2" customFormat="1" x14ac:dyDescent="0.25">
      <c r="A444" s="2">
        <v>45929606</v>
      </c>
      <c r="B444" s="2">
        <v>45929616</v>
      </c>
      <c r="C444" s="2" t="str">
        <f>"UNIMEDSJN"</f>
        <v>UNIMEDSJN</v>
      </c>
      <c r="D444" s="2" t="str">
        <f>"DH"</f>
        <v>DH</v>
      </c>
      <c r="E444" s="2" t="str">
        <f>"JOSMAR VITAL PEREIRA"</f>
        <v>JOSMAR VITAL PEREIRA</v>
      </c>
      <c r="F444" s="2" t="str">
        <f>"45929606-1/1"</f>
        <v>45929606-1/1</v>
      </c>
      <c r="G444" s="2" t="str">
        <f>"Carteira 21"</f>
        <v>Carteira 21</v>
      </c>
      <c r="H444" s="2">
        <v>80</v>
      </c>
      <c r="I444" s="3">
        <v>84</v>
      </c>
      <c r="J444" s="2" t="str">
        <f>"01/11/2019"</f>
        <v>01/11/2019</v>
      </c>
      <c r="K444" s="2" t="str">
        <f>"20/01/2020"</f>
        <v>20/01/2020</v>
      </c>
      <c r="L444" s="2" t="str">
        <f>"03/03/2020"</f>
        <v>03/03/2020</v>
      </c>
      <c r="M444" s="2" t="str">
        <f>"04/03/2020"</f>
        <v>04/03/2020</v>
      </c>
      <c r="N444" s="2">
        <v>244.21</v>
      </c>
      <c r="O444" s="2">
        <v>257.07</v>
      </c>
      <c r="P444" s="2">
        <v>-4.4799999999999898</v>
      </c>
    </row>
    <row r="445" spans="1:16" s="2" customFormat="1" x14ac:dyDescent="0.25">
      <c r="A445" s="2">
        <v>48612123</v>
      </c>
      <c r="B445" s="2">
        <v>48612378</v>
      </c>
      <c r="C445" s="2" t="str">
        <f>"UNIMEDSJN"</f>
        <v>UNIMEDSJN</v>
      </c>
      <c r="D445" s="2" t="str">
        <f>"DH"</f>
        <v>DH</v>
      </c>
      <c r="E445" s="2" t="str">
        <f>"JOSMAR VITAL PEREIRA"</f>
        <v>JOSMAR VITAL PEREIRA</v>
      </c>
      <c r="F445" s="2" t="str">
        <f>"48612123-1/1"</f>
        <v>48612123-1/1</v>
      </c>
      <c r="G445" s="2" t="str">
        <f>"Carteira 21"</f>
        <v>Carteira 21</v>
      </c>
      <c r="H445" s="2">
        <v>29</v>
      </c>
      <c r="I445" s="3">
        <v>75</v>
      </c>
      <c r="J445" s="2" t="str">
        <f>"31/12/2019"</f>
        <v>31/12/2019</v>
      </c>
      <c r="K445" s="2" t="str">
        <f>"29/01/2020"</f>
        <v>29/01/2020</v>
      </c>
      <c r="L445" s="2" t="str">
        <f>"03/03/2020"</f>
        <v>03/03/2020</v>
      </c>
      <c r="M445" s="2" t="str">
        <f>"04/03/2020"</f>
        <v>04/03/2020</v>
      </c>
      <c r="N445" s="2">
        <v>244.21</v>
      </c>
      <c r="O445" s="2">
        <v>254.17</v>
      </c>
      <c r="P445" s="2">
        <v>-2.31</v>
      </c>
    </row>
    <row r="446" spans="1:16" s="2" customFormat="1" x14ac:dyDescent="0.25">
      <c r="A446" s="2">
        <v>48754145</v>
      </c>
      <c r="B446" s="2">
        <v>48754150</v>
      </c>
      <c r="C446" s="2" t="str">
        <f>"UNIMEDSJN"</f>
        <v>UNIMEDSJN</v>
      </c>
      <c r="D446" s="2" t="str">
        <f>"DH"</f>
        <v>DH</v>
      </c>
      <c r="E446" s="2" t="str">
        <f>"JOSMAR VITAL PEREIRA"</f>
        <v>JOSMAR VITAL PEREIRA</v>
      </c>
      <c r="F446" s="2" t="str">
        <f>"48754145-1/1"</f>
        <v>48754145-1/1</v>
      </c>
      <c r="G446" s="2" t="str">
        <f>"Carteira 21"</f>
        <v>Carteira 21</v>
      </c>
      <c r="H446" s="2">
        <v>16</v>
      </c>
      <c r="I446" s="3">
        <v>79</v>
      </c>
      <c r="J446" s="2" t="str">
        <f>"09/01/2020"</f>
        <v>09/01/2020</v>
      </c>
      <c r="K446" s="2" t="str">
        <f>"25/01/2020"</f>
        <v>25/01/2020</v>
      </c>
      <c r="L446" s="2" t="str">
        <f>"03/03/2020"</f>
        <v>03/03/2020</v>
      </c>
      <c r="M446" s="2" t="str">
        <f>"04/03/2020"</f>
        <v>04/03/2020</v>
      </c>
      <c r="N446" s="2">
        <v>244.21</v>
      </c>
      <c r="O446" s="2">
        <v>251.99</v>
      </c>
      <c r="P446" s="2">
        <v>0.189999999999998</v>
      </c>
    </row>
    <row r="447" spans="1:16" s="2" customFormat="1" x14ac:dyDescent="0.25">
      <c r="A447" s="2">
        <v>47491190</v>
      </c>
      <c r="B447" s="2">
        <v>47491200</v>
      </c>
      <c r="C447" s="2" t="str">
        <f>"UNIMEDSJN"</f>
        <v>UNIMEDSJN</v>
      </c>
      <c r="D447" s="2" t="str">
        <f>"DH"</f>
        <v>DH</v>
      </c>
      <c r="E447" s="2" t="str">
        <f>"JUAREZ TAVORA DA PRATA JUNIOR"</f>
        <v>JUAREZ TAVORA DA PRATA JUNIOR</v>
      </c>
      <c r="F447" s="2" t="str">
        <f>"47491190-1/1"</f>
        <v>47491190-1/1</v>
      </c>
      <c r="G447" s="2" t="str">
        <f>"Carteira 21"</f>
        <v>Carteira 21</v>
      </c>
      <c r="H447" s="2">
        <v>17</v>
      </c>
      <c r="I447" s="3">
        <v>117</v>
      </c>
      <c r="J447" s="2" t="str">
        <f>"01/12/2019"</f>
        <v>01/12/2019</v>
      </c>
      <c r="K447" s="2" t="str">
        <f>"18/12/2019"</f>
        <v>18/12/2019</v>
      </c>
      <c r="L447" s="2" t="str">
        <f>"03/02/2020"</f>
        <v>03/02/2020</v>
      </c>
      <c r="M447" s="2" t="str">
        <f>"04/02/2020"</f>
        <v>04/02/2020</v>
      </c>
      <c r="N447" s="2">
        <v>589.80999999999995</v>
      </c>
      <c r="O447" s="2">
        <v>610.76</v>
      </c>
      <c r="P447" s="2">
        <v>9.0000000000031805E-2</v>
      </c>
    </row>
    <row r="448" spans="1:16" s="2" customFormat="1" x14ac:dyDescent="0.25">
      <c r="A448" s="2">
        <v>48565831</v>
      </c>
      <c r="B448" s="2">
        <v>48565841</v>
      </c>
      <c r="C448" s="2" t="str">
        <f>"UNIMEDSJN"</f>
        <v>UNIMEDSJN</v>
      </c>
      <c r="D448" s="2" t="str">
        <f>"DH"</f>
        <v>DH</v>
      </c>
      <c r="E448" s="2" t="str">
        <f>"JUAREZ TAVORA DA PRATA JUNIOR"</f>
        <v>JUAREZ TAVORA DA PRATA JUNIOR</v>
      </c>
      <c r="F448" s="2" t="str">
        <f>"48565831-1/1"</f>
        <v>48565831-1/1</v>
      </c>
      <c r="G448" s="2" t="str">
        <f>"Carteira 21"</f>
        <v>Carteira 21</v>
      </c>
      <c r="H448" s="2">
        <v>16</v>
      </c>
      <c r="I448" s="3">
        <v>86</v>
      </c>
      <c r="J448" s="2" t="str">
        <f>"02/01/2020"</f>
        <v>02/01/2020</v>
      </c>
      <c r="K448" s="2" t="str">
        <f>"18/01/2020"</f>
        <v>18/01/2020</v>
      </c>
      <c r="L448" s="2" t="str">
        <f>"06/03/2020"</f>
        <v>06/03/2020</v>
      </c>
      <c r="M448" s="2" t="str">
        <f>"09/03/2020"</f>
        <v>09/03/2020</v>
      </c>
      <c r="N448" s="2">
        <v>589.80999999999995</v>
      </c>
      <c r="O448" s="2">
        <v>610.55999999999995</v>
      </c>
      <c r="P448" s="2">
        <v>0.49000000000000898</v>
      </c>
    </row>
    <row r="449" spans="1:16" s="2" customFormat="1" x14ac:dyDescent="0.25">
      <c r="A449" s="2">
        <v>48567814</v>
      </c>
      <c r="B449" s="2">
        <v>48567829</v>
      </c>
      <c r="C449" s="2" t="str">
        <f>"UNIMEDSJN"</f>
        <v>UNIMEDSJN</v>
      </c>
      <c r="D449" s="2" t="str">
        <f>"DH"</f>
        <v>DH</v>
      </c>
      <c r="E449" s="2" t="str">
        <f>"JULIA BORGES DE SOUZA SHIMONO"</f>
        <v>JULIA BORGES DE SOUZA SHIMONO</v>
      </c>
      <c r="F449" s="2" t="str">
        <f>"48567814-1/1"</f>
        <v>48567814-1/1</v>
      </c>
      <c r="G449" s="2" t="str">
        <f>"Carteira 21"</f>
        <v>Carteira 21</v>
      </c>
      <c r="H449" s="2">
        <v>23</v>
      </c>
      <c r="I449" s="3">
        <v>79</v>
      </c>
      <c r="J449" s="2" t="str">
        <f>"02/01/2020"</f>
        <v>02/01/2020</v>
      </c>
      <c r="K449" s="2" t="str">
        <f>"25/01/2020"</f>
        <v>25/01/2020</v>
      </c>
      <c r="L449" s="2" t="str">
        <f>"11/02/2020"</f>
        <v>11/02/2020</v>
      </c>
      <c r="M449" s="2" t="str">
        <f>"12/02/2020"</f>
        <v>12/02/2020</v>
      </c>
      <c r="N449" s="2">
        <v>281.01</v>
      </c>
      <c r="O449" s="2">
        <v>288.02</v>
      </c>
      <c r="P449" s="2">
        <v>0.19999999999998899</v>
      </c>
    </row>
    <row r="450" spans="1:16" s="2" customFormat="1" x14ac:dyDescent="0.25">
      <c r="A450" s="2">
        <v>48570051</v>
      </c>
      <c r="B450" s="2">
        <v>48570065</v>
      </c>
      <c r="C450" s="2" t="str">
        <f>"UNIMEDSJN"</f>
        <v>UNIMEDSJN</v>
      </c>
      <c r="D450" s="2" t="str">
        <f>"DH"</f>
        <v>DH</v>
      </c>
      <c r="E450" s="2" t="str">
        <f>"JULIA GUAZZI FONTENELLE"</f>
        <v>JULIA GUAZZI FONTENELLE</v>
      </c>
      <c r="F450" s="2" t="str">
        <f>"48570051-1/1"</f>
        <v>48570051-1/1</v>
      </c>
      <c r="G450" s="2" t="str">
        <f>"Carteira 21"</f>
        <v>Carteira 21</v>
      </c>
      <c r="H450" s="2">
        <v>23</v>
      </c>
      <c r="I450" s="3">
        <v>79</v>
      </c>
      <c r="J450" s="2" t="str">
        <f>"02/01/2020"</f>
        <v>02/01/2020</v>
      </c>
      <c r="K450" s="2" t="str">
        <f>"25/01/2020"</f>
        <v>25/01/2020</v>
      </c>
      <c r="L450" s="2" t="str">
        <f>"03/02/2020"</f>
        <v>03/02/2020</v>
      </c>
      <c r="M450" s="2" t="str">
        <f>"04/02/2020"</f>
        <v>04/02/2020</v>
      </c>
      <c r="N450" s="2">
        <v>193.85</v>
      </c>
      <c r="O450" s="2">
        <v>198.18</v>
      </c>
      <c r="P450" s="2">
        <v>0.12999999999999501</v>
      </c>
    </row>
    <row r="451" spans="1:16" s="2" customFormat="1" x14ac:dyDescent="0.25">
      <c r="A451" s="2">
        <v>45952641</v>
      </c>
      <c r="B451" s="2">
        <v>45952653</v>
      </c>
      <c r="C451" s="2" t="str">
        <f>"UNIMEDSJN"</f>
        <v>UNIMEDSJN</v>
      </c>
      <c r="D451" s="2" t="str">
        <f>"DH"</f>
        <v>DH</v>
      </c>
      <c r="E451" s="2" t="str">
        <f>"JULIA OLIVEIRA PULIER"</f>
        <v>JULIA OLIVEIRA PULIER</v>
      </c>
      <c r="F451" s="2" t="str">
        <f>"45952641-1/1"</f>
        <v>45952641-1/1</v>
      </c>
      <c r="G451" s="2" t="str">
        <f>"Carteira 21"</f>
        <v>Carteira 21</v>
      </c>
      <c r="H451" s="2">
        <v>14</v>
      </c>
      <c r="I451" s="3">
        <v>129</v>
      </c>
      <c r="J451" s="2" t="str">
        <f>"22/11/2019"</f>
        <v>22/11/2019</v>
      </c>
      <c r="K451" s="2" t="str">
        <f>"06/12/2019"</f>
        <v>06/12/2019</v>
      </c>
      <c r="L451" s="2" t="str">
        <f>"03/02/2020"</f>
        <v>03/02/2020</v>
      </c>
      <c r="M451" s="2" t="str">
        <f>"04/02/2020"</f>
        <v>04/02/2020</v>
      </c>
      <c r="N451" s="2">
        <v>166.44</v>
      </c>
      <c r="O451" s="2">
        <v>173.01</v>
      </c>
      <c r="P451" s="2">
        <v>3.0000000000001099E-2</v>
      </c>
    </row>
    <row r="452" spans="1:16" s="2" customFormat="1" x14ac:dyDescent="0.25">
      <c r="A452" s="2">
        <v>48496448</v>
      </c>
      <c r="B452" s="2">
        <v>48496458</v>
      </c>
      <c r="C452" s="2" t="str">
        <f>"UNIMEDSJN"</f>
        <v>UNIMEDSJN</v>
      </c>
      <c r="D452" s="2" t="str">
        <f>"DH"</f>
        <v>DH</v>
      </c>
      <c r="E452" s="2" t="str">
        <f>"JULIA OLIVEIRA PULIER"</f>
        <v>JULIA OLIVEIRA PULIER</v>
      </c>
      <c r="F452" s="2" t="str">
        <f>"48496448-1/1"</f>
        <v>48496448-1/1</v>
      </c>
      <c r="G452" s="2" t="str">
        <f>"Carteira 21"</f>
        <v>Carteira 21</v>
      </c>
      <c r="H452" s="2">
        <v>11</v>
      </c>
      <c r="I452" s="3">
        <v>98</v>
      </c>
      <c r="J452" s="2" t="str">
        <f>"26/12/2019"</f>
        <v>26/12/2019</v>
      </c>
      <c r="K452" s="2" t="str">
        <f>"06/01/2020"</f>
        <v>06/01/2020</v>
      </c>
      <c r="L452" s="2" t="str">
        <f>"03/03/2020"</f>
        <v>03/03/2020</v>
      </c>
      <c r="M452" s="2" t="str">
        <f>"04/03/2020"</f>
        <v>04/03/2020</v>
      </c>
      <c r="N452" s="2">
        <v>166.44</v>
      </c>
      <c r="O452" s="2">
        <v>172.9</v>
      </c>
      <c r="P452" s="2">
        <v>3.0000000000001099E-2</v>
      </c>
    </row>
    <row r="453" spans="1:16" s="2" customFormat="1" x14ac:dyDescent="0.25">
      <c r="A453" s="2">
        <v>48615460</v>
      </c>
      <c r="B453" s="2">
        <v>48615468</v>
      </c>
      <c r="C453" s="2" t="str">
        <f>"UNIMEDSJN"</f>
        <v>UNIMEDSJN</v>
      </c>
      <c r="D453" s="2" t="str">
        <f>"DH"</f>
        <v>DH</v>
      </c>
      <c r="E453" s="2" t="str">
        <f>"JULIA OLIVEIRA PULIER"</f>
        <v>JULIA OLIVEIRA PULIER</v>
      </c>
      <c r="F453" s="2" t="str">
        <f>"48615460-1/1"</f>
        <v>48615460-1/1</v>
      </c>
      <c r="G453" s="2" t="str">
        <f>"Carteira 21"</f>
        <v>Carteira 21</v>
      </c>
      <c r="H453" s="2">
        <v>17</v>
      </c>
      <c r="I453" s="3">
        <v>67</v>
      </c>
      <c r="J453" s="2" t="str">
        <f>"20/01/2020"</f>
        <v>20/01/2020</v>
      </c>
      <c r="K453" s="2" t="str">
        <f>"06/02/2020"</f>
        <v>06/02/2020</v>
      </c>
      <c r="L453" s="2" t="str">
        <f>"03/04/2020"</f>
        <v>03/04/2020</v>
      </c>
      <c r="M453" s="2" t="str">
        <f>"06/04/2020"</f>
        <v>06/04/2020</v>
      </c>
      <c r="N453" s="2">
        <v>166.44</v>
      </c>
      <c r="O453" s="2">
        <v>172.9</v>
      </c>
      <c r="P453" s="2">
        <v>3.0000000000001099E-2</v>
      </c>
    </row>
    <row r="454" spans="1:16" s="2" customFormat="1" x14ac:dyDescent="0.25">
      <c r="A454" s="2">
        <v>47492978</v>
      </c>
      <c r="B454" s="2">
        <v>47492990</v>
      </c>
      <c r="C454" s="2" t="str">
        <f>"UNIMEDSJN"</f>
        <v>UNIMEDSJN</v>
      </c>
      <c r="D454" s="2" t="str">
        <f>"DH"</f>
        <v>DH</v>
      </c>
      <c r="E454" s="2" t="str">
        <f>"Juliana Bizerra Soares Ferreira"</f>
        <v>Juliana Bizerra Soares Ferreira</v>
      </c>
      <c r="F454" s="2" t="str">
        <f>"47492978-1/1"</f>
        <v>47492978-1/1</v>
      </c>
      <c r="G454" s="2" t="str">
        <f>"Carteira 21"</f>
        <v>Carteira 21</v>
      </c>
      <c r="H454" s="2">
        <v>24</v>
      </c>
      <c r="I454" s="3">
        <v>110</v>
      </c>
      <c r="J454" s="2" t="str">
        <f>"01/12/2019"</f>
        <v>01/12/2019</v>
      </c>
      <c r="K454" s="2" t="str">
        <f>"25/12/2019"</f>
        <v>25/12/2019</v>
      </c>
      <c r="L454" s="2" t="str">
        <f>"17/02/2020"</f>
        <v>17/02/2020</v>
      </c>
      <c r="M454" s="2" t="str">
        <f>"18/02/2020"</f>
        <v>18/02/2020</v>
      </c>
      <c r="N454" s="2">
        <v>260.35000000000002</v>
      </c>
      <c r="O454" s="2">
        <v>270.2</v>
      </c>
      <c r="P454" s="2">
        <v>5.0000000000011403E-2</v>
      </c>
    </row>
    <row r="455" spans="1:16" s="2" customFormat="1" x14ac:dyDescent="0.25">
      <c r="A455" s="2">
        <v>47493017</v>
      </c>
      <c r="B455" s="2">
        <v>47493033</v>
      </c>
      <c r="C455" s="2" t="str">
        <f>"UNIMEDSJN"</f>
        <v>UNIMEDSJN</v>
      </c>
      <c r="D455" s="2" t="str">
        <f>"DH"</f>
        <v>DH</v>
      </c>
      <c r="E455" s="2" t="str">
        <f>"Juliana Bizerra Soares Ferreira"</f>
        <v>Juliana Bizerra Soares Ferreira</v>
      </c>
      <c r="F455" s="2" t="str">
        <f>"47493017-1/1"</f>
        <v>47493017-1/1</v>
      </c>
      <c r="G455" s="2" t="str">
        <f>"Carteira 21"</f>
        <v>Carteira 21</v>
      </c>
      <c r="H455" s="2">
        <v>24</v>
      </c>
      <c r="I455" s="3">
        <v>110</v>
      </c>
      <c r="J455" s="2" t="str">
        <f>"01/12/2019"</f>
        <v>01/12/2019</v>
      </c>
      <c r="K455" s="2" t="str">
        <f>"25/12/2019"</f>
        <v>25/12/2019</v>
      </c>
      <c r="L455" s="2" t="str">
        <f>"17/02/2020"</f>
        <v>17/02/2020</v>
      </c>
      <c r="M455" s="2" t="str">
        <f>"18/02/2020"</f>
        <v>18/02/2020</v>
      </c>
      <c r="N455" s="2">
        <v>260.35000000000002</v>
      </c>
      <c r="O455" s="2">
        <v>270.2</v>
      </c>
      <c r="P455" s="2">
        <v>5.0000000000011403E-2</v>
      </c>
    </row>
    <row r="456" spans="1:16" s="2" customFormat="1" x14ac:dyDescent="0.25">
      <c r="A456" s="2">
        <v>48568393</v>
      </c>
      <c r="B456" s="2">
        <v>48568410</v>
      </c>
      <c r="C456" s="2" t="str">
        <f>"UNIMEDSJN"</f>
        <v>UNIMEDSJN</v>
      </c>
      <c r="D456" s="2" t="str">
        <f>"DH"</f>
        <v>DH</v>
      </c>
      <c r="E456" s="2" t="str">
        <f>"Juliana Bizerra Soares Ferreira"</f>
        <v>Juliana Bizerra Soares Ferreira</v>
      </c>
      <c r="F456" s="2" t="str">
        <f>"48568393-1/1"</f>
        <v>48568393-1/1</v>
      </c>
      <c r="G456" s="2" t="str">
        <f>"Carteira 21"</f>
        <v>Carteira 21</v>
      </c>
      <c r="H456" s="2">
        <v>23</v>
      </c>
      <c r="I456" s="3">
        <v>79</v>
      </c>
      <c r="J456" s="2" t="str">
        <f>"02/01/2020"</f>
        <v>02/01/2020</v>
      </c>
      <c r="K456" s="2" t="str">
        <f>"25/01/2020"</f>
        <v>25/01/2020</v>
      </c>
      <c r="L456" s="2" t="str">
        <f>"06/03/2020"</f>
        <v>06/03/2020</v>
      </c>
      <c r="M456" s="2" t="str">
        <f>"09/03/2020"</f>
        <v>09/03/2020</v>
      </c>
      <c r="N456" s="2">
        <v>260.35000000000002</v>
      </c>
      <c r="O456" s="2">
        <v>268.91000000000003</v>
      </c>
      <c r="P456" s="2">
        <v>0.20999999999998001</v>
      </c>
    </row>
    <row r="457" spans="1:16" s="2" customFormat="1" x14ac:dyDescent="0.25">
      <c r="A457" s="2">
        <v>48568427</v>
      </c>
      <c r="B457" s="2">
        <v>48568442</v>
      </c>
      <c r="C457" s="2" t="str">
        <f>"UNIMEDSJN"</f>
        <v>UNIMEDSJN</v>
      </c>
      <c r="D457" s="2" t="str">
        <f>"DH"</f>
        <v>DH</v>
      </c>
      <c r="E457" s="2" t="str">
        <f>"Juliana Bizerra Soares Ferreira"</f>
        <v>Juliana Bizerra Soares Ferreira</v>
      </c>
      <c r="F457" s="2" t="str">
        <f>"48568427-1/1"</f>
        <v>48568427-1/1</v>
      </c>
      <c r="G457" s="2" t="str">
        <f>"Carteira 21"</f>
        <v>Carteira 21</v>
      </c>
      <c r="H457" s="2">
        <v>23</v>
      </c>
      <c r="I457" s="3">
        <v>79</v>
      </c>
      <c r="J457" s="2" t="str">
        <f>"02/01/2020"</f>
        <v>02/01/2020</v>
      </c>
      <c r="K457" s="2" t="str">
        <f>"25/01/2020"</f>
        <v>25/01/2020</v>
      </c>
      <c r="L457" s="2" t="str">
        <f>"06/03/2020"</f>
        <v>06/03/2020</v>
      </c>
      <c r="M457" s="2" t="str">
        <f>"09/03/2020"</f>
        <v>09/03/2020</v>
      </c>
      <c r="N457" s="2">
        <v>260.35000000000002</v>
      </c>
      <c r="O457" s="2">
        <v>268.91000000000003</v>
      </c>
      <c r="P457" s="2">
        <v>0.20999999999998001</v>
      </c>
    </row>
    <row r="458" spans="1:16" s="2" customFormat="1" x14ac:dyDescent="0.25">
      <c r="A458" s="2">
        <v>48577382</v>
      </c>
      <c r="B458" s="2">
        <v>48577401</v>
      </c>
      <c r="C458" s="2" t="str">
        <f>"UNIMEDSJN"</f>
        <v>UNIMEDSJN</v>
      </c>
      <c r="D458" s="2" t="str">
        <f>"DH"</f>
        <v>DH</v>
      </c>
      <c r="E458" s="2" t="str">
        <f>"JULIANA DOS SANTOS GOMES"</f>
        <v>JULIANA DOS SANTOS GOMES</v>
      </c>
      <c r="F458" s="2" t="str">
        <f>"48577382-1/1"</f>
        <v>48577382-1/1</v>
      </c>
      <c r="G458" s="2" t="str">
        <f>"Carteira 21"</f>
        <v>Carteira 21</v>
      </c>
      <c r="H458" s="2">
        <v>23</v>
      </c>
      <c r="I458" s="3">
        <v>79</v>
      </c>
      <c r="J458" s="2" t="str">
        <f>"02/01/2020"</f>
        <v>02/01/2020</v>
      </c>
      <c r="K458" s="2" t="str">
        <f>"25/01/2020"</f>
        <v>25/01/2020</v>
      </c>
      <c r="L458" s="2" t="str">
        <f>"28/02/2020"</f>
        <v>28/02/2020</v>
      </c>
      <c r="M458" s="2" t="str">
        <f>"13/03/2020"</f>
        <v>13/03/2020</v>
      </c>
      <c r="N458" s="2">
        <v>139.59</v>
      </c>
      <c r="O458" s="2">
        <v>143.85</v>
      </c>
      <c r="P458" s="2">
        <v>0.110000000000014</v>
      </c>
    </row>
    <row r="459" spans="1:16" s="2" customFormat="1" x14ac:dyDescent="0.25">
      <c r="A459" s="2">
        <v>45460247</v>
      </c>
      <c r="B459" s="2">
        <v>45460256</v>
      </c>
      <c r="C459" s="2" t="str">
        <f>"UNIMEDSJN"</f>
        <v>UNIMEDSJN</v>
      </c>
      <c r="D459" s="2" t="str">
        <f>"DH"</f>
        <v>DH</v>
      </c>
      <c r="E459" s="2" t="str">
        <f>"Juliana Fernandes Neves"</f>
        <v>Juliana Fernandes Neves</v>
      </c>
      <c r="F459" s="2" t="str">
        <f>"45460247-1/1"</f>
        <v>45460247-1/1</v>
      </c>
      <c r="G459" s="2" t="str">
        <f>"Carteira 21"</f>
        <v>Carteira 21</v>
      </c>
      <c r="H459" s="2">
        <v>24</v>
      </c>
      <c r="I459" s="3">
        <v>171</v>
      </c>
      <c r="J459" s="2" t="str">
        <f>"01/10/2019"</f>
        <v>01/10/2019</v>
      </c>
      <c r="K459" s="2" t="str">
        <f>"25/10/2019"</f>
        <v>25/10/2019</v>
      </c>
      <c r="L459" s="2" t="str">
        <f>"06/02/2020"</f>
        <v>06/02/2020</v>
      </c>
      <c r="M459" s="2" t="str">
        <f>"07/02/2020"</f>
        <v>07/02/2020</v>
      </c>
      <c r="N459" s="2">
        <v>186.9</v>
      </c>
      <c r="O459" s="2">
        <v>197.06</v>
      </c>
      <c r="P459" s="2">
        <v>6.0000000000002301E-2</v>
      </c>
    </row>
    <row r="460" spans="1:16" s="2" customFormat="1" x14ac:dyDescent="0.25">
      <c r="A460" s="2">
        <v>45926481</v>
      </c>
      <c r="B460" s="2">
        <v>45926486</v>
      </c>
      <c r="C460" s="2" t="str">
        <f>"UNIMEDSJN"</f>
        <v>UNIMEDSJN</v>
      </c>
      <c r="D460" s="2" t="str">
        <f>"DH"</f>
        <v>DH</v>
      </c>
      <c r="E460" s="2" t="str">
        <f>"Juliana Fernandes Neves"</f>
        <v>Juliana Fernandes Neves</v>
      </c>
      <c r="F460" s="2" t="str">
        <f>"45926481-1/1"</f>
        <v>45926481-1/1</v>
      </c>
      <c r="G460" s="2" t="str">
        <f>"Carteira 21"</f>
        <v>Carteira 21</v>
      </c>
      <c r="H460" s="2">
        <v>24</v>
      </c>
      <c r="I460" s="3">
        <v>140</v>
      </c>
      <c r="J460" s="2" t="str">
        <f>"01/11/2019"</f>
        <v>01/11/2019</v>
      </c>
      <c r="K460" s="2" t="str">
        <f>"25/11/2019"</f>
        <v>25/11/2019</v>
      </c>
      <c r="L460" s="2" t="str">
        <f>"06/02/2020"</f>
        <v>06/02/2020</v>
      </c>
      <c r="M460" s="2" t="str">
        <f>"07/02/2020"</f>
        <v>07/02/2020</v>
      </c>
      <c r="N460" s="2">
        <v>186.9</v>
      </c>
      <c r="O460" s="2">
        <v>195.14</v>
      </c>
      <c r="P460" s="2">
        <v>4.9999999999982898E-2</v>
      </c>
    </row>
    <row r="461" spans="1:16" s="2" customFormat="1" x14ac:dyDescent="0.25">
      <c r="A461" s="2">
        <v>47510976</v>
      </c>
      <c r="B461" s="2">
        <v>47510986</v>
      </c>
      <c r="C461" s="2" t="str">
        <f>"UNIMEDSJN"</f>
        <v>UNIMEDSJN</v>
      </c>
      <c r="D461" s="2" t="str">
        <f>"DH"</f>
        <v>DH</v>
      </c>
      <c r="E461" s="2" t="str">
        <f>"Juliana Fernandes Neves"</f>
        <v>Juliana Fernandes Neves</v>
      </c>
      <c r="F461" s="2" t="str">
        <f>"47510976-1/1"</f>
        <v>47510976-1/1</v>
      </c>
      <c r="G461" s="2" t="str">
        <f>"Carteira 21"</f>
        <v>Carteira 21</v>
      </c>
      <c r="H461" s="2">
        <v>24</v>
      </c>
      <c r="I461" s="3">
        <v>110</v>
      </c>
      <c r="J461" s="2" t="str">
        <f>"01/12/2019"</f>
        <v>01/12/2019</v>
      </c>
      <c r="K461" s="2" t="str">
        <f>"25/12/2019"</f>
        <v>25/12/2019</v>
      </c>
      <c r="L461" s="2" t="str">
        <f>"06/02/2020"</f>
        <v>06/02/2020</v>
      </c>
      <c r="M461" s="2" t="str">
        <f>"07/02/2020"</f>
        <v>07/02/2020</v>
      </c>
      <c r="N461" s="2">
        <v>186.9</v>
      </c>
      <c r="O461" s="2">
        <v>193.29</v>
      </c>
      <c r="P461" s="2">
        <v>3.0000000000001099E-2</v>
      </c>
    </row>
    <row r="462" spans="1:16" s="2" customFormat="1" x14ac:dyDescent="0.25">
      <c r="A462" s="2">
        <v>48586286</v>
      </c>
      <c r="B462" s="2">
        <v>48586291</v>
      </c>
      <c r="C462" s="2" t="str">
        <f>"UNIMEDSJN"</f>
        <v>UNIMEDSJN</v>
      </c>
      <c r="D462" s="2" t="str">
        <f>"DH"</f>
        <v>DH</v>
      </c>
      <c r="E462" s="2" t="str">
        <f>"Juliana Fernandes Neves"</f>
        <v>Juliana Fernandes Neves</v>
      </c>
      <c r="F462" s="2" t="str">
        <f>"48586286-1/1"</f>
        <v>48586286-1/1</v>
      </c>
      <c r="G462" s="2" t="str">
        <f>"Carteira 21"</f>
        <v>Carteira 21</v>
      </c>
      <c r="H462" s="2">
        <v>23</v>
      </c>
      <c r="I462" s="3">
        <v>79</v>
      </c>
      <c r="J462" s="2" t="str">
        <f>"02/01/2020"</f>
        <v>02/01/2020</v>
      </c>
      <c r="K462" s="2" t="str">
        <f>"25/01/2020"</f>
        <v>25/01/2020</v>
      </c>
      <c r="L462" s="2" t="str">
        <f>"06/02/2020"</f>
        <v>06/02/2020</v>
      </c>
      <c r="M462" s="2" t="str">
        <f>"07/02/2020"</f>
        <v>07/02/2020</v>
      </c>
      <c r="N462" s="2">
        <v>186.9</v>
      </c>
      <c r="O462" s="2">
        <v>191.26</v>
      </c>
      <c r="P462" s="2">
        <v>0.13000000000002401</v>
      </c>
    </row>
    <row r="463" spans="1:16" s="2" customFormat="1" x14ac:dyDescent="0.25">
      <c r="A463" s="2">
        <v>48581711</v>
      </c>
      <c r="B463" s="2">
        <v>48581716</v>
      </c>
      <c r="C463" s="2" t="str">
        <f>"UNIMEDSJN"</f>
        <v>UNIMEDSJN</v>
      </c>
      <c r="D463" s="2" t="str">
        <f>"DH"</f>
        <v>DH</v>
      </c>
      <c r="E463" s="2" t="str">
        <f>"Juliana Rodrigues de Mendonca"</f>
        <v>Juliana Rodrigues de Mendonca</v>
      </c>
      <c r="F463" s="2" t="str">
        <f>"48581711-1/1"</f>
        <v>48581711-1/1</v>
      </c>
      <c r="G463" s="2" t="str">
        <f>"Carteira 21"</f>
        <v>Carteira 21</v>
      </c>
      <c r="H463" s="2">
        <v>23</v>
      </c>
      <c r="I463" s="3">
        <v>79</v>
      </c>
      <c r="J463" s="2" t="str">
        <f>"02/01/2020"</f>
        <v>02/01/2020</v>
      </c>
      <c r="K463" s="2" t="str">
        <f>"25/01/2020"</f>
        <v>25/01/2020</v>
      </c>
      <c r="L463" s="2" t="str">
        <f>"04/02/2020"</f>
        <v>04/02/2020</v>
      </c>
      <c r="M463" s="2" t="str">
        <f>"05/02/2020"</f>
        <v>05/02/2020</v>
      </c>
      <c r="N463" s="2">
        <v>139.9</v>
      </c>
      <c r="O463" s="2">
        <v>143.07</v>
      </c>
      <c r="P463" s="2">
        <v>0.100000000000023</v>
      </c>
    </row>
    <row r="464" spans="1:16" s="2" customFormat="1" x14ac:dyDescent="0.25">
      <c r="A464" s="2">
        <v>47511608</v>
      </c>
      <c r="B464" s="2">
        <v>47511617</v>
      </c>
      <c r="C464" s="2" t="str">
        <f>"UNIMEDSJN"</f>
        <v>UNIMEDSJN</v>
      </c>
      <c r="D464" s="2" t="str">
        <f>"DH"</f>
        <v>DH</v>
      </c>
      <c r="E464" s="2" t="str">
        <f>"Julio Cezar Marchiori Nunes"</f>
        <v>Julio Cezar Marchiori Nunes</v>
      </c>
      <c r="F464" s="2" t="str">
        <f>"47511608-1/1"</f>
        <v>47511608-1/1</v>
      </c>
      <c r="G464" s="2" t="str">
        <f>"Carteira 21"</f>
        <v>Carteira 21</v>
      </c>
      <c r="H464" s="2">
        <v>51</v>
      </c>
      <c r="I464" s="3">
        <v>83</v>
      </c>
      <c r="J464" s="2" t="str">
        <f>"01/12/2019"</f>
        <v>01/12/2019</v>
      </c>
      <c r="K464" s="2" t="str">
        <f>"21/01/2020"</f>
        <v>21/01/2020</v>
      </c>
      <c r="L464" s="2" t="str">
        <f>"20/02/2020"</f>
        <v>20/02/2020</v>
      </c>
      <c r="M464" s="2" t="str">
        <f>"21/02/2020"</f>
        <v>21/02/2020</v>
      </c>
      <c r="N464" s="2">
        <v>1091.1400000000001</v>
      </c>
      <c r="O464" s="2">
        <v>1134.21</v>
      </c>
      <c r="P464" s="2">
        <v>-10.3399999999999</v>
      </c>
    </row>
    <row r="465" spans="1:16" s="2" customFormat="1" x14ac:dyDescent="0.25">
      <c r="A465" s="2">
        <v>48562900</v>
      </c>
      <c r="B465" s="2">
        <v>48562909</v>
      </c>
      <c r="C465" s="2" t="str">
        <f>"UNIMEDSJN"</f>
        <v>UNIMEDSJN</v>
      </c>
      <c r="D465" s="2" t="str">
        <f>"DH"</f>
        <v>DH</v>
      </c>
      <c r="E465" s="2" t="str">
        <f>"Julio Cezar Marchiori Nunes"</f>
        <v>Julio Cezar Marchiori Nunes</v>
      </c>
      <c r="F465" s="2" t="str">
        <f>"48562900-1/1"</f>
        <v>48562900-1/1</v>
      </c>
      <c r="G465" s="2" t="str">
        <f>"Carteira 21"</f>
        <v>Carteira 21</v>
      </c>
      <c r="H465" s="2">
        <v>20</v>
      </c>
      <c r="I465" s="3">
        <v>82</v>
      </c>
      <c r="J465" s="2" t="str">
        <f>"02/01/2020"</f>
        <v>02/01/2020</v>
      </c>
      <c r="K465" s="2" t="str">
        <f>"22/01/2020"</f>
        <v>22/01/2020</v>
      </c>
      <c r="L465" s="2" t="str">
        <f>"18/03/2020"</f>
        <v>18/03/2020</v>
      </c>
      <c r="M465" s="2" t="str">
        <f>"19/03/2020"</f>
        <v>19/03/2020</v>
      </c>
      <c r="N465" s="2">
        <v>1091.1400000000001</v>
      </c>
      <c r="O465" s="2">
        <v>1133.1300000000001</v>
      </c>
      <c r="P465" s="2">
        <v>0.200000000000045</v>
      </c>
    </row>
    <row r="466" spans="1:16" x14ac:dyDescent="0.25">
      <c r="A466">
        <v>48794068</v>
      </c>
      <c r="B466">
        <v>48794075</v>
      </c>
      <c r="C466" t="str">
        <f>"UNIMEDSJN"</f>
        <v>UNIMEDSJN</v>
      </c>
      <c r="D466" t="str">
        <f>"DH"</f>
        <v>DH</v>
      </c>
      <c r="E466" t="str">
        <f>"JUNIEL LANINI"</f>
        <v>JUNIEL LANINI</v>
      </c>
      <c r="F466" t="str">
        <f>"48794068-1/1"</f>
        <v>48794068-1/1</v>
      </c>
      <c r="G466" t="str">
        <f>"Carteira 21"</f>
        <v>Carteira 21</v>
      </c>
      <c r="H466">
        <v>37</v>
      </c>
      <c r="I466" s="1">
        <v>47</v>
      </c>
      <c r="J466" t="str">
        <f>"20/01/2020"</f>
        <v>20/01/2020</v>
      </c>
      <c r="K466" t="str">
        <f>"26/02/2020"</f>
        <v>26/02/2020</v>
      </c>
      <c r="L466" t="str">
        <f>"27/02/2020"</f>
        <v>27/02/2020</v>
      </c>
      <c r="M466" t="str">
        <f>"28/02/2020"</f>
        <v>28/02/2020</v>
      </c>
      <c r="N466">
        <v>378.62</v>
      </c>
      <c r="O466">
        <v>386.31</v>
      </c>
      <c r="P466">
        <v>9.9999999999909103E-3</v>
      </c>
    </row>
    <row r="467" spans="1:16" s="2" customFormat="1" x14ac:dyDescent="0.25">
      <c r="A467" s="2">
        <v>48583105</v>
      </c>
      <c r="B467" s="2">
        <v>48583123</v>
      </c>
      <c r="C467" s="2" t="str">
        <f>"UNIMEDSJN"</f>
        <v>UNIMEDSJN</v>
      </c>
      <c r="D467" s="2" t="str">
        <f>"DH"</f>
        <v>DH</v>
      </c>
      <c r="E467" s="2" t="str">
        <f>"JUSSARA MACEDO KAESER"</f>
        <v>JUSSARA MACEDO KAESER</v>
      </c>
      <c r="F467" s="2" t="str">
        <f>"48583105-1/1"</f>
        <v>48583105-1/1</v>
      </c>
      <c r="G467" s="2" t="str">
        <f>"Carteira 21"</f>
        <v>Carteira 21</v>
      </c>
      <c r="H467" s="2">
        <v>23</v>
      </c>
      <c r="I467" s="3">
        <v>79</v>
      </c>
      <c r="J467" s="2" t="str">
        <f>"02/01/2020"</f>
        <v>02/01/2020</v>
      </c>
      <c r="K467" s="2" t="str">
        <f>"25/01/2020"</f>
        <v>25/01/2020</v>
      </c>
      <c r="L467" s="2" t="str">
        <f>"27/02/2020"</f>
        <v>27/02/2020</v>
      </c>
      <c r="M467" s="2" t="str">
        <f>"28/02/2020"</f>
        <v>28/02/2020</v>
      </c>
      <c r="N467" s="2">
        <v>547.57000000000005</v>
      </c>
      <c r="O467" s="2">
        <v>564.12</v>
      </c>
      <c r="P467" s="2">
        <v>0.42000000000007298</v>
      </c>
    </row>
    <row r="468" spans="1:16" x14ac:dyDescent="0.25">
      <c r="A468">
        <v>48616023</v>
      </c>
      <c r="B468">
        <v>48616028</v>
      </c>
      <c r="C468" t="str">
        <f>"UNIMEDSJN"</f>
        <v>UNIMEDSJN</v>
      </c>
      <c r="D468" t="str">
        <f>"DH"</f>
        <v>DH</v>
      </c>
      <c r="E468" t="str">
        <f>"JUSSARA ROSSI VITOI"</f>
        <v>JUSSARA ROSSI VITOI</v>
      </c>
      <c r="F468" t="str">
        <f>"48616023-1/1"</f>
        <v>48616023-1/1</v>
      </c>
      <c r="G468" t="str">
        <f>"Carteira 21"</f>
        <v>Carteira 21</v>
      </c>
      <c r="H468">
        <v>37</v>
      </c>
      <c r="I468" s="1">
        <v>47</v>
      </c>
      <c r="J468" t="str">
        <f>"20/01/2020"</f>
        <v>20/01/2020</v>
      </c>
      <c r="K468" t="str">
        <f>"26/02/2020"</f>
        <v>26/02/2020</v>
      </c>
      <c r="L468" t="str">
        <f>"26/02/2020"</f>
        <v>26/02/2020</v>
      </c>
      <c r="M468" t="str">
        <f>"19/02/2020"</f>
        <v>19/02/2020</v>
      </c>
      <c r="N468">
        <v>471.51</v>
      </c>
      <c r="O468">
        <v>471.51</v>
      </c>
      <c r="P468">
        <v>0</v>
      </c>
    </row>
    <row r="469" spans="1:16" s="2" customFormat="1" x14ac:dyDescent="0.25">
      <c r="A469" s="2">
        <v>48577562</v>
      </c>
      <c r="B469" s="2">
        <v>48577571</v>
      </c>
      <c r="C469" s="2" t="str">
        <f>"UNIMEDSJN"</f>
        <v>UNIMEDSJN</v>
      </c>
      <c r="D469" s="2" t="str">
        <f>"DH"</f>
        <v>DH</v>
      </c>
      <c r="E469" s="2" t="str">
        <f>"KAMILLA CRISTINA OLIVEIRA DE MORAIS"</f>
        <v>KAMILLA CRISTINA OLIVEIRA DE MORAIS</v>
      </c>
      <c r="F469" s="2" t="str">
        <f>"48577562-1/1"</f>
        <v>48577562-1/1</v>
      </c>
      <c r="G469" s="2" t="str">
        <f>"Carteira 21"</f>
        <v>Carteira 21</v>
      </c>
      <c r="H469" s="2">
        <v>23</v>
      </c>
      <c r="I469" s="3">
        <v>79</v>
      </c>
      <c r="J469" s="2" t="str">
        <f>"02/01/2020"</f>
        <v>02/01/2020</v>
      </c>
      <c r="K469" s="2" t="str">
        <f>"25/01/2020"</f>
        <v>25/01/2020</v>
      </c>
      <c r="L469" s="2" t="str">
        <f>"03/03/2020"</f>
        <v>03/03/2020</v>
      </c>
      <c r="M469" s="2" t="str">
        <f>"04/03/2020"</f>
        <v>04/03/2020</v>
      </c>
      <c r="N469" s="2">
        <v>146.04</v>
      </c>
      <c r="O469" s="2">
        <v>150.69</v>
      </c>
      <c r="P469" s="2">
        <v>0.12000000000000501</v>
      </c>
    </row>
    <row r="470" spans="1:16" s="2" customFormat="1" x14ac:dyDescent="0.25">
      <c r="A470" s="2">
        <v>45452034</v>
      </c>
      <c r="B470" s="2">
        <v>45452045</v>
      </c>
      <c r="C470" s="2" t="str">
        <f>"UNIMEDSJN"</f>
        <v>UNIMEDSJN</v>
      </c>
      <c r="D470" s="2" t="str">
        <f>"DH"</f>
        <v>DH</v>
      </c>
      <c r="E470" s="2" t="str">
        <f>"Kamylla Coimbra de Castro"</f>
        <v>Kamylla Coimbra de Castro</v>
      </c>
      <c r="F470" s="2" t="str">
        <f>"45452034-1/1"</f>
        <v>45452034-1/1</v>
      </c>
      <c r="G470" s="2" t="str">
        <f>"Carteira 21"</f>
        <v>Carteira 21</v>
      </c>
      <c r="H470" s="2">
        <v>24</v>
      </c>
      <c r="I470" s="3">
        <v>171</v>
      </c>
      <c r="J470" s="2" t="str">
        <f>"01/10/2019"</f>
        <v>01/10/2019</v>
      </c>
      <c r="K470" s="2" t="str">
        <f>"25/10/2019"</f>
        <v>25/10/2019</v>
      </c>
      <c r="L470" s="2" t="str">
        <f>"25/10/2019"</f>
        <v>25/10/2019</v>
      </c>
      <c r="M470" s="2" t="str">
        <f>"27/09/2019"</f>
        <v>27/09/2019</v>
      </c>
      <c r="N470" s="2">
        <v>149.85</v>
      </c>
      <c r="O470" s="2">
        <v>149.85</v>
      </c>
      <c r="P470" s="2">
        <v>0</v>
      </c>
    </row>
    <row r="471" spans="1:16" s="2" customFormat="1" x14ac:dyDescent="0.25">
      <c r="A471" s="2">
        <v>48580465</v>
      </c>
      <c r="B471" s="2">
        <v>48580472</v>
      </c>
      <c r="C471" s="2" t="str">
        <f>"UNIMEDSJN"</f>
        <v>UNIMEDSJN</v>
      </c>
      <c r="D471" s="2" t="str">
        <f>"DH"</f>
        <v>DH</v>
      </c>
      <c r="E471" s="2" t="str">
        <f>"Kamylla Coimbra de Castro"</f>
        <v>Kamylla Coimbra de Castro</v>
      </c>
      <c r="F471" s="2" t="str">
        <f>"48580465-1/1"</f>
        <v>48580465-1/1</v>
      </c>
      <c r="G471" s="2" t="str">
        <f>"Carteira 21"</f>
        <v>Carteira 21</v>
      </c>
      <c r="H471" s="2">
        <v>23</v>
      </c>
      <c r="I471" s="3">
        <v>79</v>
      </c>
      <c r="J471" s="2" t="str">
        <f>"02/01/2020"</f>
        <v>02/01/2020</v>
      </c>
      <c r="K471" s="2" t="str">
        <f>"25/01/2020"</f>
        <v>25/01/2020</v>
      </c>
      <c r="L471" s="2" t="str">
        <f>"05/02/2020"</f>
        <v>05/02/2020</v>
      </c>
      <c r="M471" s="2" t="str">
        <f>"06/02/2020"</f>
        <v>06/02/2020</v>
      </c>
      <c r="N471" s="2">
        <v>149.85</v>
      </c>
      <c r="O471" s="2">
        <v>153.30000000000001</v>
      </c>
      <c r="P471" s="2">
        <v>9.9999999999994302E-2</v>
      </c>
    </row>
    <row r="472" spans="1:16" s="2" customFormat="1" x14ac:dyDescent="0.25">
      <c r="A472" s="2">
        <v>43572847</v>
      </c>
      <c r="B472" s="2">
        <v>43572857</v>
      </c>
      <c r="C472" s="2" t="str">
        <f>"UNIMEDSJN"</f>
        <v>UNIMEDSJN</v>
      </c>
      <c r="D472" s="2" t="str">
        <f>"DH"</f>
        <v>DH</v>
      </c>
      <c r="E472" s="2" t="str">
        <f>"Karen Luana Ribeiro Florenzano"</f>
        <v>Karen Luana Ribeiro Florenzano</v>
      </c>
      <c r="F472" s="2" t="str">
        <f>"43572847-1/1"</f>
        <v>43572847-1/1</v>
      </c>
      <c r="G472" s="2" t="str">
        <f>"Carteira 21"</f>
        <v>Carteira 21</v>
      </c>
      <c r="H472" s="2">
        <v>22</v>
      </c>
      <c r="I472" s="3">
        <v>293</v>
      </c>
      <c r="J472" s="2" t="str">
        <f>"03/06/2019"</f>
        <v>03/06/2019</v>
      </c>
      <c r="K472" s="2" t="str">
        <f>"25/06/2019"</f>
        <v>25/06/2019</v>
      </c>
      <c r="L472" s="2" t="str">
        <f>"25/06/2019"</f>
        <v>25/06/2019</v>
      </c>
      <c r="M472" s="2" t="str">
        <f>"03/06/2019"</f>
        <v>03/06/2019</v>
      </c>
      <c r="N472" s="2">
        <v>173.69</v>
      </c>
      <c r="O472" s="2">
        <v>173.69</v>
      </c>
      <c r="P472" s="2">
        <v>0</v>
      </c>
    </row>
    <row r="473" spans="1:16" s="2" customFormat="1" x14ac:dyDescent="0.25">
      <c r="A473" s="2">
        <v>47543057</v>
      </c>
      <c r="B473" s="2">
        <v>47543069</v>
      </c>
      <c r="C473" s="2" t="str">
        <f>"UNIMEDSJN"</f>
        <v>UNIMEDSJN</v>
      </c>
      <c r="D473" s="2" t="str">
        <f>"DH"</f>
        <v>DH</v>
      </c>
      <c r="E473" s="2" t="str">
        <f>"KATIA MARIA DE MATTOS AGRELLI"</f>
        <v>KATIA MARIA DE MATTOS AGRELLI</v>
      </c>
      <c r="F473" s="2" t="str">
        <f>"47543057-1/1"</f>
        <v>47543057-1/1</v>
      </c>
      <c r="G473" s="2" t="str">
        <f>"Carteira 21"</f>
        <v>Carteira 21</v>
      </c>
      <c r="H473" s="2">
        <v>25</v>
      </c>
      <c r="I473" s="3">
        <v>84</v>
      </c>
      <c r="J473" s="2" t="str">
        <f>"26/12/2019"</f>
        <v>26/12/2019</v>
      </c>
      <c r="K473" s="2" t="str">
        <f>"20/01/2020"</f>
        <v>20/01/2020</v>
      </c>
      <c r="L473" s="2" t="str">
        <f>"07/02/2020"</f>
        <v>07/02/2020</v>
      </c>
      <c r="M473" s="2" t="str">
        <f>"10/02/2020"</f>
        <v>10/02/2020</v>
      </c>
      <c r="N473" s="2">
        <v>274.10000000000002</v>
      </c>
      <c r="O473" s="2">
        <v>281.20999999999998</v>
      </c>
      <c r="P473" s="2">
        <v>1.00000000000477E-2</v>
      </c>
    </row>
    <row r="474" spans="1:16" x14ac:dyDescent="0.25">
      <c r="A474">
        <v>48615925</v>
      </c>
      <c r="B474">
        <v>48615939</v>
      </c>
      <c r="C474" t="str">
        <f>"UNIMEDSJN"</f>
        <v>UNIMEDSJN</v>
      </c>
      <c r="D474" t="str">
        <f>"DH"</f>
        <v>DH</v>
      </c>
      <c r="E474" t="str">
        <f>"KATIA MARIA DE MATTOS AGRELLI"</f>
        <v>KATIA MARIA DE MATTOS AGRELLI</v>
      </c>
      <c r="F474" t="str">
        <f>"48615925-1/1"</f>
        <v>48615925-1/1</v>
      </c>
      <c r="G474" t="str">
        <f>"Carteira 21"</f>
        <v>Carteira 21</v>
      </c>
      <c r="H474">
        <v>31</v>
      </c>
      <c r="I474" s="1">
        <v>53</v>
      </c>
      <c r="J474" t="str">
        <f>"20/01/2020"</f>
        <v>20/01/2020</v>
      </c>
      <c r="K474" t="str">
        <f>"20/02/2020"</f>
        <v>20/02/2020</v>
      </c>
      <c r="L474" t="str">
        <f>"11/03/2020"</f>
        <v>11/03/2020</v>
      </c>
      <c r="M474" t="str">
        <f>"12/03/2020"</f>
        <v>12/03/2020</v>
      </c>
      <c r="N474">
        <v>274.10000000000002</v>
      </c>
      <c r="O474">
        <v>281.39</v>
      </c>
      <c r="P474">
        <v>2.0000000000038699E-2</v>
      </c>
    </row>
    <row r="475" spans="1:16" s="2" customFormat="1" x14ac:dyDescent="0.25">
      <c r="A475" s="2">
        <v>43982237</v>
      </c>
      <c r="B475" s="2">
        <v>43982257</v>
      </c>
      <c r="C475" s="2" t="str">
        <f>"UNIMEDSJN"</f>
        <v>UNIMEDSJN</v>
      </c>
      <c r="D475" s="2" t="str">
        <f>"DH"</f>
        <v>DH</v>
      </c>
      <c r="E475" s="2" t="str">
        <f>"Katia Vieira de Lima Matos Mendonca"</f>
        <v>Katia Vieira de Lima Matos Mendonca</v>
      </c>
      <c r="F475" s="2" t="str">
        <f>"43982237-1/1"</f>
        <v>43982237-1/1</v>
      </c>
      <c r="G475" s="2" t="str">
        <f>"Carteira 21"</f>
        <v>Carteira 21</v>
      </c>
      <c r="H475" s="2">
        <v>24</v>
      </c>
      <c r="I475" s="3">
        <v>263</v>
      </c>
      <c r="J475" s="2" t="str">
        <f>"01/07/2019"</f>
        <v>01/07/2019</v>
      </c>
      <c r="K475" s="2" t="str">
        <f>"25/07/2019"</f>
        <v>25/07/2019</v>
      </c>
      <c r="L475" s="2" t="str">
        <f>"25/07/2019"</f>
        <v>25/07/2019</v>
      </c>
      <c r="M475" s="2" t="str">
        <f>"01/07/2019"</f>
        <v>01/07/2019</v>
      </c>
      <c r="N475" s="2">
        <v>353.77</v>
      </c>
      <c r="O475" s="2">
        <v>353.77</v>
      </c>
      <c r="P475" s="2">
        <v>0</v>
      </c>
    </row>
    <row r="476" spans="1:16" s="2" customFormat="1" x14ac:dyDescent="0.25">
      <c r="A476" s="2">
        <v>43982263</v>
      </c>
      <c r="B476" s="2">
        <v>43982276</v>
      </c>
      <c r="C476" s="2" t="str">
        <f>"UNIMEDSJN"</f>
        <v>UNIMEDSJN</v>
      </c>
      <c r="D476" s="2" t="str">
        <f>"DH"</f>
        <v>DH</v>
      </c>
      <c r="E476" s="2" t="str">
        <f>"Katia Vieira de Lima Matos Mendonca"</f>
        <v>Katia Vieira de Lima Matos Mendonca</v>
      </c>
      <c r="F476" s="2" t="str">
        <f>"43982263-1/1"</f>
        <v>43982263-1/1</v>
      </c>
      <c r="G476" s="2" t="str">
        <f>"Carteira 21"</f>
        <v>Carteira 21</v>
      </c>
      <c r="H476" s="2">
        <v>24</v>
      </c>
      <c r="I476" s="3">
        <v>263</v>
      </c>
      <c r="J476" s="2" t="str">
        <f>"01/07/2019"</f>
        <v>01/07/2019</v>
      </c>
      <c r="K476" s="2" t="str">
        <f>"25/07/2019"</f>
        <v>25/07/2019</v>
      </c>
      <c r="L476" s="2" t="str">
        <f>"25/07/2019"</f>
        <v>25/07/2019</v>
      </c>
      <c r="M476" s="2" t="str">
        <f>"01/07/2019"</f>
        <v>01/07/2019</v>
      </c>
      <c r="N476" s="2">
        <v>139.59</v>
      </c>
      <c r="O476" s="2">
        <v>139.59</v>
      </c>
      <c r="P476" s="2">
        <v>0</v>
      </c>
    </row>
    <row r="477" spans="1:16" s="2" customFormat="1" x14ac:dyDescent="0.25">
      <c r="A477" s="2">
        <v>47501020</v>
      </c>
      <c r="B477" s="2">
        <v>47501033</v>
      </c>
      <c r="C477" s="2" t="str">
        <f>"UNIMEDSJN"</f>
        <v>UNIMEDSJN</v>
      </c>
      <c r="D477" s="2" t="str">
        <f>"DH"</f>
        <v>DH</v>
      </c>
      <c r="E477" s="2" t="str">
        <f>"LARA GERALDI DA FONSECA"</f>
        <v>LARA GERALDI DA FONSECA</v>
      </c>
      <c r="F477" s="2" t="str">
        <f>"47501020-1/1"</f>
        <v>47501020-1/1</v>
      </c>
      <c r="G477" s="2" t="str">
        <f>"Carteira 21"</f>
        <v>Carteira 21</v>
      </c>
      <c r="H477" s="2">
        <v>24</v>
      </c>
      <c r="I477" s="3">
        <v>110</v>
      </c>
      <c r="J477" s="2" t="str">
        <f>"01/12/2019"</f>
        <v>01/12/2019</v>
      </c>
      <c r="K477" s="2" t="str">
        <f>"25/12/2019"</f>
        <v>25/12/2019</v>
      </c>
      <c r="L477" s="2" t="str">
        <f>"16/03/2020"</f>
        <v>16/03/2020</v>
      </c>
      <c r="M477" s="2" t="str">
        <f>"17/03/2020"</f>
        <v>17/03/2020</v>
      </c>
      <c r="N477" s="2">
        <v>139.9</v>
      </c>
      <c r="O477" s="2">
        <v>146.49</v>
      </c>
      <c r="P477" s="2">
        <v>3.0000000000001099E-2</v>
      </c>
    </row>
    <row r="478" spans="1:16" s="2" customFormat="1" x14ac:dyDescent="0.25">
      <c r="A478" s="2">
        <v>48577869</v>
      </c>
      <c r="B478" s="2">
        <v>48577874</v>
      </c>
      <c r="C478" s="2" t="str">
        <f>"UNIMEDSJN"</f>
        <v>UNIMEDSJN</v>
      </c>
      <c r="D478" s="2" t="str">
        <f>"DH"</f>
        <v>DH</v>
      </c>
      <c r="E478" s="2" t="str">
        <f>"LARA GERALDI DA FONSECA"</f>
        <v>LARA GERALDI DA FONSECA</v>
      </c>
      <c r="F478" s="2" t="str">
        <f>"48577869-1/1"</f>
        <v>48577869-1/1</v>
      </c>
      <c r="G478" s="2" t="str">
        <f>"Carteira 21"</f>
        <v>Carteira 21</v>
      </c>
      <c r="H478" s="2">
        <v>23</v>
      </c>
      <c r="I478" s="3">
        <v>79</v>
      </c>
      <c r="J478" s="2" t="str">
        <f>"02/01/2020"</f>
        <v>02/01/2020</v>
      </c>
      <c r="K478" s="2" t="str">
        <f>"25/01/2020"</f>
        <v>25/01/2020</v>
      </c>
      <c r="L478" s="2" t="str">
        <f>"16/03/2020"</f>
        <v>16/03/2020</v>
      </c>
      <c r="M478" s="2" t="str">
        <f>"17/03/2020"</f>
        <v>17/03/2020</v>
      </c>
      <c r="N478" s="2">
        <v>139.9</v>
      </c>
      <c r="O478" s="2">
        <v>144.96</v>
      </c>
      <c r="P478" s="2">
        <v>0.12000000000000501</v>
      </c>
    </row>
    <row r="479" spans="1:16" s="2" customFormat="1" x14ac:dyDescent="0.25">
      <c r="A479" s="2">
        <v>45908746</v>
      </c>
      <c r="B479" s="2">
        <v>45908756</v>
      </c>
      <c r="C479" s="2" t="str">
        <f>"UNIMEDSJN"</f>
        <v>UNIMEDSJN</v>
      </c>
      <c r="D479" s="2" t="str">
        <f>"DH"</f>
        <v>DH</v>
      </c>
      <c r="E479" s="2" t="str">
        <f>"LARA MOREIRA DE PAULA"</f>
        <v>LARA MOREIRA DE PAULA</v>
      </c>
      <c r="F479" s="2" t="str">
        <f>"45908746-1/1"</f>
        <v>45908746-1/1</v>
      </c>
      <c r="G479" s="2" t="str">
        <f>"Carteira 21"</f>
        <v>Carteira 21</v>
      </c>
      <c r="H479" s="2">
        <v>24</v>
      </c>
      <c r="I479" s="3">
        <v>140</v>
      </c>
      <c r="J479" s="2" t="str">
        <f>"01/11/2019"</f>
        <v>01/11/2019</v>
      </c>
      <c r="K479" s="2" t="str">
        <f>"25/11/2019"</f>
        <v>25/11/2019</v>
      </c>
      <c r="L479" s="2" t="str">
        <f>"25/11/2019"</f>
        <v>25/11/2019</v>
      </c>
      <c r="M479" s="2" t="str">
        <f>"31/10/2019"</f>
        <v>31/10/2019</v>
      </c>
      <c r="N479" s="2">
        <v>141.62</v>
      </c>
      <c r="O479" s="2">
        <v>141.62</v>
      </c>
      <c r="P479" s="2">
        <v>0</v>
      </c>
    </row>
    <row r="480" spans="1:16" s="2" customFormat="1" x14ac:dyDescent="0.25">
      <c r="A480" s="2">
        <v>47504065</v>
      </c>
      <c r="B480" s="2">
        <v>47504070</v>
      </c>
      <c r="C480" s="2" t="str">
        <f>"UNIMEDSJN"</f>
        <v>UNIMEDSJN</v>
      </c>
      <c r="D480" s="2" t="str">
        <f>"DH"</f>
        <v>DH</v>
      </c>
      <c r="E480" s="2" t="str">
        <f>"LARA MOREIRA DE PAULA"</f>
        <v>LARA MOREIRA DE PAULA</v>
      </c>
      <c r="F480" s="2" t="str">
        <f>"47504065-1/1"</f>
        <v>47504065-1/1</v>
      </c>
      <c r="G480" s="2" t="str">
        <f>"Carteira 21"</f>
        <v>Carteira 21</v>
      </c>
      <c r="H480" s="2">
        <v>24</v>
      </c>
      <c r="I480" s="3">
        <v>110</v>
      </c>
      <c r="J480" s="2" t="str">
        <f>"01/12/2019"</f>
        <v>01/12/2019</v>
      </c>
      <c r="K480" s="2" t="str">
        <f>"25/12/2019"</f>
        <v>25/12/2019</v>
      </c>
      <c r="L480" s="2" t="str">
        <f>"25/12/2019"</f>
        <v>25/12/2019</v>
      </c>
      <c r="M480" s="2" t="str">
        <f>"28/11/2019"</f>
        <v>28/11/2019</v>
      </c>
      <c r="N480" s="2">
        <v>141.62</v>
      </c>
      <c r="O480" s="2">
        <v>141.62</v>
      </c>
      <c r="P480" s="2">
        <v>0</v>
      </c>
    </row>
    <row r="481" spans="1:16" s="2" customFormat="1" x14ac:dyDescent="0.25">
      <c r="A481" s="2">
        <v>48580652</v>
      </c>
      <c r="B481" s="2">
        <v>48580662</v>
      </c>
      <c r="C481" s="2" t="str">
        <f>"UNIMEDSJN"</f>
        <v>UNIMEDSJN</v>
      </c>
      <c r="D481" s="2" t="str">
        <f>"DH"</f>
        <v>DH</v>
      </c>
      <c r="E481" s="2" t="str">
        <f>"LARA MOREIRA DE PAULA"</f>
        <v>LARA MOREIRA DE PAULA</v>
      </c>
      <c r="F481" s="2" t="str">
        <f>"48580652-1/1"</f>
        <v>48580652-1/1</v>
      </c>
      <c r="G481" s="2" t="str">
        <f>"Carteira 21"</f>
        <v>Carteira 21</v>
      </c>
      <c r="H481" s="2">
        <v>23</v>
      </c>
      <c r="I481" s="3">
        <v>79</v>
      </c>
      <c r="J481" s="2" t="str">
        <f>"02/01/2020"</f>
        <v>02/01/2020</v>
      </c>
      <c r="K481" s="2" t="str">
        <f>"25/01/2020"</f>
        <v>25/01/2020</v>
      </c>
      <c r="L481" s="2" t="str">
        <f>"27/01/2020"</f>
        <v>27/01/2020</v>
      </c>
      <c r="M481" s="2" t="str">
        <f>"27/12/2019"</f>
        <v>27/12/2019</v>
      </c>
      <c r="N481" s="2">
        <v>141.62</v>
      </c>
      <c r="O481" s="2">
        <v>141.62</v>
      </c>
      <c r="P481" s="2">
        <v>0</v>
      </c>
    </row>
    <row r="482" spans="1:16" s="2" customFormat="1" x14ac:dyDescent="0.25">
      <c r="A482" s="2">
        <v>47498045</v>
      </c>
      <c r="B482" s="2">
        <v>47498050</v>
      </c>
      <c r="C482" s="2" t="str">
        <f>"UNIMEDSJN"</f>
        <v>UNIMEDSJN</v>
      </c>
      <c r="D482" s="2" t="str">
        <f>"DH"</f>
        <v>DH</v>
      </c>
      <c r="E482" s="2" t="str">
        <f>"LARA VIDAL MENDONCA E OLIVEIRA"</f>
        <v>LARA VIDAL MENDONCA E OLIVEIRA</v>
      </c>
      <c r="F482" s="2" t="str">
        <f>"47498045-1/1"</f>
        <v>47498045-1/1</v>
      </c>
      <c r="G482" s="2" t="str">
        <f>"Carteira 21"</f>
        <v>Carteira 21</v>
      </c>
      <c r="H482" s="2">
        <v>21</v>
      </c>
      <c r="I482" s="3">
        <v>113</v>
      </c>
      <c r="J482" s="2" t="str">
        <f>"01/12/2019"</f>
        <v>01/12/2019</v>
      </c>
      <c r="K482" s="2" t="str">
        <f>"22/12/2019"</f>
        <v>22/12/2019</v>
      </c>
      <c r="L482" s="2" t="str">
        <f>"07/02/2020"</f>
        <v>07/02/2020</v>
      </c>
      <c r="M482" s="2" t="str">
        <f>"10/02/2020"</f>
        <v>10/02/2020</v>
      </c>
      <c r="N482" s="2">
        <v>78.25</v>
      </c>
      <c r="O482" s="2">
        <v>81</v>
      </c>
      <c r="P482" s="2">
        <v>4.9999999999997199E-2</v>
      </c>
    </row>
    <row r="483" spans="1:16" s="2" customFormat="1" x14ac:dyDescent="0.25">
      <c r="A483" s="2">
        <v>48573365</v>
      </c>
      <c r="B483" s="2">
        <v>48573880</v>
      </c>
      <c r="C483" s="2" t="str">
        <f>"UNIMEDSJN"</f>
        <v>UNIMEDSJN</v>
      </c>
      <c r="D483" s="2" t="str">
        <f>"DH"</f>
        <v>DH</v>
      </c>
      <c r="E483" s="2" t="str">
        <f>"LARA VIDAL MENDONCA E OLIVEIRA"</f>
        <v>LARA VIDAL MENDONCA E OLIVEIRA</v>
      </c>
      <c r="F483" s="2" t="str">
        <f>"48573365-1/1"</f>
        <v>48573365-1/1</v>
      </c>
      <c r="G483" s="2" t="str">
        <f>"Carteira 21"</f>
        <v>Carteira 21</v>
      </c>
      <c r="H483" s="2">
        <v>20</v>
      </c>
      <c r="I483" s="3">
        <v>82</v>
      </c>
      <c r="J483" s="2" t="str">
        <f>"02/01/2020"</f>
        <v>02/01/2020</v>
      </c>
      <c r="K483" s="2" t="str">
        <f>"22/01/2020"</f>
        <v>22/01/2020</v>
      </c>
      <c r="L483" s="2" t="str">
        <f>"02/03/2020"</f>
        <v>02/03/2020</v>
      </c>
      <c r="M483" s="2" t="str">
        <f>"03/03/2020"</f>
        <v>03/03/2020</v>
      </c>
      <c r="N483" s="2">
        <v>78.25</v>
      </c>
      <c r="O483" s="2">
        <v>80.84</v>
      </c>
      <c r="P483" s="2">
        <v>1.9999999999996E-2</v>
      </c>
    </row>
    <row r="484" spans="1:16" s="2" customFormat="1" x14ac:dyDescent="0.25">
      <c r="A484" s="2">
        <v>47490893</v>
      </c>
      <c r="B484" s="2">
        <v>47490900</v>
      </c>
      <c r="C484" s="2" t="str">
        <f>"UNIMEDSJN"</f>
        <v>UNIMEDSJN</v>
      </c>
      <c r="D484" s="2" t="str">
        <f>"DH"</f>
        <v>DH</v>
      </c>
      <c r="E484" s="2" t="str">
        <f>"LARA VIEIRA DESSUPOIO"</f>
        <v>LARA VIEIRA DESSUPOIO</v>
      </c>
      <c r="F484" s="2" t="str">
        <f>"47490893-1/1"</f>
        <v>47490893-1/1</v>
      </c>
      <c r="G484" s="2" t="str">
        <f>"Carteira 21"</f>
        <v>Carteira 21</v>
      </c>
      <c r="H484" s="2">
        <v>14</v>
      </c>
      <c r="I484" s="3">
        <v>120</v>
      </c>
      <c r="J484" s="2" t="str">
        <f>"01/12/2019"</f>
        <v>01/12/2019</v>
      </c>
      <c r="K484" s="2" t="str">
        <f>"15/12/2019"</f>
        <v>15/12/2019</v>
      </c>
      <c r="L484" s="2" t="str">
        <f>"20/02/2020"</f>
        <v>20/02/2020</v>
      </c>
      <c r="M484" s="2" t="str">
        <f>"21/02/2020"</f>
        <v>21/02/2020</v>
      </c>
      <c r="N484" s="2">
        <v>303.86</v>
      </c>
      <c r="O484" s="2">
        <v>316.56</v>
      </c>
      <c r="P484" s="2">
        <v>0.170000000000016</v>
      </c>
    </row>
    <row r="485" spans="1:16" s="2" customFormat="1" x14ac:dyDescent="0.25">
      <c r="A485" s="2">
        <v>48565888</v>
      </c>
      <c r="B485" s="2">
        <v>48565893</v>
      </c>
      <c r="C485" s="2" t="str">
        <f>"UNIMEDSJN"</f>
        <v>UNIMEDSJN</v>
      </c>
      <c r="D485" s="2" t="str">
        <f>"DH"</f>
        <v>DH</v>
      </c>
      <c r="E485" s="2" t="str">
        <f>"LARA VIEIRA DESSUPOIO"</f>
        <v>LARA VIEIRA DESSUPOIO</v>
      </c>
      <c r="F485" s="2" t="str">
        <f>"48565888-1/1"</f>
        <v>48565888-1/1</v>
      </c>
      <c r="G485" s="2" t="str">
        <f>"Carteira 21"</f>
        <v>Carteira 21</v>
      </c>
      <c r="H485" s="2">
        <v>13</v>
      </c>
      <c r="I485" s="3">
        <v>89</v>
      </c>
      <c r="J485" s="2" t="str">
        <f>"02/01/2020"</f>
        <v>02/01/2020</v>
      </c>
      <c r="K485" s="2" t="str">
        <f>"15/01/2020"</f>
        <v>15/01/2020</v>
      </c>
      <c r="L485" s="2" t="str">
        <f>"10/03/2020"</f>
        <v>10/03/2020</v>
      </c>
      <c r="M485" s="2" t="str">
        <f>"11/03/2020"</f>
        <v>11/03/2020</v>
      </c>
      <c r="N485" s="2">
        <v>303.86</v>
      </c>
      <c r="O485" s="2">
        <v>315.45999999999998</v>
      </c>
      <c r="P485" s="2">
        <v>5.0000000000011403E-2</v>
      </c>
    </row>
    <row r="486" spans="1:16" s="2" customFormat="1" x14ac:dyDescent="0.25">
      <c r="A486" s="2">
        <v>48574049</v>
      </c>
      <c r="B486" s="2">
        <v>48574059</v>
      </c>
      <c r="C486" s="2" t="str">
        <f>"UNIMEDSJN"</f>
        <v>UNIMEDSJN</v>
      </c>
      <c r="D486" s="2" t="str">
        <f>"DH"</f>
        <v>DH</v>
      </c>
      <c r="E486" s="2" t="str">
        <f>"LARAH VITORIA DE ALMEIDA SOARES"</f>
        <v>LARAH VITORIA DE ALMEIDA SOARES</v>
      </c>
      <c r="F486" s="2" t="str">
        <f>"48574049-1/1"</f>
        <v>48574049-1/1</v>
      </c>
      <c r="G486" s="2" t="str">
        <f>"Carteira 21"</f>
        <v>Carteira 21</v>
      </c>
      <c r="H486" s="2">
        <v>23</v>
      </c>
      <c r="I486" s="3">
        <v>79</v>
      </c>
      <c r="J486" s="2" t="str">
        <f>"02/01/2020"</f>
        <v>02/01/2020</v>
      </c>
      <c r="K486" s="2" t="str">
        <f>"25/01/2020"</f>
        <v>25/01/2020</v>
      </c>
      <c r="L486" s="2" t="str">
        <f>"11/02/2020"</f>
        <v>11/02/2020</v>
      </c>
      <c r="M486" s="2" t="str">
        <f>"12/02/2020"</f>
        <v>12/02/2020</v>
      </c>
      <c r="N486" s="2">
        <v>96.97</v>
      </c>
      <c r="O486" s="2">
        <v>99.39</v>
      </c>
      <c r="P486" s="2">
        <v>6.9999999999993207E-2</v>
      </c>
    </row>
    <row r="487" spans="1:16" s="2" customFormat="1" x14ac:dyDescent="0.25">
      <c r="A487" s="2">
        <v>48568039</v>
      </c>
      <c r="B487" s="2">
        <v>48568051</v>
      </c>
      <c r="C487" s="2" t="str">
        <f>"UNIMEDSJN"</f>
        <v>UNIMEDSJN</v>
      </c>
      <c r="D487" s="2" t="str">
        <f>"DH"</f>
        <v>DH</v>
      </c>
      <c r="E487" s="2" t="str">
        <f>"LARISSA BARBOSA MAGALHES"</f>
        <v>LARISSA BARBOSA MAGALHES</v>
      </c>
      <c r="F487" s="2" t="str">
        <f>"48568039-1/1"</f>
        <v>48568039-1/1</v>
      </c>
      <c r="G487" s="2" t="str">
        <f>"Carteira 21"</f>
        <v>Carteira 21</v>
      </c>
      <c r="H487" s="2">
        <v>23</v>
      </c>
      <c r="I487" s="3">
        <v>79</v>
      </c>
      <c r="J487" s="2" t="str">
        <f>"02/01/2020"</f>
        <v>02/01/2020</v>
      </c>
      <c r="K487" s="2" t="str">
        <f>"25/01/2020"</f>
        <v>25/01/2020</v>
      </c>
      <c r="L487" s="2" t="str">
        <f>"17/03/2020"</f>
        <v>17/03/2020</v>
      </c>
      <c r="M487" s="2" t="str">
        <f>"18/03/2020"</f>
        <v>18/03/2020</v>
      </c>
      <c r="N487" s="2">
        <v>283.06</v>
      </c>
      <c r="O487" s="2">
        <v>293.39</v>
      </c>
      <c r="P487" s="2">
        <v>0.24000000000000901</v>
      </c>
    </row>
    <row r="488" spans="1:16" s="2" customFormat="1" x14ac:dyDescent="0.25">
      <c r="A488" s="2">
        <v>44252639</v>
      </c>
      <c r="B488" s="2">
        <v>44252645</v>
      </c>
      <c r="C488" s="2" t="str">
        <f>"UNIMEDSJN"</f>
        <v>UNIMEDSJN</v>
      </c>
      <c r="D488" s="2" t="str">
        <f>"DH"</f>
        <v>DH</v>
      </c>
      <c r="E488" s="2" t="str">
        <f>"Larissa da Rocha Dutra"</f>
        <v>Larissa da Rocha Dutra</v>
      </c>
      <c r="F488" s="2" t="str">
        <f>"44252639-1/1"</f>
        <v>44252639-1/1</v>
      </c>
      <c r="G488" s="2" t="str">
        <f>"CARTEIRA PERDA"</f>
        <v>CARTEIRA PERDA</v>
      </c>
      <c r="H488" s="2">
        <v>14</v>
      </c>
      <c r="I488" s="3">
        <v>242</v>
      </c>
      <c r="J488" s="2" t="str">
        <f>"01/08/2019"</f>
        <v>01/08/2019</v>
      </c>
      <c r="K488" s="2" t="str">
        <f>"15/08/2019"</f>
        <v>15/08/2019</v>
      </c>
      <c r="L488" s="2" t="str">
        <f>"15/08/2019"</f>
        <v>15/08/2019</v>
      </c>
      <c r="M488" s="2" t="str">
        <f>"05/03/2020"</f>
        <v>05/03/2020</v>
      </c>
      <c r="N488" s="2">
        <v>12.77</v>
      </c>
      <c r="O488" s="2">
        <v>12.77</v>
      </c>
      <c r="P488" s="2">
        <v>0</v>
      </c>
    </row>
    <row r="489" spans="1:16" s="2" customFormat="1" x14ac:dyDescent="0.25">
      <c r="A489" s="2">
        <v>44329451</v>
      </c>
      <c r="B489" s="2">
        <v>44329458</v>
      </c>
      <c r="C489" s="2" t="str">
        <f>"UNIMEDSJN"</f>
        <v>UNIMEDSJN</v>
      </c>
      <c r="D489" s="2" t="str">
        <f>"DH"</f>
        <v>DH</v>
      </c>
      <c r="E489" s="2" t="str">
        <f>"Larissa da Rocha Dutra"</f>
        <v>Larissa da Rocha Dutra</v>
      </c>
      <c r="F489" s="2" t="str">
        <f>"44329451-1/1"</f>
        <v>44329451-1/1</v>
      </c>
      <c r="G489" s="2" t="str">
        <f>"CARTEIRA PERDA"</f>
        <v>CARTEIRA PERDA</v>
      </c>
      <c r="H489" s="2">
        <v>14</v>
      </c>
      <c r="I489" s="3">
        <v>242</v>
      </c>
      <c r="J489" s="2" t="str">
        <f>"01/08/2019"</f>
        <v>01/08/2019</v>
      </c>
      <c r="K489" s="2" t="str">
        <f>"15/08/2019"</f>
        <v>15/08/2019</v>
      </c>
      <c r="L489" s="2" t="str">
        <f>"15/08/2019"</f>
        <v>15/08/2019</v>
      </c>
      <c r="M489" s="2" t="str">
        <f>"05/03/2020"</f>
        <v>05/03/2020</v>
      </c>
      <c r="N489" s="2">
        <v>186.46</v>
      </c>
      <c r="O489" s="2">
        <v>186.46</v>
      </c>
      <c r="P489" s="2">
        <v>0</v>
      </c>
    </row>
    <row r="490" spans="1:16" s="2" customFormat="1" x14ac:dyDescent="0.25">
      <c r="A490" s="2">
        <v>44976046</v>
      </c>
      <c r="B490" s="2">
        <v>44976056</v>
      </c>
      <c r="C490" s="2" t="str">
        <f>"UNIMEDSJN"</f>
        <v>UNIMEDSJN</v>
      </c>
      <c r="D490" s="2" t="str">
        <f>"DH"</f>
        <v>DH</v>
      </c>
      <c r="E490" s="2" t="str">
        <f>"Larissa da Rocha Dutra"</f>
        <v>Larissa da Rocha Dutra</v>
      </c>
      <c r="F490" s="2" t="str">
        <f>"44976046-1/1"</f>
        <v>44976046-1/1</v>
      </c>
      <c r="G490" s="2" t="str">
        <f>"CARTEIRA PERDA"</f>
        <v>CARTEIRA PERDA</v>
      </c>
      <c r="H490" s="2">
        <v>14</v>
      </c>
      <c r="I490" s="3">
        <v>211</v>
      </c>
      <c r="J490" s="2" t="str">
        <f>"01/09/2019"</f>
        <v>01/09/2019</v>
      </c>
      <c r="K490" s="2" t="str">
        <f>"15/09/2019"</f>
        <v>15/09/2019</v>
      </c>
      <c r="L490" s="2" t="str">
        <f>"16/09/2019"</f>
        <v>16/09/2019</v>
      </c>
      <c r="M490" s="2" t="str">
        <f>"05/03/2020"</f>
        <v>05/03/2020</v>
      </c>
      <c r="N490" s="2">
        <v>186.46</v>
      </c>
      <c r="O490" s="2">
        <v>186.46</v>
      </c>
      <c r="P490" s="2">
        <v>0</v>
      </c>
    </row>
    <row r="491" spans="1:16" s="2" customFormat="1" x14ac:dyDescent="0.25">
      <c r="A491" s="2">
        <v>45465155</v>
      </c>
      <c r="B491" s="2">
        <v>45465160</v>
      </c>
      <c r="C491" s="2" t="str">
        <f>"UNIMEDSJN"</f>
        <v>UNIMEDSJN</v>
      </c>
      <c r="D491" s="2" t="str">
        <f>"DH"</f>
        <v>DH</v>
      </c>
      <c r="E491" s="2" t="str">
        <f>"Larissa da Rocha Dutra"</f>
        <v>Larissa da Rocha Dutra</v>
      </c>
      <c r="F491" s="2" t="str">
        <f>"45465155-1/1"</f>
        <v>45465155-1/1</v>
      </c>
      <c r="G491" s="2" t="str">
        <f>"CARTEIRA PERDA"</f>
        <v>CARTEIRA PERDA</v>
      </c>
      <c r="H491" s="2">
        <v>14</v>
      </c>
      <c r="I491" s="3">
        <v>181</v>
      </c>
      <c r="J491" s="2" t="str">
        <f>"01/10/2019"</f>
        <v>01/10/2019</v>
      </c>
      <c r="K491" s="2" t="str">
        <f>"15/10/2019"</f>
        <v>15/10/2019</v>
      </c>
      <c r="L491" s="2" t="str">
        <f>"15/10/2019"</f>
        <v>15/10/2019</v>
      </c>
      <c r="M491" s="2" t="str">
        <f>"05/03/2020"</f>
        <v>05/03/2020</v>
      </c>
      <c r="N491" s="2">
        <v>186.46</v>
      </c>
      <c r="O491" s="2">
        <v>186.46</v>
      </c>
      <c r="P491" s="2">
        <v>0</v>
      </c>
    </row>
    <row r="492" spans="1:16" s="2" customFormat="1" x14ac:dyDescent="0.25">
      <c r="A492" s="2">
        <v>45910615</v>
      </c>
      <c r="B492" s="2">
        <v>45910879</v>
      </c>
      <c r="C492" s="2" t="str">
        <f>"UNIMEDSJN"</f>
        <v>UNIMEDSJN</v>
      </c>
      <c r="D492" s="2" t="str">
        <f>"DH"</f>
        <v>DH</v>
      </c>
      <c r="E492" s="2" t="str">
        <f>"Larissa da Rocha Dutra"</f>
        <v>Larissa da Rocha Dutra</v>
      </c>
      <c r="F492" s="2" t="str">
        <f>"45910615-1/1"</f>
        <v>45910615-1/1</v>
      </c>
      <c r="G492" s="2" t="str">
        <f>"CARTEIRA PERDA"</f>
        <v>CARTEIRA PERDA</v>
      </c>
      <c r="H492" s="2">
        <v>14</v>
      </c>
      <c r="I492" s="3">
        <v>150</v>
      </c>
      <c r="J492" s="2" t="str">
        <f>"01/11/2019"</f>
        <v>01/11/2019</v>
      </c>
      <c r="K492" s="2" t="str">
        <f>"15/11/2019"</f>
        <v>15/11/2019</v>
      </c>
      <c r="L492" s="2" t="str">
        <f>"15/11/2019"</f>
        <v>15/11/2019</v>
      </c>
      <c r="M492" s="2" t="str">
        <f>"05/03/2020"</f>
        <v>05/03/2020</v>
      </c>
      <c r="N492" s="2">
        <v>186.46</v>
      </c>
      <c r="O492" s="2">
        <v>186.46</v>
      </c>
      <c r="P492" s="2">
        <v>0</v>
      </c>
    </row>
    <row r="493" spans="1:16" s="2" customFormat="1" x14ac:dyDescent="0.25">
      <c r="A493" s="2">
        <v>47509205</v>
      </c>
      <c r="B493" s="2">
        <v>47509213</v>
      </c>
      <c r="C493" s="2" t="str">
        <f>"UNIMEDSJN"</f>
        <v>UNIMEDSJN</v>
      </c>
      <c r="D493" s="2" t="str">
        <f>"DH"</f>
        <v>DH</v>
      </c>
      <c r="E493" s="2" t="str">
        <f>"Larissa da Rocha Dutra"</f>
        <v>Larissa da Rocha Dutra</v>
      </c>
      <c r="F493" s="2" t="str">
        <f>"47509205-1/1"</f>
        <v>47509205-1/1</v>
      </c>
      <c r="G493" s="2" t="str">
        <f>"CARTEIRA PERDA"</f>
        <v>CARTEIRA PERDA</v>
      </c>
      <c r="H493" s="2">
        <v>14</v>
      </c>
      <c r="I493" s="3">
        <v>120</v>
      </c>
      <c r="J493" s="2" t="str">
        <f>"01/12/2019"</f>
        <v>01/12/2019</v>
      </c>
      <c r="K493" s="2" t="str">
        <f>"15/12/2019"</f>
        <v>15/12/2019</v>
      </c>
      <c r="L493" s="2" t="str">
        <f>"16/12/2019"</f>
        <v>16/12/2019</v>
      </c>
      <c r="M493" s="2" t="str">
        <f>"05/03/2020"</f>
        <v>05/03/2020</v>
      </c>
      <c r="N493" s="2">
        <v>186.46</v>
      </c>
      <c r="O493" s="2">
        <v>186.46</v>
      </c>
      <c r="P493" s="2">
        <v>0</v>
      </c>
    </row>
    <row r="494" spans="1:16" s="2" customFormat="1" x14ac:dyDescent="0.25">
      <c r="A494" s="2">
        <v>48584068</v>
      </c>
      <c r="B494" s="2">
        <v>48584075</v>
      </c>
      <c r="C494" s="2" t="str">
        <f>"UNIMEDSJN"</f>
        <v>UNIMEDSJN</v>
      </c>
      <c r="D494" s="2" t="str">
        <f>"DH"</f>
        <v>DH</v>
      </c>
      <c r="E494" s="2" t="str">
        <f>"Larissa de Souza Lopes"</f>
        <v>Larissa de Souza Lopes</v>
      </c>
      <c r="F494" s="2" t="str">
        <f>"48584068-1/1"</f>
        <v>48584068-1/1</v>
      </c>
      <c r="G494" s="2" t="str">
        <f>"Carteira 21"</f>
        <v>Carteira 21</v>
      </c>
      <c r="H494" s="2">
        <v>23</v>
      </c>
      <c r="I494" s="3">
        <v>79</v>
      </c>
      <c r="J494" s="2" t="str">
        <f>"02/01/2020"</f>
        <v>02/01/2020</v>
      </c>
      <c r="K494" s="2" t="str">
        <f>"25/01/2020"</f>
        <v>25/01/2020</v>
      </c>
      <c r="L494" s="2" t="str">
        <f>"06/02/2020"</f>
        <v>06/02/2020</v>
      </c>
      <c r="M494" s="2" t="str">
        <f>"07/02/2020"</f>
        <v>07/02/2020</v>
      </c>
      <c r="N494" s="2">
        <v>291.64</v>
      </c>
      <c r="O494" s="2">
        <v>298.43</v>
      </c>
      <c r="P494" s="2">
        <v>0.20999999999998001</v>
      </c>
    </row>
    <row r="495" spans="1:16" s="2" customFormat="1" x14ac:dyDescent="0.25">
      <c r="A495" s="2">
        <v>47504889</v>
      </c>
      <c r="B495" s="2">
        <v>47504896</v>
      </c>
      <c r="C495" s="2" t="str">
        <f>"UNIMEDSJN"</f>
        <v>UNIMEDSJN</v>
      </c>
      <c r="D495" s="2" t="str">
        <f>"DH"</f>
        <v>DH</v>
      </c>
      <c r="E495" s="2" t="str">
        <f>"Larissa de Souza Rodrigues"</f>
        <v>Larissa de Souza Rodrigues</v>
      </c>
      <c r="F495" s="2" t="str">
        <f>"47504889-1/1"</f>
        <v>47504889-1/1</v>
      </c>
      <c r="G495" s="2" t="str">
        <f>"Carteira 21"</f>
        <v>Carteira 21</v>
      </c>
      <c r="H495" s="2">
        <v>24</v>
      </c>
      <c r="I495" s="3">
        <v>110</v>
      </c>
      <c r="J495" s="2" t="str">
        <f>"01/12/2019"</f>
        <v>01/12/2019</v>
      </c>
      <c r="K495" s="2" t="str">
        <f>"25/12/2019"</f>
        <v>25/12/2019</v>
      </c>
      <c r="L495" s="2" t="str">
        <f>"09/03/2020"</f>
        <v>09/03/2020</v>
      </c>
      <c r="M495" s="2" t="str">
        <f>"10/03/2020"</f>
        <v>10/03/2020</v>
      </c>
      <c r="N495" s="2">
        <v>150.18</v>
      </c>
      <c r="O495" s="2">
        <v>156.9</v>
      </c>
      <c r="P495" s="2">
        <v>3.0000000000001099E-2</v>
      </c>
    </row>
    <row r="496" spans="1:16" s="2" customFormat="1" x14ac:dyDescent="0.25">
      <c r="A496" s="2">
        <v>48581752</v>
      </c>
      <c r="B496" s="2">
        <v>48581759</v>
      </c>
      <c r="C496" s="2" t="str">
        <f>"UNIMEDSJN"</f>
        <v>UNIMEDSJN</v>
      </c>
      <c r="D496" s="2" t="str">
        <f>"DH"</f>
        <v>DH</v>
      </c>
      <c r="E496" s="2" t="str">
        <f>"Larissa de Souza Rodrigues"</f>
        <v>Larissa de Souza Rodrigues</v>
      </c>
      <c r="F496" s="2" t="str">
        <f>"48581752-1/1"</f>
        <v>48581752-1/1</v>
      </c>
      <c r="G496" s="2" t="str">
        <f>"Carteira 21"</f>
        <v>Carteira 21</v>
      </c>
      <c r="H496" s="2">
        <v>23</v>
      </c>
      <c r="I496" s="3">
        <v>79</v>
      </c>
      <c r="J496" s="2" t="str">
        <f>"02/01/2020"</f>
        <v>02/01/2020</v>
      </c>
      <c r="K496" s="2" t="str">
        <f>"25/01/2020"</f>
        <v>25/01/2020</v>
      </c>
      <c r="L496" s="2" t="str">
        <f>"08/04/2020"</f>
        <v>08/04/2020</v>
      </c>
      <c r="M496" s="2" t="str">
        <f>"09/04/2020"</f>
        <v>09/04/2020</v>
      </c>
      <c r="N496" s="2">
        <v>150.18</v>
      </c>
      <c r="O496" s="2">
        <v>156.75</v>
      </c>
      <c r="P496" s="2">
        <v>0.12999999999999501</v>
      </c>
    </row>
    <row r="497" spans="1:16" s="2" customFormat="1" x14ac:dyDescent="0.25">
      <c r="A497" s="2">
        <v>48586443</v>
      </c>
      <c r="B497" s="2">
        <v>48586448</v>
      </c>
      <c r="C497" s="2" t="str">
        <f>"UNIMEDSJN"</f>
        <v>UNIMEDSJN</v>
      </c>
      <c r="D497" s="2" t="str">
        <f>"DH"</f>
        <v>DH</v>
      </c>
      <c r="E497" s="2" t="str">
        <f>"Larissa Ketilen Mendonca de Oliveira"</f>
        <v>Larissa Ketilen Mendonca de Oliveira</v>
      </c>
      <c r="F497" s="2" t="str">
        <f>"48586443-1/1"</f>
        <v>48586443-1/1</v>
      </c>
      <c r="G497" s="2" t="str">
        <f>"Carteira 21"</f>
        <v>Carteira 21</v>
      </c>
      <c r="H497" s="2">
        <v>23</v>
      </c>
      <c r="I497" s="3">
        <v>79</v>
      </c>
      <c r="J497" s="2" t="str">
        <f>"02/01/2020"</f>
        <v>02/01/2020</v>
      </c>
      <c r="K497" s="2" t="str">
        <f>"25/01/2020"</f>
        <v>25/01/2020</v>
      </c>
      <c r="L497" s="2" t="str">
        <f>"26/02/2020"</f>
        <v>26/02/2020</v>
      </c>
      <c r="M497" s="2" t="str">
        <f>"27/02/2020"</f>
        <v>27/02/2020</v>
      </c>
      <c r="N497" s="2">
        <v>186.9</v>
      </c>
      <c r="O497" s="2">
        <v>192.49</v>
      </c>
      <c r="P497" s="2">
        <v>0.139999999999986</v>
      </c>
    </row>
    <row r="498" spans="1:16" s="2" customFormat="1" x14ac:dyDescent="0.25">
      <c r="A498" s="2">
        <v>48579812</v>
      </c>
      <c r="B498" s="2">
        <v>48579817</v>
      </c>
      <c r="C498" s="2" t="str">
        <f>"UNIMEDSJN"</f>
        <v>UNIMEDSJN</v>
      </c>
      <c r="D498" s="2" t="str">
        <f>"DH"</f>
        <v>DH</v>
      </c>
      <c r="E498" s="2" t="str">
        <f>"LAURA MENDONCA PEREIRA"</f>
        <v>LAURA MENDONCA PEREIRA</v>
      </c>
      <c r="F498" s="2" t="str">
        <f>"48579812-1/1"</f>
        <v>48579812-1/1</v>
      </c>
      <c r="G498" s="2" t="str">
        <f>"Carteira 21"</f>
        <v>Carteira 21</v>
      </c>
      <c r="H498" s="2">
        <v>23</v>
      </c>
      <c r="I498" s="3">
        <v>79</v>
      </c>
      <c r="J498" s="2" t="str">
        <f>"02/01/2020"</f>
        <v>02/01/2020</v>
      </c>
      <c r="K498" s="2" t="str">
        <f>"25/01/2020"</f>
        <v>25/01/2020</v>
      </c>
      <c r="L498" s="2" t="str">
        <f>"10/03/2020"</f>
        <v>10/03/2020</v>
      </c>
      <c r="M498" s="2" t="str">
        <f>"11/03/2020"</f>
        <v>11/03/2020</v>
      </c>
      <c r="N498" s="2">
        <v>155.44</v>
      </c>
      <c r="O498" s="2">
        <v>160.76</v>
      </c>
      <c r="P498" s="2">
        <v>0.12000000000000501</v>
      </c>
    </row>
    <row r="499" spans="1:16" s="2" customFormat="1" x14ac:dyDescent="0.25">
      <c r="A499" s="2">
        <v>48583870</v>
      </c>
      <c r="B499" s="2">
        <v>48584125</v>
      </c>
      <c r="C499" s="2" t="str">
        <f>"UNIMEDSJN"</f>
        <v>UNIMEDSJN</v>
      </c>
      <c r="D499" s="2" t="str">
        <f>"DH"</f>
        <v>DH</v>
      </c>
      <c r="E499" s="2" t="str">
        <f>"LEANDRO BELLOZI SANTOS"</f>
        <v>LEANDRO BELLOZI SANTOS</v>
      </c>
      <c r="F499" s="2" t="str">
        <f>"48583870-1/1"</f>
        <v>48583870-1/1</v>
      </c>
      <c r="G499" s="2" t="str">
        <f>"Carteira 21"</f>
        <v>Carteira 21</v>
      </c>
      <c r="H499" s="2">
        <v>13</v>
      </c>
      <c r="I499" s="3">
        <v>89</v>
      </c>
      <c r="J499" s="2" t="str">
        <f>"02/01/2020"</f>
        <v>02/01/2020</v>
      </c>
      <c r="K499" s="2" t="str">
        <f>"15/01/2020"</f>
        <v>15/01/2020</v>
      </c>
      <c r="L499" s="2" t="str">
        <f>"07/02/2020"</f>
        <v>07/02/2020</v>
      </c>
      <c r="M499" s="2" t="str">
        <f>"10/02/2020"</f>
        <v>10/02/2020</v>
      </c>
      <c r="N499" s="2">
        <v>191.72</v>
      </c>
      <c r="O499" s="2">
        <v>197.01</v>
      </c>
      <c r="P499" s="2">
        <v>1.0000000000019301E-2</v>
      </c>
    </row>
    <row r="500" spans="1:16" s="2" customFormat="1" x14ac:dyDescent="0.25">
      <c r="A500" s="2">
        <v>47504288</v>
      </c>
      <c r="B500" s="2">
        <v>47504295</v>
      </c>
      <c r="C500" s="2" t="str">
        <f>"UNIMEDSJN"</f>
        <v>UNIMEDSJN</v>
      </c>
      <c r="D500" s="2" t="str">
        <f>"DH"</f>
        <v>DH</v>
      </c>
      <c r="E500" s="2" t="str">
        <f>"LEDA XAVIER DE MIRANDA"</f>
        <v>LEDA XAVIER DE MIRANDA</v>
      </c>
      <c r="F500" s="2" t="str">
        <f>"47504288-1/1"</f>
        <v>47504288-1/1</v>
      </c>
      <c r="G500" s="2" t="str">
        <f>"Carteira 21"</f>
        <v>Carteira 21</v>
      </c>
      <c r="H500" s="2">
        <v>24</v>
      </c>
      <c r="I500" s="3">
        <v>110</v>
      </c>
      <c r="J500" s="2" t="str">
        <f>"01/12/2019"</f>
        <v>01/12/2019</v>
      </c>
      <c r="K500" s="2" t="str">
        <f>"25/12/2019"</f>
        <v>25/12/2019</v>
      </c>
      <c r="L500" s="2" t="str">
        <f>"02/03/2020"</f>
        <v>02/03/2020</v>
      </c>
      <c r="M500" s="2" t="str">
        <f>"03/03/2020"</f>
        <v>03/03/2020</v>
      </c>
      <c r="N500" s="2">
        <v>904.25</v>
      </c>
      <c r="O500" s="2">
        <v>942.62</v>
      </c>
      <c r="P500" s="2">
        <v>0.22000000000002701</v>
      </c>
    </row>
    <row r="501" spans="1:16" s="2" customFormat="1" x14ac:dyDescent="0.25">
      <c r="A501" s="2">
        <v>48578461</v>
      </c>
      <c r="B501" s="2">
        <v>48578471</v>
      </c>
      <c r="C501" s="2" t="str">
        <f>"UNIMEDSJN"</f>
        <v>UNIMEDSJN</v>
      </c>
      <c r="D501" s="2" t="str">
        <f>"DH"</f>
        <v>DH</v>
      </c>
      <c r="E501" s="2" t="str">
        <f>"LEDA XAVIER DE MIRANDA"</f>
        <v>LEDA XAVIER DE MIRANDA</v>
      </c>
      <c r="F501" s="2" t="str">
        <f>"48578461-1/1"</f>
        <v>48578461-1/1</v>
      </c>
      <c r="G501" s="2" t="str">
        <f>"Carteira 21"</f>
        <v>Carteira 21</v>
      </c>
      <c r="H501" s="2">
        <v>23</v>
      </c>
      <c r="I501" s="3">
        <v>79</v>
      </c>
      <c r="J501" s="2" t="str">
        <f>"02/01/2020"</f>
        <v>02/01/2020</v>
      </c>
      <c r="K501" s="2" t="str">
        <f>"25/01/2020"</f>
        <v>25/01/2020</v>
      </c>
      <c r="L501" s="2" t="str">
        <f>"27/01/2020"</f>
        <v>27/01/2020</v>
      </c>
      <c r="M501" s="2" t="str">
        <f>"07/04/2020"</f>
        <v>07/04/2020</v>
      </c>
      <c r="N501" s="2">
        <v>904.25</v>
      </c>
      <c r="O501" s="2">
        <v>914.25</v>
      </c>
      <c r="P501" s="2">
        <v>-10</v>
      </c>
    </row>
    <row r="502" spans="1:16" s="2" customFormat="1" x14ac:dyDescent="0.25">
      <c r="A502" s="2">
        <v>47498867</v>
      </c>
      <c r="B502" s="2">
        <v>47499132</v>
      </c>
      <c r="C502" s="2" t="str">
        <f>"UNIMEDSJN"</f>
        <v>UNIMEDSJN</v>
      </c>
      <c r="D502" s="2" t="str">
        <f>"DH"</f>
        <v>DH</v>
      </c>
      <c r="E502" s="2" t="str">
        <f>"Leidimar Aparecida Pires"</f>
        <v>Leidimar Aparecida Pires</v>
      </c>
      <c r="F502" s="2" t="str">
        <f>"47498867-1/1"</f>
        <v>47498867-1/1</v>
      </c>
      <c r="G502" s="2" t="str">
        <f>"Carteira 21"</f>
        <v>Carteira 21</v>
      </c>
      <c r="H502" s="2">
        <v>24</v>
      </c>
      <c r="I502" s="3">
        <v>110</v>
      </c>
      <c r="J502" s="2" t="str">
        <f>"01/12/2019"</f>
        <v>01/12/2019</v>
      </c>
      <c r="K502" s="2" t="str">
        <f>"25/12/2019"</f>
        <v>25/12/2019</v>
      </c>
      <c r="L502" s="2" t="str">
        <f>"25/12/2019"</f>
        <v>25/12/2019</v>
      </c>
      <c r="M502" s="2" t="str">
        <f>"28/11/2019"</f>
        <v>28/11/2019</v>
      </c>
      <c r="N502" s="2">
        <v>68.900000000000006</v>
      </c>
      <c r="O502" s="2">
        <v>68.900000000000006</v>
      </c>
      <c r="P502" s="2">
        <v>0</v>
      </c>
    </row>
    <row r="503" spans="1:16" s="2" customFormat="1" x14ac:dyDescent="0.25">
      <c r="A503" s="2">
        <v>48574834</v>
      </c>
      <c r="B503" s="2">
        <v>48574847</v>
      </c>
      <c r="C503" s="2" t="str">
        <f>"UNIMEDSJN"</f>
        <v>UNIMEDSJN</v>
      </c>
      <c r="D503" s="2" t="str">
        <f>"DH"</f>
        <v>DH</v>
      </c>
      <c r="E503" s="2" t="str">
        <f>"Leidimar Aparecida Pires"</f>
        <v>Leidimar Aparecida Pires</v>
      </c>
      <c r="F503" s="2" t="str">
        <f>"48574834-1/1"</f>
        <v>48574834-1/1</v>
      </c>
      <c r="G503" s="2" t="str">
        <f>"Carteira 21"</f>
        <v>Carteira 21</v>
      </c>
      <c r="H503" s="2">
        <v>23</v>
      </c>
      <c r="I503" s="3">
        <v>79</v>
      </c>
      <c r="J503" s="2" t="str">
        <f>"02/01/2020"</f>
        <v>02/01/2020</v>
      </c>
      <c r="K503" s="2" t="str">
        <f>"25/01/2020"</f>
        <v>25/01/2020</v>
      </c>
      <c r="L503" s="2" t="str">
        <f>"27/01/2020"</f>
        <v>27/01/2020</v>
      </c>
      <c r="M503" s="2" t="str">
        <f>"27/12/2019"</f>
        <v>27/12/2019</v>
      </c>
      <c r="N503" s="2">
        <v>68.900000000000006</v>
      </c>
      <c r="O503" s="2">
        <v>68.900000000000006</v>
      </c>
      <c r="P503" s="2">
        <v>0</v>
      </c>
    </row>
    <row r="504" spans="1:16" s="2" customFormat="1" x14ac:dyDescent="0.25">
      <c r="A504" s="2">
        <v>48562068</v>
      </c>
      <c r="B504" s="2">
        <v>48562073</v>
      </c>
      <c r="C504" s="2" t="str">
        <f>"UNIMEDSJN"</f>
        <v>UNIMEDSJN</v>
      </c>
      <c r="D504" s="2" t="str">
        <f>"DH"</f>
        <v>DH</v>
      </c>
      <c r="E504" s="2" t="str">
        <f>"LEO MARCIO LOUZADA"</f>
        <v>LEO MARCIO LOUZADA</v>
      </c>
      <c r="F504" s="2" t="str">
        <f>"48562068-1/1"</f>
        <v>48562068-1/1</v>
      </c>
      <c r="G504" s="2" t="str">
        <f>"Carteira 21"</f>
        <v>Carteira 21</v>
      </c>
      <c r="H504" s="2">
        <v>23</v>
      </c>
      <c r="I504" s="3">
        <v>79</v>
      </c>
      <c r="J504" s="2" t="str">
        <f>"02/01/2020"</f>
        <v>02/01/2020</v>
      </c>
      <c r="K504" s="2" t="str">
        <f>"25/01/2020"</f>
        <v>25/01/2020</v>
      </c>
      <c r="L504" s="2" t="str">
        <f>"27/02/2020"</f>
        <v>27/02/2020</v>
      </c>
      <c r="M504" s="2" t="str">
        <f>"28/02/2020"</f>
        <v>28/02/2020</v>
      </c>
      <c r="N504" s="2">
        <v>549.52</v>
      </c>
      <c r="O504" s="2">
        <v>566.14</v>
      </c>
      <c r="P504" s="2">
        <v>0.409999999999968</v>
      </c>
    </row>
    <row r="505" spans="1:16" s="2" customFormat="1" x14ac:dyDescent="0.25">
      <c r="A505" s="2">
        <v>48568165</v>
      </c>
      <c r="B505" s="2">
        <v>48568170</v>
      </c>
      <c r="C505" s="2" t="str">
        <f>"UNIMEDSJN"</f>
        <v>UNIMEDSJN</v>
      </c>
      <c r="D505" s="2" t="str">
        <f>"DH"</f>
        <v>DH</v>
      </c>
      <c r="E505" s="2" t="str">
        <f>"LEONARDO CABRAL AUGUSTO"</f>
        <v>LEONARDO CABRAL AUGUSTO</v>
      </c>
      <c r="F505" s="2" t="str">
        <f>"48568165-1/1"</f>
        <v>48568165-1/1</v>
      </c>
      <c r="G505" s="2" t="str">
        <f>"Carteira 21"</f>
        <v>Carteira 21</v>
      </c>
      <c r="H505" s="2">
        <v>23</v>
      </c>
      <c r="I505" s="3">
        <v>79</v>
      </c>
      <c r="J505" s="2" t="str">
        <f>"02/01/2020"</f>
        <v>02/01/2020</v>
      </c>
      <c r="K505" s="2" t="str">
        <f>"25/01/2020"</f>
        <v>25/01/2020</v>
      </c>
      <c r="L505" s="2" t="str">
        <f>"11/02/2020"</f>
        <v>11/02/2020</v>
      </c>
      <c r="M505" s="2" t="str">
        <f>"12/02/2020"</f>
        <v>12/02/2020</v>
      </c>
      <c r="N505" s="2">
        <v>310.99</v>
      </c>
      <c r="O505" s="2">
        <v>318.75</v>
      </c>
      <c r="P505" s="2">
        <v>0.22000000000002701</v>
      </c>
    </row>
    <row r="506" spans="1:16" s="2" customFormat="1" x14ac:dyDescent="0.25">
      <c r="A506" s="2">
        <v>47492784</v>
      </c>
      <c r="B506" s="2">
        <v>47492805</v>
      </c>
      <c r="C506" s="2" t="str">
        <f>"UNIMEDSJN"</f>
        <v>UNIMEDSJN</v>
      </c>
      <c r="D506" s="2" t="str">
        <f>"DH"</f>
        <v>DH</v>
      </c>
      <c r="E506" s="2" t="str">
        <f>"LEONARDO HENRIQUES RABELLO"</f>
        <v>LEONARDO HENRIQUES RABELLO</v>
      </c>
      <c r="F506" s="2" t="str">
        <f>"47492784-1/1"</f>
        <v>47492784-1/1</v>
      </c>
      <c r="G506" s="2" t="str">
        <f>"Carteira 21"</f>
        <v>Carteira 21</v>
      </c>
      <c r="H506" s="2">
        <v>21</v>
      </c>
      <c r="I506" s="3">
        <v>113</v>
      </c>
      <c r="J506" s="2" t="str">
        <f>"01/12/2019"</f>
        <v>01/12/2019</v>
      </c>
      <c r="K506" s="2" t="str">
        <f>"22/12/2019"</f>
        <v>22/12/2019</v>
      </c>
      <c r="L506" s="2" t="str">
        <f>"07/02/2020"</f>
        <v>07/02/2020</v>
      </c>
      <c r="M506" s="2" t="str">
        <f>"10/02/2020"</f>
        <v>10/02/2020</v>
      </c>
      <c r="N506" s="2">
        <v>2073.5700000000002</v>
      </c>
      <c r="O506" s="2">
        <v>2146.52</v>
      </c>
      <c r="P506" s="2">
        <v>1.0100000000002201</v>
      </c>
    </row>
    <row r="507" spans="1:16" s="2" customFormat="1" x14ac:dyDescent="0.25">
      <c r="A507" s="2">
        <v>48567642</v>
      </c>
      <c r="B507" s="2">
        <v>48567667</v>
      </c>
      <c r="C507" s="2" t="str">
        <f>"UNIMEDSJN"</f>
        <v>UNIMEDSJN</v>
      </c>
      <c r="D507" s="2" t="str">
        <f>"DH"</f>
        <v>DH</v>
      </c>
      <c r="E507" s="2" t="str">
        <f>"LEONARDO HENRIQUES RABELLO"</f>
        <v>LEONARDO HENRIQUES RABELLO</v>
      </c>
      <c r="F507" s="2" t="str">
        <f>"48567642-1/1"</f>
        <v>48567642-1/1</v>
      </c>
      <c r="G507" s="2" t="str">
        <f>"Carteira 21"</f>
        <v>Carteira 21</v>
      </c>
      <c r="H507" s="2">
        <v>20</v>
      </c>
      <c r="I507" s="3">
        <v>82</v>
      </c>
      <c r="J507" s="2" t="str">
        <f>"02/01/2020"</f>
        <v>02/01/2020</v>
      </c>
      <c r="K507" s="2" t="str">
        <f>"22/01/2020"</f>
        <v>22/01/2020</v>
      </c>
      <c r="L507" s="2" t="str">
        <f>"21/02/2020"</f>
        <v>21/02/2020</v>
      </c>
      <c r="M507" s="2" t="str">
        <f>"24/02/2020"</f>
        <v>24/02/2020</v>
      </c>
      <c r="N507" s="2">
        <v>2073.5700000000002</v>
      </c>
      <c r="O507" s="2">
        <v>2135.5700000000002</v>
      </c>
      <c r="P507" s="2">
        <v>0.21000000000003599</v>
      </c>
    </row>
    <row r="508" spans="1:16" s="2" customFormat="1" x14ac:dyDescent="0.25">
      <c r="A508" s="2">
        <v>48578006</v>
      </c>
      <c r="B508" s="2">
        <v>48578023</v>
      </c>
      <c r="C508" s="2" t="str">
        <f>"UNIMEDSJN"</f>
        <v>UNIMEDSJN</v>
      </c>
      <c r="D508" s="2" t="str">
        <f>"DH"</f>
        <v>DH</v>
      </c>
      <c r="E508" s="2" t="str">
        <f>"LEONEL EDUARDO GOMES VIZEU"</f>
        <v>LEONEL EDUARDO GOMES VIZEU</v>
      </c>
      <c r="F508" s="2" t="str">
        <f>"48578006-1/1"</f>
        <v>48578006-1/1</v>
      </c>
      <c r="G508" s="2" t="str">
        <f>"Carteira 21"</f>
        <v>Carteira 21</v>
      </c>
      <c r="H508" s="2">
        <v>23</v>
      </c>
      <c r="I508" s="3">
        <v>79</v>
      </c>
      <c r="J508" s="2" t="str">
        <f>"02/01/2020"</f>
        <v>02/01/2020</v>
      </c>
      <c r="K508" s="2" t="str">
        <f>"25/01/2020"</f>
        <v>25/01/2020</v>
      </c>
      <c r="L508" s="2" t="str">
        <f>"27/01/2020"</f>
        <v>27/01/2020</v>
      </c>
      <c r="M508" s="2" t="str">
        <f>"27/12/2019"</f>
        <v>27/12/2019</v>
      </c>
      <c r="N508" s="2">
        <v>1052.76</v>
      </c>
      <c r="O508" s="2">
        <v>1052.76</v>
      </c>
      <c r="P508" s="2">
        <v>0</v>
      </c>
    </row>
    <row r="509" spans="1:16" s="2" customFormat="1" x14ac:dyDescent="0.25">
      <c r="A509" s="2">
        <v>48575760</v>
      </c>
      <c r="B509" s="2">
        <v>48575778</v>
      </c>
      <c r="C509" s="2" t="str">
        <f>"UNIMEDSJN"</f>
        <v>UNIMEDSJN</v>
      </c>
      <c r="D509" s="2" t="str">
        <f>"DH"</f>
        <v>DH</v>
      </c>
      <c r="E509" s="2" t="str">
        <f>"Leticia Fagundes Rosa"</f>
        <v>Leticia Fagundes Rosa</v>
      </c>
      <c r="F509" s="2" t="str">
        <f>"48575760-1/1"</f>
        <v>48575760-1/1</v>
      </c>
      <c r="G509" s="2" t="str">
        <f>"Carteira 21"</f>
        <v>Carteira 21</v>
      </c>
      <c r="H509" s="2">
        <v>23</v>
      </c>
      <c r="I509" s="3">
        <v>79</v>
      </c>
      <c r="J509" s="2" t="str">
        <f>"02/01/2020"</f>
        <v>02/01/2020</v>
      </c>
      <c r="K509" s="2" t="str">
        <f>"25/01/2020"</f>
        <v>25/01/2020</v>
      </c>
      <c r="L509" s="2" t="str">
        <f>"06/03/2020"</f>
        <v>06/03/2020</v>
      </c>
      <c r="M509" s="2" t="str">
        <f>"09/03/2020"</f>
        <v>09/03/2020</v>
      </c>
      <c r="N509" s="2">
        <v>73.959999999999994</v>
      </c>
      <c r="O509" s="2">
        <v>76.39</v>
      </c>
      <c r="P509" s="2">
        <v>6.0000000000002301E-2</v>
      </c>
    </row>
    <row r="510" spans="1:16" s="2" customFormat="1" x14ac:dyDescent="0.25">
      <c r="A510" s="2">
        <v>48615595</v>
      </c>
      <c r="B510" s="2">
        <v>48615600</v>
      </c>
      <c r="C510" s="2" t="str">
        <f>"UNIMEDSJN"</f>
        <v>UNIMEDSJN</v>
      </c>
      <c r="D510" s="2" t="str">
        <f>"DH"</f>
        <v>DH</v>
      </c>
      <c r="E510" s="2" t="str">
        <f>"LEYA FILGUEIRAS DE SOUZA"</f>
        <v>LEYA FILGUEIRAS DE SOUZA</v>
      </c>
      <c r="F510" s="2" t="str">
        <f>"48615595-1/1"</f>
        <v>48615595-1/1</v>
      </c>
      <c r="G510" s="2" t="str">
        <f>"Carteira 21"</f>
        <v>Carteira 21</v>
      </c>
      <c r="H510" s="2">
        <v>17</v>
      </c>
      <c r="I510" s="3">
        <v>67</v>
      </c>
      <c r="J510" s="2" t="str">
        <f>"20/01/2020"</f>
        <v>20/01/2020</v>
      </c>
      <c r="K510" s="2" t="str">
        <f>"06/02/2020"</f>
        <v>06/02/2020</v>
      </c>
      <c r="L510" s="2" t="str">
        <f>"06/02/2020"</f>
        <v>06/02/2020</v>
      </c>
      <c r="M510" s="2" t="str">
        <f>"04/02/2020"</f>
        <v>04/02/2020</v>
      </c>
      <c r="N510" s="2">
        <v>434.74</v>
      </c>
      <c r="O510" s="2">
        <v>434.74</v>
      </c>
      <c r="P510" s="2">
        <v>0</v>
      </c>
    </row>
    <row r="511" spans="1:16" s="2" customFormat="1" x14ac:dyDescent="0.25">
      <c r="A511" s="2">
        <v>47499750</v>
      </c>
      <c r="B511" s="2">
        <v>47499760</v>
      </c>
      <c r="C511" s="2" t="str">
        <f>"UNIMEDSJN"</f>
        <v>UNIMEDSJN</v>
      </c>
      <c r="D511" s="2" t="str">
        <f>"DH"</f>
        <v>DH</v>
      </c>
      <c r="E511" s="2" t="str">
        <f>"Ligia Aparecida Alves Maciel"</f>
        <v>Ligia Aparecida Alves Maciel</v>
      </c>
      <c r="F511" s="2" t="str">
        <f>"47499750-1/1"</f>
        <v>47499750-1/1</v>
      </c>
      <c r="G511" s="2" t="str">
        <f>"Carteira 21"</f>
        <v>Carteira 21</v>
      </c>
      <c r="H511" s="2">
        <v>54</v>
      </c>
      <c r="I511" s="3">
        <v>80</v>
      </c>
      <c r="J511" s="2" t="str">
        <f>"01/12/2019"</f>
        <v>01/12/2019</v>
      </c>
      <c r="K511" s="2" t="str">
        <f>"24/01/2020"</f>
        <v>24/01/2020</v>
      </c>
      <c r="L511" s="2" t="str">
        <f>"12/02/2020"</f>
        <v>12/02/2020</v>
      </c>
      <c r="M511" s="2" t="str">
        <f>"13/02/2020"</f>
        <v>13/02/2020</v>
      </c>
      <c r="N511" s="2">
        <v>82.39</v>
      </c>
      <c r="O511" s="2">
        <v>85.37</v>
      </c>
      <c r="P511" s="2">
        <v>-0.81000000000000205</v>
      </c>
    </row>
    <row r="512" spans="1:16" s="2" customFormat="1" x14ac:dyDescent="0.25">
      <c r="A512" s="2">
        <v>47499787</v>
      </c>
      <c r="B512" s="2">
        <v>47499798</v>
      </c>
      <c r="C512" s="2" t="str">
        <f>"UNIMEDSJN"</f>
        <v>UNIMEDSJN</v>
      </c>
      <c r="D512" s="2" t="str">
        <f>"DH"</f>
        <v>DH</v>
      </c>
      <c r="E512" s="2" t="str">
        <f>"Ligia Aparecida Alves Maciel"</f>
        <v>Ligia Aparecida Alves Maciel</v>
      </c>
      <c r="F512" s="2" t="str">
        <f>"47499787-1/1"</f>
        <v>47499787-1/1</v>
      </c>
      <c r="G512" s="2" t="str">
        <f>"Carteira 21"</f>
        <v>Carteira 21</v>
      </c>
      <c r="H512" s="2">
        <v>54</v>
      </c>
      <c r="I512" s="3">
        <v>80</v>
      </c>
      <c r="J512" s="2" t="str">
        <f>"01/12/2019"</f>
        <v>01/12/2019</v>
      </c>
      <c r="K512" s="2" t="str">
        <f>"24/01/2020"</f>
        <v>24/01/2020</v>
      </c>
      <c r="L512" s="2" t="str">
        <f>"17/02/2020"</f>
        <v>17/02/2020</v>
      </c>
      <c r="M512" s="2" t="str">
        <f>"18/02/2020"</f>
        <v>18/02/2020</v>
      </c>
      <c r="N512" s="2">
        <v>96.51</v>
      </c>
      <c r="O512" s="2">
        <v>100.16</v>
      </c>
      <c r="P512" s="2">
        <v>-0.94999999999998896</v>
      </c>
    </row>
    <row r="513" spans="1:16" s="2" customFormat="1" x14ac:dyDescent="0.25">
      <c r="A513" s="2">
        <v>48573406</v>
      </c>
      <c r="B513" s="2">
        <v>48573413</v>
      </c>
      <c r="C513" s="2" t="str">
        <f>"UNIMEDSJN"</f>
        <v>UNIMEDSJN</v>
      </c>
      <c r="D513" s="2" t="str">
        <f>"DH"</f>
        <v>DH</v>
      </c>
      <c r="E513" s="2" t="str">
        <f>"Ligia Aparecida Alves Maciel"</f>
        <v>Ligia Aparecida Alves Maciel</v>
      </c>
      <c r="F513" s="2" t="str">
        <f>"48573406-1/1"</f>
        <v>48573406-1/1</v>
      </c>
      <c r="G513" s="2" t="str">
        <f>"Carteira 21"</f>
        <v>Carteira 21</v>
      </c>
      <c r="H513" s="2">
        <v>23</v>
      </c>
      <c r="I513" s="3">
        <v>79</v>
      </c>
      <c r="J513" s="2" t="str">
        <f>"02/01/2020"</f>
        <v>02/01/2020</v>
      </c>
      <c r="K513" s="2" t="str">
        <f>"25/01/2020"</f>
        <v>25/01/2020</v>
      </c>
      <c r="L513" s="2" t="str">
        <f>"17/02/2020"</f>
        <v>17/02/2020</v>
      </c>
      <c r="M513" s="2" t="str">
        <f>"18/02/2020"</f>
        <v>18/02/2020</v>
      </c>
      <c r="N513" s="2">
        <v>82.39</v>
      </c>
      <c r="O513" s="2">
        <v>84.61</v>
      </c>
      <c r="P513" s="2">
        <v>6.0000000000002301E-2</v>
      </c>
    </row>
    <row r="514" spans="1:16" s="2" customFormat="1" x14ac:dyDescent="0.25">
      <c r="A514" s="2">
        <v>48573436</v>
      </c>
      <c r="B514" s="2">
        <v>48573443</v>
      </c>
      <c r="C514" s="2" t="str">
        <f>"UNIMEDSJN"</f>
        <v>UNIMEDSJN</v>
      </c>
      <c r="D514" s="2" t="str">
        <f>"DH"</f>
        <v>DH</v>
      </c>
      <c r="E514" s="2" t="str">
        <f>"Ligia Aparecida Alves Maciel"</f>
        <v>Ligia Aparecida Alves Maciel</v>
      </c>
      <c r="F514" s="2" t="str">
        <f>"48573436-1/1"</f>
        <v>48573436-1/1</v>
      </c>
      <c r="G514" s="2" t="str">
        <f>"Carteira 21"</f>
        <v>Carteira 21</v>
      </c>
      <c r="H514" s="2">
        <v>23</v>
      </c>
      <c r="I514" s="3">
        <v>79</v>
      </c>
      <c r="J514" s="2" t="str">
        <f>"02/01/2020"</f>
        <v>02/01/2020</v>
      </c>
      <c r="K514" s="2" t="str">
        <f>"25/01/2020"</f>
        <v>25/01/2020</v>
      </c>
      <c r="L514" s="2" t="str">
        <f>"20/03/2020"</f>
        <v>20/03/2020</v>
      </c>
      <c r="M514" s="2" t="str">
        <f>"23/03/2020"</f>
        <v>23/03/2020</v>
      </c>
      <c r="N514" s="2">
        <v>96.51</v>
      </c>
      <c r="O514" s="2">
        <v>100.13</v>
      </c>
      <c r="P514" s="2">
        <v>8.0000000000012506E-2</v>
      </c>
    </row>
    <row r="515" spans="1:16" s="2" customFormat="1" x14ac:dyDescent="0.25">
      <c r="A515" s="2">
        <v>48585658</v>
      </c>
      <c r="B515" s="2">
        <v>48585665</v>
      </c>
      <c r="C515" s="2" t="str">
        <f>"UNIMEDSJN"</f>
        <v>UNIMEDSJN</v>
      </c>
      <c r="D515" s="2" t="str">
        <f>"DH"</f>
        <v>DH</v>
      </c>
      <c r="E515" s="2" t="str">
        <f>"Lilian Rodrigues"</f>
        <v>Lilian Rodrigues</v>
      </c>
      <c r="F515" s="2" t="str">
        <f>"48585658-1/1"</f>
        <v>48585658-1/1</v>
      </c>
      <c r="G515" s="2" t="str">
        <f>"Carteira 21"</f>
        <v>Carteira 21</v>
      </c>
      <c r="H515" s="2">
        <v>23</v>
      </c>
      <c r="I515" s="3">
        <v>79</v>
      </c>
      <c r="J515" s="2" t="str">
        <f>"02/01/2020"</f>
        <v>02/01/2020</v>
      </c>
      <c r="K515" s="2" t="str">
        <f>"25/01/2020"</f>
        <v>25/01/2020</v>
      </c>
      <c r="L515" s="2" t="str">
        <f>"06/02/2020"</f>
        <v>06/02/2020</v>
      </c>
      <c r="M515" s="2" t="str">
        <f>"07/02/2020"</f>
        <v>07/02/2020</v>
      </c>
      <c r="N515" s="2">
        <v>186.68</v>
      </c>
      <c r="O515" s="2">
        <v>191.03</v>
      </c>
      <c r="P515" s="2">
        <v>0.12999999999999501</v>
      </c>
    </row>
    <row r="516" spans="1:16" s="2" customFormat="1" x14ac:dyDescent="0.25">
      <c r="A516" s="2">
        <v>47505807</v>
      </c>
      <c r="B516" s="2">
        <v>47505817</v>
      </c>
      <c r="C516" s="2" t="str">
        <f>"UNIMEDSJN"</f>
        <v>UNIMEDSJN</v>
      </c>
      <c r="D516" s="2" t="str">
        <f>"DH"</f>
        <v>DH</v>
      </c>
      <c r="E516" s="2" t="str">
        <f>"Liliane da Silva"</f>
        <v>Liliane da Silva</v>
      </c>
      <c r="F516" s="2" t="str">
        <f>"47505807-1/1"</f>
        <v>47505807-1/1</v>
      </c>
      <c r="G516" s="2" t="str">
        <f>"Carteira 21"</f>
        <v>Carteira 21</v>
      </c>
      <c r="H516" s="2">
        <v>24</v>
      </c>
      <c r="I516" s="3">
        <v>110</v>
      </c>
      <c r="J516" s="2" t="str">
        <f>"01/12/2019"</f>
        <v>01/12/2019</v>
      </c>
      <c r="K516" s="2" t="str">
        <f>"25/12/2019"</f>
        <v>25/12/2019</v>
      </c>
      <c r="L516" s="2" t="str">
        <f>"10/02/2020"</f>
        <v>10/02/2020</v>
      </c>
      <c r="M516" s="2" t="str">
        <f>"11/02/2020"</f>
        <v>11/02/2020</v>
      </c>
      <c r="N516" s="2">
        <v>139.9</v>
      </c>
      <c r="O516" s="2">
        <v>144.87</v>
      </c>
      <c r="P516" s="2">
        <v>2.0000000000010201E-2</v>
      </c>
    </row>
    <row r="517" spans="1:16" s="2" customFormat="1" x14ac:dyDescent="0.25">
      <c r="A517" s="2">
        <v>47505821</v>
      </c>
      <c r="B517" s="2">
        <v>47505826</v>
      </c>
      <c r="C517" s="2" t="str">
        <f>"UNIMEDSJN"</f>
        <v>UNIMEDSJN</v>
      </c>
      <c r="D517" s="2" t="str">
        <f>"DH"</f>
        <v>DH</v>
      </c>
      <c r="E517" s="2" t="str">
        <f>"Liliane da Silva"</f>
        <v>Liliane da Silva</v>
      </c>
      <c r="F517" s="2" t="str">
        <f>"47505821-1/1"</f>
        <v>47505821-1/1</v>
      </c>
      <c r="G517" s="2" t="str">
        <f>"Carteira 21"</f>
        <v>Carteira 21</v>
      </c>
      <c r="H517" s="2">
        <v>24</v>
      </c>
      <c r="I517" s="3">
        <v>110</v>
      </c>
      <c r="J517" s="2" t="str">
        <f>"01/12/2019"</f>
        <v>01/12/2019</v>
      </c>
      <c r="K517" s="2" t="str">
        <f>"25/12/2019"</f>
        <v>25/12/2019</v>
      </c>
      <c r="L517" s="2" t="str">
        <f>"10/02/2020"</f>
        <v>10/02/2020</v>
      </c>
      <c r="M517" s="2" t="str">
        <f>"11/02/2020"</f>
        <v>11/02/2020</v>
      </c>
      <c r="N517" s="2">
        <v>139.9</v>
      </c>
      <c r="O517" s="2">
        <v>144.87</v>
      </c>
      <c r="P517" s="2">
        <v>2.0000000000010201E-2</v>
      </c>
    </row>
    <row r="518" spans="1:16" s="2" customFormat="1" x14ac:dyDescent="0.25">
      <c r="A518" s="2">
        <v>48581911</v>
      </c>
      <c r="B518" s="2">
        <v>48581920</v>
      </c>
      <c r="C518" s="2" t="str">
        <f>"UNIMEDSJN"</f>
        <v>UNIMEDSJN</v>
      </c>
      <c r="D518" s="2" t="str">
        <f>"DH"</f>
        <v>DH</v>
      </c>
      <c r="E518" s="2" t="str">
        <f>"Liliane da Silva"</f>
        <v>Liliane da Silva</v>
      </c>
      <c r="F518" s="2" t="str">
        <f>"48581911-1/1"</f>
        <v>48581911-1/1</v>
      </c>
      <c r="G518" s="2" t="str">
        <f>"Carteira 21"</f>
        <v>Carteira 21</v>
      </c>
      <c r="H518" s="2">
        <v>23</v>
      </c>
      <c r="I518" s="3">
        <v>79</v>
      </c>
      <c r="J518" s="2" t="str">
        <f>"02/01/2020"</f>
        <v>02/01/2020</v>
      </c>
      <c r="K518" s="2" t="str">
        <f>"25/01/2020"</f>
        <v>25/01/2020</v>
      </c>
      <c r="L518" s="2" t="str">
        <f>"18/03/2020"</f>
        <v>18/03/2020</v>
      </c>
      <c r="M518" s="2" t="str">
        <f>"19/03/2020"</f>
        <v>19/03/2020</v>
      </c>
      <c r="N518" s="2">
        <v>139.9</v>
      </c>
      <c r="O518" s="2">
        <v>145.05000000000001</v>
      </c>
      <c r="P518" s="2">
        <v>0.12000000000000501</v>
      </c>
    </row>
    <row r="519" spans="1:16" s="2" customFormat="1" x14ac:dyDescent="0.25">
      <c r="A519" s="2">
        <v>48581924</v>
      </c>
      <c r="B519" s="2">
        <v>48581929</v>
      </c>
      <c r="C519" s="2" t="str">
        <f>"UNIMEDSJN"</f>
        <v>UNIMEDSJN</v>
      </c>
      <c r="D519" s="2" t="str">
        <f>"DH"</f>
        <v>DH</v>
      </c>
      <c r="E519" s="2" t="str">
        <f>"Liliane da Silva"</f>
        <v>Liliane da Silva</v>
      </c>
      <c r="F519" s="2" t="str">
        <f>"48581924-1/1"</f>
        <v>48581924-1/1</v>
      </c>
      <c r="G519" s="2" t="str">
        <f>"Carteira 21"</f>
        <v>Carteira 21</v>
      </c>
      <c r="H519" s="2">
        <v>23</v>
      </c>
      <c r="I519" s="3">
        <v>79</v>
      </c>
      <c r="J519" s="2" t="str">
        <f>"02/01/2020"</f>
        <v>02/01/2020</v>
      </c>
      <c r="K519" s="2" t="str">
        <f>"25/01/2020"</f>
        <v>25/01/2020</v>
      </c>
      <c r="L519" s="2" t="str">
        <f>"18/03/2020"</f>
        <v>18/03/2020</v>
      </c>
      <c r="M519" s="2" t="str">
        <f>"19/03/2020"</f>
        <v>19/03/2020</v>
      </c>
      <c r="N519" s="2">
        <v>139.9</v>
      </c>
      <c r="O519" s="2">
        <v>145.05000000000001</v>
      </c>
      <c r="P519" s="2">
        <v>0.12000000000000501</v>
      </c>
    </row>
    <row r="520" spans="1:16" x14ac:dyDescent="0.25">
      <c r="A520">
        <v>48615550</v>
      </c>
      <c r="B520">
        <v>48615557</v>
      </c>
      <c r="C520" t="str">
        <f>"UNIMEDSJN"</f>
        <v>UNIMEDSJN</v>
      </c>
      <c r="D520" t="str">
        <f>"DH"</f>
        <v>DH</v>
      </c>
      <c r="E520" t="str">
        <f>"LILLIAN RETTO GRUNEWALD DE OLIVEIRA"</f>
        <v>LILLIAN RETTO GRUNEWALD DE OLIVEIRA</v>
      </c>
      <c r="F520" t="str">
        <f>"48615550-1/1"</f>
        <v>48615550-1/1</v>
      </c>
      <c r="G520" t="str">
        <f>"Carteira 21"</f>
        <v>Carteira 21</v>
      </c>
      <c r="H520">
        <v>37</v>
      </c>
      <c r="I520" s="1">
        <v>47</v>
      </c>
      <c r="J520" t="str">
        <f>"20/01/2020"</f>
        <v>20/01/2020</v>
      </c>
      <c r="K520" t="str">
        <f>"26/02/2020"</f>
        <v>26/02/2020</v>
      </c>
      <c r="L520" t="str">
        <f>"26/02/2020"</f>
        <v>26/02/2020</v>
      </c>
      <c r="M520" t="str">
        <f>"21/02/2020"</f>
        <v>21/02/2020</v>
      </c>
      <c r="N520">
        <v>917.54</v>
      </c>
      <c r="O520">
        <v>917.54</v>
      </c>
      <c r="P520">
        <v>0</v>
      </c>
    </row>
    <row r="521" spans="1:16" s="2" customFormat="1" x14ac:dyDescent="0.25">
      <c r="A521" s="2">
        <v>47501532</v>
      </c>
      <c r="B521" s="2">
        <v>47501551</v>
      </c>
      <c r="C521" s="2" t="str">
        <f>"UNIMEDSJN"</f>
        <v>UNIMEDSJN</v>
      </c>
      <c r="D521" s="2" t="str">
        <f>"DH"</f>
        <v>DH</v>
      </c>
      <c r="E521" s="2" t="str">
        <f>"LIVIA BERNARDINELLI RIBEIRO"</f>
        <v>LIVIA BERNARDINELLI RIBEIRO</v>
      </c>
      <c r="F521" s="2" t="str">
        <f>"47501532-1/1"</f>
        <v>47501532-1/1</v>
      </c>
      <c r="G521" s="2" t="str">
        <f>"Carteira 21"</f>
        <v>Carteira 21</v>
      </c>
      <c r="H521" s="2">
        <v>24</v>
      </c>
      <c r="I521" s="3">
        <v>110</v>
      </c>
      <c r="J521" s="2" t="str">
        <f>"01/12/2019"</f>
        <v>01/12/2019</v>
      </c>
      <c r="K521" s="2" t="str">
        <f>"25/12/2019"</f>
        <v>25/12/2019</v>
      </c>
      <c r="L521" s="2" t="str">
        <f>"07/02/2020"</f>
        <v>07/02/2020</v>
      </c>
      <c r="M521" s="2" t="str">
        <f>"10/02/2020"</f>
        <v>10/02/2020</v>
      </c>
      <c r="N521" s="2">
        <v>150.71</v>
      </c>
      <c r="O521" s="2">
        <v>155.91</v>
      </c>
      <c r="P521" s="2">
        <v>2.0000000000010201E-2</v>
      </c>
    </row>
    <row r="522" spans="1:16" s="2" customFormat="1" x14ac:dyDescent="0.25">
      <c r="A522" s="2">
        <v>48577779</v>
      </c>
      <c r="B522" s="2">
        <v>48577793</v>
      </c>
      <c r="C522" s="2" t="str">
        <f>"UNIMEDSJN"</f>
        <v>UNIMEDSJN</v>
      </c>
      <c r="D522" s="2" t="str">
        <f>"DH"</f>
        <v>DH</v>
      </c>
      <c r="E522" s="2" t="str">
        <f>"LIVIA BERNARDINELLI RIBEIRO"</f>
        <v>LIVIA BERNARDINELLI RIBEIRO</v>
      </c>
      <c r="F522" s="2" t="str">
        <f>"48577779-1/1"</f>
        <v>48577779-1/1</v>
      </c>
      <c r="G522" s="2" t="str">
        <f>"Carteira 21"</f>
        <v>Carteira 21</v>
      </c>
      <c r="H522" s="2">
        <v>23</v>
      </c>
      <c r="I522" s="3">
        <v>79</v>
      </c>
      <c r="J522" s="2" t="str">
        <f>"02/01/2020"</f>
        <v>02/01/2020</v>
      </c>
      <c r="K522" s="2" t="str">
        <f>"25/01/2020"</f>
        <v>25/01/2020</v>
      </c>
      <c r="L522" s="2" t="str">
        <f>"27/01/2020"</f>
        <v>27/01/2020</v>
      </c>
      <c r="M522" s="2" t="str">
        <f>"27/12/2019"</f>
        <v>27/12/2019</v>
      </c>
      <c r="N522" s="2">
        <v>150.71</v>
      </c>
      <c r="O522" s="2">
        <v>150.71</v>
      </c>
      <c r="P522" s="2">
        <v>0</v>
      </c>
    </row>
    <row r="523" spans="1:16" s="2" customFormat="1" x14ac:dyDescent="0.25">
      <c r="A523" s="2">
        <v>48571577</v>
      </c>
      <c r="B523" s="2">
        <v>48571590</v>
      </c>
      <c r="C523" s="2" t="str">
        <f>"UNIMEDSJN"</f>
        <v>UNIMEDSJN</v>
      </c>
      <c r="D523" s="2" t="str">
        <f>"DH"</f>
        <v>DH</v>
      </c>
      <c r="E523" s="2" t="str">
        <f>"Livia Gouvea Araujo"</f>
        <v>Livia Gouvea Araujo</v>
      </c>
      <c r="F523" s="2" t="str">
        <f>"48571577-1/1"</f>
        <v>48571577-1/1</v>
      </c>
      <c r="G523" s="2" t="str">
        <f>"Carteira 21"</f>
        <v>Carteira 21</v>
      </c>
      <c r="H523" s="2">
        <v>23</v>
      </c>
      <c r="I523" s="3">
        <v>79</v>
      </c>
      <c r="J523" s="2" t="str">
        <f>"02/01/2020"</f>
        <v>02/01/2020</v>
      </c>
      <c r="K523" s="2" t="str">
        <f>"25/01/2020"</f>
        <v>25/01/2020</v>
      </c>
      <c r="L523" s="2" t="str">
        <f>"27/01/2020"</f>
        <v>27/01/2020</v>
      </c>
      <c r="M523" s="2" t="str">
        <f>"27/12/2019"</f>
        <v>27/12/2019</v>
      </c>
      <c r="N523" s="2">
        <v>259.64</v>
      </c>
      <c r="O523" s="2">
        <v>259.64</v>
      </c>
      <c r="P523" s="2">
        <v>0</v>
      </c>
    </row>
    <row r="524" spans="1:16" s="2" customFormat="1" x14ac:dyDescent="0.25">
      <c r="A524" s="2">
        <v>48576519</v>
      </c>
      <c r="B524" s="2">
        <v>48576533</v>
      </c>
      <c r="C524" s="2" t="str">
        <f>"UNIMEDSJN"</f>
        <v>UNIMEDSJN</v>
      </c>
      <c r="D524" s="2" t="str">
        <f>"DH"</f>
        <v>DH</v>
      </c>
      <c r="E524" s="2" t="str">
        <f>"LIVIA MATTOS CHAGAS"</f>
        <v>LIVIA MATTOS CHAGAS</v>
      </c>
      <c r="F524" s="2" t="str">
        <f>"48576519-1/1"</f>
        <v>48576519-1/1</v>
      </c>
      <c r="G524" s="2" t="str">
        <f>"Carteira 21"</f>
        <v>Carteira 21</v>
      </c>
      <c r="H524" s="2">
        <v>23</v>
      </c>
      <c r="I524" s="3">
        <v>79</v>
      </c>
      <c r="J524" s="2" t="str">
        <f>"02/01/2020"</f>
        <v>02/01/2020</v>
      </c>
      <c r="K524" s="2" t="str">
        <f>"25/01/2020"</f>
        <v>25/01/2020</v>
      </c>
      <c r="L524" s="2" t="str">
        <f>"16/03/2020"</f>
        <v>16/03/2020</v>
      </c>
      <c r="M524" s="2" t="str">
        <f>"17/03/2020"</f>
        <v>17/03/2020</v>
      </c>
      <c r="N524" s="2">
        <v>132.61000000000001</v>
      </c>
      <c r="O524" s="2">
        <v>137.4</v>
      </c>
      <c r="P524" s="2">
        <v>0.110000000000014</v>
      </c>
    </row>
    <row r="525" spans="1:16" s="2" customFormat="1" x14ac:dyDescent="0.25">
      <c r="A525" s="2">
        <v>48576553</v>
      </c>
      <c r="B525" s="2">
        <v>48576560</v>
      </c>
      <c r="C525" s="2" t="str">
        <f>"UNIMEDSJN"</f>
        <v>UNIMEDSJN</v>
      </c>
      <c r="D525" s="2" t="str">
        <f>"DH"</f>
        <v>DH</v>
      </c>
      <c r="E525" s="2" t="str">
        <f>"LIVIA MATTOS CHAGAS"</f>
        <v>LIVIA MATTOS CHAGAS</v>
      </c>
      <c r="F525" s="2" t="str">
        <f>"48576553-1/1"</f>
        <v>48576553-1/1</v>
      </c>
      <c r="G525" s="2" t="str">
        <f>"Carteira 21"</f>
        <v>Carteira 21</v>
      </c>
      <c r="H525" s="2">
        <v>23</v>
      </c>
      <c r="I525" s="3">
        <v>79</v>
      </c>
      <c r="J525" s="2" t="str">
        <f>"02/01/2020"</f>
        <v>02/01/2020</v>
      </c>
      <c r="K525" s="2" t="str">
        <f>"25/01/2020"</f>
        <v>25/01/2020</v>
      </c>
      <c r="L525" s="2" t="str">
        <f>"16/03/2020"</f>
        <v>16/03/2020</v>
      </c>
      <c r="M525" s="2" t="str">
        <f>"17/03/2020"</f>
        <v>17/03/2020</v>
      </c>
      <c r="N525" s="2">
        <v>136.22999999999999</v>
      </c>
      <c r="O525" s="2">
        <v>141.15</v>
      </c>
      <c r="P525" s="2">
        <v>0.119999999999976</v>
      </c>
    </row>
    <row r="526" spans="1:16" s="2" customFormat="1" x14ac:dyDescent="0.25">
      <c r="A526" s="2">
        <v>47494740</v>
      </c>
      <c r="B526" s="2">
        <v>47494756</v>
      </c>
      <c r="C526" s="2" t="str">
        <f>"UNIMEDSJN"</f>
        <v>UNIMEDSJN</v>
      </c>
      <c r="D526" s="2" t="str">
        <f>"DH"</f>
        <v>DH</v>
      </c>
      <c r="E526" s="2" t="str">
        <f>"LIVIANE APARECIDA DALA PAULA"</f>
        <v>LIVIANE APARECIDA DALA PAULA</v>
      </c>
      <c r="F526" s="2" t="str">
        <f>"47494740-1/1"</f>
        <v>47494740-1/1</v>
      </c>
      <c r="G526" s="2" t="str">
        <f>"Carteira 21"</f>
        <v>Carteira 21</v>
      </c>
      <c r="H526" s="2">
        <v>24</v>
      </c>
      <c r="I526" s="3">
        <v>110</v>
      </c>
      <c r="J526" s="2" t="str">
        <f>"01/12/2019"</f>
        <v>01/12/2019</v>
      </c>
      <c r="K526" s="2" t="str">
        <f>"25/12/2019"</f>
        <v>25/12/2019</v>
      </c>
      <c r="L526" s="2" t="str">
        <f>"10/03/2020"</f>
        <v>10/03/2020</v>
      </c>
      <c r="M526" s="2" t="str">
        <f>"11/03/2020"</f>
        <v>11/03/2020</v>
      </c>
      <c r="N526" s="2">
        <v>179.17</v>
      </c>
      <c r="O526" s="2">
        <v>187.24</v>
      </c>
      <c r="P526" s="2">
        <v>5.0000000000011403E-2</v>
      </c>
    </row>
    <row r="527" spans="1:16" s="2" customFormat="1" x14ac:dyDescent="0.25">
      <c r="A527" s="2">
        <v>48570067</v>
      </c>
      <c r="B527" s="2">
        <v>48570074</v>
      </c>
      <c r="C527" s="2" t="str">
        <f>"UNIMEDSJN"</f>
        <v>UNIMEDSJN</v>
      </c>
      <c r="D527" s="2" t="str">
        <f>"DH"</f>
        <v>DH</v>
      </c>
      <c r="E527" s="2" t="str">
        <f>"LIVIANE APARECIDA DALA PAULA"</f>
        <v>LIVIANE APARECIDA DALA PAULA</v>
      </c>
      <c r="F527" s="2" t="str">
        <f>"48570067-1/1"</f>
        <v>48570067-1/1</v>
      </c>
      <c r="G527" s="2" t="str">
        <f>"Carteira 21"</f>
        <v>Carteira 21</v>
      </c>
      <c r="H527" s="2">
        <v>23</v>
      </c>
      <c r="I527" s="3">
        <v>79</v>
      </c>
      <c r="J527" s="2" t="str">
        <f>"02/01/2020"</f>
        <v>02/01/2020</v>
      </c>
      <c r="K527" s="2" t="str">
        <f>"25/01/2020"</f>
        <v>25/01/2020</v>
      </c>
      <c r="L527" s="2" t="str">
        <f>"12/03/2020"</f>
        <v>12/03/2020</v>
      </c>
      <c r="M527" s="2" t="str">
        <f>"13/03/2020"</f>
        <v>13/03/2020</v>
      </c>
      <c r="N527" s="2">
        <v>179.17</v>
      </c>
      <c r="O527" s="2">
        <v>185.41</v>
      </c>
      <c r="P527" s="2">
        <v>0.150000000000034</v>
      </c>
    </row>
    <row r="528" spans="1:16" s="2" customFormat="1" x14ac:dyDescent="0.25">
      <c r="A528" s="2">
        <v>48570912</v>
      </c>
      <c r="B528" s="2">
        <v>48570922</v>
      </c>
      <c r="C528" s="2" t="str">
        <f>"UNIMEDSJN"</f>
        <v>UNIMEDSJN</v>
      </c>
      <c r="D528" s="2" t="str">
        <f>"DH"</f>
        <v>DH</v>
      </c>
      <c r="E528" s="2" t="str">
        <f>"LUCAS BARBOSA DE SOUZA"</f>
        <v>LUCAS BARBOSA DE SOUZA</v>
      </c>
      <c r="F528" s="2" t="str">
        <f>"48570912-1/1"</f>
        <v>48570912-1/1</v>
      </c>
      <c r="G528" s="2" t="str">
        <f>"Carteira 21"</f>
        <v>Carteira 21</v>
      </c>
      <c r="H528" s="2">
        <v>23</v>
      </c>
      <c r="I528" s="3">
        <v>79</v>
      </c>
      <c r="J528" s="2" t="str">
        <f>"02/01/2020"</f>
        <v>02/01/2020</v>
      </c>
      <c r="K528" s="2" t="str">
        <f>"25/01/2020"</f>
        <v>25/01/2020</v>
      </c>
      <c r="L528" s="2" t="str">
        <f>"17/02/2020"</f>
        <v>17/02/2020</v>
      </c>
      <c r="M528" s="2" t="str">
        <f>"18/02/2020"</f>
        <v>18/02/2020</v>
      </c>
      <c r="N528" s="2">
        <v>493.04</v>
      </c>
      <c r="O528" s="2">
        <v>506.32</v>
      </c>
      <c r="P528" s="2">
        <v>0.36000000000001398</v>
      </c>
    </row>
    <row r="529" spans="1:16" s="2" customFormat="1" x14ac:dyDescent="0.25">
      <c r="A529" s="2">
        <v>48570935</v>
      </c>
      <c r="B529" s="2">
        <v>48570950</v>
      </c>
      <c r="C529" s="2" t="str">
        <f>"UNIMEDSJN"</f>
        <v>UNIMEDSJN</v>
      </c>
      <c r="D529" s="2" t="str">
        <f>"DH"</f>
        <v>DH</v>
      </c>
      <c r="E529" s="2" t="str">
        <f>"LUCAS BARBOSA DE SOUZA"</f>
        <v>LUCAS BARBOSA DE SOUZA</v>
      </c>
      <c r="F529" s="2" t="str">
        <f>"48570935-1/1"</f>
        <v>48570935-1/1</v>
      </c>
      <c r="G529" s="2" t="str">
        <f>"Carteira 21"</f>
        <v>Carteira 21</v>
      </c>
      <c r="H529" s="2">
        <v>23</v>
      </c>
      <c r="I529" s="3">
        <v>79</v>
      </c>
      <c r="J529" s="2" t="str">
        <f>"02/01/2020"</f>
        <v>02/01/2020</v>
      </c>
      <c r="K529" s="2" t="str">
        <f>"25/01/2020"</f>
        <v>25/01/2020</v>
      </c>
      <c r="L529" s="2" t="str">
        <f>"17/02/2020"</f>
        <v>17/02/2020</v>
      </c>
      <c r="M529" s="2" t="str">
        <f>"18/02/2020"</f>
        <v>18/02/2020</v>
      </c>
      <c r="N529" s="2">
        <v>228.69</v>
      </c>
      <c r="O529" s="2">
        <v>234.84</v>
      </c>
      <c r="P529" s="2">
        <v>0.16999999999998699</v>
      </c>
    </row>
    <row r="530" spans="1:16" s="2" customFormat="1" x14ac:dyDescent="0.25">
      <c r="A530" s="2">
        <v>45796917</v>
      </c>
      <c r="B530" s="2">
        <v>45796927</v>
      </c>
      <c r="C530" s="2" t="str">
        <f>"UNIMEDSJN"</f>
        <v>UNIMEDSJN</v>
      </c>
      <c r="D530" s="2" t="str">
        <f>"DH"</f>
        <v>DH</v>
      </c>
      <c r="E530" s="2" t="str">
        <f>"LUCAS CACADOR MORAIS"</f>
        <v>LUCAS CACADOR MORAIS</v>
      </c>
      <c r="F530" s="2" t="str">
        <f>"45796917-1/1"</f>
        <v>45796917-1/1</v>
      </c>
      <c r="G530" s="2" t="str">
        <f>"Carteira 21"</f>
        <v>Carteira 21</v>
      </c>
      <c r="H530" s="2">
        <v>24</v>
      </c>
      <c r="I530" s="3">
        <v>140</v>
      </c>
      <c r="J530" s="2" t="str">
        <f>"01/11/2019"</f>
        <v>01/11/2019</v>
      </c>
      <c r="K530" s="2" t="str">
        <f>"25/11/2019"</f>
        <v>25/11/2019</v>
      </c>
      <c r="L530" s="2" t="str">
        <f>"05/02/2020"</f>
        <v>05/02/2020</v>
      </c>
      <c r="M530" s="2" t="str">
        <f>"06/02/2020"</f>
        <v>06/02/2020</v>
      </c>
      <c r="N530" s="2">
        <v>364.61</v>
      </c>
      <c r="O530" s="2">
        <v>380.56</v>
      </c>
      <c r="P530" s="2">
        <v>9.0000000000031805E-2</v>
      </c>
    </row>
    <row r="531" spans="1:16" s="2" customFormat="1" x14ac:dyDescent="0.25">
      <c r="A531" s="2">
        <v>47490907</v>
      </c>
      <c r="B531" s="2">
        <v>47490912</v>
      </c>
      <c r="C531" s="2" t="str">
        <f>"UNIMEDSJN"</f>
        <v>UNIMEDSJN</v>
      </c>
      <c r="D531" s="2" t="str">
        <f>"DH"</f>
        <v>DH</v>
      </c>
      <c r="E531" s="2" t="str">
        <f>"LUCAS CACADOR MORAIS"</f>
        <v>LUCAS CACADOR MORAIS</v>
      </c>
      <c r="F531" s="2" t="str">
        <f>"47490907-1/1"</f>
        <v>47490907-1/1</v>
      </c>
      <c r="G531" s="2" t="str">
        <f>"Carteira 21"</f>
        <v>Carteira 21</v>
      </c>
      <c r="H531" s="2">
        <v>24</v>
      </c>
      <c r="I531" s="3">
        <v>110</v>
      </c>
      <c r="J531" s="2" t="str">
        <f>"01/12/2019"</f>
        <v>01/12/2019</v>
      </c>
      <c r="K531" s="2" t="str">
        <f>"25/12/2019"</f>
        <v>25/12/2019</v>
      </c>
      <c r="L531" s="2" t="str">
        <f>"05/03/2020"</f>
        <v>05/03/2020</v>
      </c>
      <c r="M531" s="2" t="str">
        <f>"06/03/2020"</f>
        <v>06/03/2020</v>
      </c>
      <c r="N531" s="2">
        <v>364.61</v>
      </c>
      <c r="O531" s="2">
        <v>380.44</v>
      </c>
      <c r="P531" s="2">
        <v>9.0000000000031805E-2</v>
      </c>
    </row>
    <row r="532" spans="1:16" s="2" customFormat="1" x14ac:dyDescent="0.25">
      <c r="A532" s="2">
        <v>48565902</v>
      </c>
      <c r="B532" s="2">
        <v>48565907</v>
      </c>
      <c r="C532" s="2" t="str">
        <f>"UNIMEDSJN"</f>
        <v>UNIMEDSJN</v>
      </c>
      <c r="D532" s="2" t="str">
        <f>"DH"</f>
        <v>DH</v>
      </c>
      <c r="E532" s="2" t="str">
        <f>"LUCAS CACADOR MORAIS"</f>
        <v>LUCAS CACADOR MORAIS</v>
      </c>
      <c r="F532" s="2" t="str">
        <f>"48565902-1/1"</f>
        <v>48565902-1/1</v>
      </c>
      <c r="G532" s="2" t="str">
        <f>"Carteira 21"</f>
        <v>Carteira 21</v>
      </c>
      <c r="H532" s="2">
        <v>23</v>
      </c>
      <c r="I532" s="3">
        <v>79</v>
      </c>
      <c r="J532" s="2" t="str">
        <f>"02/01/2020"</f>
        <v>02/01/2020</v>
      </c>
      <c r="K532" s="2" t="str">
        <f>"25/01/2020"</f>
        <v>25/01/2020</v>
      </c>
      <c r="L532" s="2" t="str">
        <f>"03/04/2020"</f>
        <v>03/04/2020</v>
      </c>
      <c r="M532" s="2" t="str">
        <f>"06/04/2020"</f>
        <v>06/04/2020</v>
      </c>
      <c r="N532" s="2">
        <v>364.61</v>
      </c>
      <c r="O532" s="2">
        <v>379.96</v>
      </c>
      <c r="P532" s="2">
        <v>0.33000000000004098</v>
      </c>
    </row>
    <row r="533" spans="1:16" s="2" customFormat="1" x14ac:dyDescent="0.25">
      <c r="A533" s="2">
        <v>47503783</v>
      </c>
      <c r="B533" s="2">
        <v>47503788</v>
      </c>
      <c r="C533" s="2" t="str">
        <f>"UNIMEDSJN"</f>
        <v>UNIMEDSJN</v>
      </c>
      <c r="D533" s="2" t="str">
        <f>"DH"</f>
        <v>DH</v>
      </c>
      <c r="E533" s="2" t="str">
        <f>"LUCAS HENRIQUE RAFAEL MESQUITA"</f>
        <v>LUCAS HENRIQUE RAFAEL MESQUITA</v>
      </c>
      <c r="F533" s="2" t="str">
        <f>"47503783-1/1"</f>
        <v>47503783-1/1</v>
      </c>
      <c r="G533" s="2" t="str">
        <f>"Carteira 21"</f>
        <v>Carteira 21</v>
      </c>
      <c r="H533" s="2">
        <v>24</v>
      </c>
      <c r="I533" s="3">
        <v>110</v>
      </c>
      <c r="J533" s="2" t="str">
        <f>"01/12/2019"</f>
        <v>01/12/2019</v>
      </c>
      <c r="K533" s="2" t="str">
        <f>"25/12/2019"</f>
        <v>25/12/2019</v>
      </c>
      <c r="L533" s="2" t="str">
        <f>"03/02/2020"</f>
        <v>03/02/2020</v>
      </c>
      <c r="M533" s="2" t="str">
        <f>"04/02/2020"</f>
        <v>04/02/2020</v>
      </c>
      <c r="N533" s="2">
        <v>142.4</v>
      </c>
      <c r="O533" s="2">
        <v>147.13</v>
      </c>
      <c r="P533" s="2">
        <v>2.0000000000010201E-2</v>
      </c>
    </row>
    <row r="534" spans="1:16" s="2" customFormat="1" x14ac:dyDescent="0.25">
      <c r="A534" s="2">
        <v>48577982</v>
      </c>
      <c r="B534" s="2">
        <v>48577989</v>
      </c>
      <c r="C534" s="2" t="str">
        <f>"UNIMEDSJN"</f>
        <v>UNIMEDSJN</v>
      </c>
      <c r="D534" s="2" t="str">
        <f>"DH"</f>
        <v>DH</v>
      </c>
      <c r="E534" s="2" t="str">
        <f>"LUCAS HENRIQUE RAFAEL MESQUITA"</f>
        <v>LUCAS HENRIQUE RAFAEL MESQUITA</v>
      </c>
      <c r="F534" s="2" t="str">
        <f>"48577982-1/1"</f>
        <v>48577982-1/1</v>
      </c>
      <c r="G534" s="2" t="str">
        <f>"Carteira 21"</f>
        <v>Carteira 21</v>
      </c>
      <c r="H534" s="2">
        <v>23</v>
      </c>
      <c r="I534" s="3">
        <v>79</v>
      </c>
      <c r="J534" s="2" t="str">
        <f>"02/01/2020"</f>
        <v>02/01/2020</v>
      </c>
      <c r="K534" s="2" t="str">
        <f>"25/01/2020"</f>
        <v>25/01/2020</v>
      </c>
      <c r="L534" s="2" t="str">
        <f>"03/02/2020"</f>
        <v>03/02/2020</v>
      </c>
      <c r="M534" s="2" t="str">
        <f>"04/02/2020"</f>
        <v>04/02/2020</v>
      </c>
      <c r="N534" s="2">
        <v>142.4</v>
      </c>
      <c r="O534" s="2">
        <v>145.58000000000001</v>
      </c>
      <c r="P534" s="2">
        <v>9.9999999999994302E-2</v>
      </c>
    </row>
    <row r="535" spans="1:16" s="2" customFormat="1" x14ac:dyDescent="0.25">
      <c r="A535" s="2">
        <v>48570364</v>
      </c>
      <c r="B535" s="2">
        <v>48570374</v>
      </c>
      <c r="C535" s="2" t="str">
        <f>"UNIMEDSJN"</f>
        <v>UNIMEDSJN</v>
      </c>
      <c r="D535" s="2" t="str">
        <f>"DH"</f>
        <v>DH</v>
      </c>
      <c r="E535" s="2" t="str">
        <f>"Lucia Almeida Filgueiras Rodrigues"</f>
        <v>Lucia Almeida Filgueiras Rodrigues</v>
      </c>
      <c r="F535" s="2" t="str">
        <f>"48570364-1/1"</f>
        <v>48570364-1/1</v>
      </c>
      <c r="G535" s="2" t="str">
        <f>"Carteira 21"</f>
        <v>Carteira 21</v>
      </c>
      <c r="H535" s="2">
        <v>20</v>
      </c>
      <c r="I535" s="3">
        <v>82</v>
      </c>
      <c r="J535" s="2" t="str">
        <f>"02/01/2020"</f>
        <v>02/01/2020</v>
      </c>
      <c r="K535" s="2" t="str">
        <f>"22/01/2020"</f>
        <v>22/01/2020</v>
      </c>
      <c r="L535" s="2" t="str">
        <f>"26/02/2020"</f>
        <v>26/02/2020</v>
      </c>
      <c r="M535" s="2" t="str">
        <f>"27/02/2020"</f>
        <v>27/02/2020</v>
      </c>
      <c r="N535" s="2">
        <v>185.63</v>
      </c>
      <c r="O535" s="2">
        <v>191.48</v>
      </c>
      <c r="P535" s="2">
        <v>2.9999999999972701E-2</v>
      </c>
    </row>
    <row r="536" spans="1:16" s="2" customFormat="1" x14ac:dyDescent="0.25">
      <c r="A536" s="2">
        <v>48563940</v>
      </c>
      <c r="B536" s="2">
        <v>48563951</v>
      </c>
      <c r="C536" s="2" t="str">
        <f>"UNIMEDSJN"</f>
        <v>UNIMEDSJN</v>
      </c>
      <c r="D536" s="2" t="str">
        <f>"DH"</f>
        <v>DH</v>
      </c>
      <c r="E536" s="2" t="str">
        <f>"LUCIANA DE CASTRO FURTADO"</f>
        <v>LUCIANA DE CASTRO FURTADO</v>
      </c>
      <c r="F536" s="2" t="str">
        <f>"48563940-1/1"</f>
        <v>48563940-1/1</v>
      </c>
      <c r="G536" s="2" t="str">
        <f>"Carteira 21"</f>
        <v>Carteira 21</v>
      </c>
      <c r="H536" s="2">
        <v>16</v>
      </c>
      <c r="I536" s="3">
        <v>86</v>
      </c>
      <c r="J536" s="2" t="str">
        <f>"02/01/2020"</f>
        <v>02/01/2020</v>
      </c>
      <c r="K536" s="2" t="str">
        <f>"18/01/2020"</f>
        <v>18/01/2020</v>
      </c>
      <c r="L536" s="2" t="str">
        <f>"27/02/2020"</f>
        <v>27/02/2020</v>
      </c>
      <c r="M536" s="2" t="str">
        <f>"28/02/2020"</f>
        <v>28/02/2020</v>
      </c>
      <c r="N536" s="2">
        <v>292.24</v>
      </c>
      <c r="O536" s="2">
        <v>301.74</v>
      </c>
      <c r="P536" s="2">
        <v>0.24000000000000901</v>
      </c>
    </row>
    <row r="537" spans="1:16" s="2" customFormat="1" x14ac:dyDescent="0.25">
      <c r="A537" s="2">
        <v>48582114</v>
      </c>
      <c r="B537" s="2">
        <v>48582379</v>
      </c>
      <c r="C537" s="2" t="str">
        <f>"UNIMEDSJN"</f>
        <v>UNIMEDSJN</v>
      </c>
      <c r="D537" s="2" t="str">
        <f>"DH"</f>
        <v>DH</v>
      </c>
      <c r="E537" s="2" t="str">
        <f>"LUCIANA DE CASTRO FURTADO"</f>
        <v>LUCIANA DE CASTRO FURTADO</v>
      </c>
      <c r="F537" s="2" t="str">
        <f>"48582114-1/1"</f>
        <v>48582114-1/1</v>
      </c>
      <c r="G537" s="2" t="str">
        <f>"Carteira 21"</f>
        <v>Carteira 21</v>
      </c>
      <c r="H537" s="2">
        <v>23</v>
      </c>
      <c r="I537" s="3">
        <v>79</v>
      </c>
      <c r="J537" s="2" t="str">
        <f>"02/01/2020"</f>
        <v>02/01/2020</v>
      </c>
      <c r="K537" s="2" t="str">
        <f>"25/01/2020"</f>
        <v>25/01/2020</v>
      </c>
      <c r="L537" s="2" t="str">
        <f>"28/02/2020"</f>
        <v>28/02/2020</v>
      </c>
      <c r="M537" s="2" t="str">
        <f>"13/03/2020"</f>
        <v>13/03/2020</v>
      </c>
      <c r="N537" s="2">
        <v>179.53</v>
      </c>
      <c r="O537" s="2">
        <v>185.02</v>
      </c>
      <c r="P537" s="2">
        <v>0.12999999999999501</v>
      </c>
    </row>
    <row r="538" spans="1:16" s="2" customFormat="1" x14ac:dyDescent="0.25">
      <c r="A538" s="2">
        <v>47512697</v>
      </c>
      <c r="B538" s="2">
        <v>47512713</v>
      </c>
      <c r="C538" s="2" t="str">
        <f>"UNIMEDSJN"</f>
        <v>UNIMEDSJN</v>
      </c>
      <c r="D538" s="2" t="str">
        <f>"DH"</f>
        <v>DH</v>
      </c>
      <c r="E538" s="2" t="str">
        <f>"LUCIANA FERREIRA LOPES"</f>
        <v>LUCIANA FERREIRA LOPES</v>
      </c>
      <c r="F538" s="2" t="str">
        <f>"47512697-1/1"</f>
        <v>47512697-1/1</v>
      </c>
      <c r="G538" s="2" t="str">
        <f>"Carteira 21"</f>
        <v>Carteira 21</v>
      </c>
      <c r="H538" s="2">
        <v>24</v>
      </c>
      <c r="I538" s="3">
        <v>110</v>
      </c>
      <c r="J538" s="2" t="str">
        <f>"01/12/2019"</f>
        <v>01/12/2019</v>
      </c>
      <c r="K538" s="2" t="str">
        <f>"25/12/2019"</f>
        <v>25/12/2019</v>
      </c>
      <c r="L538" s="2" t="str">
        <f>"20/03/2020"</f>
        <v>20/03/2020</v>
      </c>
      <c r="M538" s="2" t="str">
        <f>"23/03/2020"</f>
        <v>23/03/2020</v>
      </c>
      <c r="N538" s="2">
        <v>880.72</v>
      </c>
      <c r="O538" s="2">
        <v>923.32</v>
      </c>
      <c r="P538" s="2">
        <v>0.25999999999999102</v>
      </c>
    </row>
    <row r="539" spans="1:16" s="2" customFormat="1" x14ac:dyDescent="0.25">
      <c r="A539" s="2">
        <v>48563724</v>
      </c>
      <c r="B539" s="2">
        <v>48563742</v>
      </c>
      <c r="C539" s="2" t="str">
        <f>"UNIMEDSJN"</f>
        <v>UNIMEDSJN</v>
      </c>
      <c r="D539" s="2" t="str">
        <f>"DH"</f>
        <v>DH</v>
      </c>
      <c r="E539" s="2" t="str">
        <f>"LUCIANA FERREIRA LOPES"</f>
        <v>LUCIANA FERREIRA LOPES</v>
      </c>
      <c r="F539" s="2" t="str">
        <f>"48563724-1/1"</f>
        <v>48563724-1/1</v>
      </c>
      <c r="G539" s="2" t="str">
        <f>"Carteira 21"</f>
        <v>Carteira 21</v>
      </c>
      <c r="H539" s="2">
        <v>23</v>
      </c>
      <c r="I539" s="3">
        <v>79</v>
      </c>
      <c r="J539" s="2" t="str">
        <f>"02/01/2020"</f>
        <v>02/01/2020</v>
      </c>
      <c r="K539" s="2" t="str">
        <f>"25/01/2020"</f>
        <v>25/01/2020</v>
      </c>
      <c r="L539" s="2" t="str">
        <f>"20/03/2020"</f>
        <v>20/03/2020</v>
      </c>
      <c r="M539" s="2" t="str">
        <f>"23/03/2020"</f>
        <v>23/03/2020</v>
      </c>
      <c r="N539" s="2">
        <v>880.72</v>
      </c>
      <c r="O539" s="2">
        <v>913.75</v>
      </c>
      <c r="P539" s="2">
        <v>0.73000000000001797</v>
      </c>
    </row>
    <row r="540" spans="1:16" s="2" customFormat="1" x14ac:dyDescent="0.25">
      <c r="A540" s="2">
        <v>47501348</v>
      </c>
      <c r="B540" s="2">
        <v>47501625</v>
      </c>
      <c r="C540" s="2" t="str">
        <f>"UNIMEDSJN"</f>
        <v>UNIMEDSJN</v>
      </c>
      <c r="D540" s="2" t="str">
        <f>"DH"</f>
        <v>DH</v>
      </c>
      <c r="E540" s="2" t="str">
        <f>"LUCIANA MARIA CAROLINA DE NOVAES NUNES"</f>
        <v>LUCIANA MARIA CAROLINA DE NOVAES NUNES</v>
      </c>
      <c r="F540" s="2" t="str">
        <f>"47501348-1/1"</f>
        <v>47501348-1/1</v>
      </c>
      <c r="G540" s="2" t="str">
        <f>"Carteira 21"</f>
        <v>Carteira 21</v>
      </c>
      <c r="H540" s="2">
        <v>24</v>
      </c>
      <c r="I540" s="3">
        <v>110</v>
      </c>
      <c r="J540" s="2" t="str">
        <f>"01/12/2019"</f>
        <v>01/12/2019</v>
      </c>
      <c r="K540" s="2" t="str">
        <f>"25/12/2019"</f>
        <v>25/12/2019</v>
      </c>
      <c r="L540" s="2" t="str">
        <f>"28/02/2020"</f>
        <v>28/02/2020</v>
      </c>
      <c r="M540" s="2" t="str">
        <f>"13/03/2020"</f>
        <v>13/03/2020</v>
      </c>
      <c r="N540" s="2">
        <v>436.55</v>
      </c>
      <c r="O540" s="2">
        <v>454.64</v>
      </c>
      <c r="P540" s="2">
        <v>0.100000000000023</v>
      </c>
    </row>
    <row r="541" spans="1:16" x14ac:dyDescent="0.25">
      <c r="A541">
        <v>48575340</v>
      </c>
      <c r="B541">
        <v>48575360</v>
      </c>
      <c r="C541" t="str">
        <f>"UNIMEDSJN"</f>
        <v>UNIMEDSJN</v>
      </c>
      <c r="D541" t="str">
        <f>"DH"</f>
        <v>DH</v>
      </c>
      <c r="E541" t="str">
        <f>"LUCIANA MARIA CAROLINA DE NOVAES NUNES"</f>
        <v>LUCIANA MARIA CAROLINA DE NOVAES NUNES</v>
      </c>
      <c r="F541" t="str">
        <f>"48575340-1/1"</f>
        <v>48575340-1/1</v>
      </c>
      <c r="G541" t="str">
        <f>"Carteira 21"</f>
        <v>Carteira 21</v>
      </c>
      <c r="H541">
        <v>53</v>
      </c>
      <c r="I541" s="1">
        <v>49</v>
      </c>
      <c r="J541" t="str">
        <f>"02/01/2020"</f>
        <v>02/01/2020</v>
      </c>
      <c r="K541" t="str">
        <f>"24/02/2020"</f>
        <v>24/02/2020</v>
      </c>
      <c r="L541" t="str">
        <f>"03/04/2020"</f>
        <v>03/04/2020</v>
      </c>
      <c r="M541" t="str">
        <f>"06/04/2020"</f>
        <v>06/04/2020</v>
      </c>
      <c r="N541">
        <v>436.55</v>
      </c>
      <c r="O541">
        <v>454.93</v>
      </c>
      <c r="P541">
        <v>-3.96999999999997</v>
      </c>
    </row>
    <row r="542" spans="1:16" s="2" customFormat="1" x14ac:dyDescent="0.25">
      <c r="A542" s="2">
        <v>48496590</v>
      </c>
      <c r="B542" s="2">
        <v>48496597</v>
      </c>
      <c r="C542" s="2" t="str">
        <f>"UNIMEDSJN"</f>
        <v>UNIMEDSJN</v>
      </c>
      <c r="D542" s="2" t="str">
        <f>"DH"</f>
        <v>DH</v>
      </c>
      <c r="E542" s="2" t="str">
        <f>"LUCIANA NOGUEIRA FURTADO"</f>
        <v>LUCIANA NOGUEIRA FURTADO</v>
      </c>
      <c r="F542" s="2" t="str">
        <f>"48496590-1/1"</f>
        <v>48496590-1/1</v>
      </c>
      <c r="G542" s="2" t="str">
        <f>"Carteira 21"</f>
        <v>Carteira 21</v>
      </c>
      <c r="H542" s="2">
        <v>31</v>
      </c>
      <c r="I542" s="3">
        <v>78</v>
      </c>
      <c r="J542" s="2" t="str">
        <f>"26/12/2019"</f>
        <v>26/12/2019</v>
      </c>
      <c r="K542" s="2" t="str">
        <f>"26/01/2020"</f>
        <v>26/01/2020</v>
      </c>
      <c r="L542" s="2" t="str">
        <f>"05/02/2020"</f>
        <v>05/02/2020</v>
      </c>
      <c r="M542" s="2" t="str">
        <f>"06/02/2020"</f>
        <v>06/02/2020</v>
      </c>
      <c r="N542" s="2">
        <v>419.78</v>
      </c>
      <c r="O542" s="2">
        <v>429.43</v>
      </c>
      <c r="P542" s="2">
        <v>0.150000000000034</v>
      </c>
    </row>
    <row r="543" spans="1:16" x14ac:dyDescent="0.25">
      <c r="A543">
        <v>48794006</v>
      </c>
      <c r="B543">
        <v>48794013</v>
      </c>
      <c r="C543" t="str">
        <f>"UNIMEDSJN"</f>
        <v>UNIMEDSJN</v>
      </c>
      <c r="D543" t="str">
        <f>"DH"</f>
        <v>DH</v>
      </c>
      <c r="E543" t="str">
        <f>"LUCIANA NOGUEIRA FURTADO"</f>
        <v>LUCIANA NOGUEIRA FURTADO</v>
      </c>
      <c r="F543" t="str">
        <f>"48794006-1/1"</f>
        <v>48794006-1/1</v>
      </c>
      <c r="G543" t="str">
        <f>"Carteira 21"</f>
        <v>Carteira 21</v>
      </c>
      <c r="H543">
        <v>37</v>
      </c>
      <c r="I543" s="1">
        <v>47</v>
      </c>
      <c r="J543" t="str">
        <f>"20/01/2020"</f>
        <v>20/01/2020</v>
      </c>
      <c r="K543" t="str">
        <f>"26/02/2020"</f>
        <v>26/02/2020</v>
      </c>
      <c r="L543" t="str">
        <f>"13/03/2020"</f>
        <v>13/03/2020</v>
      </c>
      <c r="M543" t="str">
        <f>"16/03/2020"</f>
        <v>16/03/2020</v>
      </c>
      <c r="N543">
        <v>419.78</v>
      </c>
      <c r="O543">
        <v>430.4</v>
      </c>
      <c r="P543">
        <v>1.99999999999818E-2</v>
      </c>
    </row>
    <row r="544" spans="1:16" s="2" customFormat="1" x14ac:dyDescent="0.25">
      <c r="A544" s="2">
        <v>48575557</v>
      </c>
      <c r="B544" s="2">
        <v>48575564</v>
      </c>
      <c r="C544" s="2" t="str">
        <f>"UNIMEDSJN"</f>
        <v>UNIMEDSJN</v>
      </c>
      <c r="D544" s="2" t="str">
        <f>"DH"</f>
        <v>DH</v>
      </c>
      <c r="E544" s="2" t="str">
        <f>"Luciana Vidal Barrioli"</f>
        <v>Luciana Vidal Barrioli</v>
      </c>
      <c r="F544" s="2" t="str">
        <f>"48575557-1/1"</f>
        <v>48575557-1/1</v>
      </c>
      <c r="G544" s="2" t="str">
        <f>"Carteira 21"</f>
        <v>Carteira 21</v>
      </c>
      <c r="H544" s="2">
        <v>23</v>
      </c>
      <c r="I544" s="3">
        <v>79</v>
      </c>
      <c r="J544" s="2" t="str">
        <f>"02/01/2020"</f>
        <v>02/01/2020</v>
      </c>
      <c r="K544" s="2" t="str">
        <f>"25/01/2020"</f>
        <v>25/01/2020</v>
      </c>
      <c r="L544" s="2" t="str">
        <f>"14/02/2020"</f>
        <v>14/02/2020</v>
      </c>
      <c r="M544" s="2" t="str">
        <f>"17/02/2020"</f>
        <v>17/02/2020</v>
      </c>
      <c r="N544" s="2">
        <v>75.900000000000006</v>
      </c>
      <c r="O544" s="2">
        <v>77.87</v>
      </c>
      <c r="P544" s="2">
        <v>6.0000000000002301E-2</v>
      </c>
    </row>
    <row r="545" spans="1:16" s="2" customFormat="1" x14ac:dyDescent="0.25">
      <c r="A545" s="2">
        <v>48583199</v>
      </c>
      <c r="B545" s="2">
        <v>48583206</v>
      </c>
      <c r="C545" s="2" t="str">
        <f>"UNIMEDSJN"</f>
        <v>UNIMEDSJN</v>
      </c>
      <c r="D545" s="2" t="str">
        <f>"DH"</f>
        <v>DH</v>
      </c>
      <c r="E545" s="2" t="str">
        <f>"Luciane Aparecida Vieira Dutra"</f>
        <v>Luciane Aparecida Vieira Dutra</v>
      </c>
      <c r="F545" s="2" t="str">
        <f>"48583199-1/1"</f>
        <v>48583199-1/1</v>
      </c>
      <c r="G545" s="2" t="str">
        <f>"Carteira 21"</f>
        <v>Carteira 21</v>
      </c>
      <c r="H545" s="2">
        <v>23</v>
      </c>
      <c r="I545" s="3">
        <v>79</v>
      </c>
      <c r="J545" s="2" t="str">
        <f>"02/01/2020"</f>
        <v>02/01/2020</v>
      </c>
      <c r="K545" s="2" t="str">
        <f>"25/01/2020"</f>
        <v>25/01/2020</v>
      </c>
      <c r="L545" s="2" t="str">
        <f>"10/02/2020"</f>
        <v>10/02/2020</v>
      </c>
      <c r="M545" s="2" t="str">
        <f>"11/02/2020"</f>
        <v>11/02/2020</v>
      </c>
      <c r="N545" s="2">
        <v>150.18</v>
      </c>
      <c r="O545" s="2">
        <v>153.87</v>
      </c>
      <c r="P545" s="2">
        <v>0.110000000000014</v>
      </c>
    </row>
    <row r="546" spans="1:16" s="2" customFormat="1" x14ac:dyDescent="0.25">
      <c r="A546" s="2">
        <v>45460437</v>
      </c>
      <c r="B546" s="2">
        <v>45460451</v>
      </c>
      <c r="C546" s="2" t="str">
        <f>"UNIMEDSJN"</f>
        <v>UNIMEDSJN</v>
      </c>
      <c r="D546" s="2" t="str">
        <f>"DH"</f>
        <v>DH</v>
      </c>
      <c r="E546" s="2" t="str">
        <f>"Luciane Ferraz Lima"</f>
        <v>Luciane Ferraz Lima</v>
      </c>
      <c r="F546" s="2" t="str">
        <f>"45460437-1/1"</f>
        <v>45460437-1/1</v>
      </c>
      <c r="G546" s="2" t="str">
        <f>"Carteira 21"</f>
        <v>Carteira 21</v>
      </c>
      <c r="H546" s="2">
        <v>24</v>
      </c>
      <c r="I546" s="3">
        <v>171</v>
      </c>
      <c r="J546" s="2" t="str">
        <f>"01/10/2019"</f>
        <v>01/10/2019</v>
      </c>
      <c r="K546" s="2" t="str">
        <f>"25/10/2019"</f>
        <v>25/10/2019</v>
      </c>
      <c r="L546" s="2" t="str">
        <f>"25/10/2019"</f>
        <v>25/10/2019</v>
      </c>
      <c r="M546" s="2" t="str">
        <f>"27/09/2019"</f>
        <v>27/09/2019</v>
      </c>
      <c r="N546" s="2">
        <v>445.65</v>
      </c>
      <c r="O546" s="2">
        <v>445.65</v>
      </c>
      <c r="P546" s="2">
        <v>0</v>
      </c>
    </row>
    <row r="547" spans="1:16" s="2" customFormat="1" x14ac:dyDescent="0.25">
      <c r="A547" s="2">
        <v>48583880</v>
      </c>
      <c r="B547" s="2">
        <v>48583890</v>
      </c>
      <c r="C547" s="2" t="str">
        <f>"UNIMEDSJN"</f>
        <v>UNIMEDSJN</v>
      </c>
      <c r="D547" s="2" t="str">
        <f>"DH"</f>
        <v>DH</v>
      </c>
      <c r="E547" s="2" t="str">
        <f>"LUCIANO DA SILVA LEANDRO"</f>
        <v>LUCIANO DA SILVA LEANDRO</v>
      </c>
      <c r="F547" s="2" t="str">
        <f>"48583880-1/1"</f>
        <v>48583880-1/1</v>
      </c>
      <c r="G547" s="2" t="str">
        <f>"Carteira 21"</f>
        <v>Carteira 21</v>
      </c>
      <c r="H547" s="2">
        <v>23</v>
      </c>
      <c r="I547" s="3">
        <v>79</v>
      </c>
      <c r="J547" s="2" t="str">
        <f>"02/01/2020"</f>
        <v>02/01/2020</v>
      </c>
      <c r="K547" s="2" t="str">
        <f>"25/01/2020"</f>
        <v>25/01/2020</v>
      </c>
      <c r="L547" s="2" t="str">
        <f>"06/02/2020"</f>
        <v>06/02/2020</v>
      </c>
      <c r="M547" s="2" t="str">
        <f>"07/02/2020"</f>
        <v>07/02/2020</v>
      </c>
      <c r="N547" s="2">
        <v>339.13</v>
      </c>
      <c r="O547" s="2">
        <v>347.03</v>
      </c>
      <c r="P547" s="2">
        <v>0.239999999999952</v>
      </c>
    </row>
    <row r="548" spans="1:16" s="2" customFormat="1" x14ac:dyDescent="0.25">
      <c r="A548" s="2">
        <v>48581940</v>
      </c>
      <c r="B548" s="2">
        <v>48581945</v>
      </c>
      <c r="C548" s="2" t="str">
        <f>"UNIMEDSJN"</f>
        <v>UNIMEDSJN</v>
      </c>
      <c r="D548" s="2" t="str">
        <f>"DH"</f>
        <v>DH</v>
      </c>
      <c r="E548" s="2" t="str">
        <f>"Luciene dos Reis Braga"</f>
        <v>Luciene dos Reis Braga</v>
      </c>
      <c r="F548" s="2" t="str">
        <f>"48581940-1/1"</f>
        <v>48581940-1/1</v>
      </c>
      <c r="G548" s="2" t="str">
        <f>"Carteira 21"</f>
        <v>Carteira 21</v>
      </c>
      <c r="H548" s="2">
        <v>23</v>
      </c>
      <c r="I548" s="3">
        <v>79</v>
      </c>
      <c r="J548" s="2" t="str">
        <f>"02/01/2020"</f>
        <v>02/01/2020</v>
      </c>
      <c r="K548" s="2" t="str">
        <f>"25/01/2020"</f>
        <v>25/01/2020</v>
      </c>
      <c r="L548" s="2" t="str">
        <f>"11/02/2020"</f>
        <v>11/02/2020</v>
      </c>
      <c r="M548" s="2" t="str">
        <f>"12/02/2020"</f>
        <v>12/02/2020</v>
      </c>
      <c r="N548" s="2">
        <v>264.32</v>
      </c>
      <c r="O548" s="2">
        <v>270.91000000000003</v>
      </c>
      <c r="P548" s="2">
        <v>0.19999999999998899</v>
      </c>
    </row>
    <row r="549" spans="1:16" x14ac:dyDescent="0.25">
      <c r="A549">
        <v>48798413</v>
      </c>
      <c r="B549">
        <v>48798422</v>
      </c>
      <c r="C549" t="str">
        <f>"UNIMEDSJN"</f>
        <v>UNIMEDSJN</v>
      </c>
      <c r="D549" t="str">
        <f>"DH"</f>
        <v>DH</v>
      </c>
      <c r="E549" t="str">
        <f>"LUIGGI KNOP"</f>
        <v>LUIGGI KNOP</v>
      </c>
      <c r="F549" t="str">
        <f>"48798413-1/1"</f>
        <v>48798413-1/1</v>
      </c>
      <c r="G549" t="str">
        <f>"Carteira 21"</f>
        <v>Carteira 21</v>
      </c>
      <c r="H549">
        <v>27</v>
      </c>
      <c r="I549" s="1">
        <v>57</v>
      </c>
      <c r="J549" t="str">
        <f>"20/01/2020"</f>
        <v>20/01/2020</v>
      </c>
      <c r="K549" t="str">
        <f>"16/02/2020"</f>
        <v>16/02/2020</v>
      </c>
      <c r="L549" t="str">
        <f>"17/02/2020"</f>
        <v>17/02/2020</v>
      </c>
      <c r="M549" t="str">
        <f>"05/02/2020"</f>
        <v>05/02/2020</v>
      </c>
      <c r="N549">
        <v>208.22</v>
      </c>
      <c r="O549">
        <v>208.22</v>
      </c>
      <c r="P549">
        <v>0</v>
      </c>
    </row>
    <row r="550" spans="1:16" x14ac:dyDescent="0.25">
      <c r="A550">
        <v>48615517</v>
      </c>
      <c r="B550">
        <v>48615524</v>
      </c>
      <c r="C550" t="str">
        <f>"UNIMEDSJN"</f>
        <v>UNIMEDSJN</v>
      </c>
      <c r="D550" t="str">
        <f>"DH"</f>
        <v>DH</v>
      </c>
      <c r="E550" t="str">
        <f>"LUIS CARLOS CASSETE"</f>
        <v>LUIS CARLOS CASSETE</v>
      </c>
      <c r="F550" t="str">
        <f>"48615517-1/1"</f>
        <v>48615517-1/1</v>
      </c>
      <c r="G550" t="str">
        <f>"Carteira 21"</f>
        <v>Carteira 21</v>
      </c>
      <c r="H550">
        <v>37</v>
      </c>
      <c r="I550" s="1">
        <v>47</v>
      </c>
      <c r="J550" t="str">
        <f>"20/01/2020"</f>
        <v>20/01/2020</v>
      </c>
      <c r="K550" t="str">
        <f>"26/02/2020"</f>
        <v>26/02/2020</v>
      </c>
      <c r="L550" t="str">
        <f>"26/02/2020"</f>
        <v>26/02/2020</v>
      </c>
      <c r="M550" t="str">
        <f>"27/02/2020"</f>
        <v>27/02/2020</v>
      </c>
      <c r="N550">
        <v>402.48</v>
      </c>
      <c r="O550">
        <v>402.48</v>
      </c>
      <c r="P550">
        <v>0</v>
      </c>
    </row>
    <row r="551" spans="1:16" s="2" customFormat="1" x14ac:dyDescent="0.25">
      <c r="A551" s="2">
        <v>44250494</v>
      </c>
      <c r="B551" s="2">
        <v>44251502</v>
      </c>
      <c r="C551" s="2" t="str">
        <f>"UNIMEDSJN"</f>
        <v>UNIMEDSJN</v>
      </c>
      <c r="D551" s="2" t="str">
        <f>"DH"</f>
        <v>DH</v>
      </c>
      <c r="E551" s="2" t="str">
        <f>"LUIS FELIPE FERRAZ MENDONCA"</f>
        <v>LUIS FELIPE FERRAZ MENDONCA</v>
      </c>
      <c r="F551" s="2" t="str">
        <f>"44250494-1/1"</f>
        <v>44250494-1/1</v>
      </c>
      <c r="G551" s="2" t="str">
        <f>"CARTEIRA PERDA"</f>
        <v>CARTEIRA PERDA</v>
      </c>
      <c r="H551" s="2">
        <v>24</v>
      </c>
      <c r="I551" s="3">
        <v>232</v>
      </c>
      <c r="J551" s="2" t="str">
        <f>"01/08/2019"</f>
        <v>01/08/2019</v>
      </c>
      <c r="K551" s="2" t="str">
        <f>"25/08/2019"</f>
        <v>25/08/2019</v>
      </c>
      <c r="L551" s="2" t="str">
        <f>"26/08/2019"</f>
        <v>26/08/2019</v>
      </c>
      <c r="M551" s="2" t="str">
        <f>"05/03/2020"</f>
        <v>05/03/2020</v>
      </c>
      <c r="N551" s="2">
        <v>11.61</v>
      </c>
      <c r="O551" s="2">
        <v>11.61</v>
      </c>
      <c r="P551" s="2">
        <v>0</v>
      </c>
    </row>
    <row r="552" spans="1:16" s="2" customFormat="1" x14ac:dyDescent="0.25">
      <c r="A552" s="2">
        <v>44323875</v>
      </c>
      <c r="B552" s="2">
        <v>44323885</v>
      </c>
      <c r="C552" s="2" t="str">
        <f>"UNIMEDSJN"</f>
        <v>UNIMEDSJN</v>
      </c>
      <c r="D552" s="2" t="str">
        <f>"DH"</f>
        <v>DH</v>
      </c>
      <c r="E552" s="2" t="str">
        <f>"LUIS FELIPE FERRAZ MENDONCA"</f>
        <v>LUIS FELIPE FERRAZ MENDONCA</v>
      </c>
      <c r="F552" s="2" t="str">
        <f>"44323875-1/1"</f>
        <v>44323875-1/1</v>
      </c>
      <c r="G552" s="2" t="str">
        <f>"CARTEIRA PERDA"</f>
        <v>CARTEIRA PERDA</v>
      </c>
      <c r="H552" s="2">
        <v>24</v>
      </c>
      <c r="I552" s="3">
        <v>232</v>
      </c>
      <c r="J552" s="2" t="str">
        <f>"01/08/2019"</f>
        <v>01/08/2019</v>
      </c>
      <c r="K552" s="2" t="str">
        <f>"25/08/2019"</f>
        <v>25/08/2019</v>
      </c>
      <c r="L552" s="2" t="str">
        <f>"26/08/2019"</f>
        <v>26/08/2019</v>
      </c>
      <c r="M552" s="2" t="str">
        <f>"05/03/2020"</f>
        <v>05/03/2020</v>
      </c>
      <c r="N552" s="2">
        <v>169.51</v>
      </c>
      <c r="O552" s="2">
        <v>169.51</v>
      </c>
      <c r="P552" s="2">
        <v>0</v>
      </c>
    </row>
    <row r="553" spans="1:16" s="2" customFormat="1" x14ac:dyDescent="0.25">
      <c r="A553" s="2">
        <v>44970513</v>
      </c>
      <c r="B553" s="2">
        <v>44970520</v>
      </c>
      <c r="C553" s="2" t="str">
        <f>"UNIMEDSJN"</f>
        <v>UNIMEDSJN</v>
      </c>
      <c r="D553" s="2" t="str">
        <f>"DH"</f>
        <v>DH</v>
      </c>
      <c r="E553" s="2" t="str">
        <f>"LUIS FELIPE FERRAZ MENDONCA"</f>
        <v>LUIS FELIPE FERRAZ MENDONCA</v>
      </c>
      <c r="F553" s="2" t="str">
        <f>"44970513-1/1"</f>
        <v>44970513-1/1</v>
      </c>
      <c r="G553" s="2" t="str">
        <f>"CARTEIRA PERDA"</f>
        <v>CARTEIRA PERDA</v>
      </c>
      <c r="H553" s="2">
        <v>24</v>
      </c>
      <c r="I553" s="3">
        <v>201</v>
      </c>
      <c r="J553" s="2" t="str">
        <f>"01/09/2019"</f>
        <v>01/09/2019</v>
      </c>
      <c r="K553" s="2" t="str">
        <f>"25/09/2019"</f>
        <v>25/09/2019</v>
      </c>
      <c r="L553" s="2" t="str">
        <f>"25/09/2019"</f>
        <v>25/09/2019</v>
      </c>
      <c r="M553" s="2" t="str">
        <f>"05/03/2020"</f>
        <v>05/03/2020</v>
      </c>
      <c r="N553" s="2">
        <v>169.51</v>
      </c>
      <c r="O553" s="2">
        <v>169.51</v>
      </c>
      <c r="P553" s="2">
        <v>0</v>
      </c>
    </row>
    <row r="554" spans="1:16" s="2" customFormat="1" x14ac:dyDescent="0.25">
      <c r="A554" s="2">
        <v>45466457</v>
      </c>
      <c r="B554" s="2">
        <v>45466464</v>
      </c>
      <c r="C554" s="2" t="str">
        <f>"UNIMEDSJN"</f>
        <v>UNIMEDSJN</v>
      </c>
      <c r="D554" s="2" t="str">
        <f>"DH"</f>
        <v>DH</v>
      </c>
      <c r="E554" s="2" t="str">
        <f>"LUIS FELIPE FERRAZ MENDONCA"</f>
        <v>LUIS FELIPE FERRAZ MENDONCA</v>
      </c>
      <c r="F554" s="2" t="str">
        <f>"45466457-1/1"</f>
        <v>45466457-1/1</v>
      </c>
      <c r="G554" s="2" t="str">
        <f>"CARTEIRA PERDA"</f>
        <v>CARTEIRA PERDA</v>
      </c>
      <c r="H554" s="2">
        <v>24</v>
      </c>
      <c r="I554" s="3">
        <v>171</v>
      </c>
      <c r="J554" s="2" t="str">
        <f>"01/10/2019"</f>
        <v>01/10/2019</v>
      </c>
      <c r="K554" s="2" t="str">
        <f>"25/10/2019"</f>
        <v>25/10/2019</v>
      </c>
      <c r="L554" s="2" t="str">
        <f>"25/10/2019"</f>
        <v>25/10/2019</v>
      </c>
      <c r="M554" s="2" t="str">
        <f>"05/03/2020"</f>
        <v>05/03/2020</v>
      </c>
      <c r="N554" s="2">
        <v>169.51</v>
      </c>
      <c r="O554" s="2">
        <v>169.51</v>
      </c>
      <c r="P554" s="2">
        <v>0</v>
      </c>
    </row>
    <row r="555" spans="1:16" s="2" customFormat="1" x14ac:dyDescent="0.25">
      <c r="A555" s="2">
        <v>45925034</v>
      </c>
      <c r="B555" s="2">
        <v>45925041</v>
      </c>
      <c r="C555" s="2" t="str">
        <f>"UNIMEDSJN"</f>
        <v>UNIMEDSJN</v>
      </c>
      <c r="D555" s="2" t="str">
        <f>"DH"</f>
        <v>DH</v>
      </c>
      <c r="E555" s="2" t="str">
        <f>"LUIS FELIPE FERRAZ MENDONCA"</f>
        <v>LUIS FELIPE FERRAZ MENDONCA</v>
      </c>
      <c r="F555" s="2" t="str">
        <f>"45925034-1/1"</f>
        <v>45925034-1/1</v>
      </c>
      <c r="G555" s="2" t="str">
        <f>"CARTEIRA PERDA"</f>
        <v>CARTEIRA PERDA</v>
      </c>
      <c r="H555" s="2">
        <v>24</v>
      </c>
      <c r="I555" s="3">
        <v>140</v>
      </c>
      <c r="J555" s="2" t="str">
        <f>"01/11/2019"</f>
        <v>01/11/2019</v>
      </c>
      <c r="K555" s="2" t="str">
        <f>"25/11/2019"</f>
        <v>25/11/2019</v>
      </c>
      <c r="L555" s="2" t="str">
        <f>"25/11/2019"</f>
        <v>25/11/2019</v>
      </c>
      <c r="M555" s="2" t="str">
        <f>"05/03/2020"</f>
        <v>05/03/2020</v>
      </c>
      <c r="N555" s="2">
        <v>169.51</v>
      </c>
      <c r="O555" s="2">
        <v>169.51</v>
      </c>
      <c r="P555" s="2">
        <v>0</v>
      </c>
    </row>
    <row r="556" spans="1:16" s="2" customFormat="1" x14ac:dyDescent="0.25">
      <c r="A556" s="2">
        <v>47508428</v>
      </c>
      <c r="B556" s="2">
        <v>47508433</v>
      </c>
      <c r="C556" s="2" t="str">
        <f>"UNIMEDSJN"</f>
        <v>UNIMEDSJN</v>
      </c>
      <c r="D556" s="2" t="str">
        <f>"DH"</f>
        <v>DH</v>
      </c>
      <c r="E556" s="2" t="str">
        <f>"LUIS FELIPE FERRAZ MENDONCA"</f>
        <v>LUIS FELIPE FERRAZ MENDONCA</v>
      </c>
      <c r="F556" s="2" t="str">
        <f>"47508428-1/1"</f>
        <v>47508428-1/1</v>
      </c>
      <c r="G556" s="2" t="str">
        <f>"CARTEIRA PERDA"</f>
        <v>CARTEIRA PERDA</v>
      </c>
      <c r="H556" s="2">
        <v>24</v>
      </c>
      <c r="I556" s="3">
        <v>110</v>
      </c>
      <c r="J556" s="2" t="str">
        <f>"01/12/2019"</f>
        <v>01/12/2019</v>
      </c>
      <c r="K556" s="2" t="str">
        <f>"25/12/2019"</f>
        <v>25/12/2019</v>
      </c>
      <c r="L556" s="2" t="str">
        <f>"25/12/2019"</f>
        <v>25/12/2019</v>
      </c>
      <c r="M556" s="2" t="str">
        <f>"05/03/2020"</f>
        <v>05/03/2020</v>
      </c>
      <c r="N556" s="2">
        <v>169.51</v>
      </c>
      <c r="O556" s="2">
        <v>169.51</v>
      </c>
      <c r="P556" s="2">
        <v>0</v>
      </c>
    </row>
    <row r="557" spans="1:16" s="2" customFormat="1" x14ac:dyDescent="0.25">
      <c r="A557" s="2">
        <v>48579082</v>
      </c>
      <c r="B557" s="2">
        <v>48579088</v>
      </c>
      <c r="C557" s="2" t="str">
        <f>"UNIMEDSJN"</f>
        <v>UNIMEDSJN</v>
      </c>
      <c r="D557" s="2" t="str">
        <f>"DH"</f>
        <v>DH</v>
      </c>
      <c r="E557" s="2" t="str">
        <f>"LUIS FERNANDO GIELLO"</f>
        <v>LUIS FERNANDO GIELLO</v>
      </c>
      <c r="F557" s="2" t="str">
        <f>"48579082-1/1"</f>
        <v>48579082-1/1</v>
      </c>
      <c r="G557" s="2" t="str">
        <f>"Carteira 21"</f>
        <v>Carteira 21</v>
      </c>
      <c r="H557" s="2">
        <v>23</v>
      </c>
      <c r="I557" s="3">
        <v>79</v>
      </c>
      <c r="J557" s="2" t="str">
        <f>"02/01/2020"</f>
        <v>02/01/2020</v>
      </c>
      <c r="K557" s="2" t="str">
        <f>"25/01/2020"</f>
        <v>25/01/2020</v>
      </c>
      <c r="L557" s="2" t="str">
        <f>"10/02/2020"</f>
        <v>10/02/2020</v>
      </c>
      <c r="M557" s="2" t="str">
        <f>"11/02/2020"</f>
        <v>11/02/2020</v>
      </c>
      <c r="N557" s="2">
        <v>136.22999999999999</v>
      </c>
      <c r="O557" s="2">
        <v>139.58000000000001</v>
      </c>
      <c r="P557" s="2">
        <v>9.9999999999965894E-2</v>
      </c>
    </row>
    <row r="558" spans="1:16" s="2" customFormat="1" x14ac:dyDescent="0.25">
      <c r="A558" s="2">
        <v>48579095</v>
      </c>
      <c r="B558" s="2">
        <v>48579102</v>
      </c>
      <c r="C558" s="2" t="str">
        <f>"UNIMEDSJN"</f>
        <v>UNIMEDSJN</v>
      </c>
      <c r="D558" s="2" t="str">
        <f>"DH"</f>
        <v>DH</v>
      </c>
      <c r="E558" s="2" t="str">
        <f>"LUIS FERNANDO GIELLO"</f>
        <v>LUIS FERNANDO GIELLO</v>
      </c>
      <c r="F558" s="2" t="str">
        <f>"48579095-1/1"</f>
        <v>48579095-1/1</v>
      </c>
      <c r="G558" s="2" t="str">
        <f>"Carteira 21"</f>
        <v>Carteira 21</v>
      </c>
      <c r="H558" s="2">
        <v>23</v>
      </c>
      <c r="I558" s="3">
        <v>79</v>
      </c>
      <c r="J558" s="2" t="str">
        <f>"02/01/2020"</f>
        <v>02/01/2020</v>
      </c>
      <c r="K558" s="2" t="str">
        <f>"25/01/2020"</f>
        <v>25/01/2020</v>
      </c>
      <c r="L558" s="2" t="str">
        <f>"10/02/2020"</f>
        <v>10/02/2020</v>
      </c>
      <c r="M558" s="2" t="str">
        <f>"11/02/2020"</f>
        <v>11/02/2020</v>
      </c>
      <c r="N558" s="2">
        <v>136.22999999999999</v>
      </c>
      <c r="O558" s="2">
        <v>139.58000000000001</v>
      </c>
      <c r="P558" s="2">
        <v>9.9999999999965894E-2</v>
      </c>
    </row>
    <row r="559" spans="1:16" s="2" customFormat="1" x14ac:dyDescent="0.25">
      <c r="A559" s="2">
        <v>48572223</v>
      </c>
      <c r="B559" s="2">
        <v>48572236</v>
      </c>
      <c r="C559" s="2" t="str">
        <f>"UNIMEDSJN"</f>
        <v>UNIMEDSJN</v>
      </c>
      <c r="D559" s="2" t="str">
        <f>"DH"</f>
        <v>DH</v>
      </c>
      <c r="E559" s="2" t="str">
        <f>"LUISA DUTRA BARBOSA"</f>
        <v>LUISA DUTRA BARBOSA</v>
      </c>
      <c r="F559" s="2" t="str">
        <f>"48572223-1/1"</f>
        <v>48572223-1/1</v>
      </c>
      <c r="G559" s="2" t="str">
        <f>"Carteira 21"</f>
        <v>Carteira 21</v>
      </c>
      <c r="H559" s="2">
        <v>23</v>
      </c>
      <c r="I559" s="3">
        <v>79</v>
      </c>
      <c r="J559" s="2" t="str">
        <f>"02/01/2020"</f>
        <v>02/01/2020</v>
      </c>
      <c r="K559" s="2" t="str">
        <f>"25/01/2020"</f>
        <v>25/01/2020</v>
      </c>
      <c r="L559" s="2" t="str">
        <f>"17/02/2020"</f>
        <v>17/02/2020</v>
      </c>
      <c r="M559" s="2" t="str">
        <f>"18/02/2020"</f>
        <v>18/02/2020</v>
      </c>
      <c r="N559" s="2">
        <v>409.25</v>
      </c>
      <c r="O559" s="2">
        <v>420.27</v>
      </c>
      <c r="P559" s="2">
        <v>0.310000000000002</v>
      </c>
    </row>
    <row r="560" spans="1:16" s="2" customFormat="1" x14ac:dyDescent="0.25">
      <c r="A560" s="2">
        <v>45913430</v>
      </c>
      <c r="B560" s="2">
        <v>45913435</v>
      </c>
      <c r="C560" s="2" t="str">
        <f>"UNIMEDSJN"</f>
        <v>UNIMEDSJN</v>
      </c>
      <c r="D560" s="2" t="str">
        <f>"DH"</f>
        <v>DH</v>
      </c>
      <c r="E560" s="2" t="str">
        <f>"LUISA MENDES HENRIQUES"</f>
        <v>LUISA MENDES HENRIQUES</v>
      </c>
      <c r="F560" s="2" t="str">
        <f>"45913430-1/1"</f>
        <v>45913430-1/1</v>
      </c>
      <c r="G560" s="2" t="str">
        <f>"Carteira 21"</f>
        <v>Carteira 21</v>
      </c>
      <c r="H560" s="2">
        <v>24</v>
      </c>
      <c r="I560" s="3">
        <v>140</v>
      </c>
      <c r="J560" s="2" t="str">
        <f>"01/11/2019"</f>
        <v>01/11/2019</v>
      </c>
      <c r="K560" s="2" t="str">
        <f>"25/11/2019"</f>
        <v>25/11/2019</v>
      </c>
      <c r="L560" s="2" t="str">
        <f>"21/02/2020"</f>
        <v>21/02/2020</v>
      </c>
      <c r="M560" s="2" t="str">
        <f>"24/02/2020"</f>
        <v>24/02/2020</v>
      </c>
      <c r="N560" s="2">
        <v>241.88</v>
      </c>
      <c r="O560" s="2">
        <v>253.74</v>
      </c>
      <c r="P560" s="2">
        <v>7.9999999999984098E-2</v>
      </c>
    </row>
    <row r="561" spans="1:16" s="2" customFormat="1" x14ac:dyDescent="0.25">
      <c r="A561" s="2">
        <v>47509106</v>
      </c>
      <c r="B561" s="2">
        <v>47509113</v>
      </c>
      <c r="C561" s="2" t="str">
        <f>"UNIMEDSJN"</f>
        <v>UNIMEDSJN</v>
      </c>
      <c r="D561" s="2" t="str">
        <f>"DH"</f>
        <v>DH</v>
      </c>
      <c r="E561" s="2" t="str">
        <f>"LUISA MENDES HENRIQUES"</f>
        <v>LUISA MENDES HENRIQUES</v>
      </c>
      <c r="F561" s="2" t="str">
        <f>"47509106-1/1"</f>
        <v>47509106-1/1</v>
      </c>
      <c r="G561" s="2" t="str">
        <f>"Carteira 21"</f>
        <v>Carteira 21</v>
      </c>
      <c r="H561" s="2">
        <v>24</v>
      </c>
      <c r="I561" s="3">
        <v>110</v>
      </c>
      <c r="J561" s="2" t="str">
        <f>"01/12/2019"</f>
        <v>01/12/2019</v>
      </c>
      <c r="K561" s="2" t="str">
        <f>"25/12/2019"</f>
        <v>25/12/2019</v>
      </c>
      <c r="L561" s="2" t="str">
        <f>"25/12/2019"</f>
        <v>25/12/2019</v>
      </c>
      <c r="M561" s="2" t="str">
        <f>"28/11/2019"</f>
        <v>28/11/2019</v>
      </c>
      <c r="N561" s="2">
        <v>241.88</v>
      </c>
      <c r="O561" s="2">
        <v>241.88</v>
      </c>
      <c r="P561" s="2">
        <v>0</v>
      </c>
    </row>
    <row r="562" spans="1:16" s="2" customFormat="1" x14ac:dyDescent="0.25">
      <c r="A562" s="2">
        <v>48582595</v>
      </c>
      <c r="B562" s="2">
        <v>48582605</v>
      </c>
      <c r="C562" s="2" t="str">
        <f>"UNIMEDSJN"</f>
        <v>UNIMEDSJN</v>
      </c>
      <c r="D562" s="2" t="str">
        <f>"DH"</f>
        <v>DH</v>
      </c>
      <c r="E562" s="2" t="str">
        <f>"LUISA MENDES HENRIQUES"</f>
        <v>LUISA MENDES HENRIQUES</v>
      </c>
      <c r="F562" s="2" t="str">
        <f>"48582595-1/1"</f>
        <v>48582595-1/1</v>
      </c>
      <c r="G562" s="2" t="str">
        <f>"Carteira 21"</f>
        <v>Carteira 21</v>
      </c>
      <c r="H562" s="2">
        <v>23</v>
      </c>
      <c r="I562" s="3">
        <v>79</v>
      </c>
      <c r="J562" s="2" t="str">
        <f>"02/01/2020"</f>
        <v>02/01/2020</v>
      </c>
      <c r="K562" s="2" t="str">
        <f>"25/01/2020"</f>
        <v>25/01/2020</v>
      </c>
      <c r="L562" s="2" t="str">
        <f>"27/01/2020"</f>
        <v>27/01/2020</v>
      </c>
      <c r="M562" s="2" t="str">
        <f>"27/12/2019"</f>
        <v>27/12/2019</v>
      </c>
      <c r="N562" s="2">
        <v>241.88</v>
      </c>
      <c r="O562" s="2">
        <v>241.88</v>
      </c>
      <c r="P562" s="2">
        <v>0</v>
      </c>
    </row>
    <row r="563" spans="1:16" s="2" customFormat="1" x14ac:dyDescent="0.25">
      <c r="A563" s="2">
        <v>48563349</v>
      </c>
      <c r="B563" s="2">
        <v>48563356</v>
      </c>
      <c r="C563" s="2" t="str">
        <f>"UNIMEDSJN"</f>
        <v>UNIMEDSJN</v>
      </c>
      <c r="D563" s="2" t="str">
        <f>"DH"</f>
        <v>DH</v>
      </c>
      <c r="E563" s="2" t="str">
        <f>"LUIZ CLAUDIO ALHADAS"</f>
        <v>LUIZ CLAUDIO ALHADAS</v>
      </c>
      <c r="F563" s="2" t="str">
        <f>"48563349-1/1"</f>
        <v>48563349-1/1</v>
      </c>
      <c r="G563" s="2" t="str">
        <f>"Carteira 21"</f>
        <v>Carteira 21</v>
      </c>
      <c r="H563" s="2">
        <v>13</v>
      </c>
      <c r="I563" s="3">
        <v>89</v>
      </c>
      <c r="J563" s="2" t="str">
        <f>"02/01/2020"</f>
        <v>02/01/2020</v>
      </c>
      <c r="K563" s="2" t="str">
        <f>"15/01/2020"</f>
        <v>15/01/2020</v>
      </c>
      <c r="L563" s="2" t="str">
        <f>"17/02/2020"</f>
        <v>17/02/2020</v>
      </c>
      <c r="M563" s="2" t="str">
        <f>"18/02/2020"</f>
        <v>18/02/2020</v>
      </c>
      <c r="N563" s="2">
        <v>466.84</v>
      </c>
      <c r="O563" s="2">
        <v>481.26</v>
      </c>
      <c r="P563" s="2">
        <v>6.0000000000059103E-2</v>
      </c>
    </row>
    <row r="564" spans="1:16" s="2" customFormat="1" x14ac:dyDescent="0.25">
      <c r="A564" s="2">
        <v>48563668</v>
      </c>
      <c r="B564" s="2">
        <v>48563680</v>
      </c>
      <c r="C564" s="2" t="str">
        <f>"UNIMEDSJN"</f>
        <v>UNIMEDSJN</v>
      </c>
      <c r="D564" s="2" t="str">
        <f>"DH"</f>
        <v>DH</v>
      </c>
      <c r="E564" s="2" t="str">
        <f>"LUIZ EUGENIO GOMES TELSON"</f>
        <v>LUIZ EUGENIO GOMES TELSON</v>
      </c>
      <c r="F564" s="2" t="str">
        <f>"48563668-1/1"</f>
        <v>48563668-1/1</v>
      </c>
      <c r="G564" s="2" t="str">
        <f>"Carteira 21"</f>
        <v>Carteira 21</v>
      </c>
      <c r="H564" s="2">
        <v>13</v>
      </c>
      <c r="I564" s="3">
        <v>89</v>
      </c>
      <c r="J564" s="2" t="str">
        <f>"02/01/2020"</f>
        <v>02/01/2020</v>
      </c>
      <c r="K564" s="2" t="str">
        <f>"15/01/2020"</f>
        <v>15/01/2020</v>
      </c>
      <c r="L564" s="2" t="str">
        <f>"12/02/2020"</f>
        <v>12/02/2020</v>
      </c>
      <c r="M564" s="2" t="str">
        <f>"13/02/2020"</f>
        <v>13/02/2020</v>
      </c>
      <c r="N564" s="2">
        <v>332.51</v>
      </c>
      <c r="O564" s="2">
        <v>342.23</v>
      </c>
      <c r="P564" s="2">
        <v>2.9999999999972701E-2</v>
      </c>
    </row>
    <row r="565" spans="1:16" s="2" customFormat="1" x14ac:dyDescent="0.25">
      <c r="A565" s="2">
        <v>47512140</v>
      </c>
      <c r="B565" s="2">
        <v>47512147</v>
      </c>
      <c r="C565" s="2" t="str">
        <f>"UNIMEDSJN"</f>
        <v>UNIMEDSJN</v>
      </c>
      <c r="D565" s="2" t="str">
        <f>"DH"</f>
        <v>DH</v>
      </c>
      <c r="E565" s="2" t="str">
        <f>"LUIZA ALVES MAUAD"</f>
        <v>LUIZA ALVES MAUAD</v>
      </c>
      <c r="F565" s="2" t="str">
        <f>"47512140-1/1"</f>
        <v>47512140-1/1</v>
      </c>
      <c r="G565" s="2" t="str">
        <f>"Carteira 21"</f>
        <v>Carteira 21</v>
      </c>
      <c r="H565" s="2">
        <v>17</v>
      </c>
      <c r="I565" s="3">
        <v>117</v>
      </c>
      <c r="J565" s="2" t="str">
        <f>"01/12/2019"</f>
        <v>01/12/2019</v>
      </c>
      <c r="K565" s="2" t="str">
        <f>"18/12/2019"</f>
        <v>18/12/2019</v>
      </c>
      <c r="L565" s="2" t="str">
        <f>"12/02/2020"</f>
        <v>12/02/2020</v>
      </c>
      <c r="M565" s="2" t="str">
        <f>"13/02/2020"</f>
        <v>13/02/2020</v>
      </c>
      <c r="N565" s="2">
        <v>767.94</v>
      </c>
      <c r="O565" s="2">
        <v>797.49</v>
      </c>
      <c r="P565" s="2">
        <v>0.14000000000009999</v>
      </c>
    </row>
    <row r="566" spans="1:16" s="2" customFormat="1" x14ac:dyDescent="0.25">
      <c r="A566" s="2">
        <v>48563218</v>
      </c>
      <c r="B566" s="2">
        <v>48563223</v>
      </c>
      <c r="C566" s="2" t="str">
        <f>"UNIMEDSJN"</f>
        <v>UNIMEDSJN</v>
      </c>
      <c r="D566" s="2" t="str">
        <f>"DH"</f>
        <v>DH</v>
      </c>
      <c r="E566" s="2" t="str">
        <f>"LUIZA ALVES MAUAD"</f>
        <v>LUIZA ALVES MAUAD</v>
      </c>
      <c r="F566" s="2" t="str">
        <f>"48563218-1/1"</f>
        <v>48563218-1/1</v>
      </c>
      <c r="G566" s="2" t="str">
        <f>"Carteira 21"</f>
        <v>Carteira 21</v>
      </c>
      <c r="H566" s="2">
        <v>16</v>
      </c>
      <c r="I566" s="3">
        <v>86</v>
      </c>
      <c r="J566" s="2" t="str">
        <f>"02/01/2020"</f>
        <v>02/01/2020</v>
      </c>
      <c r="K566" s="2" t="str">
        <f>"18/01/2020"</f>
        <v>18/01/2020</v>
      </c>
      <c r="L566" s="2" t="str">
        <f>"03/03/2020"</f>
        <v>03/03/2020</v>
      </c>
      <c r="M566" s="2" t="str">
        <f>"04/03/2020"</f>
        <v>04/03/2020</v>
      </c>
      <c r="N566" s="2">
        <v>767.94</v>
      </c>
      <c r="O566" s="2">
        <v>794.2</v>
      </c>
      <c r="P566" s="2">
        <v>0.62000000000000499</v>
      </c>
    </row>
    <row r="567" spans="1:16" s="2" customFormat="1" x14ac:dyDescent="0.25">
      <c r="A567" s="2">
        <v>47494168</v>
      </c>
      <c r="B567" s="2">
        <v>47494180</v>
      </c>
      <c r="C567" s="2" t="str">
        <f>"UNIMEDSJN"</f>
        <v>UNIMEDSJN</v>
      </c>
      <c r="D567" s="2" t="str">
        <f>"DH"</f>
        <v>DH</v>
      </c>
      <c r="E567" s="2" t="str">
        <f>"LUIZA DE ANDRADE GALANTE"</f>
        <v>LUIZA DE ANDRADE GALANTE</v>
      </c>
      <c r="F567" s="2" t="str">
        <f>"47494168-1/1"</f>
        <v>47494168-1/1</v>
      </c>
      <c r="G567" s="2" t="str">
        <f>"Carteira 21"</f>
        <v>Carteira 21</v>
      </c>
      <c r="H567" s="2">
        <v>14</v>
      </c>
      <c r="I567" s="3">
        <v>120</v>
      </c>
      <c r="J567" s="2" t="str">
        <f>"01/12/2019"</f>
        <v>01/12/2019</v>
      </c>
      <c r="K567" s="2" t="str">
        <f>"15/12/2019"</f>
        <v>15/12/2019</v>
      </c>
      <c r="L567" s="2" t="str">
        <f>"12/02/2020"</f>
        <v>12/02/2020</v>
      </c>
      <c r="M567" s="2" t="str">
        <f>"13/02/2020"</f>
        <v>13/02/2020</v>
      </c>
      <c r="N567" s="2">
        <v>329.32</v>
      </c>
      <c r="O567" s="2">
        <v>342.21</v>
      </c>
      <c r="P567" s="2">
        <v>0.18000000000000699</v>
      </c>
    </row>
    <row r="568" spans="1:16" s="2" customFormat="1" x14ac:dyDescent="0.25">
      <c r="A568" s="2">
        <v>48569279</v>
      </c>
      <c r="B568" s="2">
        <v>48569295</v>
      </c>
      <c r="C568" s="2" t="str">
        <f>"UNIMEDSJN"</f>
        <v>UNIMEDSJN</v>
      </c>
      <c r="D568" s="2" t="str">
        <f>"DH"</f>
        <v>DH</v>
      </c>
      <c r="E568" s="2" t="str">
        <f>"LUIZA DE ANDRADE GALANTE"</f>
        <v>LUIZA DE ANDRADE GALANTE</v>
      </c>
      <c r="F568" s="2" t="str">
        <f>"48569279-1/1"</f>
        <v>48569279-1/1</v>
      </c>
      <c r="G568" s="2" t="str">
        <f>"Carteira 21"</f>
        <v>Carteira 21</v>
      </c>
      <c r="H568" s="2">
        <v>13</v>
      </c>
      <c r="I568" s="3">
        <v>89</v>
      </c>
      <c r="J568" s="2" t="str">
        <f>"02/01/2020"</f>
        <v>02/01/2020</v>
      </c>
      <c r="K568" s="2" t="str">
        <f>"15/01/2020"</f>
        <v>15/01/2020</v>
      </c>
      <c r="L568" s="2" t="str">
        <f>"09/03/2020"</f>
        <v>09/03/2020</v>
      </c>
      <c r="M568" s="2" t="str">
        <f>"10/03/2020"</f>
        <v>10/03/2020</v>
      </c>
      <c r="N568" s="2">
        <v>329.32</v>
      </c>
      <c r="O568" s="2">
        <v>341.78</v>
      </c>
      <c r="P568" s="2">
        <v>5.9999999999945403E-2</v>
      </c>
    </row>
    <row r="569" spans="1:16" s="2" customFormat="1" x14ac:dyDescent="0.25">
      <c r="A569" s="2">
        <v>47494291</v>
      </c>
      <c r="B569" s="2">
        <v>47494308</v>
      </c>
      <c r="C569" s="2" t="str">
        <f>"UNIMEDSJN"</f>
        <v>UNIMEDSJN</v>
      </c>
      <c r="D569" s="2" t="str">
        <f>"DH"</f>
        <v>DH</v>
      </c>
      <c r="E569" s="2" t="str">
        <f>"LUIZA FURTADO SOBRINHO DUARTE"</f>
        <v>LUIZA FURTADO SOBRINHO DUARTE</v>
      </c>
      <c r="F569" s="2" t="str">
        <f>"47494291-1/1"</f>
        <v>47494291-1/1</v>
      </c>
      <c r="G569" s="2" t="str">
        <f>"Carteira 21"</f>
        <v>Carteira 21</v>
      </c>
      <c r="H569" s="2">
        <v>24</v>
      </c>
      <c r="I569" s="3">
        <v>110</v>
      </c>
      <c r="J569" s="2" t="str">
        <f>"01/12/2019"</f>
        <v>01/12/2019</v>
      </c>
      <c r="K569" s="2" t="str">
        <f>"25/12/2019"</f>
        <v>25/12/2019</v>
      </c>
      <c r="L569" s="2" t="str">
        <f>"14/02/2020"</f>
        <v>14/02/2020</v>
      </c>
      <c r="M569" s="2" t="str">
        <f>"17/02/2020"</f>
        <v>17/02/2020</v>
      </c>
      <c r="N569" s="2">
        <v>193.76</v>
      </c>
      <c r="O569" s="2">
        <v>200.9</v>
      </c>
      <c r="P569" s="2">
        <v>2.9999999999972701E-2</v>
      </c>
    </row>
    <row r="570" spans="1:16" s="2" customFormat="1" x14ac:dyDescent="0.25">
      <c r="A570" s="2">
        <v>48569819</v>
      </c>
      <c r="B570" s="2">
        <v>48569829</v>
      </c>
      <c r="C570" s="2" t="str">
        <f>"UNIMEDSJN"</f>
        <v>UNIMEDSJN</v>
      </c>
      <c r="D570" s="2" t="str">
        <f>"DH"</f>
        <v>DH</v>
      </c>
      <c r="E570" s="2" t="str">
        <f>"LUIZA FURTADO SOBRINHO DUARTE"</f>
        <v>LUIZA FURTADO SOBRINHO DUARTE</v>
      </c>
      <c r="F570" s="2" t="str">
        <f>"48569819-1/1"</f>
        <v>48569819-1/1</v>
      </c>
      <c r="G570" s="2" t="str">
        <f>"Carteira 21"</f>
        <v>Carteira 21</v>
      </c>
      <c r="H570" s="2">
        <v>23</v>
      </c>
      <c r="I570" s="3">
        <v>79</v>
      </c>
      <c r="J570" s="2" t="str">
        <f>"02/01/2020"</f>
        <v>02/01/2020</v>
      </c>
      <c r="K570" s="2" t="str">
        <f>"25/01/2020"</f>
        <v>25/01/2020</v>
      </c>
      <c r="L570" s="2" t="str">
        <f>"14/02/2020"</f>
        <v>14/02/2020</v>
      </c>
      <c r="M570" s="2" t="str">
        <f>"17/02/2020"</f>
        <v>17/02/2020</v>
      </c>
      <c r="N570" s="2">
        <v>193.76</v>
      </c>
      <c r="O570" s="2">
        <v>198.79</v>
      </c>
      <c r="P570" s="2">
        <v>0.139999999999986</v>
      </c>
    </row>
    <row r="571" spans="1:16" x14ac:dyDescent="0.25">
      <c r="A571">
        <v>48798398</v>
      </c>
      <c r="B571">
        <v>48798405</v>
      </c>
      <c r="C571" t="str">
        <f>"UNIMEDSJN"</f>
        <v>UNIMEDSJN</v>
      </c>
      <c r="D571" t="str">
        <f>"DH"</f>
        <v>DH</v>
      </c>
      <c r="E571" t="str">
        <f>"LUIZA RIANI ALVES PEREIRA"</f>
        <v>LUIZA RIANI ALVES PEREIRA</v>
      </c>
      <c r="F571" t="str">
        <f>"48798398-1/1"</f>
        <v>48798398-1/1</v>
      </c>
      <c r="G571" t="str">
        <f>"Carteira 21"</f>
        <v>Carteira 21</v>
      </c>
      <c r="H571">
        <v>27</v>
      </c>
      <c r="I571" s="1">
        <v>57</v>
      </c>
      <c r="J571" t="str">
        <f>"20/01/2020"</f>
        <v>20/01/2020</v>
      </c>
      <c r="K571" t="str">
        <f>"16/02/2020"</f>
        <v>16/02/2020</v>
      </c>
      <c r="L571" t="str">
        <f>"17/02/2020"</f>
        <v>17/02/2020</v>
      </c>
      <c r="M571" t="str">
        <f>"17/02/2020"</f>
        <v>17/02/2020</v>
      </c>
      <c r="N571">
        <v>213.75</v>
      </c>
      <c r="O571">
        <v>213.75</v>
      </c>
      <c r="P571">
        <v>0</v>
      </c>
    </row>
    <row r="572" spans="1:16" s="2" customFormat="1" x14ac:dyDescent="0.25">
      <c r="A572" s="2">
        <v>48580783</v>
      </c>
      <c r="B572" s="2">
        <v>48580790</v>
      </c>
      <c r="C572" s="2" t="str">
        <f>"UNIMEDSJN"</f>
        <v>UNIMEDSJN</v>
      </c>
      <c r="D572" s="2" t="str">
        <f>"DH"</f>
        <v>DH</v>
      </c>
      <c r="E572" s="2" t="str">
        <f>"Luyara Moralles Martins"</f>
        <v>Luyara Moralles Martins</v>
      </c>
      <c r="F572" s="2" t="str">
        <f>"48580783-1/1"</f>
        <v>48580783-1/1</v>
      </c>
      <c r="G572" s="2" t="str">
        <f>"Carteira 21"</f>
        <v>Carteira 21</v>
      </c>
      <c r="H572" s="2">
        <v>23</v>
      </c>
      <c r="I572" s="3">
        <v>79</v>
      </c>
      <c r="J572" s="2" t="str">
        <f>"02/01/2020"</f>
        <v>02/01/2020</v>
      </c>
      <c r="K572" s="2" t="str">
        <f>"25/01/2020"</f>
        <v>25/01/2020</v>
      </c>
      <c r="L572" s="2" t="str">
        <f>"04/02/2020"</f>
        <v>04/02/2020</v>
      </c>
      <c r="M572" s="2" t="str">
        <f>"05/02/2020"</f>
        <v>05/02/2020</v>
      </c>
      <c r="N572" s="2">
        <v>136.22999999999999</v>
      </c>
      <c r="O572" s="2">
        <v>139.31</v>
      </c>
      <c r="P572" s="2">
        <v>8.9999999999975003E-2</v>
      </c>
    </row>
    <row r="573" spans="1:16" s="2" customFormat="1" x14ac:dyDescent="0.25">
      <c r="A573" s="2">
        <v>47511255</v>
      </c>
      <c r="B573" s="2">
        <v>47511260</v>
      </c>
      <c r="C573" s="2" t="str">
        <f>"UNIMEDSJN"</f>
        <v>UNIMEDSJN</v>
      </c>
      <c r="D573" s="2" t="str">
        <f>"DH"</f>
        <v>DH</v>
      </c>
      <c r="E573" s="2" t="str">
        <f>"Maciel Almeida Barros"</f>
        <v>Maciel Almeida Barros</v>
      </c>
      <c r="F573" s="2" t="str">
        <f>"47511255-1/1"</f>
        <v>47511255-1/1</v>
      </c>
      <c r="G573" s="2" t="str">
        <f>"Carteira 21"</f>
        <v>Carteira 21</v>
      </c>
      <c r="H573" s="2">
        <v>24</v>
      </c>
      <c r="I573" s="3">
        <v>110</v>
      </c>
      <c r="J573" s="2" t="str">
        <f>"01/12/2019"</f>
        <v>01/12/2019</v>
      </c>
      <c r="K573" s="2" t="str">
        <f>"25/12/2019"</f>
        <v>25/12/2019</v>
      </c>
      <c r="L573" s="2" t="str">
        <f>"21/02/2020"</f>
        <v>21/02/2020</v>
      </c>
      <c r="M573" s="2" t="str">
        <f>"24/02/2020"</f>
        <v>24/02/2020</v>
      </c>
      <c r="N573" s="2">
        <v>186.68</v>
      </c>
      <c r="O573" s="2">
        <v>193.98</v>
      </c>
      <c r="P573" s="2">
        <v>3.9999999999992E-2</v>
      </c>
    </row>
    <row r="574" spans="1:16" s="2" customFormat="1" x14ac:dyDescent="0.25">
      <c r="A574" s="2">
        <v>48585695</v>
      </c>
      <c r="B574" s="2">
        <v>48585700</v>
      </c>
      <c r="C574" s="2" t="str">
        <f>"UNIMEDSJN"</f>
        <v>UNIMEDSJN</v>
      </c>
      <c r="D574" s="2" t="str">
        <f>"DH"</f>
        <v>DH</v>
      </c>
      <c r="E574" s="2" t="str">
        <f>"Maciel Almeida Barros"</f>
        <v>Maciel Almeida Barros</v>
      </c>
      <c r="F574" s="2" t="str">
        <f>"48585695-1/1"</f>
        <v>48585695-1/1</v>
      </c>
      <c r="G574" s="2" t="str">
        <f>"Carteira 21"</f>
        <v>Carteira 21</v>
      </c>
      <c r="H574" s="2">
        <v>23</v>
      </c>
      <c r="I574" s="3">
        <v>79</v>
      </c>
      <c r="J574" s="2" t="str">
        <f>"02/01/2020"</f>
        <v>02/01/2020</v>
      </c>
      <c r="K574" s="2" t="str">
        <f>"25/01/2020"</f>
        <v>25/01/2020</v>
      </c>
      <c r="L574" s="2" t="str">
        <f>"04/02/2020"</f>
        <v>04/02/2020</v>
      </c>
      <c r="M574" s="2" t="str">
        <f>"05/02/2020"</f>
        <v>05/02/2020</v>
      </c>
      <c r="N574" s="2">
        <v>186.68</v>
      </c>
      <c r="O574" s="2">
        <v>190.91</v>
      </c>
      <c r="P574" s="2">
        <v>0.12000000000000501</v>
      </c>
    </row>
    <row r="575" spans="1:16" s="2" customFormat="1" x14ac:dyDescent="0.25">
      <c r="A575" s="2">
        <v>45907998</v>
      </c>
      <c r="B575" s="2">
        <v>45908008</v>
      </c>
      <c r="C575" s="2" t="str">
        <f>"UNIMEDSJN"</f>
        <v>UNIMEDSJN</v>
      </c>
      <c r="D575" s="2" t="str">
        <f>"DH"</f>
        <v>DH</v>
      </c>
      <c r="E575" s="2" t="str">
        <f>"Magda Rodrigues de Moraes"</f>
        <v>Magda Rodrigues de Moraes</v>
      </c>
      <c r="F575" s="2" t="str">
        <f>"45907998-1/1"</f>
        <v>45907998-1/1</v>
      </c>
      <c r="G575" s="2" t="str">
        <f>"Carteira 21"</f>
        <v>Carteira 21</v>
      </c>
      <c r="H575" s="2">
        <v>24</v>
      </c>
      <c r="I575" s="3">
        <v>140</v>
      </c>
      <c r="J575" s="2" t="str">
        <f>"01/11/2019"</f>
        <v>01/11/2019</v>
      </c>
      <c r="K575" s="2" t="str">
        <f>"25/11/2019"</f>
        <v>25/11/2019</v>
      </c>
      <c r="L575" s="2" t="str">
        <f>"25/11/2019"</f>
        <v>25/11/2019</v>
      </c>
      <c r="M575" s="2" t="str">
        <f>"31/10/2019"</f>
        <v>31/10/2019</v>
      </c>
      <c r="N575" s="2">
        <v>68.900000000000006</v>
      </c>
      <c r="O575" s="2">
        <v>68.900000000000006</v>
      </c>
      <c r="P575" s="2">
        <v>0</v>
      </c>
    </row>
    <row r="576" spans="1:16" s="2" customFormat="1" x14ac:dyDescent="0.25">
      <c r="A576" s="2">
        <v>47500865</v>
      </c>
      <c r="B576" s="2">
        <v>47501126</v>
      </c>
      <c r="C576" s="2" t="str">
        <f>"UNIMEDSJN"</f>
        <v>UNIMEDSJN</v>
      </c>
      <c r="D576" s="2" t="str">
        <f>"DH"</f>
        <v>DH</v>
      </c>
      <c r="E576" s="2" t="str">
        <f>"Magda Rodrigues de Moraes"</f>
        <v>Magda Rodrigues de Moraes</v>
      </c>
      <c r="F576" s="2" t="str">
        <f>"47500865-1/1"</f>
        <v>47500865-1/1</v>
      </c>
      <c r="G576" s="2" t="str">
        <f>"Carteira 21"</f>
        <v>Carteira 21</v>
      </c>
      <c r="H576" s="2">
        <v>24</v>
      </c>
      <c r="I576" s="3">
        <v>110</v>
      </c>
      <c r="J576" s="2" t="str">
        <f>"01/12/2019"</f>
        <v>01/12/2019</v>
      </c>
      <c r="K576" s="2" t="str">
        <f>"25/12/2019"</f>
        <v>25/12/2019</v>
      </c>
      <c r="L576" s="2" t="str">
        <f>"25/12/2019"</f>
        <v>25/12/2019</v>
      </c>
      <c r="M576" s="2" t="str">
        <f>"28/11/2019"</f>
        <v>28/11/2019</v>
      </c>
      <c r="N576" s="2">
        <v>68.900000000000006</v>
      </c>
      <c r="O576" s="2">
        <v>68.900000000000006</v>
      </c>
      <c r="P576" s="2">
        <v>0</v>
      </c>
    </row>
    <row r="577" spans="1:16" s="2" customFormat="1" x14ac:dyDescent="0.25">
      <c r="A577" s="2">
        <v>48575806</v>
      </c>
      <c r="B577" s="2">
        <v>48575818</v>
      </c>
      <c r="C577" s="2" t="str">
        <f>"UNIMEDSJN"</f>
        <v>UNIMEDSJN</v>
      </c>
      <c r="D577" s="2" t="str">
        <f>"DH"</f>
        <v>DH</v>
      </c>
      <c r="E577" s="2" t="str">
        <f>"Magda Rodrigues de Moraes"</f>
        <v>Magda Rodrigues de Moraes</v>
      </c>
      <c r="F577" s="2" t="str">
        <f>"48575806-1/1"</f>
        <v>48575806-1/1</v>
      </c>
      <c r="G577" s="2" t="str">
        <f>"Carteira 21"</f>
        <v>Carteira 21</v>
      </c>
      <c r="H577" s="2">
        <v>23</v>
      </c>
      <c r="I577" s="3">
        <v>79</v>
      </c>
      <c r="J577" s="2" t="str">
        <f>"02/01/2020"</f>
        <v>02/01/2020</v>
      </c>
      <c r="K577" s="2" t="str">
        <f>"25/01/2020"</f>
        <v>25/01/2020</v>
      </c>
      <c r="L577" s="2" t="str">
        <f>"27/01/2020"</f>
        <v>27/01/2020</v>
      </c>
      <c r="M577" s="2" t="str">
        <f>"27/12/2019"</f>
        <v>27/12/2019</v>
      </c>
      <c r="N577" s="2">
        <v>68.900000000000006</v>
      </c>
      <c r="O577" s="2">
        <v>68.900000000000006</v>
      </c>
      <c r="P577" s="2">
        <v>0</v>
      </c>
    </row>
    <row r="578" spans="1:16" s="2" customFormat="1" x14ac:dyDescent="0.25">
      <c r="A578" s="2">
        <v>43568894</v>
      </c>
      <c r="B578" s="2">
        <v>43568904</v>
      </c>
      <c r="C578" s="2" t="str">
        <f>"UNIMEDSJN"</f>
        <v>UNIMEDSJN</v>
      </c>
      <c r="D578" s="2" t="str">
        <f>"DH"</f>
        <v>DH</v>
      </c>
      <c r="E578" s="2" t="str">
        <f>"Maira Izaltina da Cruz Silva"</f>
        <v>Maira Izaltina da Cruz Silva</v>
      </c>
      <c r="F578" s="2" t="str">
        <f>"43568894-1/1"</f>
        <v>43568894-1/1</v>
      </c>
      <c r="G578" s="2" t="str">
        <f>"CARTEIRA PERDA"</f>
        <v>CARTEIRA PERDA</v>
      </c>
      <c r="H578" s="2">
        <v>22</v>
      </c>
      <c r="I578" s="3">
        <v>293</v>
      </c>
      <c r="J578" s="2" t="str">
        <f>"03/06/2019"</f>
        <v>03/06/2019</v>
      </c>
      <c r="K578" s="2" t="str">
        <f>"25/06/2019"</f>
        <v>25/06/2019</v>
      </c>
      <c r="L578" s="2" t="str">
        <f>"25/06/2019"</f>
        <v>25/06/2019</v>
      </c>
      <c r="M578" s="2" t="str">
        <f>"05/03/2020"</f>
        <v>05/03/2020</v>
      </c>
      <c r="N578" s="2">
        <v>139.9</v>
      </c>
      <c r="O578" s="2">
        <v>139.9</v>
      </c>
      <c r="P578" s="2">
        <v>0</v>
      </c>
    </row>
    <row r="579" spans="1:16" s="2" customFormat="1" x14ac:dyDescent="0.25">
      <c r="A579" s="2">
        <v>43985163</v>
      </c>
      <c r="B579" s="2">
        <v>43985174</v>
      </c>
      <c r="C579" s="2" t="str">
        <f>"UNIMEDSJN"</f>
        <v>UNIMEDSJN</v>
      </c>
      <c r="D579" s="2" t="str">
        <f>"DH"</f>
        <v>DH</v>
      </c>
      <c r="E579" s="2" t="str">
        <f>"Maira Izaltina da Cruz Silva"</f>
        <v>Maira Izaltina da Cruz Silva</v>
      </c>
      <c r="F579" s="2" t="str">
        <f>"43985163-1/1"</f>
        <v>43985163-1/1</v>
      </c>
      <c r="G579" s="2" t="str">
        <f>"CARTEIRA PERDA"</f>
        <v>CARTEIRA PERDA</v>
      </c>
      <c r="H579" s="2">
        <v>24</v>
      </c>
      <c r="I579" s="3">
        <v>263</v>
      </c>
      <c r="J579" s="2" t="str">
        <f>"01/07/2019"</f>
        <v>01/07/2019</v>
      </c>
      <c r="K579" s="2" t="str">
        <f>"25/07/2019"</f>
        <v>25/07/2019</v>
      </c>
      <c r="L579" s="2" t="str">
        <f>"25/07/2019"</f>
        <v>25/07/2019</v>
      </c>
      <c r="M579" s="2" t="str">
        <f>"05/03/2020"</f>
        <v>05/03/2020</v>
      </c>
      <c r="N579" s="2">
        <v>139.9</v>
      </c>
      <c r="O579" s="2">
        <v>139.9</v>
      </c>
      <c r="P579" s="2">
        <v>0</v>
      </c>
    </row>
    <row r="580" spans="1:16" s="2" customFormat="1" x14ac:dyDescent="0.25">
      <c r="A580" s="2">
        <v>44322095</v>
      </c>
      <c r="B580" s="2">
        <v>44322114</v>
      </c>
      <c r="C580" s="2" t="str">
        <f>"UNIMEDSJN"</f>
        <v>UNIMEDSJN</v>
      </c>
      <c r="D580" s="2" t="str">
        <f>"DH"</f>
        <v>DH</v>
      </c>
      <c r="E580" s="2" t="str">
        <f>"Maira Izaltina da Cruz Silva"</f>
        <v>Maira Izaltina da Cruz Silva</v>
      </c>
      <c r="F580" s="2" t="str">
        <f>"44322095-1/1"</f>
        <v>44322095-1/1</v>
      </c>
      <c r="G580" s="2" t="str">
        <f>"CARTEIRA PERDA"</f>
        <v>CARTEIRA PERDA</v>
      </c>
      <c r="H580" s="2">
        <v>24</v>
      </c>
      <c r="I580" s="3">
        <v>232</v>
      </c>
      <c r="J580" s="2" t="str">
        <f>"01/08/2019"</f>
        <v>01/08/2019</v>
      </c>
      <c r="K580" s="2" t="str">
        <f>"25/08/2019"</f>
        <v>25/08/2019</v>
      </c>
      <c r="L580" s="2" t="str">
        <f>"26/08/2019"</f>
        <v>26/08/2019</v>
      </c>
      <c r="M580" s="2" t="str">
        <f>"05/03/2020"</f>
        <v>05/03/2020</v>
      </c>
      <c r="N580" s="2">
        <v>139.9</v>
      </c>
      <c r="O580" s="2">
        <v>139.9</v>
      </c>
      <c r="P580" s="2">
        <v>0</v>
      </c>
    </row>
    <row r="581" spans="1:16" s="2" customFormat="1" x14ac:dyDescent="0.25">
      <c r="A581" s="2">
        <v>45926249</v>
      </c>
      <c r="B581" s="2">
        <v>45926254</v>
      </c>
      <c r="C581" s="2" t="str">
        <f>"UNIMEDSJN"</f>
        <v>UNIMEDSJN</v>
      </c>
      <c r="D581" s="2" t="str">
        <f>"DH"</f>
        <v>DH</v>
      </c>
      <c r="E581" s="2" t="str">
        <f>"Maira Izaltina da Cruz Silva"</f>
        <v>Maira Izaltina da Cruz Silva</v>
      </c>
      <c r="F581" s="2" t="str">
        <f>"45926249-1/1"</f>
        <v>45926249-1/1</v>
      </c>
      <c r="G581" s="2" t="str">
        <f>"CARTEIRA PERDA"</f>
        <v>CARTEIRA PERDA</v>
      </c>
      <c r="H581" s="2">
        <v>24</v>
      </c>
      <c r="I581" s="3">
        <v>140</v>
      </c>
      <c r="J581" s="2" t="str">
        <f>"01/11/2019"</f>
        <v>01/11/2019</v>
      </c>
      <c r="K581" s="2" t="str">
        <f>"25/11/2019"</f>
        <v>25/11/2019</v>
      </c>
      <c r="L581" s="2" t="str">
        <f>"25/11/2019"</f>
        <v>25/11/2019</v>
      </c>
      <c r="M581" s="2" t="str">
        <f>"05/03/2020"</f>
        <v>05/03/2020</v>
      </c>
      <c r="N581" s="2">
        <v>150.18</v>
      </c>
      <c r="O581" s="2">
        <v>150.18</v>
      </c>
      <c r="P581" s="2">
        <v>0</v>
      </c>
    </row>
    <row r="582" spans="1:16" s="2" customFormat="1" x14ac:dyDescent="0.25">
      <c r="A582" s="2">
        <v>47507798</v>
      </c>
      <c r="B582" s="2">
        <v>47507806</v>
      </c>
      <c r="C582" s="2" t="str">
        <f>"UNIMEDSJN"</f>
        <v>UNIMEDSJN</v>
      </c>
      <c r="D582" s="2" t="str">
        <f>"DH"</f>
        <v>DH</v>
      </c>
      <c r="E582" s="2" t="str">
        <f>"Maira Izaltina da Cruz Silva"</f>
        <v>Maira Izaltina da Cruz Silva</v>
      </c>
      <c r="F582" s="2" t="str">
        <f>"47507798-1/1"</f>
        <v>47507798-1/1</v>
      </c>
      <c r="G582" s="2" t="str">
        <f>"CARTEIRA PERDA"</f>
        <v>CARTEIRA PERDA</v>
      </c>
      <c r="H582" s="2">
        <v>24</v>
      </c>
      <c r="I582" s="3">
        <v>110</v>
      </c>
      <c r="J582" s="2" t="str">
        <f>"01/12/2019"</f>
        <v>01/12/2019</v>
      </c>
      <c r="K582" s="2" t="str">
        <f>"25/12/2019"</f>
        <v>25/12/2019</v>
      </c>
      <c r="L582" s="2" t="str">
        <f>"25/12/2019"</f>
        <v>25/12/2019</v>
      </c>
      <c r="M582" s="2" t="str">
        <f>"05/03/2020"</f>
        <v>05/03/2020</v>
      </c>
      <c r="N582" s="2">
        <v>150.18</v>
      </c>
      <c r="O582" s="2">
        <v>150.18</v>
      </c>
      <c r="P582" s="2">
        <v>0</v>
      </c>
    </row>
    <row r="583" spans="1:16" s="2" customFormat="1" x14ac:dyDescent="0.25">
      <c r="A583" s="2">
        <v>45930453</v>
      </c>
      <c r="B583" s="2">
        <v>45930458</v>
      </c>
      <c r="C583" s="2" t="str">
        <f>"UNIMEDSJN"</f>
        <v>UNIMEDSJN</v>
      </c>
      <c r="D583" s="2" t="str">
        <f>"DH"</f>
        <v>DH</v>
      </c>
      <c r="E583" s="2" t="str">
        <f>"Malizan Gomes Faria"</f>
        <v>Malizan Gomes Faria</v>
      </c>
      <c r="F583" s="2" t="str">
        <f>"45930453-1/1"</f>
        <v>45930453-1/1</v>
      </c>
      <c r="G583" s="2" t="str">
        <f>"Carteira 21"</f>
        <v>Carteira 21</v>
      </c>
      <c r="H583" s="2">
        <v>21</v>
      </c>
      <c r="I583" s="3">
        <v>143</v>
      </c>
      <c r="J583" s="2" t="str">
        <f>"01/11/2019"</f>
        <v>01/11/2019</v>
      </c>
      <c r="K583" s="2" t="str">
        <f>"22/11/2019"</f>
        <v>22/11/2019</v>
      </c>
      <c r="L583" s="2" t="str">
        <f>"12/02/2020"</f>
        <v>12/02/2020</v>
      </c>
      <c r="M583" s="2" t="str">
        <f>"13/02/2020"</f>
        <v>13/02/2020</v>
      </c>
      <c r="N583" s="2">
        <v>530.83000000000004</v>
      </c>
      <c r="O583" s="2">
        <v>555.80999999999995</v>
      </c>
      <c r="P583" s="2">
        <v>0.14999999999997701</v>
      </c>
    </row>
    <row r="584" spans="1:16" s="2" customFormat="1" x14ac:dyDescent="0.25">
      <c r="A584" s="2">
        <v>47512631</v>
      </c>
      <c r="B584" s="2">
        <v>47512640</v>
      </c>
      <c r="C584" s="2" t="str">
        <f>"UNIMEDSJN"</f>
        <v>UNIMEDSJN</v>
      </c>
      <c r="D584" s="2" t="str">
        <f>"DH"</f>
        <v>DH</v>
      </c>
      <c r="E584" s="2" t="str">
        <f>"Malizan Gomes Faria"</f>
        <v>Malizan Gomes Faria</v>
      </c>
      <c r="F584" s="2" t="str">
        <f>"47512631-1/1"</f>
        <v>47512631-1/1</v>
      </c>
      <c r="G584" s="2" t="str">
        <f>"Carteira 21"</f>
        <v>Carteira 21</v>
      </c>
      <c r="H584" s="2">
        <v>21</v>
      </c>
      <c r="I584" s="3">
        <v>113</v>
      </c>
      <c r="J584" s="2" t="str">
        <f>"01/12/2019"</f>
        <v>01/12/2019</v>
      </c>
      <c r="K584" s="2" t="str">
        <f>"22/12/2019"</f>
        <v>22/12/2019</v>
      </c>
      <c r="L584" s="2" t="str">
        <f>"26/02/2020"</f>
        <v>26/02/2020</v>
      </c>
      <c r="M584" s="2" t="str">
        <f>"27/02/2020"</f>
        <v>27/02/2020</v>
      </c>
      <c r="N584" s="2">
        <v>530.83000000000004</v>
      </c>
      <c r="O584" s="2">
        <v>552.84</v>
      </c>
      <c r="P584" s="2">
        <v>0.28999999999996401</v>
      </c>
    </row>
    <row r="585" spans="1:16" s="2" customFormat="1" x14ac:dyDescent="0.25">
      <c r="A585" s="2">
        <v>47494567</v>
      </c>
      <c r="B585" s="2">
        <v>47494579</v>
      </c>
      <c r="C585" s="2" t="str">
        <f>"UNIMEDSJN"</f>
        <v>UNIMEDSJN</v>
      </c>
      <c r="D585" s="2" t="str">
        <f>"DH"</f>
        <v>DH</v>
      </c>
      <c r="E585" s="2" t="str">
        <f>"MARCEL LOURO MACHADO"</f>
        <v>MARCEL LOURO MACHADO</v>
      </c>
      <c r="F585" s="2" t="str">
        <f>"47494567-1/1"</f>
        <v>47494567-1/1</v>
      </c>
      <c r="G585" s="2" t="str">
        <f>"Carteira 21"</f>
        <v>Carteira 21</v>
      </c>
      <c r="H585" s="2">
        <v>21</v>
      </c>
      <c r="I585" s="3">
        <v>113</v>
      </c>
      <c r="J585" s="2" t="str">
        <f>"01/12/2019"</f>
        <v>01/12/2019</v>
      </c>
      <c r="K585" s="2" t="str">
        <f>"22/12/2019"</f>
        <v>22/12/2019</v>
      </c>
      <c r="L585" s="2" t="str">
        <f>"11/02/2020"</f>
        <v>11/02/2020</v>
      </c>
      <c r="M585" s="2" t="str">
        <f>"12/02/2020"</f>
        <v>12/02/2020</v>
      </c>
      <c r="N585" s="2">
        <v>168.93</v>
      </c>
      <c r="O585" s="2">
        <v>175.1</v>
      </c>
      <c r="P585" s="2">
        <v>8.0000000000012506E-2</v>
      </c>
    </row>
    <row r="586" spans="1:16" s="2" customFormat="1" x14ac:dyDescent="0.25">
      <c r="A586" s="2">
        <v>48569421</v>
      </c>
      <c r="B586" s="2">
        <v>48569431</v>
      </c>
      <c r="C586" s="2" t="str">
        <f>"UNIMEDSJN"</f>
        <v>UNIMEDSJN</v>
      </c>
      <c r="D586" s="2" t="str">
        <f>"DH"</f>
        <v>DH</v>
      </c>
      <c r="E586" s="2" t="str">
        <f>"MARCEL LOURO MACHADO"</f>
        <v>MARCEL LOURO MACHADO</v>
      </c>
      <c r="F586" s="2" t="str">
        <f>"48569421-1/1"</f>
        <v>48569421-1/1</v>
      </c>
      <c r="G586" s="2" t="str">
        <f>"Carteira 21"</f>
        <v>Carteira 21</v>
      </c>
      <c r="H586" s="2">
        <v>20</v>
      </c>
      <c r="I586" s="3">
        <v>82</v>
      </c>
      <c r="J586" s="2" t="str">
        <f>"02/01/2020"</f>
        <v>02/01/2020</v>
      </c>
      <c r="K586" s="2" t="str">
        <f>"22/01/2020"</f>
        <v>22/01/2020</v>
      </c>
      <c r="L586" s="2" t="str">
        <f>"13/03/2020"</f>
        <v>13/03/2020</v>
      </c>
      <c r="M586" s="2" t="str">
        <f>"16/03/2020"</f>
        <v>16/03/2020</v>
      </c>
      <c r="N586" s="2">
        <v>168.93</v>
      </c>
      <c r="O586" s="2">
        <v>175.15</v>
      </c>
      <c r="P586" s="2">
        <v>3.0000000000001099E-2</v>
      </c>
    </row>
    <row r="587" spans="1:16" s="2" customFormat="1" x14ac:dyDescent="0.25">
      <c r="A587" s="2">
        <v>47499298</v>
      </c>
      <c r="B587" s="2">
        <v>47499321</v>
      </c>
      <c r="C587" s="2" t="str">
        <f>"UNIMEDSJN"</f>
        <v>UNIMEDSJN</v>
      </c>
      <c r="D587" s="2" t="str">
        <f>"DH"</f>
        <v>DH</v>
      </c>
      <c r="E587" s="2" t="str">
        <f>"Marcela Faria Carrada"</f>
        <v>Marcela Faria Carrada</v>
      </c>
      <c r="F587" s="2" t="str">
        <f>"47499298-1/1"</f>
        <v>47499298-1/1</v>
      </c>
      <c r="G587" s="2" t="str">
        <f>"Carteira 21"</f>
        <v>Carteira 21</v>
      </c>
      <c r="H587" s="2">
        <v>24</v>
      </c>
      <c r="I587" s="3">
        <v>110</v>
      </c>
      <c r="J587" s="2" t="str">
        <f>"01/12/2019"</f>
        <v>01/12/2019</v>
      </c>
      <c r="K587" s="2" t="str">
        <f>"25/12/2019"</f>
        <v>25/12/2019</v>
      </c>
      <c r="L587" s="2" t="str">
        <f>"17/02/2020"</f>
        <v>17/02/2020</v>
      </c>
      <c r="M587" s="2" t="str">
        <f>"18/02/2020"</f>
        <v>18/02/2020</v>
      </c>
      <c r="N587" s="2">
        <v>68.900000000000006</v>
      </c>
      <c r="O587" s="2">
        <v>71.510000000000005</v>
      </c>
      <c r="P587" s="2">
        <v>1.00000000000051E-2</v>
      </c>
    </row>
    <row r="588" spans="1:16" s="2" customFormat="1" x14ac:dyDescent="0.25">
      <c r="A588" s="2">
        <v>48586334</v>
      </c>
      <c r="B588" s="2">
        <v>48586339</v>
      </c>
      <c r="C588" s="2" t="str">
        <f>"UNIMEDSJN"</f>
        <v>UNIMEDSJN</v>
      </c>
      <c r="D588" s="2" t="str">
        <f>"DH"</f>
        <v>DH</v>
      </c>
      <c r="E588" s="2" t="str">
        <f>"Marcela Garcia Ad Vincula de Souza"</f>
        <v>Marcela Garcia Ad Vincula de Souza</v>
      </c>
      <c r="F588" s="2" t="str">
        <f>"48586334-1/1"</f>
        <v>48586334-1/1</v>
      </c>
      <c r="G588" s="2" t="str">
        <f>"Carteira 21"</f>
        <v>Carteira 21</v>
      </c>
      <c r="H588" s="2">
        <v>20</v>
      </c>
      <c r="I588" s="3">
        <v>82</v>
      </c>
      <c r="J588" s="2" t="str">
        <f>"02/01/2020"</f>
        <v>02/01/2020</v>
      </c>
      <c r="K588" s="2" t="str">
        <f>"22/01/2020"</f>
        <v>22/01/2020</v>
      </c>
      <c r="L588" s="2" t="str">
        <f>"05/02/2020"</f>
        <v>05/02/2020</v>
      </c>
      <c r="M588" s="2" t="str">
        <f>"06/02/2020"</f>
        <v>06/02/2020</v>
      </c>
      <c r="N588" s="2">
        <v>259.66000000000003</v>
      </c>
      <c r="O588" s="2">
        <v>266.05</v>
      </c>
      <c r="P588" s="2">
        <v>9.9999999999909103E-3</v>
      </c>
    </row>
    <row r="589" spans="1:16" s="2" customFormat="1" x14ac:dyDescent="0.25">
      <c r="A589" s="2">
        <v>48580907</v>
      </c>
      <c r="B589" s="2">
        <v>48580912</v>
      </c>
      <c r="C589" s="2" t="str">
        <f>"UNIMEDSJN"</f>
        <v>UNIMEDSJN</v>
      </c>
      <c r="D589" s="2" t="str">
        <f>"DH"</f>
        <v>DH</v>
      </c>
      <c r="E589" s="2" t="str">
        <f>"Marcela Regina Nazare Pereira"</f>
        <v>Marcela Regina Nazare Pereira</v>
      </c>
      <c r="F589" s="2" t="str">
        <f>"48580907-1/1"</f>
        <v>48580907-1/1</v>
      </c>
      <c r="G589" s="2" t="str">
        <f>"Carteira 21"</f>
        <v>Carteira 21</v>
      </c>
      <c r="H589" s="2">
        <v>23</v>
      </c>
      <c r="I589" s="3">
        <v>79</v>
      </c>
      <c r="J589" s="2" t="str">
        <f>"02/01/2020"</f>
        <v>02/01/2020</v>
      </c>
      <c r="K589" s="2" t="str">
        <f>"25/01/2020"</f>
        <v>25/01/2020</v>
      </c>
      <c r="L589" s="2" t="str">
        <f>"21/02/2020"</f>
        <v>21/02/2020</v>
      </c>
      <c r="M589" s="2" t="str">
        <f>"24/02/2020"</f>
        <v>24/02/2020</v>
      </c>
      <c r="N589" s="2">
        <v>139.59</v>
      </c>
      <c r="O589" s="2">
        <v>143.53</v>
      </c>
      <c r="P589" s="2">
        <v>0.110000000000014</v>
      </c>
    </row>
    <row r="590" spans="1:16" x14ac:dyDescent="0.25">
      <c r="A590">
        <v>48615499</v>
      </c>
      <c r="B590">
        <v>48615506</v>
      </c>
      <c r="C590" t="str">
        <f>"UNIMEDSJN"</f>
        <v>UNIMEDSJN</v>
      </c>
      <c r="D590" t="str">
        <f>"DH"</f>
        <v>DH</v>
      </c>
      <c r="E590" t="str">
        <f>"Marcela Tomey Morais Pinto"</f>
        <v>Marcela Tomey Morais Pinto</v>
      </c>
      <c r="F590" t="str">
        <f>"48615499-1/1"</f>
        <v>48615499-1/1</v>
      </c>
      <c r="G590" t="str">
        <f>"Carteira 21"</f>
        <v>Carteira 21</v>
      </c>
      <c r="H590">
        <v>27</v>
      </c>
      <c r="I590" s="1">
        <v>57</v>
      </c>
      <c r="J590" t="str">
        <f>"20/01/2020"</f>
        <v>20/01/2020</v>
      </c>
      <c r="K590" t="str">
        <f>"16/02/2020"</f>
        <v>16/02/2020</v>
      </c>
      <c r="L590" t="str">
        <f>"17/02/2020"</f>
        <v>17/02/2020</v>
      </c>
      <c r="M590" t="str">
        <f>"04/02/2020"</f>
        <v>04/02/2020</v>
      </c>
      <c r="N590">
        <v>361.2</v>
      </c>
      <c r="O590">
        <v>361.2</v>
      </c>
      <c r="P590">
        <v>0</v>
      </c>
    </row>
    <row r="591" spans="1:16" s="2" customFormat="1" x14ac:dyDescent="0.25">
      <c r="A591" s="2">
        <v>48567148</v>
      </c>
      <c r="B591" s="2">
        <v>48567157</v>
      </c>
      <c r="C591" s="2" t="str">
        <f>"UNIMEDSJN"</f>
        <v>UNIMEDSJN</v>
      </c>
      <c r="D591" s="2" t="str">
        <f>"DH"</f>
        <v>DH</v>
      </c>
      <c r="E591" s="2" t="str">
        <f>"MARCELINA HENRIQUES SOARES"</f>
        <v>MARCELINA HENRIQUES SOARES</v>
      </c>
      <c r="F591" s="2" t="str">
        <f>"48567148-1/1"</f>
        <v>48567148-1/1</v>
      </c>
      <c r="G591" s="2" t="str">
        <f>"Carteira 21"</f>
        <v>Carteira 21</v>
      </c>
      <c r="H591" s="2">
        <v>23</v>
      </c>
      <c r="I591" s="3">
        <v>79</v>
      </c>
      <c r="J591" s="2" t="str">
        <f>"02/01/2020"</f>
        <v>02/01/2020</v>
      </c>
      <c r="K591" s="2" t="str">
        <f>"25/01/2020"</f>
        <v>25/01/2020</v>
      </c>
      <c r="L591" s="2" t="str">
        <f>"28/02/2020"</f>
        <v>28/02/2020</v>
      </c>
      <c r="M591" s="2" t="str">
        <f>"13/03/2020"</f>
        <v>13/03/2020</v>
      </c>
      <c r="N591" s="2">
        <v>815.26</v>
      </c>
      <c r="O591" s="2">
        <v>840.18</v>
      </c>
      <c r="P591" s="2">
        <v>0.62999999999988199</v>
      </c>
    </row>
    <row r="592" spans="1:16" s="2" customFormat="1" x14ac:dyDescent="0.25">
      <c r="A592" s="2">
        <v>48585038</v>
      </c>
      <c r="B592" s="2">
        <v>48585043</v>
      </c>
      <c r="C592" s="2" t="str">
        <f>"UNIMEDSJN"</f>
        <v>UNIMEDSJN</v>
      </c>
      <c r="D592" s="2" t="str">
        <f>"DH"</f>
        <v>DH</v>
      </c>
      <c r="E592" s="2" t="str">
        <f>"Marcella Gomes Vidal"</f>
        <v>Marcella Gomes Vidal</v>
      </c>
      <c r="F592" s="2" t="str">
        <f>"48585038-1/1"</f>
        <v>48585038-1/1</v>
      </c>
      <c r="G592" s="2" t="str">
        <f>"Carteira 21"</f>
        <v>Carteira 21</v>
      </c>
      <c r="H592" s="2">
        <v>23</v>
      </c>
      <c r="I592" s="3">
        <v>79</v>
      </c>
      <c r="J592" s="2" t="str">
        <f>"02/01/2020"</f>
        <v>02/01/2020</v>
      </c>
      <c r="K592" s="2" t="str">
        <f>"25/01/2020"</f>
        <v>25/01/2020</v>
      </c>
      <c r="L592" s="2" t="str">
        <f>"27/01/2020"</f>
        <v>27/01/2020</v>
      </c>
      <c r="M592" s="2" t="str">
        <f>"27/12/2019"</f>
        <v>27/12/2019</v>
      </c>
      <c r="N592" s="2">
        <v>186.68</v>
      </c>
      <c r="O592" s="2">
        <v>186.68</v>
      </c>
      <c r="P592" s="2">
        <v>0</v>
      </c>
    </row>
    <row r="593" spans="1:16" s="2" customFormat="1" x14ac:dyDescent="0.25">
      <c r="A593" s="2">
        <v>48574051</v>
      </c>
      <c r="B593" s="2">
        <v>48574064</v>
      </c>
      <c r="C593" s="2" t="str">
        <f>"UNIMEDSJN"</f>
        <v>UNIMEDSJN</v>
      </c>
      <c r="D593" s="2" t="str">
        <f>"DH"</f>
        <v>DH</v>
      </c>
      <c r="E593" s="2" t="str">
        <f>"Marcelo de Lima Goncalves"</f>
        <v>Marcelo de Lima Goncalves</v>
      </c>
      <c r="F593" s="2" t="str">
        <f>"48574051-1/1"</f>
        <v>48574051-1/1</v>
      </c>
      <c r="G593" s="2" t="str">
        <f>"Carteira 21"</f>
        <v>Carteira 21</v>
      </c>
      <c r="H593" s="2">
        <v>23</v>
      </c>
      <c r="I593" s="3">
        <v>79</v>
      </c>
      <c r="J593" s="2" t="str">
        <f>"02/01/2020"</f>
        <v>02/01/2020</v>
      </c>
      <c r="K593" s="2" t="str">
        <f>"25/01/2020"</f>
        <v>25/01/2020</v>
      </c>
      <c r="L593" s="2" t="str">
        <f>"19/02/2020"</f>
        <v>19/02/2020</v>
      </c>
      <c r="M593" s="2" t="str">
        <f>"20/02/2020"</f>
        <v>20/02/2020</v>
      </c>
      <c r="N593" s="2">
        <v>88.45</v>
      </c>
      <c r="O593" s="2">
        <v>90.89</v>
      </c>
      <c r="P593" s="2">
        <v>7.0000000000007404E-2</v>
      </c>
    </row>
    <row r="594" spans="1:16" s="2" customFormat="1" x14ac:dyDescent="0.25">
      <c r="A594" s="2">
        <v>48582455</v>
      </c>
      <c r="B594" s="2">
        <v>48582469</v>
      </c>
      <c r="C594" s="2" t="str">
        <f>"UNIMEDSJN"</f>
        <v>UNIMEDSJN</v>
      </c>
      <c r="D594" s="2" t="str">
        <f>"DH"</f>
        <v>DH</v>
      </c>
      <c r="E594" s="2" t="str">
        <f>"MARCELO MENDONCA GUIMARAES"</f>
        <v>MARCELO MENDONCA GUIMARAES</v>
      </c>
      <c r="F594" s="2" t="str">
        <f>"48582455-1/1"</f>
        <v>48582455-1/1</v>
      </c>
      <c r="G594" s="2" t="str">
        <f>"Carteira 21"</f>
        <v>Carteira 21</v>
      </c>
      <c r="H594" s="2">
        <v>23</v>
      </c>
      <c r="I594" s="3">
        <v>79</v>
      </c>
      <c r="J594" s="2" t="str">
        <f>"02/01/2020"</f>
        <v>02/01/2020</v>
      </c>
      <c r="K594" s="2" t="str">
        <f>"25/01/2020"</f>
        <v>25/01/2020</v>
      </c>
      <c r="L594" s="2" t="str">
        <f>"13/02/2020"</f>
        <v>13/02/2020</v>
      </c>
      <c r="M594" s="2" t="str">
        <f>"14/02/2020"</f>
        <v>14/02/2020</v>
      </c>
      <c r="N594" s="2">
        <v>734.98</v>
      </c>
      <c r="O594" s="2">
        <v>753.81</v>
      </c>
      <c r="P594" s="2">
        <v>0.51999999999998203</v>
      </c>
    </row>
    <row r="595" spans="1:16" s="2" customFormat="1" x14ac:dyDescent="0.25">
      <c r="A595" s="2">
        <v>48569158</v>
      </c>
      <c r="B595" s="2">
        <v>48569163</v>
      </c>
      <c r="C595" s="2" t="str">
        <f>"UNIMEDSJN"</f>
        <v>UNIMEDSJN</v>
      </c>
      <c r="D595" s="2" t="str">
        <f>"DH"</f>
        <v>DH</v>
      </c>
      <c r="E595" s="2" t="str">
        <f>"MARCELO MENDONCA LIMA FILHO"</f>
        <v>MARCELO MENDONCA LIMA FILHO</v>
      </c>
      <c r="F595" s="2" t="str">
        <f>"48569158-1/1"</f>
        <v>48569158-1/1</v>
      </c>
      <c r="G595" s="2" t="str">
        <f>"Carteira 21"</f>
        <v>Carteira 21</v>
      </c>
      <c r="H595" s="2">
        <v>20</v>
      </c>
      <c r="I595" s="3">
        <v>82</v>
      </c>
      <c r="J595" s="2" t="str">
        <f>"02/01/2020"</f>
        <v>02/01/2020</v>
      </c>
      <c r="K595" s="2" t="str">
        <f>"22/01/2020"</f>
        <v>22/01/2020</v>
      </c>
      <c r="L595" s="2" t="str">
        <f>"03/02/2020"</f>
        <v>03/02/2020</v>
      </c>
      <c r="M595" s="2" t="str">
        <f>"04/02/2020"</f>
        <v>04/02/2020</v>
      </c>
      <c r="N595" s="2">
        <v>426.8</v>
      </c>
      <c r="O595" s="2">
        <v>437.03</v>
      </c>
      <c r="P595" s="2">
        <v>1.99999999999818E-2</v>
      </c>
    </row>
    <row r="596" spans="1:16" s="2" customFormat="1" x14ac:dyDescent="0.25">
      <c r="A596" s="2">
        <v>48586248</v>
      </c>
      <c r="B596" s="2">
        <v>48586255</v>
      </c>
      <c r="C596" s="2" t="str">
        <f>"UNIMEDSJN"</f>
        <v>UNIMEDSJN</v>
      </c>
      <c r="D596" s="2" t="str">
        <f>"DH"</f>
        <v>DH</v>
      </c>
      <c r="E596" s="2" t="str">
        <f>"Marcelo Vieira Ladeira"</f>
        <v>Marcelo Vieira Ladeira</v>
      </c>
      <c r="F596" s="2" t="str">
        <f>"48586248-1/1"</f>
        <v>48586248-1/1</v>
      </c>
      <c r="G596" s="2" t="str">
        <f>"Carteira 21"</f>
        <v>Carteira 21</v>
      </c>
      <c r="H596" s="2">
        <v>23</v>
      </c>
      <c r="I596" s="3">
        <v>79</v>
      </c>
      <c r="J596" s="2" t="str">
        <f>"02/01/2020"</f>
        <v>02/01/2020</v>
      </c>
      <c r="K596" s="2" t="str">
        <f>"25/01/2020"</f>
        <v>25/01/2020</v>
      </c>
      <c r="L596" s="2" t="str">
        <f>"27/02/2020"</f>
        <v>27/02/2020</v>
      </c>
      <c r="M596" s="2" t="str">
        <f>"28/02/2020"</f>
        <v>28/02/2020</v>
      </c>
      <c r="N596" s="2">
        <v>165.92</v>
      </c>
      <c r="O596" s="2">
        <v>170.94</v>
      </c>
      <c r="P596" s="2">
        <v>0.13000000000002401</v>
      </c>
    </row>
    <row r="597" spans="1:16" s="2" customFormat="1" x14ac:dyDescent="0.25">
      <c r="A597" s="2">
        <v>48586257</v>
      </c>
      <c r="B597" s="2">
        <v>48586264</v>
      </c>
      <c r="C597" s="2" t="str">
        <f>"UNIMEDSJN"</f>
        <v>UNIMEDSJN</v>
      </c>
      <c r="D597" s="2" t="str">
        <f>"DH"</f>
        <v>DH</v>
      </c>
      <c r="E597" s="2" t="str">
        <f>"Marcelo Vieira Ladeira"</f>
        <v>Marcelo Vieira Ladeira</v>
      </c>
      <c r="F597" s="2" t="str">
        <f>"48586257-1/1"</f>
        <v>48586257-1/1</v>
      </c>
      <c r="G597" s="2" t="str">
        <f>"Carteira 21"</f>
        <v>Carteira 21</v>
      </c>
      <c r="H597" s="2">
        <v>23</v>
      </c>
      <c r="I597" s="3">
        <v>79</v>
      </c>
      <c r="J597" s="2" t="str">
        <f>"02/01/2020"</f>
        <v>02/01/2020</v>
      </c>
      <c r="K597" s="2" t="str">
        <f>"25/01/2020"</f>
        <v>25/01/2020</v>
      </c>
      <c r="L597" s="2" t="str">
        <f>"27/02/2020"</f>
        <v>27/02/2020</v>
      </c>
      <c r="M597" s="2" t="str">
        <f>"28/02/2020"</f>
        <v>28/02/2020</v>
      </c>
      <c r="N597" s="2">
        <v>165.92</v>
      </c>
      <c r="O597" s="2">
        <v>170.94</v>
      </c>
      <c r="P597" s="2">
        <v>0.13000000000002401</v>
      </c>
    </row>
    <row r="598" spans="1:16" s="2" customFormat="1" x14ac:dyDescent="0.25">
      <c r="A598" s="2">
        <v>48584038</v>
      </c>
      <c r="B598" s="2">
        <v>48584045</v>
      </c>
      <c r="C598" s="2" t="str">
        <f>"UNIMEDSJN"</f>
        <v>UNIMEDSJN</v>
      </c>
      <c r="D598" s="2" t="str">
        <f>"DH"</f>
        <v>DH</v>
      </c>
      <c r="E598" s="2" t="str">
        <f>"Marcia Cristina Barbosa"</f>
        <v>Marcia Cristina Barbosa</v>
      </c>
      <c r="F598" s="2" t="str">
        <f>"48584038-1/1"</f>
        <v>48584038-1/1</v>
      </c>
      <c r="G598" s="2" t="str">
        <f>"Carteira 21"</f>
        <v>Carteira 21</v>
      </c>
      <c r="H598" s="2">
        <v>23</v>
      </c>
      <c r="I598" s="3">
        <v>79</v>
      </c>
      <c r="J598" s="2" t="str">
        <f>"02/01/2020"</f>
        <v>02/01/2020</v>
      </c>
      <c r="K598" s="2" t="str">
        <f>"25/01/2020"</f>
        <v>25/01/2020</v>
      </c>
      <c r="L598" s="2" t="str">
        <f>"27/01/2020"</f>
        <v>27/01/2020</v>
      </c>
      <c r="M598" s="2" t="str">
        <f>"07/02/2020"</f>
        <v>07/02/2020</v>
      </c>
      <c r="N598" s="2">
        <v>526.33000000000004</v>
      </c>
      <c r="O598" s="2">
        <v>526.33000000000004</v>
      </c>
      <c r="P598" s="2">
        <v>0</v>
      </c>
    </row>
    <row r="599" spans="1:16" s="2" customFormat="1" x14ac:dyDescent="0.25">
      <c r="A599" s="2">
        <v>48584059</v>
      </c>
      <c r="B599" s="2">
        <v>48584066</v>
      </c>
      <c r="C599" s="2" t="str">
        <f>"UNIMEDSJN"</f>
        <v>UNIMEDSJN</v>
      </c>
      <c r="D599" s="2" t="str">
        <f>"DH"</f>
        <v>DH</v>
      </c>
      <c r="E599" s="2" t="str">
        <f>"Marcia da Costa"</f>
        <v>Marcia da Costa</v>
      </c>
      <c r="F599" s="2" t="str">
        <f>"48584059-1/1"</f>
        <v>48584059-1/1</v>
      </c>
      <c r="G599" s="2" t="str">
        <f>"Carteira 21"</f>
        <v>Carteira 21</v>
      </c>
      <c r="H599" s="2">
        <v>13</v>
      </c>
      <c r="I599" s="3">
        <v>89</v>
      </c>
      <c r="J599" s="2" t="str">
        <f>"02/01/2020"</f>
        <v>02/01/2020</v>
      </c>
      <c r="K599" s="2" t="str">
        <f>"15/01/2020"</f>
        <v>15/01/2020</v>
      </c>
      <c r="L599" s="2" t="str">
        <f>"28/02/2020"</f>
        <v>28/02/2020</v>
      </c>
      <c r="M599" s="2" t="str">
        <f>"13/03/2020"</f>
        <v>13/03/2020</v>
      </c>
      <c r="N599" s="2">
        <v>191.72</v>
      </c>
      <c r="O599" s="2">
        <v>198.34</v>
      </c>
      <c r="P599" s="2">
        <v>2.0000000000010201E-2</v>
      </c>
    </row>
    <row r="600" spans="1:16" s="2" customFormat="1" x14ac:dyDescent="0.25">
      <c r="A600" s="2">
        <v>48582187</v>
      </c>
      <c r="B600" s="2">
        <v>48582194</v>
      </c>
      <c r="C600" s="2" t="str">
        <f>"UNIMEDSJN"</f>
        <v>UNIMEDSJN</v>
      </c>
      <c r="D600" s="2" t="str">
        <f>"DH"</f>
        <v>DH</v>
      </c>
      <c r="E600" s="2" t="str">
        <f>"MARCIA MARIA FERREIRA GOMES"</f>
        <v>MARCIA MARIA FERREIRA GOMES</v>
      </c>
      <c r="F600" s="2" t="str">
        <f>"48582187-1/1"</f>
        <v>48582187-1/1</v>
      </c>
      <c r="G600" s="2" t="str">
        <f>"Carteira 21"</f>
        <v>Carteira 21</v>
      </c>
      <c r="H600" s="2">
        <v>23</v>
      </c>
      <c r="I600" s="3">
        <v>79</v>
      </c>
      <c r="J600" s="2" t="str">
        <f>"02/01/2020"</f>
        <v>02/01/2020</v>
      </c>
      <c r="K600" s="2" t="str">
        <f>"25/01/2020"</f>
        <v>25/01/2020</v>
      </c>
      <c r="L600" s="2" t="str">
        <f>"13/02/2020"</f>
        <v>13/02/2020</v>
      </c>
      <c r="M600" s="2" t="str">
        <f>"14/02/2020"</f>
        <v>14/02/2020</v>
      </c>
      <c r="N600" s="2">
        <v>179.53</v>
      </c>
      <c r="O600" s="2">
        <v>184.13</v>
      </c>
      <c r="P600" s="2">
        <v>0.12999999999999501</v>
      </c>
    </row>
    <row r="601" spans="1:16" s="2" customFormat="1" x14ac:dyDescent="0.25">
      <c r="A601" s="2">
        <v>48581816</v>
      </c>
      <c r="B601" s="2">
        <v>48581826</v>
      </c>
      <c r="C601" s="2" t="str">
        <f>"UNIMEDSJN"</f>
        <v>UNIMEDSJN</v>
      </c>
      <c r="D601" s="2" t="str">
        <f>"DH"</f>
        <v>DH</v>
      </c>
      <c r="E601" s="2" t="str">
        <f>"Marcio Augusto de Oliveira Pereira"</f>
        <v>Marcio Augusto de Oliveira Pereira</v>
      </c>
      <c r="F601" s="2" t="str">
        <f>"48581816-1/1"</f>
        <v>48581816-1/1</v>
      </c>
      <c r="G601" s="2" t="str">
        <f>"Carteira 21"</f>
        <v>Carteira 21</v>
      </c>
      <c r="H601" s="2">
        <v>23</v>
      </c>
      <c r="I601" s="3">
        <v>79</v>
      </c>
      <c r="J601" s="2" t="str">
        <f>"02/01/2020"</f>
        <v>02/01/2020</v>
      </c>
      <c r="K601" s="2" t="str">
        <f>"25/01/2020"</f>
        <v>25/01/2020</v>
      </c>
      <c r="L601" s="2" t="str">
        <f>"19/03/2020"</f>
        <v>19/03/2020</v>
      </c>
      <c r="M601" s="2" t="str">
        <f>"23/03/2020"</f>
        <v>23/03/2020</v>
      </c>
      <c r="N601" s="2">
        <v>228.44</v>
      </c>
      <c r="O601" s="2">
        <v>236.85</v>
      </c>
      <c r="P601" s="2">
        <v>0.27000000000001001</v>
      </c>
    </row>
    <row r="602" spans="1:16" s="2" customFormat="1" x14ac:dyDescent="0.25">
      <c r="A602" s="2">
        <v>47542913</v>
      </c>
      <c r="B602" s="2">
        <v>47542921</v>
      </c>
      <c r="C602" s="2" t="str">
        <f>"UNIMEDSJN"</f>
        <v>UNIMEDSJN</v>
      </c>
      <c r="D602" s="2" t="str">
        <f>"DH"</f>
        <v>DH</v>
      </c>
      <c r="E602" s="2" t="str">
        <f>"MARCIO FERRAZ"</f>
        <v>MARCIO FERRAZ</v>
      </c>
      <c r="F602" s="2" t="str">
        <f>"47542913-1/1"</f>
        <v>47542913-1/1</v>
      </c>
      <c r="G602" s="2" t="str">
        <f>"Carteira 21"</f>
        <v>Carteira 21</v>
      </c>
      <c r="H602" s="2">
        <v>21</v>
      </c>
      <c r="I602" s="3">
        <v>88</v>
      </c>
      <c r="J602" s="2" t="str">
        <f>"26/12/2019"</f>
        <v>26/12/2019</v>
      </c>
      <c r="K602" s="2" t="str">
        <f>"16/01/2020"</f>
        <v>16/01/2020</v>
      </c>
      <c r="L602" s="2" t="str">
        <f>"04/03/2020"</f>
        <v>04/03/2020</v>
      </c>
      <c r="M602" s="2" t="str">
        <f>"05/03/2020"</f>
        <v>05/03/2020</v>
      </c>
      <c r="N602" s="2">
        <v>256.94</v>
      </c>
      <c r="O602" s="2">
        <v>266.14999999999998</v>
      </c>
      <c r="P602" s="2">
        <v>4.0000000000020498E-2</v>
      </c>
    </row>
    <row r="603" spans="1:16" x14ac:dyDescent="0.25">
      <c r="A603">
        <v>48793891</v>
      </c>
      <c r="B603">
        <v>48793898</v>
      </c>
      <c r="C603" t="str">
        <f>"UNIMEDSJN"</f>
        <v>UNIMEDSJN</v>
      </c>
      <c r="D603" t="str">
        <f>"DH"</f>
        <v>DH</v>
      </c>
      <c r="E603" t="str">
        <f>"MARCIO FERRAZ"</f>
        <v>MARCIO FERRAZ</v>
      </c>
      <c r="F603" t="str">
        <f>"48793891-1/1"</f>
        <v>48793891-1/1</v>
      </c>
      <c r="G603" t="str">
        <f>"Carteira 21"</f>
        <v>Carteira 21</v>
      </c>
      <c r="H603">
        <v>27</v>
      </c>
      <c r="I603" s="1">
        <v>57</v>
      </c>
      <c r="J603" t="str">
        <f>"20/01/2020"</f>
        <v>20/01/2020</v>
      </c>
      <c r="K603" t="str">
        <f>"16/02/2020"</f>
        <v>16/02/2020</v>
      </c>
      <c r="L603" t="str">
        <f>"17/02/2020"</f>
        <v>17/02/2020</v>
      </c>
      <c r="M603" t="str">
        <f>"17/02/2020"</f>
        <v>17/02/2020</v>
      </c>
      <c r="N603">
        <v>275.83</v>
      </c>
      <c r="O603">
        <v>275.83</v>
      </c>
      <c r="P603">
        <v>0</v>
      </c>
    </row>
    <row r="604" spans="1:16" s="2" customFormat="1" x14ac:dyDescent="0.25">
      <c r="A604" s="2">
        <v>47495687</v>
      </c>
      <c r="B604" s="2">
        <v>47495699</v>
      </c>
      <c r="C604" s="2" t="str">
        <f>"UNIMEDSJN"</f>
        <v>UNIMEDSJN</v>
      </c>
      <c r="D604" s="2" t="str">
        <f>"DH"</f>
        <v>DH</v>
      </c>
      <c r="E604" s="2" t="str">
        <f>"Marco Antonio Baptista de Oliveira Junior"</f>
        <v>Marco Antonio Baptista de Oliveira Junior</v>
      </c>
      <c r="F604" s="2" t="str">
        <f>"47495687-1/1"</f>
        <v>47495687-1/1</v>
      </c>
      <c r="G604" s="2" t="str">
        <f>"Carteira 21"</f>
        <v>Carteira 21</v>
      </c>
      <c r="H604" s="2">
        <v>24</v>
      </c>
      <c r="I604" s="3">
        <v>110</v>
      </c>
      <c r="J604" s="2" t="str">
        <f>"01/12/2019"</f>
        <v>01/12/2019</v>
      </c>
      <c r="K604" s="2" t="str">
        <f>"25/12/2019"</f>
        <v>25/12/2019</v>
      </c>
      <c r="L604" s="2" t="str">
        <f>"26/02/2020"</f>
        <v>26/02/2020</v>
      </c>
      <c r="M604" s="2" t="str">
        <f>"27/02/2020"</f>
        <v>27/02/2020</v>
      </c>
      <c r="N604" s="2">
        <v>354.42</v>
      </c>
      <c r="O604" s="2">
        <v>368.88</v>
      </c>
      <c r="P604" s="2">
        <v>6.9999999999993207E-2</v>
      </c>
    </row>
    <row r="605" spans="1:16" s="2" customFormat="1" x14ac:dyDescent="0.25">
      <c r="A605" s="2">
        <v>48570591</v>
      </c>
      <c r="B605" s="2">
        <v>48570601</v>
      </c>
      <c r="C605" s="2" t="str">
        <f>"UNIMEDSJN"</f>
        <v>UNIMEDSJN</v>
      </c>
      <c r="D605" s="2" t="str">
        <f>"DH"</f>
        <v>DH</v>
      </c>
      <c r="E605" s="2" t="str">
        <f>"Marco Antonio Baptista de Oliveira Junior"</f>
        <v>Marco Antonio Baptista de Oliveira Junior</v>
      </c>
      <c r="F605" s="2" t="str">
        <f>"48570591-1/1"</f>
        <v>48570591-1/1</v>
      </c>
      <c r="G605" s="2" t="str">
        <f>"Carteira 21"</f>
        <v>Carteira 21</v>
      </c>
      <c r="H605" s="2">
        <v>23</v>
      </c>
      <c r="I605" s="3">
        <v>79</v>
      </c>
      <c r="J605" s="2" t="str">
        <f>"02/01/2020"</f>
        <v>02/01/2020</v>
      </c>
      <c r="K605" s="2" t="str">
        <f>"25/01/2020"</f>
        <v>25/01/2020</v>
      </c>
      <c r="L605" s="2" t="str">
        <f>"25/03/2020"</f>
        <v>25/03/2020</v>
      </c>
      <c r="M605" s="2" t="str">
        <f>"26/03/2020"</f>
        <v>26/03/2020</v>
      </c>
      <c r="N605" s="2">
        <v>354.42</v>
      </c>
      <c r="O605" s="2">
        <v>368.29</v>
      </c>
      <c r="P605" s="2">
        <v>0.310000000000002</v>
      </c>
    </row>
    <row r="606" spans="1:16" s="2" customFormat="1" x14ac:dyDescent="0.25">
      <c r="A606" s="2">
        <v>48668376</v>
      </c>
      <c r="B606" s="2">
        <v>48668385</v>
      </c>
      <c r="C606" s="2" t="str">
        <f>"UNIMEDSJN"</f>
        <v>UNIMEDSJN</v>
      </c>
      <c r="D606" s="2" t="str">
        <f>"DH"</f>
        <v>DH</v>
      </c>
      <c r="E606" s="2" t="str">
        <f>"Marco Antonio de Azevedo Teixeira Filho"</f>
        <v>Marco Antonio de Azevedo Teixeira Filho</v>
      </c>
      <c r="F606" s="2" t="str">
        <f>"48668376-1/1"</f>
        <v>48668376-1/1</v>
      </c>
      <c r="G606" s="2" t="str">
        <f>"Carteira 21"</f>
        <v>Carteira 21</v>
      </c>
      <c r="H606" s="2">
        <v>19</v>
      </c>
      <c r="I606" s="3">
        <v>79</v>
      </c>
      <c r="J606" s="2" t="str">
        <f>"06/01/2020"</f>
        <v>06/01/2020</v>
      </c>
      <c r="K606" s="2" t="str">
        <f>"25/01/2020"</f>
        <v>25/01/2020</v>
      </c>
      <c r="L606" s="2" t="str">
        <f>"27/01/2020"</f>
        <v>27/01/2020</v>
      </c>
      <c r="M606" s="2" t="str">
        <f>"06/01/2020"</f>
        <v>06/01/2020</v>
      </c>
      <c r="N606" s="2">
        <v>158.36000000000001</v>
      </c>
      <c r="O606" s="2">
        <v>158.36000000000001</v>
      </c>
      <c r="P606" s="2">
        <v>0</v>
      </c>
    </row>
    <row r="607" spans="1:16" s="2" customFormat="1" x14ac:dyDescent="0.25">
      <c r="A607" s="2">
        <v>48668395</v>
      </c>
      <c r="B607" s="2">
        <v>48668404</v>
      </c>
      <c r="C607" s="2" t="str">
        <f>"UNIMEDSJN"</f>
        <v>UNIMEDSJN</v>
      </c>
      <c r="D607" s="2" t="str">
        <f>"DH"</f>
        <v>DH</v>
      </c>
      <c r="E607" s="2" t="str">
        <f>"Marco Antonio de Azevedo Teixeira Filho"</f>
        <v>Marco Antonio de Azevedo Teixeira Filho</v>
      </c>
      <c r="F607" s="2" t="str">
        <f>"48668395-1/1"</f>
        <v>48668395-1/1</v>
      </c>
      <c r="G607" s="2" t="str">
        <f>"Carteira 21"</f>
        <v>Carteira 21</v>
      </c>
      <c r="H607" s="2">
        <v>19</v>
      </c>
      <c r="I607" s="3">
        <v>79</v>
      </c>
      <c r="J607" s="2" t="str">
        <f>"06/01/2020"</f>
        <v>06/01/2020</v>
      </c>
      <c r="K607" s="2" t="str">
        <f>"25/01/2020"</f>
        <v>25/01/2020</v>
      </c>
      <c r="L607" s="2" t="str">
        <f>"27/01/2020"</f>
        <v>27/01/2020</v>
      </c>
      <c r="M607" s="2" t="str">
        <f>"06/01/2020"</f>
        <v>06/01/2020</v>
      </c>
      <c r="N607" s="2">
        <v>158.36000000000001</v>
      </c>
      <c r="O607" s="2">
        <v>158.36000000000001</v>
      </c>
      <c r="P607" s="2">
        <v>0</v>
      </c>
    </row>
    <row r="608" spans="1:16" s="2" customFormat="1" x14ac:dyDescent="0.25">
      <c r="A608" s="2">
        <v>47512418</v>
      </c>
      <c r="B608" s="2">
        <v>47512432</v>
      </c>
      <c r="C608" s="2" t="str">
        <f>"UNIMEDSJN"</f>
        <v>UNIMEDSJN</v>
      </c>
      <c r="D608" s="2" t="str">
        <f>"DH"</f>
        <v>DH</v>
      </c>
      <c r="E608" s="2" t="str">
        <f>"MARCO ANTONIO FURTADO SACHETTO"</f>
        <v>MARCO ANTONIO FURTADO SACHETTO</v>
      </c>
      <c r="F608" s="2" t="str">
        <f>"47512418-1/1"</f>
        <v>47512418-1/1</v>
      </c>
      <c r="G608" s="2" t="str">
        <f>"Carteira 21"</f>
        <v>Carteira 21</v>
      </c>
      <c r="H608" s="2">
        <v>14</v>
      </c>
      <c r="I608" s="3">
        <v>120</v>
      </c>
      <c r="J608" s="2" t="str">
        <f>"01/12/2019"</f>
        <v>01/12/2019</v>
      </c>
      <c r="K608" s="2" t="str">
        <f>"15/12/2019"</f>
        <v>15/12/2019</v>
      </c>
      <c r="L608" s="2" t="str">
        <f>"14/02/2020"</f>
        <v>14/02/2020</v>
      </c>
      <c r="M608" s="2" t="str">
        <f>"17/02/2020"</f>
        <v>17/02/2020</v>
      </c>
      <c r="N608" s="2">
        <v>936.08</v>
      </c>
      <c r="O608" s="2">
        <v>973.33</v>
      </c>
      <c r="P608" s="2">
        <v>0.5</v>
      </c>
    </row>
    <row r="609" spans="1:16" s="2" customFormat="1" x14ac:dyDescent="0.25">
      <c r="A609" s="2">
        <v>48562530</v>
      </c>
      <c r="B609" s="2">
        <v>48562560</v>
      </c>
      <c r="C609" s="2" t="str">
        <f>"UNIMEDSJN"</f>
        <v>UNIMEDSJN</v>
      </c>
      <c r="D609" s="2" t="str">
        <f>"DH"</f>
        <v>DH</v>
      </c>
      <c r="E609" s="2" t="str">
        <f>"MARCO ANTONIO FURTADO SACHETTO"</f>
        <v>MARCO ANTONIO FURTADO SACHETTO</v>
      </c>
      <c r="F609" s="2" t="str">
        <f>"48562530-1/1"</f>
        <v>48562530-1/1</v>
      </c>
      <c r="G609" s="2" t="str">
        <f>"Carteira 21"</f>
        <v>Carteira 21</v>
      </c>
      <c r="H609" s="2">
        <v>13</v>
      </c>
      <c r="I609" s="3">
        <v>89</v>
      </c>
      <c r="J609" s="2" t="str">
        <f>"02/01/2020"</f>
        <v>02/01/2020</v>
      </c>
      <c r="K609" s="2" t="str">
        <f>"15/01/2020"</f>
        <v>15/01/2020</v>
      </c>
      <c r="L609" s="2" t="str">
        <f>"16/03/2020"</f>
        <v>16/03/2020</v>
      </c>
      <c r="M609" s="2" t="str">
        <f>"17/03/2020"</f>
        <v>17/03/2020</v>
      </c>
      <c r="N609" s="2">
        <v>936.08</v>
      </c>
      <c r="O609" s="2">
        <v>973.64</v>
      </c>
      <c r="P609" s="2">
        <v>0.19000000000005501</v>
      </c>
    </row>
    <row r="610" spans="1:16" s="2" customFormat="1" x14ac:dyDescent="0.25">
      <c r="A610" s="2">
        <v>47542893</v>
      </c>
      <c r="B610" s="2">
        <v>47542907</v>
      </c>
      <c r="C610" s="2" t="str">
        <f>"UNIMEDSJN"</f>
        <v>UNIMEDSJN</v>
      </c>
      <c r="D610" s="2" t="str">
        <f>"DH"</f>
        <v>DH</v>
      </c>
      <c r="E610" s="2" t="str">
        <f>"Marcos Antonio Cardoso de Mattos"</f>
        <v>Marcos Antonio Cardoso de Mattos</v>
      </c>
      <c r="F610" s="2" t="str">
        <f>"47542893-1/1"</f>
        <v>47542893-1/1</v>
      </c>
      <c r="G610" s="2" t="str">
        <f>"Carteira 21"</f>
        <v>Carteira 21</v>
      </c>
      <c r="H610" s="2">
        <v>41</v>
      </c>
      <c r="I610" s="3">
        <v>68</v>
      </c>
      <c r="J610" s="2" t="str">
        <f>"26/12/2019"</f>
        <v>26/12/2019</v>
      </c>
      <c r="K610" s="2" t="str">
        <f>"05/02/2020"</f>
        <v>05/02/2020</v>
      </c>
      <c r="L610" s="2" t="str">
        <f>"05/02/2020"</f>
        <v>05/02/2020</v>
      </c>
      <c r="M610" s="2" t="str">
        <f>"11/03/2020"</f>
        <v>11/03/2020</v>
      </c>
      <c r="N610" s="2">
        <v>892.97</v>
      </c>
      <c r="O610" s="2">
        <v>892.97</v>
      </c>
      <c r="P610" s="2">
        <v>0</v>
      </c>
    </row>
    <row r="611" spans="1:16" s="2" customFormat="1" x14ac:dyDescent="0.25">
      <c r="A611" s="2">
        <v>48794046</v>
      </c>
      <c r="B611" s="2">
        <v>48794055</v>
      </c>
      <c r="C611" s="2" t="str">
        <f>"UNIMEDSJN"</f>
        <v>UNIMEDSJN</v>
      </c>
      <c r="D611" s="2" t="str">
        <f>"DH"</f>
        <v>DH</v>
      </c>
      <c r="E611" s="2" t="str">
        <f>"Marcos Antonio Cardoso de Mattos"</f>
        <v>Marcos Antonio Cardoso de Mattos</v>
      </c>
      <c r="F611" s="2" t="str">
        <f>"48794046-1/1"</f>
        <v>48794046-1/1</v>
      </c>
      <c r="G611" s="2" t="str">
        <f>"Carteira 21"</f>
        <v>Carteira 21</v>
      </c>
      <c r="H611" s="2">
        <v>17</v>
      </c>
      <c r="I611" s="3">
        <v>67</v>
      </c>
      <c r="J611" s="2" t="str">
        <f>"20/01/2020"</f>
        <v>20/01/2020</v>
      </c>
      <c r="K611" s="2" t="str">
        <f>"06/02/2020"</f>
        <v>06/02/2020</v>
      </c>
      <c r="L611" s="2" t="str">
        <f>"06/02/2020"</f>
        <v>06/02/2020</v>
      </c>
      <c r="M611" s="2" t="str">
        <f>"07/02/2020"</f>
        <v>07/02/2020</v>
      </c>
      <c r="N611" s="2">
        <v>892.97</v>
      </c>
      <c r="O611" s="2">
        <v>892.97</v>
      </c>
      <c r="P611" s="2">
        <v>0</v>
      </c>
    </row>
    <row r="612" spans="1:16" x14ac:dyDescent="0.25">
      <c r="A612">
        <v>48794114</v>
      </c>
      <c r="B612">
        <v>48798384</v>
      </c>
      <c r="C612" t="str">
        <f>"UNIMEDSJN"</f>
        <v>UNIMEDSJN</v>
      </c>
      <c r="D612" t="str">
        <f>"DH"</f>
        <v>DH</v>
      </c>
      <c r="E612" t="str">
        <f>"MARIA ADELAIDE LIMA"</f>
        <v>MARIA ADELAIDE LIMA</v>
      </c>
      <c r="F612" t="str">
        <f>"48794114-1/1"</f>
        <v>48794114-1/1</v>
      </c>
      <c r="G612" t="str">
        <f>"Carteira 21"</f>
        <v>Carteira 21</v>
      </c>
      <c r="H612">
        <v>27</v>
      </c>
      <c r="I612" s="1">
        <v>57</v>
      </c>
      <c r="J612" t="str">
        <f>"20/01/2020"</f>
        <v>20/01/2020</v>
      </c>
      <c r="K612" t="str">
        <f>"16/02/2020"</f>
        <v>16/02/2020</v>
      </c>
      <c r="L612" t="str">
        <f>"17/02/2020"</f>
        <v>17/02/2020</v>
      </c>
      <c r="M612" t="str">
        <f>"07/02/2020"</f>
        <v>07/02/2020</v>
      </c>
      <c r="N612">
        <v>302.8</v>
      </c>
      <c r="O612">
        <v>302.8</v>
      </c>
      <c r="P612">
        <v>0</v>
      </c>
    </row>
    <row r="613" spans="1:16" x14ac:dyDescent="0.25">
      <c r="A613">
        <v>48794089</v>
      </c>
      <c r="B613">
        <v>48794098</v>
      </c>
      <c r="C613" t="str">
        <f>"UNIMEDSJN"</f>
        <v>UNIMEDSJN</v>
      </c>
      <c r="D613" t="str">
        <f>"DH"</f>
        <v>DH</v>
      </c>
      <c r="E613" t="str">
        <f>"MARIA ANGELA MIRANDA TEIXEIRA"</f>
        <v>MARIA ANGELA MIRANDA TEIXEIRA</v>
      </c>
      <c r="F613" t="str">
        <f>"48794089-1/1"</f>
        <v>48794089-1/1</v>
      </c>
      <c r="G613" t="str">
        <f>"Carteira 21"</f>
        <v>Carteira 21</v>
      </c>
      <c r="H613">
        <v>40</v>
      </c>
      <c r="I613" s="1">
        <v>44</v>
      </c>
      <c r="J613" t="str">
        <f>"20/01/2020"</f>
        <v>20/01/2020</v>
      </c>
      <c r="K613" t="str">
        <f>"29/02/2020"</f>
        <v>29/02/2020</v>
      </c>
      <c r="L613" t="str">
        <f>"02/03/2020"</f>
        <v>02/03/2020</v>
      </c>
      <c r="M613" t="str">
        <f>"13/02/2020"</f>
        <v>13/02/2020</v>
      </c>
      <c r="N613">
        <v>219.23</v>
      </c>
      <c r="O613">
        <v>219.23</v>
      </c>
      <c r="P613">
        <v>0</v>
      </c>
    </row>
    <row r="614" spans="1:16" s="2" customFormat="1" x14ac:dyDescent="0.25">
      <c r="A614" s="2">
        <v>47512183</v>
      </c>
      <c r="B614" s="2">
        <v>47512194</v>
      </c>
      <c r="C614" s="2" t="str">
        <f>"UNIMEDSJN"</f>
        <v>UNIMEDSJN</v>
      </c>
      <c r="D614" s="2" t="str">
        <f>"DH"</f>
        <v>DH</v>
      </c>
      <c r="E614" s="2" t="str">
        <f>"MARIA ANTONIA CALGARO MENDONCA"</f>
        <v>MARIA ANTONIA CALGARO MENDONCA</v>
      </c>
      <c r="F614" s="2" t="str">
        <f>"47512183-1/1"</f>
        <v>47512183-1/1</v>
      </c>
      <c r="G614" s="2" t="str">
        <f>"Carteira 21"</f>
        <v>Carteira 21</v>
      </c>
      <c r="H614" s="2">
        <v>21</v>
      </c>
      <c r="I614" s="3">
        <v>113</v>
      </c>
      <c r="J614" s="2" t="str">
        <f>"01/12/2019"</f>
        <v>01/12/2019</v>
      </c>
      <c r="K614" s="2" t="str">
        <f>"22/12/2019"</f>
        <v>22/12/2019</v>
      </c>
      <c r="L614" s="2" t="str">
        <f>"10/02/2020"</f>
        <v>10/02/2020</v>
      </c>
      <c r="M614" s="2" t="str">
        <f>"11/02/2020"</f>
        <v>11/02/2020</v>
      </c>
      <c r="N614" s="2">
        <v>1692.75</v>
      </c>
      <c r="O614" s="2">
        <v>1753.97</v>
      </c>
      <c r="P614" s="2">
        <v>0.84999999999990905</v>
      </c>
    </row>
    <row r="615" spans="1:16" s="2" customFormat="1" x14ac:dyDescent="0.25">
      <c r="A615" s="2">
        <v>48563358</v>
      </c>
      <c r="B615" s="2">
        <v>48563365</v>
      </c>
      <c r="C615" s="2" t="str">
        <f>"UNIMEDSJN"</f>
        <v>UNIMEDSJN</v>
      </c>
      <c r="D615" s="2" t="str">
        <f>"DH"</f>
        <v>DH</v>
      </c>
      <c r="E615" s="2" t="str">
        <f>"MARIA ANTONIA CALGARO MENDONCA"</f>
        <v>MARIA ANTONIA CALGARO MENDONCA</v>
      </c>
      <c r="F615" s="2" t="str">
        <f>"48563358-1/1"</f>
        <v>48563358-1/1</v>
      </c>
      <c r="G615" s="2" t="str">
        <f>"Carteira 21"</f>
        <v>Carteira 21</v>
      </c>
      <c r="H615" s="2">
        <v>20</v>
      </c>
      <c r="I615" s="3">
        <v>82</v>
      </c>
      <c r="J615" s="2" t="str">
        <f>"02/01/2020"</f>
        <v>02/01/2020</v>
      </c>
      <c r="K615" s="2" t="str">
        <f>"22/01/2020"</f>
        <v>22/01/2020</v>
      </c>
      <c r="L615" s="2" t="str">
        <f>"09/03/2020"</f>
        <v>09/03/2020</v>
      </c>
      <c r="M615" s="2" t="str">
        <f>"10/03/2020"</f>
        <v>10/03/2020</v>
      </c>
      <c r="N615" s="2">
        <v>1692.75</v>
      </c>
      <c r="O615" s="2">
        <v>1752.86</v>
      </c>
      <c r="P615" s="2">
        <v>0.26999999999998198</v>
      </c>
    </row>
    <row r="616" spans="1:16" s="2" customFormat="1" x14ac:dyDescent="0.25">
      <c r="A616" s="2">
        <v>48562075</v>
      </c>
      <c r="B616" s="2">
        <v>48562085</v>
      </c>
      <c r="C616" s="2" t="str">
        <f>"UNIMEDSJN"</f>
        <v>UNIMEDSJN</v>
      </c>
      <c r="D616" s="2" t="str">
        <f>"DH"</f>
        <v>DH</v>
      </c>
      <c r="E616" s="2" t="str">
        <f>"MARIA APARECIDA CHAGAS DE CASTRO"</f>
        <v>MARIA APARECIDA CHAGAS DE CASTRO</v>
      </c>
      <c r="F616" s="2" t="str">
        <f>"48562075-1/1"</f>
        <v>48562075-1/1</v>
      </c>
      <c r="G616" s="2" t="str">
        <f>"Carteira 21"</f>
        <v>Carteira 21</v>
      </c>
      <c r="H616" s="2">
        <v>16</v>
      </c>
      <c r="I616" s="3">
        <v>86</v>
      </c>
      <c r="J616" s="2" t="str">
        <f>"02/01/2020"</f>
        <v>02/01/2020</v>
      </c>
      <c r="K616" s="2" t="str">
        <f>"18/01/2020"</f>
        <v>18/01/2020</v>
      </c>
      <c r="L616" s="2" t="str">
        <f>"07/02/2020"</f>
        <v>07/02/2020</v>
      </c>
      <c r="M616" s="2" t="str">
        <f>"10/02/2020"</f>
        <v>10/02/2020</v>
      </c>
      <c r="N616" s="2">
        <v>713.45</v>
      </c>
      <c r="O616" s="2">
        <v>731.96</v>
      </c>
      <c r="P616" s="2">
        <v>0.51999999999998203</v>
      </c>
    </row>
    <row r="617" spans="1:16" s="2" customFormat="1" x14ac:dyDescent="0.25">
      <c r="A617" s="2">
        <v>48576258</v>
      </c>
      <c r="B617" s="2">
        <v>48576270</v>
      </c>
      <c r="C617" s="2" t="str">
        <f>"UNIMEDSJN"</f>
        <v>UNIMEDSJN</v>
      </c>
      <c r="D617" s="2" t="str">
        <f>"DH"</f>
        <v>DH</v>
      </c>
      <c r="E617" s="2" t="str">
        <f>"MARIA APARECIDA DE OLIVEIRA KNOP"</f>
        <v>MARIA APARECIDA DE OLIVEIRA KNOP</v>
      </c>
      <c r="F617" s="2" t="str">
        <f>"48576258-1/1"</f>
        <v>48576258-1/1</v>
      </c>
      <c r="G617" s="2" t="str">
        <f>"Carteira 21"</f>
        <v>Carteira 21</v>
      </c>
      <c r="H617" s="2">
        <v>23</v>
      </c>
      <c r="I617" s="3">
        <v>79</v>
      </c>
      <c r="J617" s="2" t="str">
        <f>"02/01/2020"</f>
        <v>02/01/2020</v>
      </c>
      <c r="K617" s="2" t="str">
        <f>"25/01/2020"</f>
        <v>25/01/2020</v>
      </c>
      <c r="L617" s="2" t="str">
        <f>"10/02/2020"</f>
        <v>10/02/2020</v>
      </c>
      <c r="M617" s="2" t="str">
        <f>"11/02/2020"</f>
        <v>11/02/2020</v>
      </c>
      <c r="N617" s="2">
        <v>368.87</v>
      </c>
      <c r="O617" s="2">
        <v>377.95</v>
      </c>
      <c r="P617" s="2">
        <v>0.27000000000003899</v>
      </c>
    </row>
    <row r="618" spans="1:16" s="2" customFormat="1" x14ac:dyDescent="0.25">
      <c r="A618" s="2">
        <v>47501322</v>
      </c>
      <c r="B618" s="2">
        <v>47501338</v>
      </c>
      <c r="C618" s="2" t="str">
        <f>"UNIMEDSJN"</f>
        <v>UNIMEDSJN</v>
      </c>
      <c r="D618" s="2" t="str">
        <f>"DH"</f>
        <v>DH</v>
      </c>
      <c r="E618" s="2" t="str">
        <f>"MARIA APARECIDA MATOS DE ALMEIDA"</f>
        <v>MARIA APARECIDA MATOS DE ALMEIDA</v>
      </c>
      <c r="F618" s="2" t="str">
        <f>"47501322-1/1"</f>
        <v>47501322-1/1</v>
      </c>
      <c r="G618" s="2" t="str">
        <f>"Carteira 21"</f>
        <v>Carteira 21</v>
      </c>
      <c r="H618" s="2">
        <v>24</v>
      </c>
      <c r="I618" s="3">
        <v>110</v>
      </c>
      <c r="J618" s="2" t="str">
        <f>"01/12/2019"</f>
        <v>01/12/2019</v>
      </c>
      <c r="K618" s="2" t="str">
        <f>"25/12/2019"</f>
        <v>25/12/2019</v>
      </c>
      <c r="L618" s="2" t="str">
        <f>"02/03/2020"</f>
        <v>02/03/2020</v>
      </c>
      <c r="M618" s="2" t="str">
        <f>"03/03/2020"</f>
        <v>03/03/2020</v>
      </c>
      <c r="N618" s="2">
        <v>592.66</v>
      </c>
      <c r="O618" s="2">
        <v>617.80999999999995</v>
      </c>
      <c r="P618" s="2">
        <v>0.12999999999988199</v>
      </c>
    </row>
    <row r="619" spans="1:16" s="2" customFormat="1" x14ac:dyDescent="0.25">
      <c r="A619" s="2">
        <v>48576669</v>
      </c>
      <c r="B619" s="2">
        <v>48576681</v>
      </c>
      <c r="C619" s="2" t="str">
        <f>"UNIMEDSJN"</f>
        <v>UNIMEDSJN</v>
      </c>
      <c r="D619" s="2" t="str">
        <f>"DH"</f>
        <v>DH</v>
      </c>
      <c r="E619" s="2" t="str">
        <f>"MARIA APARECIDA MATOS DE ALMEIDA"</f>
        <v>MARIA APARECIDA MATOS DE ALMEIDA</v>
      </c>
      <c r="F619" s="2" t="str">
        <f>"48576669-1/1"</f>
        <v>48576669-1/1</v>
      </c>
      <c r="G619" s="2" t="str">
        <f>"Carteira 21"</f>
        <v>Carteira 21</v>
      </c>
      <c r="H619" s="2">
        <v>23</v>
      </c>
      <c r="I619" s="3">
        <v>79</v>
      </c>
      <c r="J619" s="2" t="str">
        <f>"02/01/2020"</f>
        <v>02/01/2020</v>
      </c>
      <c r="K619" s="2" t="str">
        <f>"25/01/2020"</f>
        <v>25/01/2020</v>
      </c>
      <c r="L619" s="2" t="str">
        <f>"27/03/2020"</f>
        <v>27/03/2020</v>
      </c>
      <c r="M619" s="2" t="str">
        <f>"30/03/2020"</f>
        <v>30/03/2020</v>
      </c>
      <c r="N619" s="2">
        <v>592.66</v>
      </c>
      <c r="O619" s="2">
        <v>616.24</v>
      </c>
      <c r="P619" s="2">
        <v>0.51999999999998203</v>
      </c>
    </row>
    <row r="620" spans="1:16" s="2" customFormat="1" x14ac:dyDescent="0.25">
      <c r="A620" s="2">
        <v>48582567</v>
      </c>
      <c r="B620" s="2">
        <v>48582572</v>
      </c>
      <c r="C620" s="2" t="str">
        <f>"UNIMEDSJN"</f>
        <v>UNIMEDSJN</v>
      </c>
      <c r="D620" s="2" t="str">
        <f>"DH"</f>
        <v>DH</v>
      </c>
      <c r="E620" s="2" t="str">
        <f>"MARIA CLARA ITABORAHY GUIMARAES"</f>
        <v>MARIA CLARA ITABORAHY GUIMARAES</v>
      </c>
      <c r="F620" s="2" t="str">
        <f>"48582567-1/1"</f>
        <v>48582567-1/1</v>
      </c>
      <c r="G620" s="2" t="str">
        <f>"Carteira 21"</f>
        <v>Carteira 21</v>
      </c>
      <c r="H620" s="2">
        <v>23</v>
      </c>
      <c r="I620" s="3">
        <v>79</v>
      </c>
      <c r="J620" s="2" t="str">
        <f>"02/01/2020"</f>
        <v>02/01/2020</v>
      </c>
      <c r="K620" s="2" t="str">
        <f>"25/01/2020"</f>
        <v>25/01/2020</v>
      </c>
      <c r="L620" s="2" t="str">
        <f>"12/02/2020"</f>
        <v>12/02/2020</v>
      </c>
      <c r="M620" s="2" t="str">
        <f>"13/02/2020"</f>
        <v>13/02/2020</v>
      </c>
      <c r="N620" s="2">
        <v>198.28</v>
      </c>
      <c r="O620" s="2">
        <v>203.3</v>
      </c>
      <c r="P620" s="2">
        <v>0.139999999999986</v>
      </c>
    </row>
    <row r="621" spans="1:16" s="2" customFormat="1" x14ac:dyDescent="0.25">
      <c r="A621" s="2">
        <v>45920911</v>
      </c>
      <c r="B621" s="2">
        <v>45920918</v>
      </c>
      <c r="C621" s="2" t="str">
        <f>"UNIMEDSJN"</f>
        <v>UNIMEDSJN</v>
      </c>
      <c r="D621" s="2" t="str">
        <f>"DH"</f>
        <v>DH</v>
      </c>
      <c r="E621" s="2" t="str">
        <f>"MARIA CLARA SILVA DELECRODE DE SOUZA"</f>
        <v>MARIA CLARA SILVA DELECRODE DE SOUZA</v>
      </c>
      <c r="F621" s="2" t="str">
        <f>"45920911-1/1"</f>
        <v>45920911-1/1</v>
      </c>
      <c r="G621" s="2" t="str">
        <f>"Carteira 21"</f>
        <v>Carteira 21</v>
      </c>
      <c r="H621" s="2">
        <v>24</v>
      </c>
      <c r="I621" s="3">
        <v>140</v>
      </c>
      <c r="J621" s="2" t="str">
        <f>"01/11/2019"</f>
        <v>01/11/2019</v>
      </c>
      <c r="K621" s="2" t="str">
        <f>"25/11/2019"</f>
        <v>25/11/2019</v>
      </c>
      <c r="L621" s="2" t="str">
        <f>"21/02/2020"</f>
        <v>21/02/2020</v>
      </c>
      <c r="M621" s="2" t="str">
        <f>"24/02/2020"</f>
        <v>24/02/2020</v>
      </c>
      <c r="N621" s="2">
        <v>193.84</v>
      </c>
      <c r="O621" s="2">
        <v>203.35</v>
      </c>
      <c r="P621" s="2">
        <v>6.0000000000002301E-2</v>
      </c>
    </row>
    <row r="622" spans="1:16" s="2" customFormat="1" x14ac:dyDescent="0.25">
      <c r="A622" s="2">
        <v>47495983</v>
      </c>
      <c r="B622" s="2">
        <v>47496005</v>
      </c>
      <c r="C622" s="2" t="str">
        <f>"UNIMEDSJN"</f>
        <v>UNIMEDSJN</v>
      </c>
      <c r="D622" s="2" t="str">
        <f>"DH"</f>
        <v>DH</v>
      </c>
      <c r="E622" s="2" t="str">
        <f>"MARIA CLARA SILVA DELECRODE DE SOUZA"</f>
        <v>MARIA CLARA SILVA DELECRODE DE SOUZA</v>
      </c>
      <c r="F622" s="2" t="str">
        <f>"47495983-1/1"</f>
        <v>47495983-1/1</v>
      </c>
      <c r="G622" s="2" t="str">
        <f>"Carteira 21"</f>
        <v>Carteira 21</v>
      </c>
      <c r="H622" s="2">
        <v>24</v>
      </c>
      <c r="I622" s="3">
        <v>110</v>
      </c>
      <c r="J622" s="2" t="str">
        <f>"01/12/2019"</f>
        <v>01/12/2019</v>
      </c>
      <c r="K622" s="2" t="str">
        <f>"25/12/2019"</f>
        <v>25/12/2019</v>
      </c>
      <c r="L622" s="2" t="str">
        <f>"21/02/2020"</f>
        <v>21/02/2020</v>
      </c>
      <c r="M622" s="2" t="str">
        <f>"24/02/2020"</f>
        <v>24/02/2020</v>
      </c>
      <c r="N622" s="2">
        <v>193.84</v>
      </c>
      <c r="O622" s="2">
        <v>201.43</v>
      </c>
      <c r="P622" s="2">
        <v>3.9999999999992E-2</v>
      </c>
    </row>
    <row r="623" spans="1:16" s="2" customFormat="1" x14ac:dyDescent="0.25">
      <c r="A623" s="2">
        <v>48570009</v>
      </c>
      <c r="B623" s="2">
        <v>48570024</v>
      </c>
      <c r="C623" s="2" t="str">
        <f>"UNIMEDSJN"</f>
        <v>UNIMEDSJN</v>
      </c>
      <c r="D623" s="2" t="str">
        <f>"DH"</f>
        <v>DH</v>
      </c>
      <c r="E623" s="2" t="str">
        <f>"MARIA CLARA SILVA DELECRODE DE SOUZA"</f>
        <v>MARIA CLARA SILVA DELECRODE DE SOUZA</v>
      </c>
      <c r="F623" s="2" t="str">
        <f>"48570009-1/1"</f>
        <v>48570009-1/1</v>
      </c>
      <c r="G623" s="2" t="str">
        <f>"Carteira 21"</f>
        <v>Carteira 21</v>
      </c>
      <c r="H623" s="2">
        <v>23</v>
      </c>
      <c r="I623" s="3">
        <v>79</v>
      </c>
      <c r="J623" s="2" t="str">
        <f>"02/01/2020"</f>
        <v>02/01/2020</v>
      </c>
      <c r="K623" s="2" t="str">
        <f>"25/01/2020"</f>
        <v>25/01/2020</v>
      </c>
      <c r="L623" s="2" t="str">
        <f>"27/01/2020"</f>
        <v>27/01/2020</v>
      </c>
      <c r="M623" s="2" t="str">
        <f>"27/12/2019"</f>
        <v>27/12/2019</v>
      </c>
      <c r="N623" s="2">
        <v>193.84</v>
      </c>
      <c r="O623" s="2">
        <v>193.84</v>
      </c>
      <c r="P623" s="2">
        <v>0</v>
      </c>
    </row>
    <row r="624" spans="1:16" s="2" customFormat="1" x14ac:dyDescent="0.25">
      <c r="A624" s="2">
        <v>48563289</v>
      </c>
      <c r="B624" s="2">
        <v>48563299</v>
      </c>
      <c r="C624" s="2" t="str">
        <f>"UNIMEDSJN"</f>
        <v>UNIMEDSJN</v>
      </c>
      <c r="D624" s="2" t="str">
        <f>"DH"</f>
        <v>DH</v>
      </c>
      <c r="E624" s="2" t="str">
        <f>"MARIA CLOTILDES VILELA MENEZES"</f>
        <v>MARIA CLOTILDES VILELA MENEZES</v>
      </c>
      <c r="F624" s="2" t="str">
        <f>"48563289-1/1"</f>
        <v>48563289-1/1</v>
      </c>
      <c r="G624" s="2" t="str">
        <f>"Carteira 21"</f>
        <v>Carteira 21</v>
      </c>
      <c r="H624" s="2">
        <v>23</v>
      </c>
      <c r="I624" s="3">
        <v>79</v>
      </c>
      <c r="J624" s="2" t="str">
        <f>"02/01/2020"</f>
        <v>02/01/2020</v>
      </c>
      <c r="K624" s="2" t="str">
        <f>"25/01/2020"</f>
        <v>25/01/2020</v>
      </c>
      <c r="L624" s="2" t="str">
        <f>"03/02/2020"</f>
        <v>03/02/2020</v>
      </c>
      <c r="M624" s="2" t="str">
        <f>"04/02/2020"</f>
        <v>04/02/2020</v>
      </c>
      <c r="N624" s="2">
        <v>1005.86</v>
      </c>
      <c r="O624" s="2">
        <v>1028.29</v>
      </c>
      <c r="P624" s="2">
        <v>0.71000000000003605</v>
      </c>
    </row>
    <row r="625" spans="1:16" s="2" customFormat="1" x14ac:dyDescent="0.25">
      <c r="A625" s="2">
        <v>48581977</v>
      </c>
      <c r="B625" s="2">
        <v>48581987</v>
      </c>
      <c r="C625" s="2" t="str">
        <f>"UNIMEDSJN"</f>
        <v>UNIMEDSJN</v>
      </c>
      <c r="D625" s="2" t="str">
        <f>"DH"</f>
        <v>DH</v>
      </c>
      <c r="E625" s="2" t="str">
        <f>"MARIA CONSUELO DA SILVA VEIGA"</f>
        <v>MARIA CONSUELO DA SILVA VEIGA</v>
      </c>
      <c r="F625" s="2" t="str">
        <f>"48581977-1/1"</f>
        <v>48581977-1/1</v>
      </c>
      <c r="G625" s="2" t="str">
        <f>"Carteira 21"</f>
        <v>Carteira 21</v>
      </c>
      <c r="H625" s="2">
        <v>23</v>
      </c>
      <c r="I625" s="3">
        <v>79</v>
      </c>
      <c r="J625" s="2" t="str">
        <f>"02/01/2020"</f>
        <v>02/01/2020</v>
      </c>
      <c r="K625" s="2" t="str">
        <f>"25/01/2020"</f>
        <v>25/01/2020</v>
      </c>
      <c r="L625" s="2" t="str">
        <f>"03/02/2020"</f>
        <v>03/02/2020</v>
      </c>
      <c r="M625" s="2" t="str">
        <f>"04/02/2020"</f>
        <v>04/02/2020</v>
      </c>
      <c r="N625" s="2">
        <v>522.25</v>
      </c>
      <c r="O625" s="2">
        <v>533.9</v>
      </c>
      <c r="P625" s="2">
        <v>0.37000000000000499</v>
      </c>
    </row>
    <row r="626" spans="1:16" s="2" customFormat="1" x14ac:dyDescent="0.25">
      <c r="A626" s="2">
        <v>48572867</v>
      </c>
      <c r="B626" s="2">
        <v>48573144</v>
      </c>
      <c r="C626" s="2" t="str">
        <f>"UNIMEDSJN"</f>
        <v>UNIMEDSJN</v>
      </c>
      <c r="D626" s="2" t="str">
        <f>"DH"</f>
        <v>DH</v>
      </c>
      <c r="E626" s="2" t="str">
        <f>"MARIA CONSUELO DUTRA DA SILVA"</f>
        <v>MARIA CONSUELO DUTRA DA SILVA</v>
      </c>
      <c r="F626" s="2" t="str">
        <f>"48572867-1/1"</f>
        <v>48572867-1/1</v>
      </c>
      <c r="G626" s="2" t="str">
        <f>"Carteira 21"</f>
        <v>Carteira 21</v>
      </c>
      <c r="H626" s="2">
        <v>23</v>
      </c>
      <c r="I626" s="3">
        <v>79</v>
      </c>
      <c r="J626" s="2" t="str">
        <f>"02/01/2020"</f>
        <v>02/01/2020</v>
      </c>
      <c r="K626" s="2" t="str">
        <f>"25/01/2020"</f>
        <v>25/01/2020</v>
      </c>
      <c r="L626" s="2" t="str">
        <f>"02/03/2020"</f>
        <v>02/03/2020</v>
      </c>
      <c r="M626" s="2" t="str">
        <f>"03/03/2020"</f>
        <v>03/03/2020</v>
      </c>
      <c r="N626" s="2">
        <v>65.459999999999994</v>
      </c>
      <c r="O626" s="2">
        <v>67.53</v>
      </c>
      <c r="P626" s="2">
        <v>5.0000000000011403E-2</v>
      </c>
    </row>
    <row r="627" spans="1:16" s="2" customFormat="1" x14ac:dyDescent="0.25">
      <c r="A627" s="2">
        <v>48573157</v>
      </c>
      <c r="B627" s="2">
        <v>48573173</v>
      </c>
      <c r="C627" s="2" t="str">
        <f>"UNIMEDSJN"</f>
        <v>UNIMEDSJN</v>
      </c>
      <c r="D627" s="2" t="str">
        <f>"DH"</f>
        <v>DH</v>
      </c>
      <c r="E627" s="2" t="str">
        <f>"MARIA CONSUELO DUTRA DA SILVA"</f>
        <v>MARIA CONSUELO DUTRA DA SILVA</v>
      </c>
      <c r="F627" s="2" t="str">
        <f>"48573157-1/1"</f>
        <v>48573157-1/1</v>
      </c>
      <c r="G627" s="2" t="str">
        <f>"Carteira 21"</f>
        <v>Carteira 21</v>
      </c>
      <c r="H627" s="2">
        <v>23</v>
      </c>
      <c r="I627" s="3">
        <v>79</v>
      </c>
      <c r="J627" s="2" t="str">
        <f>"02/01/2020"</f>
        <v>02/01/2020</v>
      </c>
      <c r="K627" s="2" t="str">
        <f>"25/01/2020"</f>
        <v>25/01/2020</v>
      </c>
      <c r="L627" s="2" t="str">
        <f>"31/03/2020"</f>
        <v>31/03/2020</v>
      </c>
      <c r="M627" s="2" t="str">
        <f>"03/04/2020"</f>
        <v>03/04/2020</v>
      </c>
      <c r="N627" s="2">
        <v>65.459999999999994</v>
      </c>
      <c r="O627" s="2">
        <v>68.16</v>
      </c>
      <c r="P627" s="2">
        <v>5.0000000000011403E-2</v>
      </c>
    </row>
    <row r="628" spans="1:16" s="2" customFormat="1" x14ac:dyDescent="0.25">
      <c r="A628" s="2">
        <v>48615947</v>
      </c>
      <c r="B628" s="2">
        <v>48615957</v>
      </c>
      <c r="C628" s="2" t="str">
        <f>"UNIMEDSJN"</f>
        <v>UNIMEDSJN</v>
      </c>
      <c r="D628" s="2" t="str">
        <f>"DH"</f>
        <v>DH</v>
      </c>
      <c r="E628" s="2" t="str">
        <f>"MARIA DAS DORES GOMES MORAIS"</f>
        <v>MARIA DAS DORES GOMES MORAIS</v>
      </c>
      <c r="F628" s="2" t="str">
        <f>"48615947-1/1"</f>
        <v>48615947-1/1</v>
      </c>
      <c r="G628" s="2" t="str">
        <f>"Carteira 21"</f>
        <v>Carteira 21</v>
      </c>
      <c r="H628" s="2">
        <v>21</v>
      </c>
      <c r="I628" s="3">
        <v>63</v>
      </c>
      <c r="J628" s="2" t="str">
        <f>"20/01/2020"</f>
        <v>20/01/2020</v>
      </c>
      <c r="K628" s="2" t="str">
        <f>"10/02/2020"</f>
        <v>10/02/2020</v>
      </c>
      <c r="L628" s="2" t="str">
        <f>"10/02/2020"</f>
        <v>10/02/2020</v>
      </c>
      <c r="M628" s="2" t="str">
        <f>"11/02/2020"</f>
        <v>11/02/2020</v>
      </c>
      <c r="N628" s="2">
        <v>208.2</v>
      </c>
      <c r="O628" s="2">
        <v>208.2</v>
      </c>
      <c r="P628" s="2">
        <v>0</v>
      </c>
    </row>
    <row r="629" spans="1:16" s="2" customFormat="1" x14ac:dyDescent="0.25">
      <c r="A629" s="2">
        <v>48570498</v>
      </c>
      <c r="B629" s="2">
        <v>48570511</v>
      </c>
      <c r="C629" s="2" t="str">
        <f>"UNIMEDSJN"</f>
        <v>UNIMEDSJN</v>
      </c>
      <c r="D629" s="2" t="str">
        <f>"DH"</f>
        <v>DH</v>
      </c>
      <c r="E629" s="2" t="str">
        <f>"Maria de Lourdes Ferreira Horta"</f>
        <v>Maria de Lourdes Ferreira Horta</v>
      </c>
      <c r="F629" s="2" t="str">
        <f>"48570498-1/1"</f>
        <v>48570498-1/1</v>
      </c>
      <c r="G629" s="2" t="str">
        <f>"Carteira 21"</f>
        <v>Carteira 21</v>
      </c>
      <c r="H629" s="2">
        <v>23</v>
      </c>
      <c r="I629" s="3">
        <v>79</v>
      </c>
      <c r="J629" s="2" t="str">
        <f>"02/01/2020"</f>
        <v>02/01/2020</v>
      </c>
      <c r="K629" s="2" t="str">
        <f>"25/01/2020"</f>
        <v>25/01/2020</v>
      </c>
      <c r="L629" s="2" t="str">
        <f>"05/02/2020"</f>
        <v>05/02/2020</v>
      </c>
      <c r="M629" s="2" t="str">
        <f>"06/02/2020"</f>
        <v>06/02/2020</v>
      </c>
      <c r="N629" s="2">
        <v>1037.3399999999999</v>
      </c>
      <c r="O629" s="2">
        <v>1061.17</v>
      </c>
      <c r="P629" s="2">
        <v>0.71999999999980002</v>
      </c>
    </row>
    <row r="630" spans="1:16" x14ac:dyDescent="0.25">
      <c r="A630">
        <v>48798393</v>
      </c>
      <c r="B630">
        <v>48798400</v>
      </c>
      <c r="C630" t="str">
        <f>"UNIMEDSJN"</f>
        <v>UNIMEDSJN</v>
      </c>
      <c r="D630" t="str">
        <f>"DH"</f>
        <v>DH</v>
      </c>
      <c r="E630" t="str">
        <f>"MARIA DE LOURDES VARGAS MUNIZ"</f>
        <v>MARIA DE LOURDES VARGAS MUNIZ</v>
      </c>
      <c r="F630" t="str">
        <f>"48798393-1/1"</f>
        <v>48798393-1/1</v>
      </c>
      <c r="G630" t="str">
        <f>"Carteira 21"</f>
        <v>Carteira 21</v>
      </c>
      <c r="H630">
        <v>31</v>
      </c>
      <c r="I630" s="1">
        <v>53</v>
      </c>
      <c r="J630" t="str">
        <f>"20/01/2020"</f>
        <v>20/01/2020</v>
      </c>
      <c r="K630" t="str">
        <f>"20/02/2020"</f>
        <v>20/02/2020</v>
      </c>
      <c r="L630" t="str">
        <f>"20/02/2020"</f>
        <v>20/02/2020</v>
      </c>
      <c r="M630" t="str">
        <f>"07/02/2020"</f>
        <v>07/02/2020</v>
      </c>
      <c r="N630">
        <v>164.85</v>
      </c>
      <c r="O630">
        <v>164.85</v>
      </c>
      <c r="P630">
        <v>0</v>
      </c>
    </row>
    <row r="631" spans="1:16" s="2" customFormat="1" x14ac:dyDescent="0.25">
      <c r="A631" s="2">
        <v>48577561</v>
      </c>
      <c r="B631" s="2">
        <v>48577573</v>
      </c>
      <c r="C631" s="2" t="str">
        <f>"UNIMEDSJN"</f>
        <v>UNIMEDSJN</v>
      </c>
      <c r="D631" s="2" t="str">
        <f>"DH"</f>
        <v>DH</v>
      </c>
      <c r="E631" s="2" t="str">
        <f>"MARIA EDUARDA FERREIRA DE SOUZA"</f>
        <v>MARIA EDUARDA FERREIRA DE SOUZA</v>
      </c>
      <c r="F631" s="2" t="str">
        <f>"48577561-1/1"</f>
        <v>48577561-1/1</v>
      </c>
      <c r="G631" s="2" t="str">
        <f>"Carteira 21"</f>
        <v>Carteira 21</v>
      </c>
      <c r="H631" s="2">
        <v>23</v>
      </c>
      <c r="I631" s="3">
        <v>79</v>
      </c>
      <c r="J631" s="2" t="str">
        <f>"02/01/2020"</f>
        <v>02/01/2020</v>
      </c>
      <c r="K631" s="2" t="str">
        <f>"25/01/2020"</f>
        <v>25/01/2020</v>
      </c>
      <c r="L631" s="2" t="str">
        <f>"27/02/2020"</f>
        <v>27/02/2020</v>
      </c>
      <c r="M631" s="2" t="str">
        <f>"28/02/2020"</f>
        <v>28/02/2020</v>
      </c>
      <c r="N631" s="2">
        <v>153.36000000000001</v>
      </c>
      <c r="O631" s="2">
        <v>158</v>
      </c>
      <c r="P631" s="2">
        <v>0.12000000000000501</v>
      </c>
    </row>
    <row r="632" spans="1:16" s="2" customFormat="1" x14ac:dyDescent="0.25">
      <c r="A632" s="2">
        <v>47500283</v>
      </c>
      <c r="B632" s="2">
        <v>47500294</v>
      </c>
      <c r="C632" s="2" t="str">
        <f>"UNIMEDSJN"</f>
        <v>UNIMEDSJN</v>
      </c>
      <c r="D632" s="2" t="str">
        <f>"DH"</f>
        <v>DH</v>
      </c>
      <c r="E632" s="2" t="str">
        <f>"Maria Eduarda Salles Matosinho"</f>
        <v>Maria Eduarda Salles Matosinho</v>
      </c>
      <c r="F632" s="2" t="str">
        <f>"47500283-1/1"</f>
        <v>47500283-1/1</v>
      </c>
      <c r="G632" s="2" t="str">
        <f>"Carteira 21"</f>
        <v>Carteira 21</v>
      </c>
      <c r="H632" s="2">
        <v>24</v>
      </c>
      <c r="I632" s="3">
        <v>110</v>
      </c>
      <c r="J632" s="2" t="str">
        <f>"01/12/2019"</f>
        <v>01/12/2019</v>
      </c>
      <c r="K632" s="2" t="str">
        <f>"25/12/2019"</f>
        <v>25/12/2019</v>
      </c>
      <c r="L632" s="2" t="str">
        <f>"25/12/2019"</f>
        <v>25/12/2019</v>
      </c>
      <c r="M632" s="2" t="str">
        <f>"28/11/2019"</f>
        <v>28/11/2019</v>
      </c>
      <c r="N632" s="2">
        <v>70.260000000000005</v>
      </c>
      <c r="O632" s="2">
        <v>70.260000000000005</v>
      </c>
      <c r="P632" s="2">
        <v>0</v>
      </c>
    </row>
    <row r="633" spans="1:16" s="2" customFormat="1" x14ac:dyDescent="0.25">
      <c r="A633" s="2">
        <v>48575032</v>
      </c>
      <c r="B633" s="2">
        <v>48575046</v>
      </c>
      <c r="C633" s="2" t="str">
        <f>"UNIMEDSJN"</f>
        <v>UNIMEDSJN</v>
      </c>
      <c r="D633" s="2" t="str">
        <f>"DH"</f>
        <v>DH</v>
      </c>
      <c r="E633" s="2" t="str">
        <f>"Maria Eduarda Salles Matosinho"</f>
        <v>Maria Eduarda Salles Matosinho</v>
      </c>
      <c r="F633" s="2" t="str">
        <f>"48575032-1/1"</f>
        <v>48575032-1/1</v>
      </c>
      <c r="G633" s="2" t="str">
        <f>"Carteira 21"</f>
        <v>Carteira 21</v>
      </c>
      <c r="H633" s="2">
        <v>23</v>
      </c>
      <c r="I633" s="3">
        <v>79</v>
      </c>
      <c r="J633" s="2" t="str">
        <f>"02/01/2020"</f>
        <v>02/01/2020</v>
      </c>
      <c r="K633" s="2" t="str">
        <f>"25/01/2020"</f>
        <v>25/01/2020</v>
      </c>
      <c r="L633" s="2" t="str">
        <f>"27/01/2020"</f>
        <v>27/01/2020</v>
      </c>
      <c r="M633" s="2" t="str">
        <f>"27/12/2019"</f>
        <v>27/12/2019</v>
      </c>
      <c r="N633" s="2">
        <v>70.260000000000005</v>
      </c>
      <c r="O633" s="2">
        <v>70.260000000000005</v>
      </c>
      <c r="P633" s="2">
        <v>0</v>
      </c>
    </row>
    <row r="634" spans="1:16" s="2" customFormat="1" x14ac:dyDescent="0.25">
      <c r="A634" s="2">
        <v>48575068</v>
      </c>
      <c r="B634" s="2">
        <v>48575085</v>
      </c>
      <c r="C634" s="2" t="str">
        <f>"UNIMEDSJN"</f>
        <v>UNIMEDSJN</v>
      </c>
      <c r="D634" s="2" t="str">
        <f>"DH"</f>
        <v>DH</v>
      </c>
      <c r="E634" s="2" t="str">
        <f>"Maria Eduarda Salles Matosinho"</f>
        <v>Maria Eduarda Salles Matosinho</v>
      </c>
      <c r="F634" s="2" t="str">
        <f>"48575068-1/1"</f>
        <v>48575068-1/1</v>
      </c>
      <c r="G634" s="2" t="str">
        <f>"Carteira 21"</f>
        <v>Carteira 21</v>
      </c>
      <c r="H634" s="2">
        <v>23</v>
      </c>
      <c r="I634" s="3">
        <v>79</v>
      </c>
      <c r="J634" s="2" t="str">
        <f>"02/01/2020"</f>
        <v>02/01/2020</v>
      </c>
      <c r="K634" s="2" t="str">
        <f>"25/01/2020"</f>
        <v>25/01/2020</v>
      </c>
      <c r="L634" s="2" t="str">
        <f>"11/02/2020"</f>
        <v>11/02/2020</v>
      </c>
      <c r="M634" s="2" t="str">
        <f>"12/02/2020"</f>
        <v>12/02/2020</v>
      </c>
      <c r="N634" s="2">
        <v>70.260000000000005</v>
      </c>
      <c r="O634" s="2">
        <v>72.02</v>
      </c>
      <c r="P634" s="2">
        <v>5.0000000000011403E-2</v>
      </c>
    </row>
    <row r="635" spans="1:16" s="2" customFormat="1" x14ac:dyDescent="0.25">
      <c r="A635" s="2">
        <v>47506083</v>
      </c>
      <c r="B635" s="2">
        <v>47506097</v>
      </c>
      <c r="C635" s="2" t="str">
        <f>"UNIMEDSJN"</f>
        <v>UNIMEDSJN</v>
      </c>
      <c r="D635" s="2" t="str">
        <f>"DH"</f>
        <v>DH</v>
      </c>
      <c r="E635" s="2" t="str">
        <f>"Maria Eduarda Vogel Romano"</f>
        <v>Maria Eduarda Vogel Romano</v>
      </c>
      <c r="F635" s="2" t="str">
        <f>"47506083-1/1"</f>
        <v>47506083-1/1</v>
      </c>
      <c r="G635" s="2" t="str">
        <f>"Carteira 21"</f>
        <v>Carteira 21</v>
      </c>
      <c r="H635" s="2">
        <v>24</v>
      </c>
      <c r="I635" s="3">
        <v>110</v>
      </c>
      <c r="J635" s="2" t="str">
        <f>"01/12/2019"</f>
        <v>01/12/2019</v>
      </c>
      <c r="K635" s="2" t="str">
        <f>"25/12/2019"</f>
        <v>25/12/2019</v>
      </c>
      <c r="L635" s="2" t="str">
        <f>"04/03/2020"</f>
        <v>04/03/2020</v>
      </c>
      <c r="M635" s="2" t="str">
        <f>"05/03/2020"</f>
        <v>05/03/2020</v>
      </c>
      <c r="N635" s="2">
        <v>217.02</v>
      </c>
      <c r="O635" s="2">
        <v>226.37</v>
      </c>
      <c r="P635" s="2">
        <v>5.0000000000011403E-2</v>
      </c>
    </row>
    <row r="636" spans="1:16" s="2" customFormat="1" x14ac:dyDescent="0.25">
      <c r="A636" s="2">
        <v>48580091</v>
      </c>
      <c r="B636" s="2">
        <v>48580100</v>
      </c>
      <c r="C636" s="2" t="str">
        <f>"UNIMEDSJN"</f>
        <v>UNIMEDSJN</v>
      </c>
      <c r="D636" s="2" t="str">
        <f>"DH"</f>
        <v>DH</v>
      </c>
      <c r="E636" s="2" t="str">
        <f>"Maria Eduarda Vogel Romano"</f>
        <v>Maria Eduarda Vogel Romano</v>
      </c>
      <c r="F636" s="2" t="str">
        <f>"48580091-1/1"</f>
        <v>48580091-1/1</v>
      </c>
      <c r="G636" s="2" t="str">
        <f>"Carteira 21"</f>
        <v>Carteira 21</v>
      </c>
      <c r="H636" s="2">
        <v>23</v>
      </c>
      <c r="I636" s="3">
        <v>79</v>
      </c>
      <c r="J636" s="2" t="str">
        <f>"02/01/2020"</f>
        <v>02/01/2020</v>
      </c>
      <c r="K636" s="2" t="str">
        <f>"25/01/2020"</f>
        <v>25/01/2020</v>
      </c>
      <c r="L636" s="2" t="str">
        <f>"06/03/2020"</f>
        <v>06/03/2020</v>
      </c>
      <c r="M636" s="2" t="str">
        <f>"09/03/2020"</f>
        <v>09/03/2020</v>
      </c>
      <c r="N636" s="2">
        <v>217.02</v>
      </c>
      <c r="O636" s="2">
        <v>224.15</v>
      </c>
      <c r="P636" s="2">
        <v>0.18000000000000699</v>
      </c>
    </row>
    <row r="637" spans="1:16" s="2" customFormat="1" x14ac:dyDescent="0.25">
      <c r="A637" s="2">
        <v>48581659</v>
      </c>
      <c r="B637" s="2">
        <v>48581664</v>
      </c>
      <c r="C637" s="2" t="str">
        <f>"UNIMEDSJN"</f>
        <v>UNIMEDSJN</v>
      </c>
      <c r="D637" s="2" t="str">
        <f>"DH"</f>
        <v>DH</v>
      </c>
      <c r="E637" s="2" t="str">
        <f>"Maria Jaciara da Silva Ozorio"</f>
        <v>Maria Jaciara da Silva Ozorio</v>
      </c>
      <c r="F637" s="2" t="str">
        <f>"48581659-1/1"</f>
        <v>48581659-1/1</v>
      </c>
      <c r="G637" s="2" t="str">
        <f>"Carteira 21"</f>
        <v>Carteira 21</v>
      </c>
      <c r="H637" s="2">
        <v>23</v>
      </c>
      <c r="I637" s="3">
        <v>79</v>
      </c>
      <c r="J637" s="2" t="str">
        <f>"02/01/2020"</f>
        <v>02/01/2020</v>
      </c>
      <c r="K637" s="2" t="str">
        <f>"25/01/2020"</f>
        <v>25/01/2020</v>
      </c>
      <c r="L637" s="2" t="str">
        <f>"03/02/2020"</f>
        <v>03/02/2020</v>
      </c>
      <c r="M637" s="2" t="str">
        <f>"04/02/2020"</f>
        <v>04/02/2020</v>
      </c>
      <c r="N637" s="2">
        <v>139.9</v>
      </c>
      <c r="O637" s="2">
        <v>143.02000000000001</v>
      </c>
      <c r="P637" s="2">
        <v>9.9999999999994302E-2</v>
      </c>
    </row>
    <row r="638" spans="1:16" s="2" customFormat="1" x14ac:dyDescent="0.25">
      <c r="A638" s="2">
        <v>48576469</v>
      </c>
      <c r="B638" s="2">
        <v>48576479</v>
      </c>
      <c r="C638" s="2" t="str">
        <f>"UNIMEDSJN"</f>
        <v>UNIMEDSJN</v>
      </c>
      <c r="D638" s="2" t="str">
        <f>"DH"</f>
        <v>DH</v>
      </c>
      <c r="E638" s="2" t="str">
        <f>"Maria Jose Curcio de Oliveira"</f>
        <v>Maria Jose Curcio de Oliveira</v>
      </c>
      <c r="F638" s="2" t="str">
        <f>"48576469-1/1"</f>
        <v>48576469-1/1</v>
      </c>
      <c r="G638" s="2" t="str">
        <f>"Carteira 21"</f>
        <v>Carteira 21</v>
      </c>
      <c r="H638" s="2">
        <v>23</v>
      </c>
      <c r="I638" s="3">
        <v>79</v>
      </c>
      <c r="J638" s="2" t="str">
        <f>"02/01/2020"</f>
        <v>02/01/2020</v>
      </c>
      <c r="K638" s="2" t="str">
        <f>"25/01/2020"</f>
        <v>25/01/2020</v>
      </c>
      <c r="L638" s="2" t="str">
        <f>"27/01/2020"</f>
        <v>27/01/2020</v>
      </c>
      <c r="M638" s="2" t="str">
        <f>"27/12/2019"</f>
        <v>27/12/2019</v>
      </c>
      <c r="N638" s="2">
        <v>612.25</v>
      </c>
      <c r="O638" s="2">
        <v>612.25</v>
      </c>
      <c r="P638" s="2">
        <v>0</v>
      </c>
    </row>
    <row r="639" spans="1:16" x14ac:dyDescent="0.25">
      <c r="A639">
        <v>48615624</v>
      </c>
      <c r="B639">
        <v>48615881</v>
      </c>
      <c r="C639" t="str">
        <f>"UNIMEDSJN"</f>
        <v>UNIMEDSJN</v>
      </c>
      <c r="D639" t="str">
        <f>"DH"</f>
        <v>DH</v>
      </c>
      <c r="E639" t="str">
        <f>"Maria Jose da Silva Torres"</f>
        <v>Maria Jose da Silva Torres</v>
      </c>
      <c r="F639" t="str">
        <f>"48615624-1/1"</f>
        <v>48615624-1/1</v>
      </c>
      <c r="G639" t="str">
        <f>"Carteira 21"</f>
        <v>Carteira 21</v>
      </c>
      <c r="H639">
        <v>27</v>
      </c>
      <c r="I639" s="1">
        <v>57</v>
      </c>
      <c r="J639" t="str">
        <f>"20/01/2020"</f>
        <v>20/01/2020</v>
      </c>
      <c r="K639" t="str">
        <f>"16/02/2020"</f>
        <v>16/02/2020</v>
      </c>
      <c r="L639" t="str">
        <f>"17/02/2020"</f>
        <v>17/02/2020</v>
      </c>
      <c r="M639" t="str">
        <f>"10/02/2020"</f>
        <v>10/02/2020</v>
      </c>
      <c r="N639">
        <v>938.74</v>
      </c>
      <c r="O639">
        <v>938.74</v>
      </c>
      <c r="P639">
        <v>0</v>
      </c>
    </row>
    <row r="640" spans="1:16" x14ac:dyDescent="0.25">
      <c r="A640">
        <v>48615566</v>
      </c>
      <c r="B640">
        <v>48615573</v>
      </c>
      <c r="C640" t="str">
        <f>"UNIMEDSJN"</f>
        <v>UNIMEDSJN</v>
      </c>
      <c r="D640" t="str">
        <f>"DH"</f>
        <v>DH</v>
      </c>
      <c r="E640" t="str">
        <f>"MARIA JOSE DE MENDONCA PEREIRA"</f>
        <v>MARIA JOSE DE MENDONCA PEREIRA</v>
      </c>
      <c r="F640" t="str">
        <f>"48615566-1/1"</f>
        <v>48615566-1/1</v>
      </c>
      <c r="G640" t="str">
        <f>"Carteira 21"</f>
        <v>Carteira 21</v>
      </c>
      <c r="H640">
        <v>27</v>
      </c>
      <c r="I640" s="1">
        <v>57</v>
      </c>
      <c r="J640" t="str">
        <f>"20/01/2020"</f>
        <v>20/01/2020</v>
      </c>
      <c r="K640" t="str">
        <f>"16/02/2020"</f>
        <v>16/02/2020</v>
      </c>
      <c r="L640" t="str">
        <f>"17/02/2020"</f>
        <v>17/02/2020</v>
      </c>
      <c r="M640" t="str">
        <f>"06/02/2020"</f>
        <v>06/02/2020</v>
      </c>
      <c r="N640">
        <v>248.35</v>
      </c>
      <c r="O640">
        <v>248.35</v>
      </c>
      <c r="P640">
        <v>0</v>
      </c>
    </row>
    <row r="641" spans="1:16" s="2" customFormat="1" x14ac:dyDescent="0.25">
      <c r="A641" s="2">
        <v>48561978</v>
      </c>
      <c r="B641" s="2">
        <v>48561996</v>
      </c>
      <c r="C641" s="2" t="str">
        <f>"UNIMEDSJN"</f>
        <v>UNIMEDSJN</v>
      </c>
      <c r="D641" s="2" t="str">
        <f>"DH"</f>
        <v>DH</v>
      </c>
      <c r="E641" s="2" t="str">
        <f>"MARIA JOSE FAM FONSECA"</f>
        <v>MARIA JOSE FAM FONSECA</v>
      </c>
      <c r="F641" s="2" t="str">
        <f>"48561978-1/1"</f>
        <v>48561978-1/1</v>
      </c>
      <c r="G641" s="2" t="str">
        <f>"Carteira 21"</f>
        <v>Carteira 21</v>
      </c>
      <c r="H641" s="2">
        <v>16</v>
      </c>
      <c r="I641" s="3">
        <v>86</v>
      </c>
      <c r="J641" s="2" t="str">
        <f>"02/01/2020"</f>
        <v>02/01/2020</v>
      </c>
      <c r="K641" s="2" t="str">
        <f>"18/01/2020"</f>
        <v>18/01/2020</v>
      </c>
      <c r="L641" s="2" t="str">
        <f>"12/03/2020"</f>
        <v>12/03/2020</v>
      </c>
      <c r="M641" s="2" t="str">
        <f>"13/03/2020"</f>
        <v>13/03/2020</v>
      </c>
      <c r="N641" s="2">
        <v>1569.18</v>
      </c>
      <c r="O641" s="2">
        <v>1627.49</v>
      </c>
      <c r="P641" s="2">
        <v>1.3199999999999401</v>
      </c>
    </row>
    <row r="642" spans="1:16" s="2" customFormat="1" x14ac:dyDescent="0.25">
      <c r="A642" s="2">
        <v>45910103</v>
      </c>
      <c r="B642" s="2">
        <v>45910110</v>
      </c>
      <c r="C642" s="2" t="str">
        <f>"UNIMEDSJN"</f>
        <v>UNIMEDSJN</v>
      </c>
      <c r="D642" s="2" t="str">
        <f>"DH"</f>
        <v>DH</v>
      </c>
      <c r="E642" s="2" t="str">
        <f>"Maria Jose Mendes Dornellas"</f>
        <v>Maria Jose Mendes Dornellas</v>
      </c>
      <c r="F642" s="2" t="str">
        <f>"45910103-1/1"</f>
        <v>45910103-1/1</v>
      </c>
      <c r="G642" s="2" t="str">
        <f>"Carteira 21"</f>
        <v>Carteira 21</v>
      </c>
      <c r="H642" s="2">
        <v>14</v>
      </c>
      <c r="I642" s="3">
        <v>150</v>
      </c>
      <c r="J642" s="2" t="str">
        <f>"01/11/2019"</f>
        <v>01/11/2019</v>
      </c>
      <c r="K642" s="2" t="str">
        <f>"15/11/2019"</f>
        <v>15/11/2019</v>
      </c>
      <c r="L642" s="2" t="str">
        <f>"10/02/2020"</f>
        <v>10/02/2020</v>
      </c>
      <c r="M642" s="2" t="str">
        <f>"11/02/2020"</f>
        <v>11/02/2020</v>
      </c>
      <c r="N642" s="2">
        <v>981.52</v>
      </c>
      <c r="O642" s="2">
        <v>1029.33</v>
      </c>
      <c r="P642" s="2">
        <v>0.28000000000008601</v>
      </c>
    </row>
    <row r="643" spans="1:16" s="2" customFormat="1" x14ac:dyDescent="0.25">
      <c r="A643" s="2">
        <v>47496818</v>
      </c>
      <c r="B643" s="2">
        <v>47496829</v>
      </c>
      <c r="C643" s="2" t="str">
        <f>"UNIMEDSJN"</f>
        <v>UNIMEDSJN</v>
      </c>
      <c r="D643" s="2" t="str">
        <f>"DH"</f>
        <v>DH</v>
      </c>
      <c r="E643" s="2" t="str">
        <f>"Maria Jose Mendes Dornellas"</f>
        <v>Maria Jose Mendes Dornellas</v>
      </c>
      <c r="F643" s="2" t="str">
        <f>"47496818-1/1"</f>
        <v>47496818-1/1</v>
      </c>
      <c r="G643" s="2" t="str">
        <f>"Carteira 21"</f>
        <v>Carteira 21</v>
      </c>
      <c r="H643" s="2">
        <v>44</v>
      </c>
      <c r="I643" s="3">
        <v>90</v>
      </c>
      <c r="J643" s="2" t="str">
        <f>"01/12/2019"</f>
        <v>01/12/2019</v>
      </c>
      <c r="K643" s="2" t="str">
        <f>"14/01/2020"</f>
        <v>14/01/2020</v>
      </c>
      <c r="L643" s="2" t="str">
        <f>"27/02/2020"</f>
        <v>27/02/2020</v>
      </c>
      <c r="M643" s="2" t="str">
        <f>"28/02/2020"</f>
        <v>28/02/2020</v>
      </c>
      <c r="N643" s="2">
        <v>981.52</v>
      </c>
      <c r="O643" s="2">
        <v>1024.8</v>
      </c>
      <c r="P643" s="2">
        <v>-9.25</v>
      </c>
    </row>
    <row r="644" spans="1:16" s="2" customFormat="1" x14ac:dyDescent="0.25">
      <c r="A644" s="2">
        <v>48572217</v>
      </c>
      <c r="B644" s="2">
        <v>48572234</v>
      </c>
      <c r="C644" s="2" t="str">
        <f>"UNIMEDSJN"</f>
        <v>UNIMEDSJN</v>
      </c>
      <c r="D644" s="2" t="str">
        <f>"DH"</f>
        <v>DH</v>
      </c>
      <c r="E644" s="2" t="str">
        <f>"Maria Jose Mendes Dornellas"</f>
        <v>Maria Jose Mendes Dornellas</v>
      </c>
      <c r="F644" s="2" t="str">
        <f>"48572217-1/1"</f>
        <v>48572217-1/1</v>
      </c>
      <c r="G644" s="2" t="str">
        <f>"Carteira 21"</f>
        <v>Carteira 21</v>
      </c>
      <c r="H644" s="2">
        <v>13</v>
      </c>
      <c r="I644" s="3">
        <v>89</v>
      </c>
      <c r="J644" s="2" t="str">
        <f>"02/01/2020"</f>
        <v>02/01/2020</v>
      </c>
      <c r="K644" s="2" t="str">
        <f>"15/01/2020"</f>
        <v>15/01/2020</v>
      </c>
      <c r="L644" s="2" t="str">
        <f>"24/03/2020"</f>
        <v>24/03/2020</v>
      </c>
      <c r="M644" s="2" t="str">
        <f>"25/03/2020"</f>
        <v>25/03/2020</v>
      </c>
      <c r="N644" s="2">
        <v>981.52</v>
      </c>
      <c r="O644" s="2">
        <v>1023.51</v>
      </c>
      <c r="P644" s="2">
        <v>0.21000000000003599</v>
      </c>
    </row>
    <row r="645" spans="1:16" s="2" customFormat="1" x14ac:dyDescent="0.25">
      <c r="A645" s="2">
        <v>48564192</v>
      </c>
      <c r="B645" s="2">
        <v>48564202</v>
      </c>
      <c r="C645" s="2" t="str">
        <f>"UNIMEDSJN"</f>
        <v>UNIMEDSJN</v>
      </c>
      <c r="D645" s="2" t="str">
        <f>"DH"</f>
        <v>DH</v>
      </c>
      <c r="E645" s="2" t="str">
        <f>"MARIA JOSE RABELO DE OLIVEIRA"</f>
        <v>MARIA JOSE RABELO DE OLIVEIRA</v>
      </c>
      <c r="F645" s="2" t="str">
        <f>"48564192-1/1"</f>
        <v>48564192-1/1</v>
      </c>
      <c r="G645" s="2" t="str">
        <f>"Carteira 21"</f>
        <v>Carteira 21</v>
      </c>
      <c r="H645" s="2">
        <v>23</v>
      </c>
      <c r="I645" s="3">
        <v>79</v>
      </c>
      <c r="J645" s="2" t="str">
        <f>"02/01/2020"</f>
        <v>02/01/2020</v>
      </c>
      <c r="K645" s="2" t="str">
        <f>"25/01/2020"</f>
        <v>25/01/2020</v>
      </c>
      <c r="L645" s="2" t="str">
        <f>"12/02/2020"</f>
        <v>12/02/2020</v>
      </c>
      <c r="M645" s="2" t="str">
        <f>"13/02/2020"</f>
        <v>13/02/2020</v>
      </c>
      <c r="N645" s="2">
        <v>780.82</v>
      </c>
      <c r="O645" s="2">
        <v>800.55</v>
      </c>
      <c r="P645" s="2">
        <v>0.569999999999936</v>
      </c>
    </row>
    <row r="646" spans="1:16" s="2" customFormat="1" x14ac:dyDescent="0.25">
      <c r="A646" s="2">
        <v>48566035</v>
      </c>
      <c r="B646" s="2">
        <v>48566040</v>
      </c>
      <c r="C646" s="2" t="str">
        <f>"UNIMEDSJN"</f>
        <v>UNIMEDSJN</v>
      </c>
      <c r="D646" s="2" t="str">
        <f>"DH"</f>
        <v>DH</v>
      </c>
      <c r="E646" s="2" t="str">
        <f>"MARIA LUIZA DE SOUZA REZENDE"</f>
        <v>MARIA LUIZA DE SOUZA REZENDE</v>
      </c>
      <c r="F646" s="2" t="str">
        <f>"48566035-1/1"</f>
        <v>48566035-1/1</v>
      </c>
      <c r="G646" s="2" t="str">
        <f>"Carteira 21"</f>
        <v>Carteira 21</v>
      </c>
      <c r="H646" s="2">
        <v>23</v>
      </c>
      <c r="I646" s="3">
        <v>79</v>
      </c>
      <c r="J646" s="2" t="str">
        <f>"02/01/2020"</f>
        <v>02/01/2020</v>
      </c>
      <c r="K646" s="2" t="str">
        <f>"25/01/2020"</f>
        <v>25/01/2020</v>
      </c>
      <c r="L646" s="2" t="str">
        <f>"03/02/2020"</f>
        <v>03/02/2020</v>
      </c>
      <c r="M646" s="2" t="str">
        <f>"04/02/2020"</f>
        <v>04/02/2020</v>
      </c>
      <c r="N646" s="2">
        <v>1201.02</v>
      </c>
      <c r="O646" s="2">
        <v>1227.81</v>
      </c>
      <c r="P646" s="2">
        <v>0.82999999999992702</v>
      </c>
    </row>
    <row r="647" spans="1:16" s="2" customFormat="1" x14ac:dyDescent="0.25">
      <c r="A647" s="2">
        <v>47504626</v>
      </c>
      <c r="B647" s="2">
        <v>47504643</v>
      </c>
      <c r="C647" s="2" t="str">
        <f>"UNIMEDSJN"</f>
        <v>UNIMEDSJN</v>
      </c>
      <c r="D647" s="2" t="str">
        <f>"DH"</f>
        <v>DH</v>
      </c>
      <c r="E647" s="2" t="str">
        <f>"MARIA LUIZA MAUAD"</f>
        <v>MARIA LUIZA MAUAD</v>
      </c>
      <c r="F647" s="2" t="str">
        <f>"47504626-1/1"</f>
        <v>47504626-1/1</v>
      </c>
      <c r="G647" s="2" t="str">
        <f>"Carteira 21"</f>
        <v>Carteira 21</v>
      </c>
      <c r="H647" s="2">
        <v>24</v>
      </c>
      <c r="I647" s="3">
        <v>110</v>
      </c>
      <c r="J647" s="2" t="str">
        <f>"01/12/2019"</f>
        <v>01/12/2019</v>
      </c>
      <c r="K647" s="2" t="str">
        <f>"25/12/2019"</f>
        <v>25/12/2019</v>
      </c>
      <c r="L647" s="2" t="str">
        <f>"10/02/2020"</f>
        <v>10/02/2020</v>
      </c>
      <c r="M647" s="2" t="str">
        <f>"11/02/2020"</f>
        <v>11/02/2020</v>
      </c>
      <c r="N647" s="2">
        <v>136.22999999999999</v>
      </c>
      <c r="O647" s="2">
        <v>141.06</v>
      </c>
      <c r="P647" s="2">
        <v>1.99999999999818E-2</v>
      </c>
    </row>
    <row r="648" spans="1:16" s="2" customFormat="1" x14ac:dyDescent="0.25">
      <c r="A648" s="2">
        <v>48578541</v>
      </c>
      <c r="B648" s="2">
        <v>48578546</v>
      </c>
      <c r="C648" s="2" t="str">
        <f>"UNIMEDSJN"</f>
        <v>UNIMEDSJN</v>
      </c>
      <c r="D648" s="2" t="str">
        <f>"DH"</f>
        <v>DH</v>
      </c>
      <c r="E648" s="2" t="str">
        <f>"MARIA LUIZA MAUAD"</f>
        <v>MARIA LUIZA MAUAD</v>
      </c>
      <c r="F648" s="2" t="str">
        <f>"48578541-1/1"</f>
        <v>48578541-1/1</v>
      </c>
      <c r="G648" s="2" t="str">
        <f>"Carteira 21"</f>
        <v>Carteira 21</v>
      </c>
      <c r="H648" s="2">
        <v>23</v>
      </c>
      <c r="I648" s="3">
        <v>79</v>
      </c>
      <c r="J648" s="2" t="str">
        <f>"02/01/2020"</f>
        <v>02/01/2020</v>
      </c>
      <c r="K648" s="2" t="str">
        <f>"25/01/2020"</f>
        <v>25/01/2020</v>
      </c>
      <c r="L648" s="2" t="str">
        <f>"11/03/2020"</f>
        <v>11/03/2020</v>
      </c>
      <c r="M648" s="2" t="str">
        <f>"12/03/2020"</f>
        <v>12/03/2020</v>
      </c>
      <c r="N648" s="2">
        <v>136.22999999999999</v>
      </c>
      <c r="O648" s="2">
        <v>140.93</v>
      </c>
      <c r="P648" s="2">
        <v>0.109999999999985</v>
      </c>
    </row>
    <row r="649" spans="1:16" s="2" customFormat="1" x14ac:dyDescent="0.25">
      <c r="A649" s="2">
        <v>48567186</v>
      </c>
      <c r="B649" s="2">
        <v>48567201</v>
      </c>
      <c r="C649" s="2" t="str">
        <f>"UNIMEDSJN"</f>
        <v>UNIMEDSJN</v>
      </c>
      <c r="D649" s="2" t="str">
        <f>"DH"</f>
        <v>DH</v>
      </c>
      <c r="E649" s="2" t="str">
        <f>"MARIA LUIZA RAMOS FONTENELLE"</f>
        <v>MARIA LUIZA RAMOS FONTENELLE</v>
      </c>
      <c r="F649" s="2" t="str">
        <f>"48567186-1/1"</f>
        <v>48567186-1/1</v>
      </c>
      <c r="G649" s="2" t="str">
        <f>"Carteira 21"</f>
        <v>Carteira 21</v>
      </c>
      <c r="H649" s="2">
        <v>23</v>
      </c>
      <c r="I649" s="3">
        <v>79</v>
      </c>
      <c r="J649" s="2" t="str">
        <f>"02/01/2020"</f>
        <v>02/01/2020</v>
      </c>
      <c r="K649" s="2" t="str">
        <f>"25/01/2020"</f>
        <v>25/01/2020</v>
      </c>
      <c r="L649" s="2" t="str">
        <f>"03/02/2020"</f>
        <v>03/02/2020</v>
      </c>
      <c r="M649" s="2" t="str">
        <f>"04/02/2020"</f>
        <v>04/02/2020</v>
      </c>
      <c r="N649" s="2">
        <v>274.45999999999998</v>
      </c>
      <c r="O649" s="2">
        <v>280.58</v>
      </c>
      <c r="P649" s="2">
        <v>0.189999999999998</v>
      </c>
    </row>
    <row r="650" spans="1:16" s="2" customFormat="1" x14ac:dyDescent="0.25">
      <c r="A650" s="2">
        <v>47508384</v>
      </c>
      <c r="B650" s="2">
        <v>47508389</v>
      </c>
      <c r="C650" s="2" t="str">
        <f>"UNIMEDSJN"</f>
        <v>UNIMEDSJN</v>
      </c>
      <c r="D650" s="2" t="str">
        <f>"DH"</f>
        <v>DH</v>
      </c>
      <c r="E650" s="2" t="str">
        <f>"MARIA PAULA NICODEMOS"</f>
        <v>MARIA PAULA NICODEMOS</v>
      </c>
      <c r="F650" s="2" t="str">
        <f>"47508384-1/1"</f>
        <v>47508384-1/1</v>
      </c>
      <c r="G650" s="2" t="str">
        <f>"Carteira 21"</f>
        <v>Carteira 21</v>
      </c>
      <c r="H650" s="2">
        <v>21</v>
      </c>
      <c r="I650" s="3">
        <v>113</v>
      </c>
      <c r="J650" s="2" t="str">
        <f>"01/12/2019"</f>
        <v>01/12/2019</v>
      </c>
      <c r="K650" s="2" t="str">
        <f>"22/12/2019"</f>
        <v>22/12/2019</v>
      </c>
      <c r="L650" s="2" t="str">
        <f>"17/02/2020"</f>
        <v>17/02/2020</v>
      </c>
      <c r="M650" s="2" t="str">
        <f>"18/02/2020"</f>
        <v>18/02/2020</v>
      </c>
      <c r="N650" s="2">
        <v>264.14999999999998</v>
      </c>
      <c r="O650" s="2">
        <v>274.31</v>
      </c>
      <c r="P650" s="2">
        <v>0.139999999999986</v>
      </c>
    </row>
    <row r="651" spans="1:16" s="2" customFormat="1" x14ac:dyDescent="0.25">
      <c r="A651" s="2">
        <v>48582231</v>
      </c>
      <c r="B651" s="2">
        <v>48582241</v>
      </c>
      <c r="C651" s="2" t="str">
        <f>"UNIMEDSJN"</f>
        <v>UNIMEDSJN</v>
      </c>
      <c r="D651" s="2" t="str">
        <f>"DH"</f>
        <v>DH</v>
      </c>
      <c r="E651" s="2" t="str">
        <f>"MARIA PAULA NICODEMOS"</f>
        <v>MARIA PAULA NICODEMOS</v>
      </c>
      <c r="F651" s="2" t="str">
        <f>"48582231-1/1"</f>
        <v>48582231-1/1</v>
      </c>
      <c r="G651" s="2" t="str">
        <f>"Carteira 21"</f>
        <v>Carteira 21</v>
      </c>
      <c r="H651" s="2">
        <v>20</v>
      </c>
      <c r="I651" s="3">
        <v>82</v>
      </c>
      <c r="J651" s="2" t="str">
        <f>"02/01/2020"</f>
        <v>02/01/2020</v>
      </c>
      <c r="K651" s="2" t="str">
        <f>"22/01/2020"</f>
        <v>22/01/2020</v>
      </c>
      <c r="L651" s="2" t="str">
        <f>"18/03/2020"</f>
        <v>18/03/2020</v>
      </c>
      <c r="M651" s="2" t="str">
        <f>"19/03/2020"</f>
        <v>19/03/2020</v>
      </c>
      <c r="N651" s="2">
        <v>264.14999999999998</v>
      </c>
      <c r="O651" s="2">
        <v>274.31</v>
      </c>
      <c r="P651" s="2">
        <v>4.9999999999954498E-2</v>
      </c>
    </row>
    <row r="652" spans="1:16" s="2" customFormat="1" x14ac:dyDescent="0.25">
      <c r="A652" s="2">
        <v>48496505</v>
      </c>
      <c r="B652" s="2">
        <v>48496515</v>
      </c>
      <c r="C652" s="2" t="str">
        <f>"UNIMEDSJN"</f>
        <v>UNIMEDSJN</v>
      </c>
      <c r="D652" s="2" t="str">
        <f>"DH"</f>
        <v>DH</v>
      </c>
      <c r="E652" s="2" t="str">
        <f>"Maria Raquel Rabello Ramos E Fernandes"</f>
        <v>Maria Raquel Rabello Ramos E Fernandes</v>
      </c>
      <c r="F652" s="2" t="str">
        <f>"48496505-1/1"</f>
        <v>48496505-1/1</v>
      </c>
      <c r="G652" s="2" t="str">
        <f>"Carteira 21"</f>
        <v>Carteira 21</v>
      </c>
      <c r="H652" s="2">
        <v>21</v>
      </c>
      <c r="I652" s="3">
        <v>88</v>
      </c>
      <c r="J652" s="2" t="str">
        <f>"26/12/2019"</f>
        <v>26/12/2019</v>
      </c>
      <c r="K652" s="2" t="str">
        <f>"16/01/2020"</f>
        <v>16/01/2020</v>
      </c>
      <c r="L652" s="2" t="str">
        <f>"03/02/2020"</f>
        <v>03/02/2020</v>
      </c>
      <c r="M652" s="2" t="str">
        <f>"04/02/2020"</f>
        <v>04/02/2020</v>
      </c>
      <c r="N652" s="2">
        <v>351.32</v>
      </c>
      <c r="O652" s="2">
        <v>360.44</v>
      </c>
      <c r="P652" s="2">
        <v>1.99999999999818E-2</v>
      </c>
    </row>
    <row r="653" spans="1:16" x14ac:dyDescent="0.25">
      <c r="A653">
        <v>48793875</v>
      </c>
      <c r="B653">
        <v>48793885</v>
      </c>
      <c r="C653" t="str">
        <f>"UNIMEDSJN"</f>
        <v>UNIMEDSJN</v>
      </c>
      <c r="D653" t="str">
        <f>"DH"</f>
        <v>DH</v>
      </c>
      <c r="E653" t="str">
        <f>"Maria Raquel Rabello Ramos E Fernandes"</f>
        <v>Maria Raquel Rabello Ramos E Fernandes</v>
      </c>
      <c r="F653" t="str">
        <f>"48793875-1/1"</f>
        <v>48793875-1/1</v>
      </c>
      <c r="G653" t="str">
        <f>"Carteira 21"</f>
        <v>Carteira 21</v>
      </c>
      <c r="H653">
        <v>27</v>
      </c>
      <c r="I653" s="1">
        <v>57</v>
      </c>
      <c r="J653" t="str">
        <f>"20/01/2020"</f>
        <v>20/01/2020</v>
      </c>
      <c r="K653" t="str">
        <f>"16/02/2020"</f>
        <v>16/02/2020</v>
      </c>
      <c r="L653" t="str">
        <f>"02/03/2020"</f>
        <v>02/03/2020</v>
      </c>
      <c r="M653" t="str">
        <f>"03/03/2020"</f>
        <v>03/03/2020</v>
      </c>
      <c r="N653">
        <v>351.32</v>
      </c>
      <c r="O653">
        <v>359.97</v>
      </c>
      <c r="P653">
        <v>0.139999999999986</v>
      </c>
    </row>
    <row r="654" spans="1:16" s="2" customFormat="1" x14ac:dyDescent="0.25">
      <c r="A654" s="2">
        <v>48568529</v>
      </c>
      <c r="B654" s="2">
        <v>48568541</v>
      </c>
      <c r="C654" s="2" t="str">
        <f>"UNIMEDSJN"</f>
        <v>UNIMEDSJN</v>
      </c>
      <c r="D654" s="2" t="str">
        <f>"DH"</f>
        <v>DH</v>
      </c>
      <c r="E654" s="2" t="str">
        <f>"MARIA VIRGINIA DA SILVA PINTON"</f>
        <v>MARIA VIRGINIA DA SILVA PINTON</v>
      </c>
      <c r="F654" s="2" t="str">
        <f>"48568529-1/1"</f>
        <v>48568529-1/1</v>
      </c>
      <c r="G654" s="2" t="str">
        <f>"Carteira 21"</f>
        <v>Carteira 21</v>
      </c>
      <c r="H654" s="2">
        <v>23</v>
      </c>
      <c r="I654" s="3">
        <v>79</v>
      </c>
      <c r="J654" s="2" t="str">
        <f>"02/01/2020"</f>
        <v>02/01/2020</v>
      </c>
      <c r="K654" s="2" t="str">
        <f>"25/01/2020"</f>
        <v>25/01/2020</v>
      </c>
      <c r="L654" s="2" t="str">
        <f>"21/02/2020"</f>
        <v>21/02/2020</v>
      </c>
      <c r="M654" s="2" t="str">
        <f>"24/02/2020"</f>
        <v>24/02/2020</v>
      </c>
      <c r="N654" s="2">
        <v>249.72</v>
      </c>
      <c r="O654" s="2">
        <v>249.72</v>
      </c>
      <c r="P654" s="2">
        <v>7.24000000000001</v>
      </c>
    </row>
    <row r="655" spans="1:16" s="2" customFormat="1" x14ac:dyDescent="0.25">
      <c r="A655" s="2">
        <v>45923211</v>
      </c>
      <c r="B655" s="2">
        <v>45923216</v>
      </c>
      <c r="C655" s="2" t="str">
        <f>"UNIMEDSJN"</f>
        <v>UNIMEDSJN</v>
      </c>
      <c r="D655" s="2" t="str">
        <f>"DH"</f>
        <v>DH</v>
      </c>
      <c r="E655" s="2" t="str">
        <f>"Mariana Gouvea Carpanez de Mello"</f>
        <v>Mariana Gouvea Carpanez de Mello</v>
      </c>
      <c r="F655" s="2" t="str">
        <f>"45923211-1/1"</f>
        <v>45923211-1/1</v>
      </c>
      <c r="G655" s="2" t="str">
        <f>"Carteira 21"</f>
        <v>Carteira 21</v>
      </c>
      <c r="H655" s="2">
        <v>24</v>
      </c>
      <c r="I655" s="3">
        <v>140</v>
      </c>
      <c r="J655" s="2" t="str">
        <f>"01/11/2019"</f>
        <v>01/11/2019</v>
      </c>
      <c r="K655" s="2" t="str">
        <f>"25/11/2019"</f>
        <v>25/11/2019</v>
      </c>
      <c r="L655" s="2" t="str">
        <f>"05/02/2020"</f>
        <v>05/02/2020</v>
      </c>
      <c r="M655" s="2" t="str">
        <f>"06/02/2020"</f>
        <v>06/02/2020</v>
      </c>
      <c r="N655" s="2">
        <v>68.900000000000006</v>
      </c>
      <c r="O655" s="2">
        <v>71.92</v>
      </c>
      <c r="P655" s="2">
        <v>1.00000000000051E-2</v>
      </c>
    </row>
    <row r="656" spans="1:16" s="2" customFormat="1" x14ac:dyDescent="0.25">
      <c r="A656" s="2">
        <v>48584301</v>
      </c>
      <c r="B656" s="2">
        <v>48584309</v>
      </c>
      <c r="C656" s="2" t="str">
        <f>"UNIMEDSJN"</f>
        <v>UNIMEDSJN</v>
      </c>
      <c r="D656" s="2" t="str">
        <f>"DH"</f>
        <v>DH</v>
      </c>
      <c r="E656" s="2" t="str">
        <f>"MARIANA VITAL BAIAO OLIVEIRA SILVA"</f>
        <v>MARIANA VITAL BAIAO OLIVEIRA SILVA</v>
      </c>
      <c r="F656" s="2" t="str">
        <f>"48584301-1/1"</f>
        <v>48584301-1/1</v>
      </c>
      <c r="G656" s="2" t="str">
        <f>"Carteira 21"</f>
        <v>Carteira 21</v>
      </c>
      <c r="H656" s="2">
        <v>23</v>
      </c>
      <c r="I656" s="3">
        <v>79</v>
      </c>
      <c r="J656" s="2" t="str">
        <f>"02/01/2020"</f>
        <v>02/01/2020</v>
      </c>
      <c r="K656" s="2" t="str">
        <f>"25/01/2020"</f>
        <v>25/01/2020</v>
      </c>
      <c r="L656" s="2" t="str">
        <f>"05/02/2020"</f>
        <v>05/02/2020</v>
      </c>
      <c r="M656" s="2" t="str">
        <f>"06/02/2020"</f>
        <v>06/02/2020</v>
      </c>
      <c r="N656" s="2">
        <v>202.15</v>
      </c>
      <c r="O656" s="2">
        <v>206.79</v>
      </c>
      <c r="P656" s="2">
        <v>0.140000000000015</v>
      </c>
    </row>
    <row r="657" spans="1:16" s="2" customFormat="1" x14ac:dyDescent="0.25">
      <c r="A657" s="2">
        <v>48580993</v>
      </c>
      <c r="B657" s="2">
        <v>48581011</v>
      </c>
      <c r="C657" s="2" t="str">
        <f>"UNIMEDSJN"</f>
        <v>UNIMEDSJN</v>
      </c>
      <c r="D657" s="2" t="str">
        <f>"DH"</f>
        <v>DH</v>
      </c>
      <c r="E657" s="2" t="str">
        <f>"Mariangela Christovam Dias da Costa Torres"</f>
        <v>Mariangela Christovam Dias da Costa Torres</v>
      </c>
      <c r="F657" s="2" t="str">
        <f>"48580993-1/1"</f>
        <v>48580993-1/1</v>
      </c>
      <c r="G657" s="2" t="str">
        <f>"Carteira 21"</f>
        <v>Carteira 21</v>
      </c>
      <c r="H657" s="2">
        <v>13</v>
      </c>
      <c r="I657" s="3">
        <v>89</v>
      </c>
      <c r="J657" s="2" t="str">
        <f>"02/01/2020"</f>
        <v>02/01/2020</v>
      </c>
      <c r="K657" s="2" t="str">
        <f>"15/01/2020"</f>
        <v>15/01/2020</v>
      </c>
      <c r="L657" s="2" t="str">
        <f>"04/02/2020"</f>
        <v>04/02/2020</v>
      </c>
      <c r="M657" s="2" t="str">
        <f>"05/02/2020"</f>
        <v>05/02/2020</v>
      </c>
      <c r="N657" s="2">
        <v>721.69</v>
      </c>
      <c r="O657" s="2">
        <v>740.88</v>
      </c>
      <c r="P657" s="2">
        <v>5.0000000000068198E-2</v>
      </c>
    </row>
    <row r="658" spans="1:16" s="2" customFormat="1" x14ac:dyDescent="0.25">
      <c r="A658" s="2">
        <v>48568792</v>
      </c>
      <c r="B658" s="2">
        <v>48568809</v>
      </c>
      <c r="C658" s="2" t="str">
        <f>"UNIMEDSJN"</f>
        <v>UNIMEDSJN</v>
      </c>
      <c r="D658" s="2" t="str">
        <f>"DH"</f>
        <v>DH</v>
      </c>
      <c r="E658" s="2" t="str">
        <f>"MARIELE RODRIGUES LIMA"</f>
        <v>MARIELE RODRIGUES LIMA</v>
      </c>
      <c r="F658" s="2" t="str">
        <f>"48568792-1/1"</f>
        <v>48568792-1/1</v>
      </c>
      <c r="G658" s="2" t="str">
        <f>"Carteira 21"</f>
        <v>Carteira 21</v>
      </c>
      <c r="H658" s="2">
        <v>20</v>
      </c>
      <c r="I658" s="3">
        <v>82</v>
      </c>
      <c r="J658" s="2" t="str">
        <f>"02/01/2020"</f>
        <v>02/01/2020</v>
      </c>
      <c r="K658" s="2" t="str">
        <f>"22/01/2020"</f>
        <v>22/01/2020</v>
      </c>
      <c r="L658" s="2" t="str">
        <f>"04/02/2020"</f>
        <v>04/02/2020</v>
      </c>
      <c r="M658" s="2" t="str">
        <f>"05/02/2020"</f>
        <v>05/02/2020</v>
      </c>
      <c r="N658" s="2">
        <v>232.83</v>
      </c>
      <c r="O658" s="2">
        <v>238.49</v>
      </c>
      <c r="P658" s="2">
        <v>9.9999999999909103E-3</v>
      </c>
    </row>
    <row r="659" spans="1:16" s="2" customFormat="1" x14ac:dyDescent="0.25">
      <c r="A659" s="2">
        <v>48586221</v>
      </c>
      <c r="B659" s="2">
        <v>48586228</v>
      </c>
      <c r="C659" s="2" t="str">
        <f>"UNIMEDSJN"</f>
        <v>UNIMEDSJN</v>
      </c>
      <c r="D659" s="2" t="str">
        <f>"DH"</f>
        <v>DH</v>
      </c>
      <c r="E659" s="2" t="str">
        <f>"Marilea Teixeira de Oliveira Almeida"</f>
        <v>Marilea Teixeira de Oliveira Almeida</v>
      </c>
      <c r="F659" s="2" t="str">
        <f>"48586221-1/1"</f>
        <v>48586221-1/1</v>
      </c>
      <c r="G659" s="2" t="str">
        <f>"Carteira 21"</f>
        <v>Carteira 21</v>
      </c>
      <c r="H659" s="2">
        <v>23</v>
      </c>
      <c r="I659" s="3">
        <v>79</v>
      </c>
      <c r="J659" s="2" t="str">
        <f>"02/01/2020"</f>
        <v>02/01/2020</v>
      </c>
      <c r="K659" s="2" t="str">
        <f>"25/01/2020"</f>
        <v>25/01/2020</v>
      </c>
      <c r="L659" s="2" t="str">
        <f>"04/02/2020"</f>
        <v>04/02/2020</v>
      </c>
      <c r="M659" s="2" t="str">
        <f>"05/02/2020"</f>
        <v>05/02/2020</v>
      </c>
      <c r="N659" s="2">
        <v>168.01</v>
      </c>
      <c r="O659" s="2">
        <v>171.81</v>
      </c>
      <c r="P659" s="2">
        <v>0.119999999999976</v>
      </c>
    </row>
    <row r="660" spans="1:16" s="2" customFormat="1" x14ac:dyDescent="0.25">
      <c r="A660" s="2">
        <v>48586230</v>
      </c>
      <c r="B660" s="2">
        <v>48586237</v>
      </c>
      <c r="C660" s="2" t="str">
        <f>"UNIMEDSJN"</f>
        <v>UNIMEDSJN</v>
      </c>
      <c r="D660" s="2" t="str">
        <f>"DH"</f>
        <v>DH</v>
      </c>
      <c r="E660" s="2" t="str">
        <f>"Marilea Teixeira de Oliveira Almeida"</f>
        <v>Marilea Teixeira de Oliveira Almeida</v>
      </c>
      <c r="F660" s="2" t="str">
        <f>"48586230-1/1"</f>
        <v>48586230-1/1</v>
      </c>
      <c r="G660" s="2" t="str">
        <f>"Carteira 21"</f>
        <v>Carteira 21</v>
      </c>
      <c r="H660" s="2">
        <v>23</v>
      </c>
      <c r="I660" s="3">
        <v>79</v>
      </c>
      <c r="J660" s="2" t="str">
        <f>"02/01/2020"</f>
        <v>02/01/2020</v>
      </c>
      <c r="K660" s="2" t="str">
        <f>"25/01/2020"</f>
        <v>25/01/2020</v>
      </c>
      <c r="L660" s="2" t="str">
        <f>"04/02/2020"</f>
        <v>04/02/2020</v>
      </c>
      <c r="M660" s="2" t="str">
        <f>"05/02/2020"</f>
        <v>05/02/2020</v>
      </c>
      <c r="N660" s="2">
        <v>168.01</v>
      </c>
      <c r="O660" s="2">
        <v>171.81</v>
      </c>
      <c r="P660" s="2">
        <v>0.119999999999976</v>
      </c>
    </row>
    <row r="661" spans="1:16" s="2" customFormat="1" x14ac:dyDescent="0.25">
      <c r="A661" s="2">
        <v>48586239</v>
      </c>
      <c r="B661" s="2">
        <v>48586246</v>
      </c>
      <c r="C661" s="2" t="str">
        <f>"UNIMEDSJN"</f>
        <v>UNIMEDSJN</v>
      </c>
      <c r="D661" s="2" t="str">
        <f>"DH"</f>
        <v>DH</v>
      </c>
      <c r="E661" s="2" t="str">
        <f>"Marilea Teixeira de Oliveira Almeida"</f>
        <v>Marilea Teixeira de Oliveira Almeida</v>
      </c>
      <c r="F661" s="2" t="str">
        <f>"48586239-1/1"</f>
        <v>48586239-1/1</v>
      </c>
      <c r="G661" s="2" t="str">
        <f>"Carteira 21"</f>
        <v>Carteira 21</v>
      </c>
      <c r="H661" s="2">
        <v>23</v>
      </c>
      <c r="I661" s="3">
        <v>79</v>
      </c>
      <c r="J661" s="2" t="str">
        <f>"02/01/2020"</f>
        <v>02/01/2020</v>
      </c>
      <c r="K661" s="2" t="str">
        <f>"25/01/2020"</f>
        <v>25/01/2020</v>
      </c>
      <c r="L661" s="2" t="str">
        <f>"04/02/2020"</f>
        <v>04/02/2020</v>
      </c>
      <c r="M661" s="2" t="str">
        <f>"05/02/2020"</f>
        <v>05/02/2020</v>
      </c>
      <c r="N661" s="2">
        <v>168.01</v>
      </c>
      <c r="O661" s="2">
        <v>171.81</v>
      </c>
      <c r="P661" s="2">
        <v>0.119999999999976</v>
      </c>
    </row>
    <row r="662" spans="1:16" x14ac:dyDescent="0.25">
      <c r="A662">
        <v>48615613</v>
      </c>
      <c r="B662">
        <v>48615622</v>
      </c>
      <c r="C662" t="str">
        <f>"UNIMEDSJN"</f>
        <v>UNIMEDSJN</v>
      </c>
      <c r="D662" t="str">
        <f>"DH"</f>
        <v>DH</v>
      </c>
      <c r="E662" t="str">
        <f>"MARILENE DE FRANCA NOGUEIRA"</f>
        <v>MARILENE DE FRANCA NOGUEIRA</v>
      </c>
      <c r="F662" t="str">
        <f>"48615613-1/1"</f>
        <v>48615613-1/1</v>
      </c>
      <c r="G662" t="str">
        <f>"Carteira 21"</f>
        <v>Carteira 21</v>
      </c>
      <c r="H662">
        <v>37</v>
      </c>
      <c r="I662" s="1">
        <v>47</v>
      </c>
      <c r="J662" t="str">
        <f>"20/01/2020"</f>
        <v>20/01/2020</v>
      </c>
      <c r="K662" t="str">
        <f>"26/02/2020"</f>
        <v>26/02/2020</v>
      </c>
      <c r="L662" t="str">
        <f>"26/02/2020"</f>
        <v>26/02/2020</v>
      </c>
      <c r="M662" t="str">
        <f>"21/02/2020"</f>
        <v>21/02/2020</v>
      </c>
      <c r="N662">
        <v>1348.06</v>
      </c>
      <c r="O662">
        <v>1348.06</v>
      </c>
      <c r="P662">
        <v>0</v>
      </c>
    </row>
    <row r="663" spans="1:16" s="2" customFormat="1" x14ac:dyDescent="0.25">
      <c r="A663" s="2">
        <v>48572541</v>
      </c>
      <c r="B663" s="2">
        <v>48572559</v>
      </c>
      <c r="C663" s="2" t="str">
        <f>"UNIMEDSJN"</f>
        <v>UNIMEDSJN</v>
      </c>
      <c r="D663" s="2" t="str">
        <f>"DH"</f>
        <v>DH</v>
      </c>
      <c r="E663" s="2" t="str">
        <f>"Marilia Gotelip Tostes"</f>
        <v>Marilia Gotelip Tostes</v>
      </c>
      <c r="F663" s="2" t="str">
        <f>"48572541-1/1"</f>
        <v>48572541-1/1</v>
      </c>
      <c r="G663" s="2" t="str">
        <f>"Carteira 21"</f>
        <v>Carteira 21</v>
      </c>
      <c r="H663" s="2">
        <v>23</v>
      </c>
      <c r="I663" s="3">
        <v>79</v>
      </c>
      <c r="J663" s="2" t="str">
        <f>"02/01/2020"</f>
        <v>02/01/2020</v>
      </c>
      <c r="K663" s="2" t="str">
        <f>"25/01/2020"</f>
        <v>25/01/2020</v>
      </c>
      <c r="L663" s="2" t="str">
        <f>"27/01/2020"</f>
        <v>27/01/2020</v>
      </c>
      <c r="M663" s="2" t="str">
        <f>"27/12/2019"</f>
        <v>27/12/2019</v>
      </c>
      <c r="N663" s="2">
        <v>1472.75</v>
      </c>
      <c r="O663" s="2">
        <v>1472.75</v>
      </c>
      <c r="P663" s="2">
        <v>0</v>
      </c>
    </row>
    <row r="664" spans="1:16" s="2" customFormat="1" x14ac:dyDescent="0.25">
      <c r="A664" s="2">
        <v>48575744</v>
      </c>
      <c r="B664" s="2">
        <v>48575762</v>
      </c>
      <c r="C664" s="2" t="str">
        <f>"UNIMEDSJN"</f>
        <v>UNIMEDSJN</v>
      </c>
      <c r="D664" s="2" t="str">
        <f>"DH"</f>
        <v>DH</v>
      </c>
      <c r="E664" s="2" t="str">
        <f>"MARINA LEIVA SANTIAGO SILVEIRA"</f>
        <v>MARINA LEIVA SANTIAGO SILVEIRA</v>
      </c>
      <c r="F664" s="2" t="str">
        <f>"48575744-1/1"</f>
        <v>48575744-1/1</v>
      </c>
      <c r="G664" s="2" t="str">
        <f>"Carteira 21"</f>
        <v>Carteira 21</v>
      </c>
      <c r="H664" s="2">
        <v>23</v>
      </c>
      <c r="I664" s="3">
        <v>79</v>
      </c>
      <c r="J664" s="2" t="str">
        <f>"02/01/2020"</f>
        <v>02/01/2020</v>
      </c>
      <c r="K664" s="2" t="str">
        <f>"25/01/2020"</f>
        <v>25/01/2020</v>
      </c>
      <c r="L664" s="2" t="str">
        <f>"11/02/2020"</f>
        <v>11/02/2020</v>
      </c>
      <c r="M664" s="2" t="str">
        <f>"12/02/2020"</f>
        <v>12/02/2020</v>
      </c>
      <c r="N664" s="2">
        <v>242.93</v>
      </c>
      <c r="O664" s="2">
        <v>248.99</v>
      </c>
      <c r="P664" s="2">
        <v>0.18000000000000699</v>
      </c>
    </row>
    <row r="665" spans="1:16" s="2" customFormat="1" x14ac:dyDescent="0.25">
      <c r="A665" s="2">
        <v>48578211</v>
      </c>
      <c r="B665" s="2">
        <v>48578216</v>
      </c>
      <c r="C665" s="2" t="str">
        <f>"UNIMEDSJN"</f>
        <v>UNIMEDSJN</v>
      </c>
      <c r="D665" s="2" t="str">
        <f>"DH"</f>
        <v>DH</v>
      </c>
      <c r="E665" s="2" t="str">
        <f>"MARIO AUGUSTO DE CARVALHO MAGALHAES"</f>
        <v>MARIO AUGUSTO DE CARVALHO MAGALHAES</v>
      </c>
      <c r="F665" s="2" t="str">
        <f>"48578211-1/1"</f>
        <v>48578211-1/1</v>
      </c>
      <c r="G665" s="2" t="str">
        <f>"Carteira 21"</f>
        <v>Carteira 21</v>
      </c>
      <c r="H665" s="2">
        <v>23</v>
      </c>
      <c r="I665" s="3">
        <v>79</v>
      </c>
      <c r="J665" s="2" t="str">
        <f>"02/01/2020"</f>
        <v>02/01/2020</v>
      </c>
      <c r="K665" s="2" t="str">
        <f>"25/01/2020"</f>
        <v>25/01/2020</v>
      </c>
      <c r="L665" s="2" t="str">
        <f>"18/02/2020"</f>
        <v>18/02/2020</v>
      </c>
      <c r="M665" s="2" t="str">
        <f>"19/02/2020"</f>
        <v>19/02/2020</v>
      </c>
      <c r="N665" s="2">
        <v>303.89999999999998</v>
      </c>
      <c r="O665" s="2">
        <v>312.18</v>
      </c>
      <c r="P665" s="2">
        <v>0.230000000000018</v>
      </c>
    </row>
    <row r="666" spans="1:16" s="2" customFormat="1" x14ac:dyDescent="0.25">
      <c r="A666" s="2">
        <v>48798431</v>
      </c>
      <c r="B666" s="2">
        <v>48798438</v>
      </c>
      <c r="C666" s="2" t="str">
        <f>"UNIMEDSJN"</f>
        <v>UNIMEDSJN</v>
      </c>
      <c r="D666" s="2" t="str">
        <f>"DH"</f>
        <v>DH</v>
      </c>
      <c r="E666" s="2" t="str">
        <f>"MARISA LUIZA DE CASTRO"</f>
        <v>MARISA LUIZA DE CASTRO</v>
      </c>
      <c r="F666" s="2" t="str">
        <f>"48798431-1/1"</f>
        <v>48798431-1/1</v>
      </c>
      <c r="G666" s="2" t="str">
        <f>"Carteira 21"</f>
        <v>Carteira 21</v>
      </c>
      <c r="H666" s="2">
        <v>21</v>
      </c>
      <c r="I666" s="3">
        <v>63</v>
      </c>
      <c r="J666" s="2" t="str">
        <f>"20/01/2020"</f>
        <v>20/01/2020</v>
      </c>
      <c r="K666" s="2" t="str">
        <f>"10/02/2020"</f>
        <v>10/02/2020</v>
      </c>
      <c r="L666" s="2" t="str">
        <f>"10/02/2020"</f>
        <v>10/02/2020</v>
      </c>
      <c r="M666" s="2" t="str">
        <f>"06/02/2020"</f>
        <v>06/02/2020</v>
      </c>
      <c r="N666" s="2">
        <v>157.36000000000001</v>
      </c>
      <c r="O666" s="2">
        <v>157.36000000000001</v>
      </c>
      <c r="P666" s="2">
        <v>0</v>
      </c>
    </row>
    <row r="667" spans="1:16" s="2" customFormat="1" x14ac:dyDescent="0.25">
      <c r="A667" s="2">
        <v>48567671</v>
      </c>
      <c r="B667" s="2">
        <v>48567678</v>
      </c>
      <c r="C667" s="2" t="str">
        <f>"UNIMEDSJN"</f>
        <v>UNIMEDSJN</v>
      </c>
      <c r="D667" s="2" t="str">
        <f>"DH"</f>
        <v>DH</v>
      </c>
      <c r="E667" s="2" t="str">
        <f>"MARISTELA MENDES FURTADO"</f>
        <v>MARISTELA MENDES FURTADO</v>
      </c>
      <c r="F667" s="2" t="str">
        <f>"48567671-1/1"</f>
        <v>48567671-1/1</v>
      </c>
      <c r="G667" s="2" t="str">
        <f>"Carteira 21"</f>
        <v>Carteira 21</v>
      </c>
      <c r="H667" s="2">
        <v>23</v>
      </c>
      <c r="I667" s="3">
        <v>79</v>
      </c>
      <c r="J667" s="2" t="str">
        <f>"02/01/2020"</f>
        <v>02/01/2020</v>
      </c>
      <c r="K667" s="2" t="str">
        <f>"25/01/2020"</f>
        <v>25/01/2020</v>
      </c>
      <c r="L667" s="2" t="str">
        <f>"03/02/2020"</f>
        <v>03/02/2020</v>
      </c>
      <c r="M667" s="2" t="str">
        <f>"04/02/2020"</f>
        <v>04/02/2020</v>
      </c>
      <c r="N667" s="2">
        <v>722.82</v>
      </c>
      <c r="O667" s="2">
        <v>738.95</v>
      </c>
      <c r="P667" s="2">
        <v>0.5</v>
      </c>
    </row>
    <row r="668" spans="1:16" s="2" customFormat="1" x14ac:dyDescent="0.25">
      <c r="A668" s="2">
        <v>48584702</v>
      </c>
      <c r="B668" s="2">
        <v>48584710</v>
      </c>
      <c r="C668" s="2" t="str">
        <f>"UNIMEDSJN"</f>
        <v>UNIMEDSJN</v>
      </c>
      <c r="D668" s="2" t="str">
        <f>"DH"</f>
        <v>DH</v>
      </c>
      <c r="E668" s="2" t="str">
        <f>"Marjorie Claro Cabido"</f>
        <v>Marjorie Claro Cabido</v>
      </c>
      <c r="F668" s="2" t="str">
        <f>"48584702-1/1"</f>
        <v>48584702-1/1</v>
      </c>
      <c r="G668" s="2" t="str">
        <f>"Carteira 21"</f>
        <v>Carteira 21</v>
      </c>
      <c r="H668" s="2">
        <v>23</v>
      </c>
      <c r="I668" s="3">
        <v>79</v>
      </c>
      <c r="J668" s="2" t="str">
        <f>"02/01/2020"</f>
        <v>02/01/2020</v>
      </c>
      <c r="K668" s="2" t="str">
        <f>"25/01/2020"</f>
        <v>25/01/2020</v>
      </c>
      <c r="L668" s="2" t="str">
        <f>"28/02/2020"</f>
        <v>28/02/2020</v>
      </c>
      <c r="M668" s="2" t="str">
        <f>"13/03/2020"</f>
        <v>13/03/2020</v>
      </c>
      <c r="N668" s="2">
        <v>178.59</v>
      </c>
      <c r="O668" s="2">
        <v>184.05</v>
      </c>
      <c r="P668" s="2">
        <v>0.12999999999999501</v>
      </c>
    </row>
    <row r="669" spans="1:16" s="2" customFormat="1" x14ac:dyDescent="0.25">
      <c r="A669" s="2">
        <v>48566958</v>
      </c>
      <c r="B669" s="2">
        <v>48566973</v>
      </c>
      <c r="C669" s="2" t="str">
        <f>"UNIMEDSJN"</f>
        <v>UNIMEDSJN</v>
      </c>
      <c r="D669" s="2" t="str">
        <f>"DH"</f>
        <v>DH</v>
      </c>
      <c r="E669" s="2" t="str">
        <f>"Matheus de Araujo dos Santos"</f>
        <v>Matheus de Araujo dos Santos</v>
      </c>
      <c r="F669" s="2" t="str">
        <f>"48566958-1/1"</f>
        <v>48566958-1/1</v>
      </c>
      <c r="G669" s="2" t="str">
        <f>"Carteira 21"</f>
        <v>Carteira 21</v>
      </c>
      <c r="H669" s="2">
        <v>13</v>
      </c>
      <c r="I669" s="3">
        <v>89</v>
      </c>
      <c r="J669" s="2" t="str">
        <f>"02/01/2020"</f>
        <v>02/01/2020</v>
      </c>
      <c r="K669" s="2" t="str">
        <f>"15/01/2020"</f>
        <v>15/01/2020</v>
      </c>
      <c r="L669" s="2" t="str">
        <f>"14/02/2020"</f>
        <v>14/02/2020</v>
      </c>
      <c r="M669" s="2" t="str">
        <f>"17/02/2020"</f>
        <v>17/02/2020</v>
      </c>
      <c r="N669" s="2">
        <v>236.57</v>
      </c>
      <c r="O669" s="2">
        <v>243.64</v>
      </c>
      <c r="P669" s="2">
        <v>2.9999999999972701E-2</v>
      </c>
    </row>
    <row r="670" spans="1:16" s="2" customFormat="1" x14ac:dyDescent="0.25">
      <c r="A670" s="2">
        <v>48599141</v>
      </c>
      <c r="B670" s="2">
        <v>48599148</v>
      </c>
      <c r="C670" s="2" t="str">
        <f>"UNIMEDSJN"</f>
        <v>UNIMEDSJN</v>
      </c>
      <c r="D670" s="2" t="str">
        <f>"DH"</f>
        <v>DH</v>
      </c>
      <c r="E670" s="2" t="str">
        <f>"Matheus de Toledo Vilela"</f>
        <v>Matheus de Toledo Vilela</v>
      </c>
      <c r="F670" s="2" t="str">
        <f>"48599141-1/1"</f>
        <v>48599141-1/1</v>
      </c>
      <c r="G670" s="2" t="str">
        <f>"Carteira 21"</f>
        <v>Carteira 21</v>
      </c>
      <c r="H670" s="2">
        <v>28</v>
      </c>
      <c r="I670" s="3">
        <v>74</v>
      </c>
      <c r="J670" s="2" t="str">
        <f>"02/01/2020"</f>
        <v>02/01/2020</v>
      </c>
      <c r="K670" s="2" t="str">
        <f>"30/01/2020"</f>
        <v>30/01/2020</v>
      </c>
      <c r="L670" s="2" t="str">
        <f>"07/02/2020"</f>
        <v>07/02/2020</v>
      </c>
      <c r="M670" s="2" t="str">
        <f>"10/02/2020"</f>
        <v>10/02/2020</v>
      </c>
      <c r="N670" s="2">
        <v>483.22</v>
      </c>
      <c r="O670" s="2">
        <v>494.16</v>
      </c>
      <c r="P670" s="2">
        <v>9.9999999999909103E-3</v>
      </c>
    </row>
    <row r="671" spans="1:16" s="2" customFormat="1" x14ac:dyDescent="0.25">
      <c r="A671" s="2">
        <v>48566437</v>
      </c>
      <c r="B671" s="2">
        <v>48566447</v>
      </c>
      <c r="C671" s="2" t="str">
        <f>"UNIMEDSJN"</f>
        <v>UNIMEDSJN</v>
      </c>
      <c r="D671" s="2" t="str">
        <f>"DH"</f>
        <v>DH</v>
      </c>
      <c r="E671" s="2" t="str">
        <f>"MATHEUS LUIZ DA PAIXAO COSTA"</f>
        <v>MATHEUS LUIZ DA PAIXAO COSTA</v>
      </c>
      <c r="F671" s="2" t="str">
        <f>"48566437-1/1"</f>
        <v>48566437-1/1</v>
      </c>
      <c r="G671" s="2" t="str">
        <f>"Carteira 21"</f>
        <v>Carteira 21</v>
      </c>
      <c r="H671" s="2">
        <v>16</v>
      </c>
      <c r="I671" s="3">
        <v>86</v>
      </c>
      <c r="J671" s="2" t="str">
        <f>"02/01/2020"</f>
        <v>02/01/2020</v>
      </c>
      <c r="K671" s="2" t="str">
        <f>"18/01/2020"</f>
        <v>18/01/2020</v>
      </c>
      <c r="L671" s="2" t="str">
        <f>"11/02/2020"</f>
        <v>11/02/2020</v>
      </c>
      <c r="M671" s="2" t="str">
        <f>"12/02/2020"</f>
        <v>12/02/2020</v>
      </c>
      <c r="N671" s="2">
        <v>141.58000000000001</v>
      </c>
      <c r="O671" s="2">
        <v>145.44</v>
      </c>
      <c r="P671" s="2">
        <v>0.100000000000023</v>
      </c>
    </row>
    <row r="672" spans="1:16" s="2" customFormat="1" x14ac:dyDescent="0.25">
      <c r="A672" s="2">
        <v>45926713</v>
      </c>
      <c r="B672" s="2">
        <v>45926721</v>
      </c>
      <c r="C672" s="2" t="str">
        <f>"UNIMEDSJN"</f>
        <v>UNIMEDSJN</v>
      </c>
      <c r="D672" s="2" t="str">
        <f>"DH"</f>
        <v>DH</v>
      </c>
      <c r="E672" s="2" t="str">
        <f>"MATHEUS MENDES DUQUE"</f>
        <v>MATHEUS MENDES DUQUE</v>
      </c>
      <c r="F672" s="2" t="str">
        <f>"45926713-1/1"</f>
        <v>45926713-1/1</v>
      </c>
      <c r="G672" s="2" t="str">
        <f>"Carteira 21"</f>
        <v>Carteira 21</v>
      </c>
      <c r="H672" s="2">
        <v>24</v>
      </c>
      <c r="I672" s="3">
        <v>140</v>
      </c>
      <c r="J672" s="2" t="str">
        <f>"01/11/2019"</f>
        <v>01/11/2019</v>
      </c>
      <c r="K672" s="2" t="str">
        <f>"25/11/2019"</f>
        <v>25/11/2019</v>
      </c>
      <c r="L672" s="2" t="str">
        <f>"06/03/2020"</f>
        <v>06/03/2020</v>
      </c>
      <c r="M672" s="2" t="str">
        <f>"09/03/2020"</f>
        <v>09/03/2020</v>
      </c>
      <c r="N672" s="2">
        <v>216.2</v>
      </c>
      <c r="O672" s="2">
        <v>227.8</v>
      </c>
      <c r="P672" s="2">
        <v>7.00000000000216E-2</v>
      </c>
    </row>
    <row r="673" spans="1:16" s="2" customFormat="1" x14ac:dyDescent="0.25">
      <c r="A673" s="2">
        <v>47504862</v>
      </c>
      <c r="B673" s="2">
        <v>47504872</v>
      </c>
      <c r="C673" s="2" t="str">
        <f>"UNIMEDSJN"</f>
        <v>UNIMEDSJN</v>
      </c>
      <c r="D673" s="2" t="str">
        <f>"DH"</f>
        <v>DH</v>
      </c>
      <c r="E673" s="2" t="str">
        <f>"MATHEUS MENDES DUQUE"</f>
        <v>MATHEUS MENDES DUQUE</v>
      </c>
      <c r="F673" s="2" t="str">
        <f>"47504862-1/1"</f>
        <v>47504862-1/1</v>
      </c>
      <c r="G673" s="2" t="str">
        <f>"Carteira 21"</f>
        <v>Carteira 21</v>
      </c>
      <c r="H673" s="2">
        <v>24</v>
      </c>
      <c r="I673" s="3">
        <v>110</v>
      </c>
      <c r="J673" s="2" t="str">
        <f>"01/12/2019"</f>
        <v>01/12/2019</v>
      </c>
      <c r="K673" s="2" t="str">
        <f>"25/12/2019"</f>
        <v>25/12/2019</v>
      </c>
      <c r="L673" s="2" t="str">
        <f>"06/03/2020"</f>
        <v>06/03/2020</v>
      </c>
      <c r="M673" s="2" t="str">
        <f>"09/03/2020"</f>
        <v>09/03/2020</v>
      </c>
      <c r="N673" s="2">
        <v>216.2</v>
      </c>
      <c r="O673" s="2">
        <v>225.66</v>
      </c>
      <c r="P673" s="2">
        <v>5.0000000000011403E-2</v>
      </c>
    </row>
    <row r="674" spans="1:16" s="2" customFormat="1" x14ac:dyDescent="0.25">
      <c r="A674" s="2">
        <v>48579828</v>
      </c>
      <c r="B674" s="2">
        <v>48579833</v>
      </c>
      <c r="C674" s="2" t="str">
        <f>"UNIMEDSJN"</f>
        <v>UNIMEDSJN</v>
      </c>
      <c r="D674" s="2" t="str">
        <f>"DH"</f>
        <v>DH</v>
      </c>
      <c r="E674" s="2" t="str">
        <f>"MATHEUS MENDES DUQUE"</f>
        <v>MATHEUS MENDES DUQUE</v>
      </c>
      <c r="F674" s="2" t="str">
        <f>"48579828-1/1"</f>
        <v>48579828-1/1</v>
      </c>
      <c r="G674" s="2" t="str">
        <f>"Carteira 21"</f>
        <v>Carteira 21</v>
      </c>
      <c r="H674" s="2">
        <v>23</v>
      </c>
      <c r="I674" s="3">
        <v>79</v>
      </c>
      <c r="J674" s="2" t="str">
        <f>"02/01/2020"</f>
        <v>02/01/2020</v>
      </c>
      <c r="K674" s="2" t="str">
        <f>"25/01/2020"</f>
        <v>25/01/2020</v>
      </c>
      <c r="L674" s="2" t="str">
        <f>"27/01/2020"</f>
        <v>27/01/2020</v>
      </c>
      <c r="M674" s="2" t="str">
        <f>"27/12/2019"</f>
        <v>27/12/2019</v>
      </c>
      <c r="N674" s="2">
        <v>216.2</v>
      </c>
      <c r="O674" s="2">
        <v>216.2</v>
      </c>
      <c r="P674" s="2">
        <v>0</v>
      </c>
    </row>
    <row r="675" spans="1:16" s="2" customFormat="1" x14ac:dyDescent="0.25">
      <c r="A675" s="2">
        <v>45654532</v>
      </c>
      <c r="B675" s="2">
        <v>45654539</v>
      </c>
      <c r="C675" s="2" t="str">
        <f>"UNIMEDSJN"</f>
        <v>UNIMEDSJN</v>
      </c>
      <c r="D675" s="2" t="str">
        <f>"DH"</f>
        <v>DH</v>
      </c>
      <c r="E675" s="2" t="str">
        <f>"Matheus Miranda da Silva"</f>
        <v>Matheus Miranda da Silva</v>
      </c>
      <c r="F675" s="2" t="str">
        <f>"45654532-1/1"</f>
        <v>45654532-1/1</v>
      </c>
      <c r="G675" s="2" t="str">
        <f>"Carteira 21"</f>
        <v>Carteira 21</v>
      </c>
      <c r="H675" s="2">
        <v>30</v>
      </c>
      <c r="I675" s="3">
        <v>165</v>
      </c>
      <c r="J675" s="2" t="str">
        <f>"01/10/2019"</f>
        <v>01/10/2019</v>
      </c>
      <c r="K675" s="2" t="str">
        <f>"31/10/2019"</f>
        <v>31/10/2019</v>
      </c>
      <c r="L675" s="2" t="str">
        <f>"31/10/2019"</f>
        <v>31/10/2019</v>
      </c>
      <c r="M675" s="2" t="str">
        <f>"01/10/2019"</f>
        <v>01/10/2019</v>
      </c>
      <c r="N675" s="2">
        <v>244.53</v>
      </c>
      <c r="O675" s="2">
        <v>244.53</v>
      </c>
      <c r="P675" s="2">
        <v>0</v>
      </c>
    </row>
    <row r="676" spans="1:16" s="2" customFormat="1" x14ac:dyDescent="0.25">
      <c r="A676" s="2">
        <v>45928411</v>
      </c>
      <c r="B676" s="2">
        <v>45928416</v>
      </c>
      <c r="C676" s="2" t="str">
        <f>"UNIMEDSJN"</f>
        <v>UNIMEDSJN</v>
      </c>
      <c r="D676" s="2" t="str">
        <f>"DH"</f>
        <v>DH</v>
      </c>
      <c r="E676" s="2" t="str">
        <f>"Matheus Miranda da Silva"</f>
        <v>Matheus Miranda da Silva</v>
      </c>
      <c r="F676" s="2" t="str">
        <f>"45928411-1/1"</f>
        <v>45928411-1/1</v>
      </c>
      <c r="G676" s="2" t="str">
        <f>"Carteira 21"</f>
        <v>Carteira 21</v>
      </c>
      <c r="H676" s="2">
        <v>24</v>
      </c>
      <c r="I676" s="3">
        <v>140</v>
      </c>
      <c r="J676" s="2" t="str">
        <f>"01/11/2019"</f>
        <v>01/11/2019</v>
      </c>
      <c r="K676" s="2" t="str">
        <f>"25/11/2019"</f>
        <v>25/11/2019</v>
      </c>
      <c r="L676" s="2" t="str">
        <f>"25/11/2019"</f>
        <v>25/11/2019</v>
      </c>
      <c r="M676" s="2" t="str">
        <f>"31/10/2019"</f>
        <v>31/10/2019</v>
      </c>
      <c r="N676" s="2">
        <v>229.53</v>
      </c>
      <c r="O676" s="2">
        <v>229.53</v>
      </c>
      <c r="P676" s="2">
        <v>0</v>
      </c>
    </row>
    <row r="677" spans="1:16" s="2" customFormat="1" x14ac:dyDescent="0.25">
      <c r="A677" s="2">
        <v>47506134</v>
      </c>
      <c r="B677" s="2">
        <v>47506146</v>
      </c>
      <c r="C677" s="2" t="str">
        <f>"UNIMEDSJN"</f>
        <v>UNIMEDSJN</v>
      </c>
      <c r="D677" s="2" t="str">
        <f>"DH"</f>
        <v>DH</v>
      </c>
      <c r="E677" s="2" t="str">
        <f>"Matheus Miranda da Silva"</f>
        <v>Matheus Miranda da Silva</v>
      </c>
      <c r="F677" s="2" t="str">
        <f>"47506134-1/1"</f>
        <v>47506134-1/1</v>
      </c>
      <c r="G677" s="2" t="str">
        <f>"Carteira 21"</f>
        <v>Carteira 21</v>
      </c>
      <c r="H677" s="2">
        <v>24</v>
      </c>
      <c r="I677" s="3">
        <v>110</v>
      </c>
      <c r="J677" s="2" t="str">
        <f>"01/12/2019"</f>
        <v>01/12/2019</v>
      </c>
      <c r="K677" s="2" t="str">
        <f>"25/12/2019"</f>
        <v>25/12/2019</v>
      </c>
      <c r="L677" s="2" t="str">
        <f>"25/12/2019"</f>
        <v>25/12/2019</v>
      </c>
      <c r="M677" s="2" t="str">
        <f>"28/11/2019"</f>
        <v>28/11/2019</v>
      </c>
      <c r="N677" s="2">
        <v>229.53</v>
      </c>
      <c r="O677" s="2">
        <v>229.53</v>
      </c>
      <c r="P677" s="2">
        <v>0</v>
      </c>
    </row>
    <row r="678" spans="1:16" s="2" customFormat="1" x14ac:dyDescent="0.25">
      <c r="A678" s="2">
        <v>48581991</v>
      </c>
      <c r="B678" s="2">
        <v>48582001</v>
      </c>
      <c r="C678" s="2" t="str">
        <f>"UNIMEDSJN"</f>
        <v>UNIMEDSJN</v>
      </c>
      <c r="D678" s="2" t="str">
        <f>"DH"</f>
        <v>DH</v>
      </c>
      <c r="E678" s="2" t="str">
        <f>"Matheus Miranda da Silva"</f>
        <v>Matheus Miranda da Silva</v>
      </c>
      <c r="F678" s="2" t="str">
        <f>"48581991-1/1"</f>
        <v>48581991-1/1</v>
      </c>
      <c r="G678" s="2" t="str">
        <f>"Carteira 21"</f>
        <v>Carteira 21</v>
      </c>
      <c r="H678" s="2">
        <v>23</v>
      </c>
      <c r="I678" s="3">
        <v>79</v>
      </c>
      <c r="J678" s="2" t="str">
        <f>"02/01/2020"</f>
        <v>02/01/2020</v>
      </c>
      <c r="K678" s="2" t="str">
        <f>"25/01/2020"</f>
        <v>25/01/2020</v>
      </c>
      <c r="L678" s="2" t="str">
        <f>"27/01/2020"</f>
        <v>27/01/2020</v>
      </c>
      <c r="M678" s="2" t="str">
        <f>"27/12/2019"</f>
        <v>27/12/2019</v>
      </c>
      <c r="N678" s="2">
        <v>229.53</v>
      </c>
      <c r="O678" s="2">
        <v>229.53</v>
      </c>
      <c r="P678" s="2">
        <v>0</v>
      </c>
    </row>
    <row r="679" spans="1:16" s="2" customFormat="1" x14ac:dyDescent="0.25">
      <c r="A679" s="2">
        <v>43973517</v>
      </c>
      <c r="B679" s="2">
        <v>43973524</v>
      </c>
      <c r="C679" s="2" t="str">
        <f>"UNIMEDSJN"</f>
        <v>UNIMEDSJN</v>
      </c>
      <c r="D679" s="2" t="str">
        <f>"DH"</f>
        <v>DH</v>
      </c>
      <c r="E679" s="2" t="str">
        <f>"Maurilio Coleta Pinton"</f>
        <v>Maurilio Coleta Pinton</v>
      </c>
      <c r="F679" s="2" t="str">
        <f>"43973517-1/1"</f>
        <v>43973517-1/1</v>
      </c>
      <c r="G679" s="2" t="str">
        <f>"Carteira 21"</f>
        <v>Carteira 21</v>
      </c>
      <c r="H679" s="2">
        <v>24</v>
      </c>
      <c r="I679" s="3">
        <v>263</v>
      </c>
      <c r="J679" s="2" t="str">
        <f>"01/07/2019"</f>
        <v>01/07/2019</v>
      </c>
      <c r="K679" s="2" t="str">
        <f>"25/07/2019"</f>
        <v>25/07/2019</v>
      </c>
      <c r="L679" s="2" t="str">
        <f>"25/07/2019"</f>
        <v>25/07/2019</v>
      </c>
      <c r="M679" s="2" t="str">
        <f>"01/07/2019"</f>
        <v>01/07/2019</v>
      </c>
      <c r="N679" s="2">
        <v>591.75</v>
      </c>
      <c r="O679" s="2">
        <v>591.75</v>
      </c>
      <c r="P679" s="2">
        <v>0</v>
      </c>
    </row>
    <row r="680" spans="1:16" s="2" customFormat="1" x14ac:dyDescent="0.25">
      <c r="A680" s="2">
        <v>48570016</v>
      </c>
      <c r="B680" s="2">
        <v>48570035</v>
      </c>
      <c r="C680" s="2" t="str">
        <f>"UNIMEDSJN"</f>
        <v>UNIMEDSJN</v>
      </c>
      <c r="D680" s="2" t="str">
        <f>"DH"</f>
        <v>DH</v>
      </c>
      <c r="E680" s="2" t="str">
        <f>"MAURO CESAR DOS SANTOS JUNIOR"</f>
        <v>MAURO CESAR DOS SANTOS JUNIOR</v>
      </c>
      <c r="F680" s="2" t="str">
        <f>"48570016-1/1"</f>
        <v>48570016-1/1</v>
      </c>
      <c r="G680" s="2" t="str">
        <f>"Carteira 21"</f>
        <v>Carteira 21</v>
      </c>
      <c r="H680" s="2">
        <v>23</v>
      </c>
      <c r="I680" s="3">
        <v>79</v>
      </c>
      <c r="J680" s="2" t="str">
        <f>"02/01/2020"</f>
        <v>02/01/2020</v>
      </c>
      <c r="K680" s="2" t="str">
        <f>"25/01/2020"</f>
        <v>25/01/2020</v>
      </c>
      <c r="L680" s="2" t="str">
        <f>"11/02/2020"</f>
        <v>11/02/2020</v>
      </c>
      <c r="M680" s="2" t="str">
        <f>"12/02/2020"</f>
        <v>12/02/2020</v>
      </c>
      <c r="N680" s="2">
        <v>179.59</v>
      </c>
      <c r="O680" s="2">
        <v>184.07</v>
      </c>
      <c r="P680" s="2">
        <v>0.13000000000002401</v>
      </c>
    </row>
    <row r="681" spans="1:16" s="2" customFormat="1" x14ac:dyDescent="0.25">
      <c r="A681" s="2">
        <v>48566175</v>
      </c>
      <c r="B681" s="2">
        <v>48566187</v>
      </c>
      <c r="C681" s="2" t="str">
        <f>"UNIMEDSJN"</f>
        <v>UNIMEDSJN</v>
      </c>
      <c r="D681" s="2" t="str">
        <f>"DH"</f>
        <v>DH</v>
      </c>
      <c r="E681" s="2" t="str">
        <f>"MAURO NEVES"</f>
        <v>MAURO NEVES</v>
      </c>
      <c r="F681" s="2" t="str">
        <f>"48566175-1/1"</f>
        <v>48566175-1/1</v>
      </c>
      <c r="G681" s="2" t="str">
        <f>"Carteira 21"</f>
        <v>Carteira 21</v>
      </c>
      <c r="H681" s="2">
        <v>16</v>
      </c>
      <c r="I681" s="3">
        <v>86</v>
      </c>
      <c r="J681" s="2" t="str">
        <f>"02/01/2020"</f>
        <v>02/01/2020</v>
      </c>
      <c r="K681" s="2" t="str">
        <f>"18/01/2020"</f>
        <v>18/01/2020</v>
      </c>
      <c r="L681" s="2" t="str">
        <f>"03/02/2020"</f>
        <v>03/02/2020</v>
      </c>
      <c r="M681" s="2" t="str">
        <f>"04/02/2020"</f>
        <v>04/02/2020</v>
      </c>
      <c r="N681" s="2">
        <v>444.58</v>
      </c>
      <c r="O681" s="2">
        <v>455.52</v>
      </c>
      <c r="P681" s="2">
        <v>0.31999999999999301</v>
      </c>
    </row>
    <row r="682" spans="1:16" s="2" customFormat="1" x14ac:dyDescent="0.25">
      <c r="A682" s="2">
        <v>47507014</v>
      </c>
      <c r="B682" s="2">
        <v>47507024</v>
      </c>
      <c r="C682" s="2" t="str">
        <f>"UNIMEDSJN"</f>
        <v>UNIMEDSJN</v>
      </c>
      <c r="D682" s="2" t="str">
        <f>"DH"</f>
        <v>DH</v>
      </c>
      <c r="E682" s="2" t="str">
        <f>"Mayra Yvel Silva Dias"</f>
        <v>Mayra Yvel Silva Dias</v>
      </c>
      <c r="F682" s="2" t="str">
        <f>"47507014-1/1"</f>
        <v>47507014-1/1</v>
      </c>
      <c r="G682" s="2" t="str">
        <f>"Carteira 21"</f>
        <v>Carteira 21</v>
      </c>
      <c r="H682" s="2">
        <v>24</v>
      </c>
      <c r="I682" s="3">
        <v>110</v>
      </c>
      <c r="J682" s="2" t="str">
        <f>"01/12/2019"</f>
        <v>01/12/2019</v>
      </c>
      <c r="K682" s="2" t="str">
        <f>"25/12/2019"</f>
        <v>25/12/2019</v>
      </c>
      <c r="L682" s="2" t="str">
        <f>"19/03/2020"</f>
        <v>19/03/2020</v>
      </c>
      <c r="M682" s="2" t="str">
        <f>"20/03/2020"</f>
        <v>20/03/2020</v>
      </c>
      <c r="N682" s="2">
        <v>149.85</v>
      </c>
      <c r="O682" s="2">
        <v>157.06</v>
      </c>
      <c r="P682" s="2">
        <v>3.9999999999992E-2</v>
      </c>
    </row>
    <row r="683" spans="1:16" s="2" customFormat="1" x14ac:dyDescent="0.25">
      <c r="A683" s="2">
        <v>48580521</v>
      </c>
      <c r="B683" s="2">
        <v>48580528</v>
      </c>
      <c r="C683" s="2" t="str">
        <f>"UNIMEDSJN"</f>
        <v>UNIMEDSJN</v>
      </c>
      <c r="D683" s="2" t="str">
        <f>"DH"</f>
        <v>DH</v>
      </c>
      <c r="E683" s="2" t="str">
        <f>"Mayra Yvel Silva Dias"</f>
        <v>Mayra Yvel Silva Dias</v>
      </c>
      <c r="F683" s="2" t="str">
        <f>"48580521-1/1"</f>
        <v>48580521-1/1</v>
      </c>
      <c r="G683" s="2" t="str">
        <f>"Carteira 21"</f>
        <v>Carteira 21</v>
      </c>
      <c r="H683" s="2">
        <v>23</v>
      </c>
      <c r="I683" s="3">
        <v>79</v>
      </c>
      <c r="J683" s="2" t="str">
        <f>"02/01/2020"</f>
        <v>02/01/2020</v>
      </c>
      <c r="K683" s="2" t="str">
        <f>"25/01/2020"</f>
        <v>25/01/2020</v>
      </c>
      <c r="L683" s="2" t="str">
        <f>"19/03/2020"</f>
        <v>19/03/2020</v>
      </c>
      <c r="M683" s="2" t="str">
        <f>"20/03/2020"</f>
        <v>20/03/2020</v>
      </c>
      <c r="N683" s="2">
        <v>149.85</v>
      </c>
      <c r="O683" s="2">
        <v>155.43</v>
      </c>
      <c r="P683" s="2">
        <v>0.119999999999976</v>
      </c>
    </row>
    <row r="684" spans="1:16" s="2" customFormat="1" x14ac:dyDescent="0.25">
      <c r="A684" s="2">
        <v>48584124</v>
      </c>
      <c r="B684" s="2">
        <v>48584379</v>
      </c>
      <c r="C684" s="2" t="str">
        <f>"UNIMEDSJN"</f>
        <v>UNIMEDSJN</v>
      </c>
      <c r="D684" s="2" t="str">
        <f>"DH"</f>
        <v>DH</v>
      </c>
      <c r="E684" s="2" t="str">
        <f>"Michel da Silva Torres"</f>
        <v>Michel da Silva Torres</v>
      </c>
      <c r="F684" s="2" t="str">
        <f>"48584124-1/1"</f>
        <v>48584124-1/1</v>
      </c>
      <c r="G684" s="2" t="str">
        <f>"Carteira 21"</f>
        <v>Carteira 21</v>
      </c>
      <c r="H684" s="2">
        <v>23</v>
      </c>
      <c r="I684" s="3">
        <v>79</v>
      </c>
      <c r="J684" s="2" t="str">
        <f>"02/01/2020"</f>
        <v>02/01/2020</v>
      </c>
      <c r="K684" s="2" t="str">
        <f>"25/01/2020"</f>
        <v>25/01/2020</v>
      </c>
      <c r="L684" s="2" t="str">
        <f>"06/02/2020"</f>
        <v>06/02/2020</v>
      </c>
      <c r="M684" s="2" t="str">
        <f>"07/02/2020"</f>
        <v>07/02/2020</v>
      </c>
      <c r="N684" s="2">
        <v>178.59</v>
      </c>
      <c r="O684" s="2">
        <v>182.75</v>
      </c>
      <c r="P684" s="2">
        <v>0.12000000000000501</v>
      </c>
    </row>
    <row r="685" spans="1:16" s="2" customFormat="1" x14ac:dyDescent="0.25">
      <c r="A685" s="2">
        <v>48580061</v>
      </c>
      <c r="B685" s="2">
        <v>48580073</v>
      </c>
      <c r="C685" s="2" t="str">
        <f>"UNIMEDSJN"</f>
        <v>UNIMEDSJN</v>
      </c>
      <c r="D685" s="2" t="str">
        <f>"DH"</f>
        <v>DH</v>
      </c>
      <c r="E685" s="2" t="str">
        <f>"Michelle Ferreira do Valle"</f>
        <v>Michelle Ferreira do Valle</v>
      </c>
      <c r="F685" s="2" t="str">
        <f>"48580061-1/1"</f>
        <v>48580061-1/1</v>
      </c>
      <c r="G685" s="2" t="str">
        <f>"Carteira 21"</f>
        <v>Carteira 21</v>
      </c>
      <c r="H685" s="2">
        <v>20</v>
      </c>
      <c r="I685" s="3">
        <v>82</v>
      </c>
      <c r="J685" s="2" t="str">
        <f>"02/01/2020"</f>
        <v>02/01/2020</v>
      </c>
      <c r="K685" s="2" t="str">
        <f>"22/01/2020"</f>
        <v>22/01/2020</v>
      </c>
      <c r="L685" s="2" t="str">
        <f>"02/03/2020"</f>
        <v>02/03/2020</v>
      </c>
      <c r="M685" s="2" t="str">
        <f>"03/03/2020"</f>
        <v>03/03/2020</v>
      </c>
      <c r="N685" s="2">
        <v>140.82</v>
      </c>
      <c r="O685" s="2">
        <v>145.5</v>
      </c>
      <c r="P685" s="2">
        <v>1.99999999999818E-2</v>
      </c>
    </row>
    <row r="686" spans="1:16" s="2" customFormat="1" x14ac:dyDescent="0.25">
      <c r="A686" s="2">
        <v>48580077</v>
      </c>
      <c r="B686" s="2">
        <v>48580087</v>
      </c>
      <c r="C686" s="2" t="str">
        <f>"UNIMEDSJN"</f>
        <v>UNIMEDSJN</v>
      </c>
      <c r="D686" s="2" t="str">
        <f>"DH"</f>
        <v>DH</v>
      </c>
      <c r="E686" s="2" t="str">
        <f>"Michelle Ferreira do Valle"</f>
        <v>Michelle Ferreira do Valle</v>
      </c>
      <c r="F686" s="2" t="str">
        <f>"48580077-1/1"</f>
        <v>48580077-1/1</v>
      </c>
      <c r="G686" s="2" t="str">
        <f>"Carteira 21"</f>
        <v>Carteira 21</v>
      </c>
      <c r="H686" s="2">
        <v>23</v>
      </c>
      <c r="I686" s="3">
        <v>79</v>
      </c>
      <c r="J686" s="2" t="str">
        <f>"02/01/2020"</f>
        <v>02/01/2020</v>
      </c>
      <c r="K686" s="2" t="str">
        <f>"25/01/2020"</f>
        <v>25/01/2020</v>
      </c>
      <c r="L686" s="2" t="str">
        <f>"02/03/2020"</f>
        <v>02/03/2020</v>
      </c>
      <c r="M686" s="2" t="str">
        <f>"03/03/2020"</f>
        <v>03/03/2020</v>
      </c>
      <c r="N686" s="2">
        <v>139.59</v>
      </c>
      <c r="O686" s="2">
        <v>143.99</v>
      </c>
      <c r="P686" s="2">
        <v>0.109999999999985</v>
      </c>
    </row>
    <row r="687" spans="1:16" s="2" customFormat="1" x14ac:dyDescent="0.25">
      <c r="A687" s="2">
        <v>48580574</v>
      </c>
      <c r="B687" s="2">
        <v>48580586</v>
      </c>
      <c r="C687" s="2" t="str">
        <f>"UNIMEDSJN"</f>
        <v>UNIMEDSJN</v>
      </c>
      <c r="D687" s="2" t="str">
        <f>"DH"</f>
        <v>DH</v>
      </c>
      <c r="E687" s="2" t="str">
        <f>"Michelle Gomes Lamarca"</f>
        <v>Michelle Gomes Lamarca</v>
      </c>
      <c r="F687" s="2" t="str">
        <f>"48580574-1/1"</f>
        <v>48580574-1/1</v>
      </c>
      <c r="G687" s="2" t="str">
        <f>"Carteira 21"</f>
        <v>Carteira 21</v>
      </c>
      <c r="H687" s="2">
        <v>23</v>
      </c>
      <c r="I687" s="3">
        <v>79</v>
      </c>
      <c r="J687" s="2" t="str">
        <f>"02/01/2020"</f>
        <v>02/01/2020</v>
      </c>
      <c r="K687" s="2" t="str">
        <f>"25/01/2020"</f>
        <v>25/01/2020</v>
      </c>
      <c r="L687" s="2" t="str">
        <f>"09/03/2020"</f>
        <v>09/03/2020</v>
      </c>
      <c r="M687" s="2" t="str">
        <f>"10/03/2020"</f>
        <v>10/03/2020</v>
      </c>
      <c r="N687" s="2">
        <v>139.59</v>
      </c>
      <c r="O687" s="2">
        <v>144.31</v>
      </c>
      <c r="P687" s="2">
        <v>0.12000000000000501</v>
      </c>
    </row>
    <row r="688" spans="1:16" s="2" customFormat="1" x14ac:dyDescent="0.25">
      <c r="A688" s="2">
        <v>45463584</v>
      </c>
      <c r="B688" s="2">
        <v>45463593</v>
      </c>
      <c r="C688" s="2" t="str">
        <f>"UNIMEDSJN"</f>
        <v>UNIMEDSJN</v>
      </c>
      <c r="D688" s="2" t="str">
        <f>"DH"</f>
        <v>DH</v>
      </c>
      <c r="E688" s="2" t="str">
        <f>"MILENA FONSECA REIS"</f>
        <v>MILENA FONSECA REIS</v>
      </c>
      <c r="F688" s="2" t="str">
        <f>"45463584-1/1"</f>
        <v>45463584-1/1</v>
      </c>
      <c r="G688" s="2" t="str">
        <f>"Carteira 21"</f>
        <v>Carteira 21</v>
      </c>
      <c r="H688" s="2">
        <v>24</v>
      </c>
      <c r="I688" s="3">
        <v>171</v>
      </c>
      <c r="J688" s="2" t="str">
        <f>"01/10/2019"</f>
        <v>01/10/2019</v>
      </c>
      <c r="K688" s="2" t="str">
        <f>"25/10/2019"</f>
        <v>25/10/2019</v>
      </c>
      <c r="L688" s="2" t="str">
        <f>"25/10/2019"</f>
        <v>25/10/2019</v>
      </c>
      <c r="M688" s="2" t="str">
        <f>"27/09/2019"</f>
        <v>27/09/2019</v>
      </c>
      <c r="N688" s="2">
        <v>132.12</v>
      </c>
      <c r="O688" s="2">
        <v>132.12</v>
      </c>
      <c r="P688" s="2">
        <v>0</v>
      </c>
    </row>
    <row r="689" spans="1:16" s="2" customFormat="1" x14ac:dyDescent="0.25">
      <c r="A689" s="2">
        <v>45911218</v>
      </c>
      <c r="B689" s="2">
        <v>45911230</v>
      </c>
      <c r="C689" s="2" t="str">
        <f>"UNIMEDSJN"</f>
        <v>UNIMEDSJN</v>
      </c>
      <c r="D689" s="2" t="str">
        <f>"DH"</f>
        <v>DH</v>
      </c>
      <c r="E689" s="2" t="str">
        <f>"MILENA FONSECA REIS"</f>
        <v>MILENA FONSECA REIS</v>
      </c>
      <c r="F689" s="2" t="str">
        <f>"45911218-1/1"</f>
        <v>45911218-1/1</v>
      </c>
      <c r="G689" s="2" t="str">
        <f>"Carteira 21"</f>
        <v>Carteira 21</v>
      </c>
      <c r="H689" s="2">
        <v>24</v>
      </c>
      <c r="I689" s="3">
        <v>140</v>
      </c>
      <c r="J689" s="2" t="str">
        <f>"01/11/2019"</f>
        <v>01/11/2019</v>
      </c>
      <c r="K689" s="2" t="str">
        <f>"25/11/2019"</f>
        <v>25/11/2019</v>
      </c>
      <c r="L689" s="2" t="str">
        <f>"25/11/2019"</f>
        <v>25/11/2019</v>
      </c>
      <c r="M689" s="2" t="str">
        <f>"31/10/2019"</f>
        <v>31/10/2019</v>
      </c>
      <c r="N689" s="2">
        <v>132.12</v>
      </c>
      <c r="O689" s="2">
        <v>132.12</v>
      </c>
      <c r="P689" s="2">
        <v>0</v>
      </c>
    </row>
    <row r="690" spans="1:16" s="2" customFormat="1" x14ac:dyDescent="0.25">
      <c r="A690" s="2">
        <v>47503540</v>
      </c>
      <c r="B690" s="2">
        <v>47503559</v>
      </c>
      <c r="C690" s="2" t="str">
        <f>"UNIMEDSJN"</f>
        <v>UNIMEDSJN</v>
      </c>
      <c r="D690" s="2" t="str">
        <f>"DH"</f>
        <v>DH</v>
      </c>
      <c r="E690" s="2" t="str">
        <f>"MILENA FONSECA REIS"</f>
        <v>MILENA FONSECA REIS</v>
      </c>
      <c r="F690" s="2" t="str">
        <f>"47503540-1/1"</f>
        <v>47503540-1/1</v>
      </c>
      <c r="G690" s="2" t="str">
        <f>"Carteira 21"</f>
        <v>Carteira 21</v>
      </c>
      <c r="H690" s="2">
        <v>24</v>
      </c>
      <c r="I690" s="3">
        <v>110</v>
      </c>
      <c r="J690" s="2" t="str">
        <f>"01/12/2019"</f>
        <v>01/12/2019</v>
      </c>
      <c r="K690" s="2" t="str">
        <f>"25/12/2019"</f>
        <v>25/12/2019</v>
      </c>
      <c r="L690" s="2" t="str">
        <f>"25/12/2019"</f>
        <v>25/12/2019</v>
      </c>
      <c r="M690" s="2" t="str">
        <f>"28/11/2019"</f>
        <v>28/11/2019</v>
      </c>
      <c r="N690" s="2">
        <v>132.12</v>
      </c>
      <c r="O690" s="2">
        <v>132.12</v>
      </c>
      <c r="P690" s="2">
        <v>0</v>
      </c>
    </row>
    <row r="691" spans="1:16" s="2" customFormat="1" x14ac:dyDescent="0.25">
      <c r="A691" s="2">
        <v>48578875</v>
      </c>
      <c r="B691" s="2">
        <v>48578889</v>
      </c>
      <c r="C691" s="2" t="str">
        <f>"UNIMEDSJN"</f>
        <v>UNIMEDSJN</v>
      </c>
      <c r="D691" s="2" t="str">
        <f>"DH"</f>
        <v>DH</v>
      </c>
      <c r="E691" s="2" t="str">
        <f>"MILENA FONSECA REIS"</f>
        <v>MILENA FONSECA REIS</v>
      </c>
      <c r="F691" s="2" t="str">
        <f>"48578875-1/1"</f>
        <v>48578875-1/1</v>
      </c>
      <c r="G691" s="2" t="str">
        <f>"Carteira 21"</f>
        <v>Carteira 21</v>
      </c>
      <c r="H691" s="2">
        <v>23</v>
      </c>
      <c r="I691" s="3">
        <v>79</v>
      </c>
      <c r="J691" s="2" t="str">
        <f>"02/01/2020"</f>
        <v>02/01/2020</v>
      </c>
      <c r="K691" s="2" t="str">
        <f>"25/01/2020"</f>
        <v>25/01/2020</v>
      </c>
      <c r="L691" s="2" t="str">
        <f>"27/01/2020"</f>
        <v>27/01/2020</v>
      </c>
      <c r="M691" s="2" t="str">
        <f>"27/12/2019"</f>
        <v>27/12/2019</v>
      </c>
      <c r="N691" s="2">
        <v>132.12</v>
      </c>
      <c r="O691" s="2">
        <v>132.12</v>
      </c>
      <c r="P691" s="2">
        <v>0</v>
      </c>
    </row>
    <row r="692" spans="1:16" s="2" customFormat="1" x14ac:dyDescent="0.25">
      <c r="A692" s="2">
        <v>48586690</v>
      </c>
      <c r="B692" s="2">
        <v>48586699</v>
      </c>
      <c r="C692" s="2" t="str">
        <f>"UNIMEDSJN"</f>
        <v>UNIMEDSJN</v>
      </c>
      <c r="D692" s="2" t="str">
        <f>"DH"</f>
        <v>DH</v>
      </c>
      <c r="E692" s="2" t="str">
        <f>"Mirian Tenorio de Albuquerque"</f>
        <v>Mirian Tenorio de Albuquerque</v>
      </c>
      <c r="F692" s="2" t="str">
        <f>"48586690-1/1"</f>
        <v>48586690-1/1</v>
      </c>
      <c r="G692" s="2" t="str">
        <f>"Carteira 21"</f>
        <v>Carteira 21</v>
      </c>
      <c r="H692" s="2">
        <v>28</v>
      </c>
      <c r="I692" s="3">
        <v>74</v>
      </c>
      <c r="J692" s="2" t="str">
        <f>"02/01/2020"</f>
        <v>02/01/2020</v>
      </c>
      <c r="K692" s="2" t="str">
        <f>"30/01/2020"</f>
        <v>30/01/2020</v>
      </c>
      <c r="L692" s="2" t="str">
        <f>"03/02/2020"</f>
        <v>03/02/2020</v>
      </c>
      <c r="M692" s="2" t="str">
        <f>"04/02/2020"</f>
        <v>04/02/2020</v>
      </c>
      <c r="N692" s="2">
        <v>383.34</v>
      </c>
      <c r="O692" s="2">
        <v>391.52</v>
      </c>
      <c r="P692" s="4">
        <v>5.6843418860808002E-14</v>
      </c>
    </row>
    <row r="693" spans="1:16" x14ac:dyDescent="0.25">
      <c r="A693">
        <v>48615458</v>
      </c>
      <c r="B693">
        <v>48615469</v>
      </c>
      <c r="C693" t="str">
        <f>"UNIMEDSJN"</f>
        <v>UNIMEDSJN</v>
      </c>
      <c r="D693" t="str">
        <f>"DH"</f>
        <v>DH</v>
      </c>
      <c r="E693" t="str">
        <f>"MONICA APARECIDA MIRANDA TEIXEIRA"</f>
        <v>MONICA APARECIDA MIRANDA TEIXEIRA</v>
      </c>
      <c r="F693" t="str">
        <f>"48615458-1/1"</f>
        <v>48615458-1/1</v>
      </c>
      <c r="G693" t="str">
        <f>"Carteira 21"</f>
        <v>Carteira 21</v>
      </c>
      <c r="H693">
        <v>37</v>
      </c>
      <c r="I693" s="1">
        <v>47</v>
      </c>
      <c r="J693" t="str">
        <f>"20/01/2020"</f>
        <v>20/01/2020</v>
      </c>
      <c r="K693" t="str">
        <f>"26/02/2020"</f>
        <v>26/02/2020</v>
      </c>
      <c r="L693" t="str">
        <f>"26/02/2020"</f>
        <v>26/02/2020</v>
      </c>
      <c r="M693" t="str">
        <f>"27/02/2020"</f>
        <v>27/02/2020</v>
      </c>
      <c r="N693">
        <v>385.05</v>
      </c>
      <c r="O693">
        <v>385.05</v>
      </c>
      <c r="P693">
        <v>0</v>
      </c>
    </row>
    <row r="694" spans="1:16" s="2" customFormat="1" x14ac:dyDescent="0.25">
      <c r="A694" s="2">
        <v>47506951</v>
      </c>
      <c r="B694" s="2">
        <v>47506959</v>
      </c>
      <c r="C694" s="2" t="str">
        <f>"UNIMEDSJN"</f>
        <v>UNIMEDSJN</v>
      </c>
      <c r="D694" s="2" t="str">
        <f>"DH"</f>
        <v>DH</v>
      </c>
      <c r="E694" s="2" t="str">
        <f>"Monique Morais Lopes Louzada"</f>
        <v>Monique Morais Lopes Louzada</v>
      </c>
      <c r="F694" s="2" t="str">
        <f>"47506951-1/1"</f>
        <v>47506951-1/1</v>
      </c>
      <c r="G694" s="2" t="str">
        <f>"Carteira 21"</f>
        <v>Carteira 21</v>
      </c>
      <c r="H694" s="2">
        <v>24</v>
      </c>
      <c r="I694" s="3">
        <v>110</v>
      </c>
      <c r="J694" s="2" t="str">
        <f>"01/12/2019"</f>
        <v>01/12/2019</v>
      </c>
      <c r="K694" s="2" t="str">
        <f>"25/12/2019"</f>
        <v>25/12/2019</v>
      </c>
      <c r="L694" s="2" t="str">
        <f>"21/02/2020"</f>
        <v>21/02/2020</v>
      </c>
      <c r="M694" s="2" t="str">
        <f>"24/02/2020"</f>
        <v>24/02/2020</v>
      </c>
      <c r="N694" s="2">
        <v>150.18</v>
      </c>
      <c r="O694" s="2">
        <v>156.05000000000001</v>
      </c>
      <c r="P694" s="2">
        <v>3.0000000000001099E-2</v>
      </c>
    </row>
    <row r="695" spans="1:16" s="2" customFormat="1" x14ac:dyDescent="0.25">
      <c r="A695" s="2">
        <v>48580923</v>
      </c>
      <c r="B695" s="2">
        <v>48580928</v>
      </c>
      <c r="C695" s="2" t="str">
        <f>"UNIMEDSJN"</f>
        <v>UNIMEDSJN</v>
      </c>
      <c r="D695" s="2" t="str">
        <f>"DH"</f>
        <v>DH</v>
      </c>
      <c r="E695" s="2" t="str">
        <f>"Monique Morais Lopes Louzada"</f>
        <v>Monique Morais Lopes Louzada</v>
      </c>
      <c r="F695" s="2" t="str">
        <f>"48580923-1/1"</f>
        <v>48580923-1/1</v>
      </c>
      <c r="G695" s="2" t="str">
        <f>"Carteira 21"</f>
        <v>Carteira 21</v>
      </c>
      <c r="H695" s="2">
        <v>23</v>
      </c>
      <c r="I695" s="3">
        <v>79</v>
      </c>
      <c r="J695" s="2" t="str">
        <f>"02/01/2020"</f>
        <v>02/01/2020</v>
      </c>
      <c r="K695" s="2" t="str">
        <f>"25/01/2020"</f>
        <v>25/01/2020</v>
      </c>
      <c r="L695" s="2" t="str">
        <f>"27/01/2020"</f>
        <v>27/01/2020</v>
      </c>
      <c r="M695" s="2" t="str">
        <f>"27/12/2019"</f>
        <v>27/12/2019</v>
      </c>
      <c r="N695" s="2">
        <v>150.18</v>
      </c>
      <c r="O695" s="2">
        <v>150.18</v>
      </c>
      <c r="P695" s="2">
        <v>0</v>
      </c>
    </row>
    <row r="696" spans="1:16" s="2" customFormat="1" x14ac:dyDescent="0.25">
      <c r="A696" s="2">
        <v>47509490</v>
      </c>
      <c r="B696" s="2">
        <v>47509499</v>
      </c>
      <c r="C696" s="2" t="str">
        <f>"UNIMEDSJN"</f>
        <v>UNIMEDSJN</v>
      </c>
      <c r="D696" s="2" t="str">
        <f>"DH"</f>
        <v>DH</v>
      </c>
      <c r="E696" s="2" t="str">
        <f>"MONIQUE PRATA PIRES"</f>
        <v>MONIQUE PRATA PIRES</v>
      </c>
      <c r="F696" s="2" t="str">
        <f>"47509490-1/1"</f>
        <v>47509490-1/1</v>
      </c>
      <c r="G696" s="2" t="str">
        <f>"Carteira 21"</f>
        <v>Carteira 21</v>
      </c>
      <c r="H696" s="2">
        <v>24</v>
      </c>
      <c r="I696" s="3">
        <v>110</v>
      </c>
      <c r="J696" s="2" t="str">
        <f>"01/12/2019"</f>
        <v>01/12/2019</v>
      </c>
      <c r="K696" s="2" t="str">
        <f>"25/12/2019"</f>
        <v>25/12/2019</v>
      </c>
      <c r="L696" s="2" t="str">
        <f>"25/12/2019"</f>
        <v>25/12/2019</v>
      </c>
      <c r="M696" s="2" t="str">
        <f>"28/11/2019"</f>
        <v>28/11/2019</v>
      </c>
      <c r="N696" s="2">
        <v>186.68</v>
      </c>
      <c r="O696" s="2">
        <v>186.68</v>
      </c>
      <c r="P696" s="2">
        <v>0</v>
      </c>
    </row>
    <row r="697" spans="1:16" s="2" customFormat="1" x14ac:dyDescent="0.25">
      <c r="A697" s="2">
        <v>48583773</v>
      </c>
      <c r="B697" s="2">
        <v>48583783</v>
      </c>
      <c r="C697" s="2" t="str">
        <f>"UNIMEDSJN"</f>
        <v>UNIMEDSJN</v>
      </c>
      <c r="D697" s="2" t="str">
        <f>"DH"</f>
        <v>DH</v>
      </c>
      <c r="E697" s="2" t="str">
        <f>"MONIQUE PRATA PIRES"</f>
        <v>MONIQUE PRATA PIRES</v>
      </c>
      <c r="F697" s="2" t="str">
        <f>"48583773-1/1"</f>
        <v>48583773-1/1</v>
      </c>
      <c r="G697" s="2" t="str">
        <f>"Carteira 21"</f>
        <v>Carteira 21</v>
      </c>
      <c r="H697" s="2">
        <v>23</v>
      </c>
      <c r="I697" s="3">
        <v>79</v>
      </c>
      <c r="J697" s="2" t="str">
        <f>"02/01/2020"</f>
        <v>02/01/2020</v>
      </c>
      <c r="K697" s="2" t="str">
        <f>"25/01/2020"</f>
        <v>25/01/2020</v>
      </c>
      <c r="L697" s="2" t="str">
        <f>"27/01/2020"</f>
        <v>27/01/2020</v>
      </c>
      <c r="M697" s="2" t="str">
        <f>"27/12/2019"</f>
        <v>27/12/2019</v>
      </c>
      <c r="N697" s="2">
        <v>186.68</v>
      </c>
      <c r="O697" s="2">
        <v>186.68</v>
      </c>
      <c r="P697" s="2">
        <v>0</v>
      </c>
    </row>
    <row r="698" spans="1:16" s="2" customFormat="1" x14ac:dyDescent="0.25">
      <c r="A698" s="2">
        <v>48586723</v>
      </c>
      <c r="B698" s="2">
        <v>48586738</v>
      </c>
      <c r="C698" s="2" t="str">
        <f>"UNIMEDSJN"</f>
        <v>UNIMEDSJN</v>
      </c>
      <c r="D698" s="2" t="str">
        <f>"DH"</f>
        <v>DH</v>
      </c>
      <c r="E698" s="2" t="str">
        <f>"Moyses Assafin"</f>
        <v>Moyses Assafin</v>
      </c>
      <c r="F698" s="2" t="str">
        <f>"48586723-1/1"</f>
        <v>48586723-1/1</v>
      </c>
      <c r="G698" s="2" t="str">
        <f>"Carteira 21"</f>
        <v>Carteira 21</v>
      </c>
      <c r="H698" s="2">
        <v>28</v>
      </c>
      <c r="I698" s="3">
        <v>74</v>
      </c>
      <c r="J698" s="2" t="str">
        <f>"02/01/2020"</f>
        <v>02/01/2020</v>
      </c>
      <c r="K698" s="2" t="str">
        <f>"30/01/2020"</f>
        <v>30/01/2020</v>
      </c>
      <c r="L698" s="2" t="str">
        <f>"03/02/2020"</f>
        <v>03/02/2020</v>
      </c>
      <c r="M698" s="2" t="str">
        <f>"04/02/2020"</f>
        <v>04/02/2020</v>
      </c>
      <c r="N698" s="2">
        <v>3649.91</v>
      </c>
      <c r="O698" s="2">
        <v>3727.73</v>
      </c>
      <c r="P698" s="2">
        <v>4.9999999999727103E-2</v>
      </c>
    </row>
    <row r="699" spans="1:16" s="2" customFormat="1" x14ac:dyDescent="0.25">
      <c r="A699" s="2">
        <v>48462212</v>
      </c>
      <c r="B699" s="2">
        <v>48462219</v>
      </c>
      <c r="C699" s="2" t="str">
        <f>"UNIMEDSJN"</f>
        <v>UNIMEDSJN</v>
      </c>
      <c r="D699" s="2" t="str">
        <f>"DH"</f>
        <v>DH</v>
      </c>
      <c r="E699" s="2" t="str">
        <f>"NAJLA DA SILVA BATISTA PINTO EUGENIO"</f>
        <v>NAJLA DA SILVA BATISTA PINTO EUGENIO</v>
      </c>
      <c r="F699" s="2" t="str">
        <f>"48462212-1/1"</f>
        <v>48462212-1/1</v>
      </c>
      <c r="G699" s="2" t="str">
        <f>"Carteira 21"</f>
        <v>Carteira 21</v>
      </c>
      <c r="H699" s="2">
        <v>8</v>
      </c>
      <c r="I699" s="3">
        <v>110</v>
      </c>
      <c r="J699" s="2" t="str">
        <f>"17/12/2019"</f>
        <v>17/12/2019</v>
      </c>
      <c r="K699" s="2" t="str">
        <f>"25/12/2019"</f>
        <v>25/12/2019</v>
      </c>
      <c r="L699" s="2" t="str">
        <f>"19/02/2020"</f>
        <v>19/02/2020</v>
      </c>
      <c r="M699" s="2" t="str">
        <f>"20/02/2020"</f>
        <v>20/02/2020</v>
      </c>
      <c r="N699" s="2">
        <v>165.9</v>
      </c>
      <c r="O699" s="2">
        <v>165.9</v>
      </c>
      <c r="P699" s="2">
        <v>6.4199999999999902</v>
      </c>
    </row>
    <row r="700" spans="1:16" x14ac:dyDescent="0.25">
      <c r="A700">
        <v>48615892</v>
      </c>
      <c r="B700">
        <v>48615897</v>
      </c>
      <c r="C700" t="str">
        <f>"UNIMEDSJN"</f>
        <v>UNIMEDSJN</v>
      </c>
      <c r="D700" t="str">
        <f>"DH"</f>
        <v>DH</v>
      </c>
      <c r="E700" t="str">
        <f>"NATALIA AZEVEDO DE OLIVEIRA ALVES"</f>
        <v>NATALIA AZEVEDO DE OLIVEIRA ALVES</v>
      </c>
      <c r="F700" t="str">
        <f>"48615892-1/1"</f>
        <v>48615892-1/1</v>
      </c>
      <c r="G700" t="str">
        <f>"Carteira 21"</f>
        <v>Carteira 21</v>
      </c>
      <c r="H700">
        <v>27</v>
      </c>
      <c r="I700" s="1">
        <v>57</v>
      </c>
      <c r="J700" t="str">
        <f>"20/01/2020"</f>
        <v>20/01/2020</v>
      </c>
      <c r="K700" t="str">
        <f>"16/02/2020"</f>
        <v>16/02/2020</v>
      </c>
      <c r="L700" t="str">
        <f>"17/02/2020"</f>
        <v>17/02/2020</v>
      </c>
      <c r="M700" t="str">
        <f>"11/02/2020"</f>
        <v>11/02/2020</v>
      </c>
      <c r="N700">
        <v>249.84</v>
      </c>
      <c r="O700">
        <v>249.84</v>
      </c>
      <c r="P700">
        <v>0</v>
      </c>
    </row>
    <row r="701" spans="1:16" s="2" customFormat="1" x14ac:dyDescent="0.25">
      <c r="A701" s="2">
        <v>47505051</v>
      </c>
      <c r="B701" s="2">
        <v>47505061</v>
      </c>
      <c r="C701" s="2" t="str">
        <f>"UNIMEDSJN"</f>
        <v>UNIMEDSJN</v>
      </c>
      <c r="D701" s="2" t="str">
        <f>"DH"</f>
        <v>DH</v>
      </c>
      <c r="E701" s="2" t="str">
        <f>"Natalia Helena de Souza Paiva"</f>
        <v>Natalia Helena de Souza Paiva</v>
      </c>
      <c r="F701" s="2" t="str">
        <f>"47505051-1/1"</f>
        <v>47505051-1/1</v>
      </c>
      <c r="G701" s="2" t="str">
        <f>"Carteira 21"</f>
        <v>Carteira 21</v>
      </c>
      <c r="H701" s="2">
        <v>44</v>
      </c>
      <c r="I701" s="3">
        <v>90</v>
      </c>
      <c r="J701" s="2" t="str">
        <f>"01/12/2019"</f>
        <v>01/12/2019</v>
      </c>
      <c r="K701" s="2" t="str">
        <f>"14/01/2020"</f>
        <v>14/01/2020</v>
      </c>
      <c r="L701" s="2" t="str">
        <f>"27/02/2020"</f>
        <v>27/02/2020</v>
      </c>
      <c r="M701" s="2" t="str">
        <f>"28/02/2020"</f>
        <v>28/02/2020</v>
      </c>
      <c r="N701" s="2">
        <v>150.18</v>
      </c>
      <c r="O701" s="2">
        <v>156.79</v>
      </c>
      <c r="P701" s="2">
        <v>-1.41</v>
      </c>
    </row>
    <row r="702" spans="1:16" s="2" customFormat="1" x14ac:dyDescent="0.25">
      <c r="A702" s="2">
        <v>48580488</v>
      </c>
      <c r="B702" s="2">
        <v>48580495</v>
      </c>
      <c r="C702" s="2" t="str">
        <f>"UNIMEDSJN"</f>
        <v>UNIMEDSJN</v>
      </c>
      <c r="D702" s="2" t="str">
        <f>"DH"</f>
        <v>DH</v>
      </c>
      <c r="E702" s="2" t="str">
        <f>"Natalia Helena de Souza Paiva"</f>
        <v>Natalia Helena de Souza Paiva</v>
      </c>
      <c r="F702" s="2" t="str">
        <f>"48580488-1/1"</f>
        <v>48580488-1/1</v>
      </c>
      <c r="G702" s="2" t="str">
        <f>"Carteira 21"</f>
        <v>Carteira 21</v>
      </c>
      <c r="H702" s="2">
        <v>13</v>
      </c>
      <c r="I702" s="3">
        <v>89</v>
      </c>
      <c r="J702" s="2" t="str">
        <f>"02/01/2020"</f>
        <v>02/01/2020</v>
      </c>
      <c r="K702" s="2" t="str">
        <f>"15/01/2020"</f>
        <v>15/01/2020</v>
      </c>
      <c r="L702" s="2" t="str">
        <f>"15/01/2020"</f>
        <v>15/01/2020</v>
      </c>
      <c r="M702" s="2" t="str">
        <f>"27/12/2019"</f>
        <v>27/12/2019</v>
      </c>
      <c r="N702" s="2">
        <v>150.18</v>
      </c>
      <c r="O702" s="2">
        <v>150.18</v>
      </c>
      <c r="P702" s="2">
        <v>0</v>
      </c>
    </row>
    <row r="703" spans="1:16" s="2" customFormat="1" x14ac:dyDescent="0.25">
      <c r="A703" s="2">
        <v>48578003</v>
      </c>
      <c r="B703" s="2">
        <v>48578021</v>
      </c>
      <c r="C703" s="2" t="str">
        <f>"UNIMEDSJN"</f>
        <v>UNIMEDSJN</v>
      </c>
      <c r="D703" s="2" t="str">
        <f>"DH"</f>
        <v>DH</v>
      </c>
      <c r="E703" s="2" t="str">
        <f>"NATALIA OLIVEIRA MATTOS"</f>
        <v>NATALIA OLIVEIRA MATTOS</v>
      </c>
      <c r="F703" s="2" t="str">
        <f>"48578003-1/1"</f>
        <v>48578003-1/1</v>
      </c>
      <c r="G703" s="2" t="str">
        <f>"Carteira 21"</f>
        <v>Carteira 21</v>
      </c>
      <c r="H703" s="2">
        <v>23</v>
      </c>
      <c r="I703" s="3">
        <v>79</v>
      </c>
      <c r="J703" s="2" t="str">
        <f>"02/01/2020"</f>
        <v>02/01/2020</v>
      </c>
      <c r="K703" s="2" t="str">
        <f>"25/01/2020"</f>
        <v>25/01/2020</v>
      </c>
      <c r="L703" s="2" t="str">
        <f>"13/02/2020"</f>
        <v>13/02/2020</v>
      </c>
      <c r="M703" s="2" t="str">
        <f>"14/02/2020"</f>
        <v>14/02/2020</v>
      </c>
      <c r="N703" s="2">
        <v>213.31</v>
      </c>
      <c r="O703" s="2">
        <v>218.77</v>
      </c>
      <c r="P703" s="2">
        <v>0.15999999999999701</v>
      </c>
    </row>
    <row r="704" spans="1:16" s="2" customFormat="1" x14ac:dyDescent="0.25">
      <c r="A704" s="2">
        <v>47506440</v>
      </c>
      <c r="B704" s="2">
        <v>47506450</v>
      </c>
      <c r="C704" s="2" t="str">
        <f>"UNIMEDSJN"</f>
        <v>UNIMEDSJN</v>
      </c>
      <c r="D704" s="2" t="str">
        <f>"DH"</f>
        <v>DH</v>
      </c>
      <c r="E704" s="2" t="str">
        <f>"Natanne de Paula Rezende"</f>
        <v>Natanne de Paula Rezende</v>
      </c>
      <c r="F704" s="2" t="str">
        <f>"47506440-1/1"</f>
        <v>47506440-1/1</v>
      </c>
      <c r="G704" s="2" t="str">
        <f>"Carteira 21"</f>
        <v>Carteira 21</v>
      </c>
      <c r="H704" s="2">
        <v>17</v>
      </c>
      <c r="I704" s="3">
        <v>117</v>
      </c>
      <c r="J704" s="2" t="str">
        <f>"01/12/2019"</f>
        <v>01/12/2019</v>
      </c>
      <c r="K704" s="2" t="str">
        <f>"18/12/2019"</f>
        <v>18/12/2019</v>
      </c>
      <c r="L704" s="2" t="str">
        <f>"07/02/2020"</f>
        <v>07/02/2020</v>
      </c>
      <c r="M704" s="2" t="str">
        <f>"10/02/2020"</f>
        <v>10/02/2020</v>
      </c>
      <c r="N704" s="2">
        <v>149.85</v>
      </c>
      <c r="O704" s="2">
        <v>155.37</v>
      </c>
      <c r="P704" s="2">
        <v>3.0000000000001099E-2</v>
      </c>
    </row>
    <row r="705" spans="1:16" s="2" customFormat="1" x14ac:dyDescent="0.25">
      <c r="A705" s="2">
        <v>48579890</v>
      </c>
      <c r="B705" s="2">
        <v>48579900</v>
      </c>
      <c r="C705" s="2" t="str">
        <f>"UNIMEDSJN"</f>
        <v>UNIMEDSJN</v>
      </c>
      <c r="D705" s="2" t="str">
        <f>"DH"</f>
        <v>DH</v>
      </c>
      <c r="E705" s="2" t="str">
        <f>"Natanne de Paula Rezende"</f>
        <v>Natanne de Paula Rezende</v>
      </c>
      <c r="F705" s="2" t="str">
        <f>"48579890-1/1"</f>
        <v>48579890-1/1</v>
      </c>
      <c r="G705" s="2" t="str">
        <f>"Carteira 21"</f>
        <v>Carteira 21</v>
      </c>
      <c r="H705" s="2">
        <v>16</v>
      </c>
      <c r="I705" s="3">
        <v>86</v>
      </c>
      <c r="J705" s="2" t="str">
        <f>"02/01/2020"</f>
        <v>02/01/2020</v>
      </c>
      <c r="K705" s="2" t="str">
        <f>"18/01/2020"</f>
        <v>18/01/2020</v>
      </c>
      <c r="L705" s="2" t="str">
        <f>"07/02/2020"</f>
        <v>07/02/2020</v>
      </c>
      <c r="M705" s="2" t="str">
        <f>"10/02/2020"</f>
        <v>10/02/2020</v>
      </c>
      <c r="N705" s="2">
        <v>149.85</v>
      </c>
      <c r="O705" s="2">
        <v>153.74</v>
      </c>
      <c r="P705" s="2">
        <v>0.109999999999985</v>
      </c>
    </row>
    <row r="706" spans="1:16" s="2" customFormat="1" x14ac:dyDescent="0.25">
      <c r="A706" s="2">
        <v>47496516</v>
      </c>
      <c r="B706" s="2">
        <v>47496530</v>
      </c>
      <c r="C706" s="2" t="str">
        <f>"UNIMEDSJN"</f>
        <v>UNIMEDSJN</v>
      </c>
      <c r="D706" s="2" t="str">
        <f>"DH"</f>
        <v>DH</v>
      </c>
      <c r="E706" s="2" t="str">
        <f>"Naysa Guarnieri dos Santos"</f>
        <v>Naysa Guarnieri dos Santos</v>
      </c>
      <c r="F706" s="2" t="str">
        <f>"47496516-1/1"</f>
        <v>47496516-1/1</v>
      </c>
      <c r="G706" s="2" t="str">
        <f>"Carteira 21"</f>
        <v>Carteira 21</v>
      </c>
      <c r="H706" s="2">
        <v>24</v>
      </c>
      <c r="I706" s="3">
        <v>110</v>
      </c>
      <c r="J706" s="2" t="str">
        <f>"01/12/2019"</f>
        <v>01/12/2019</v>
      </c>
      <c r="K706" s="2" t="str">
        <f>"25/12/2019"</f>
        <v>25/12/2019</v>
      </c>
      <c r="L706" s="2" t="str">
        <f>"05/02/2020"</f>
        <v>05/02/2020</v>
      </c>
      <c r="M706" s="2" t="str">
        <f>"06/02/2020"</f>
        <v>06/02/2020</v>
      </c>
      <c r="N706" s="2">
        <v>308.81</v>
      </c>
      <c r="O706" s="2">
        <v>319.27</v>
      </c>
      <c r="P706" s="2">
        <v>4.0000000000020498E-2</v>
      </c>
    </row>
    <row r="707" spans="1:16" s="2" customFormat="1" x14ac:dyDescent="0.25">
      <c r="A707" s="2">
        <v>48570633</v>
      </c>
      <c r="B707" s="2">
        <v>48570645</v>
      </c>
      <c r="C707" s="2" t="str">
        <f>"UNIMEDSJN"</f>
        <v>UNIMEDSJN</v>
      </c>
      <c r="D707" s="2" t="str">
        <f>"DH"</f>
        <v>DH</v>
      </c>
      <c r="E707" s="2" t="str">
        <f>"Naysa Guarnieri dos Santos"</f>
        <v>Naysa Guarnieri dos Santos</v>
      </c>
      <c r="F707" s="2" t="str">
        <f>"48570633-1/1"</f>
        <v>48570633-1/1</v>
      </c>
      <c r="G707" s="2" t="str">
        <f>"Carteira 21"</f>
        <v>Carteira 21</v>
      </c>
      <c r="H707" s="2">
        <v>23</v>
      </c>
      <c r="I707" s="3">
        <v>79</v>
      </c>
      <c r="J707" s="2" t="str">
        <f>"02/01/2020"</f>
        <v>02/01/2020</v>
      </c>
      <c r="K707" s="2" t="str">
        <f>"25/01/2020"</f>
        <v>25/01/2020</v>
      </c>
      <c r="L707" s="2" t="str">
        <f>"05/03/2020"</f>
        <v>05/03/2020</v>
      </c>
      <c r="M707" s="2" t="str">
        <f>"06/03/2020"</f>
        <v>06/03/2020</v>
      </c>
      <c r="N707" s="2">
        <v>308.81</v>
      </c>
      <c r="O707" s="2">
        <v>318.86</v>
      </c>
      <c r="P707" s="2">
        <v>0.25</v>
      </c>
    </row>
    <row r="708" spans="1:16" s="2" customFormat="1" x14ac:dyDescent="0.25">
      <c r="A708" s="2">
        <v>47500434</v>
      </c>
      <c r="B708" s="2">
        <v>47500442</v>
      </c>
      <c r="C708" s="2" t="str">
        <f>"UNIMEDSJN"</f>
        <v>UNIMEDSJN</v>
      </c>
      <c r="D708" s="2" t="str">
        <f>"DH"</f>
        <v>DH</v>
      </c>
      <c r="E708" s="2" t="str">
        <f>"NEI CARLOS LOPES DA PENHA"</f>
        <v>NEI CARLOS LOPES DA PENHA</v>
      </c>
      <c r="F708" s="2" t="str">
        <f>"47500434-1/1"</f>
        <v>47500434-1/1</v>
      </c>
      <c r="G708" s="2" t="str">
        <f>"Carteira 21"</f>
        <v>Carteira 21</v>
      </c>
      <c r="H708" s="2">
        <v>24</v>
      </c>
      <c r="I708" s="3">
        <v>110</v>
      </c>
      <c r="J708" s="2" t="str">
        <f>"01/12/2019"</f>
        <v>01/12/2019</v>
      </c>
      <c r="K708" s="2" t="str">
        <f>"25/12/2019"</f>
        <v>25/12/2019</v>
      </c>
      <c r="L708" s="2" t="str">
        <f>"13/02/2020"</f>
        <v>13/02/2020</v>
      </c>
      <c r="M708" s="2" t="str">
        <f>"14/02/2020"</f>
        <v>14/02/2020</v>
      </c>
      <c r="N708" s="2">
        <v>959.22</v>
      </c>
      <c r="O708" s="2">
        <v>994.24</v>
      </c>
      <c r="P708" s="2">
        <v>0.14999999999997701</v>
      </c>
    </row>
    <row r="709" spans="1:16" s="2" customFormat="1" x14ac:dyDescent="0.25">
      <c r="A709" s="2">
        <v>48568369</v>
      </c>
      <c r="B709" s="2">
        <v>48568640</v>
      </c>
      <c r="C709" s="2" t="str">
        <f>"UNIMEDSJN"</f>
        <v>UNIMEDSJN</v>
      </c>
      <c r="D709" s="2" t="str">
        <f>"DH"</f>
        <v>DH</v>
      </c>
      <c r="E709" s="2" t="str">
        <f>"NEI CARLOS LOPES DA PENHA"</f>
        <v>NEI CARLOS LOPES DA PENHA</v>
      </c>
      <c r="F709" s="2" t="str">
        <f>"48568369-1/1"</f>
        <v>48568369-1/1</v>
      </c>
      <c r="G709" s="2" t="str">
        <f>"Carteira 21"</f>
        <v>Carteira 21</v>
      </c>
      <c r="H709" s="2">
        <v>23</v>
      </c>
      <c r="I709" s="3">
        <v>79</v>
      </c>
      <c r="J709" s="2" t="str">
        <f>"02/01/2020"</f>
        <v>02/01/2020</v>
      </c>
      <c r="K709" s="2" t="str">
        <f>"25/01/2020"</f>
        <v>25/01/2020</v>
      </c>
      <c r="L709" s="2" t="str">
        <f>"14/02/2020"</f>
        <v>14/02/2020</v>
      </c>
      <c r="M709" s="2" t="str">
        <f>"17/02/2020"</f>
        <v>17/02/2020</v>
      </c>
      <c r="N709" s="2">
        <v>345.28</v>
      </c>
      <c r="O709" s="2">
        <v>354.24</v>
      </c>
      <c r="P709" s="2">
        <v>0.25</v>
      </c>
    </row>
    <row r="710" spans="1:16" s="2" customFormat="1" x14ac:dyDescent="0.25">
      <c r="A710" s="2">
        <v>48577455</v>
      </c>
      <c r="B710" s="2">
        <v>48577464</v>
      </c>
      <c r="C710" s="2" t="str">
        <f>"UNIMEDSJN"</f>
        <v>UNIMEDSJN</v>
      </c>
      <c r="D710" s="2" t="str">
        <f>"DH"</f>
        <v>DH</v>
      </c>
      <c r="E710" s="2" t="str">
        <f>"NEI CARLOS LOPES DA PENHA"</f>
        <v>NEI CARLOS LOPES DA PENHA</v>
      </c>
      <c r="F710" s="2" t="str">
        <f>"48577455-1/1"</f>
        <v>48577455-1/1</v>
      </c>
      <c r="G710" s="2" t="str">
        <f>"Carteira 21"</f>
        <v>Carteira 21</v>
      </c>
      <c r="H710" s="2">
        <v>23</v>
      </c>
      <c r="I710" s="3">
        <v>79</v>
      </c>
      <c r="J710" s="2" t="str">
        <f>"02/01/2020"</f>
        <v>02/01/2020</v>
      </c>
      <c r="K710" s="2" t="str">
        <f>"25/01/2020"</f>
        <v>25/01/2020</v>
      </c>
      <c r="L710" s="2" t="str">
        <f>"13/03/2020"</f>
        <v>13/03/2020</v>
      </c>
      <c r="M710" s="2" t="str">
        <f>"16/03/2020"</f>
        <v>16/03/2020</v>
      </c>
      <c r="N710" s="2">
        <v>959.22</v>
      </c>
      <c r="O710" s="2">
        <v>992.97</v>
      </c>
      <c r="P710" s="2">
        <v>0.77999999999997305</v>
      </c>
    </row>
    <row r="711" spans="1:16" s="2" customFormat="1" x14ac:dyDescent="0.25">
      <c r="A711" s="2">
        <v>48572027</v>
      </c>
      <c r="B711" s="2">
        <v>48572039</v>
      </c>
      <c r="C711" s="2" t="str">
        <f>"UNIMEDSJN"</f>
        <v>UNIMEDSJN</v>
      </c>
      <c r="D711" s="2" t="str">
        <f>"DH"</f>
        <v>DH</v>
      </c>
      <c r="E711" s="2" t="str">
        <f>"NEILA MARA ALVES MELO NOGUEIRA"</f>
        <v>NEILA MARA ALVES MELO NOGUEIRA</v>
      </c>
      <c r="F711" s="2" t="str">
        <f>"48572027-1/1"</f>
        <v>48572027-1/1</v>
      </c>
      <c r="G711" s="2" t="str">
        <f>"Carteira 21"</f>
        <v>Carteira 21</v>
      </c>
      <c r="H711" s="2">
        <v>23</v>
      </c>
      <c r="I711" s="3">
        <v>79</v>
      </c>
      <c r="J711" s="2" t="str">
        <f>"02/01/2020"</f>
        <v>02/01/2020</v>
      </c>
      <c r="K711" s="2" t="str">
        <f>"25/01/2020"</f>
        <v>25/01/2020</v>
      </c>
      <c r="L711" s="2" t="str">
        <f>"03/02/2020"</f>
        <v>03/02/2020</v>
      </c>
      <c r="M711" s="2" t="str">
        <f>"04/02/2020"</f>
        <v>04/02/2020</v>
      </c>
      <c r="N711" s="2">
        <v>228.69</v>
      </c>
      <c r="O711" s="2">
        <v>233.79</v>
      </c>
      <c r="P711" s="2">
        <v>0.15999999999999701</v>
      </c>
    </row>
    <row r="712" spans="1:16" s="2" customFormat="1" x14ac:dyDescent="0.25">
      <c r="A712" s="2">
        <v>48585873</v>
      </c>
      <c r="B712" s="2">
        <v>48586130</v>
      </c>
      <c r="C712" s="2" t="str">
        <f>"UNIMEDSJN"</f>
        <v>UNIMEDSJN</v>
      </c>
      <c r="D712" s="2" t="str">
        <f>"DH"</f>
        <v>DH</v>
      </c>
      <c r="E712" s="2" t="str">
        <f>"Nestora da Costa Diana"</f>
        <v>Nestora da Costa Diana</v>
      </c>
      <c r="F712" s="2" t="str">
        <f>"48585873-1/1"</f>
        <v>48585873-1/1</v>
      </c>
      <c r="G712" s="2" t="str">
        <f>"Carteira 21"</f>
        <v>Carteira 21</v>
      </c>
      <c r="H712" s="2">
        <v>23</v>
      </c>
      <c r="I712" s="3">
        <v>79</v>
      </c>
      <c r="J712" s="2" t="str">
        <f>"02/01/2020"</f>
        <v>02/01/2020</v>
      </c>
      <c r="K712" s="2" t="str">
        <f>"25/01/2020"</f>
        <v>25/01/2020</v>
      </c>
      <c r="L712" s="2" t="str">
        <f>"11/02/2020"</f>
        <v>11/02/2020</v>
      </c>
      <c r="M712" s="2" t="str">
        <f>"12/02/2020"</f>
        <v>12/02/2020</v>
      </c>
      <c r="N712" s="2">
        <v>186.9</v>
      </c>
      <c r="O712" s="2">
        <v>191.57</v>
      </c>
      <c r="P712" s="2">
        <v>0.13000000000002401</v>
      </c>
    </row>
    <row r="713" spans="1:16" x14ac:dyDescent="0.25">
      <c r="A713">
        <v>48793896</v>
      </c>
      <c r="B713">
        <v>48793903</v>
      </c>
      <c r="C713" t="str">
        <f>"UNIMEDSJN"</f>
        <v>UNIMEDSJN</v>
      </c>
      <c r="D713" t="str">
        <f>"DH"</f>
        <v>DH</v>
      </c>
      <c r="E713" t="str">
        <f>"Neusa Alves Rabello"</f>
        <v>Neusa Alves Rabello</v>
      </c>
      <c r="F713" t="str">
        <f>"48793896-1/1"</f>
        <v>48793896-1/1</v>
      </c>
      <c r="G713" t="str">
        <f>"Carteira 21"</f>
        <v>Carteira 21</v>
      </c>
      <c r="H713">
        <v>37</v>
      </c>
      <c r="I713" s="1">
        <v>47</v>
      </c>
      <c r="J713" t="str">
        <f>"20/01/2020"</f>
        <v>20/01/2020</v>
      </c>
      <c r="K713" t="str">
        <f>"26/02/2020"</f>
        <v>26/02/2020</v>
      </c>
      <c r="L713" t="str">
        <f>"26/02/2020"</f>
        <v>26/02/2020</v>
      </c>
      <c r="M713" t="str">
        <f>"07/02/2020"</f>
        <v>07/02/2020</v>
      </c>
      <c r="N713">
        <v>302.95</v>
      </c>
      <c r="O713">
        <v>302.95</v>
      </c>
      <c r="P713">
        <v>0</v>
      </c>
    </row>
    <row r="714" spans="1:16" x14ac:dyDescent="0.25">
      <c r="A714">
        <v>48615476</v>
      </c>
      <c r="B714">
        <v>48615488</v>
      </c>
      <c r="C714" t="str">
        <f>"UNIMEDSJN"</f>
        <v>UNIMEDSJN</v>
      </c>
      <c r="D714" t="str">
        <f>"DH"</f>
        <v>DH</v>
      </c>
      <c r="E714" t="str">
        <f>"NEUZA GONCALVES DE CASTRO LIMA"</f>
        <v>NEUZA GONCALVES DE CASTRO LIMA</v>
      </c>
      <c r="F714" t="str">
        <f>"48615476-1/1"</f>
        <v>48615476-1/1</v>
      </c>
      <c r="G714" t="str">
        <f>"Carteira 21"</f>
        <v>Carteira 21</v>
      </c>
      <c r="H714">
        <v>27</v>
      </c>
      <c r="I714" s="1">
        <v>57</v>
      </c>
      <c r="J714" t="str">
        <f>"20/01/2020"</f>
        <v>20/01/2020</v>
      </c>
      <c r="K714" t="str">
        <f>"16/02/2020"</f>
        <v>16/02/2020</v>
      </c>
      <c r="L714" t="str">
        <f>"17/02/2020"</f>
        <v>17/02/2020</v>
      </c>
      <c r="M714" t="str">
        <f>"13/02/2020"</f>
        <v>13/02/2020</v>
      </c>
      <c r="N714">
        <v>733.39</v>
      </c>
      <c r="O714">
        <v>733.39</v>
      </c>
      <c r="P714">
        <v>0</v>
      </c>
    </row>
    <row r="715" spans="1:16" s="2" customFormat="1" x14ac:dyDescent="0.25">
      <c r="A715" s="2">
        <v>45929029</v>
      </c>
      <c r="B715" s="2">
        <v>45929034</v>
      </c>
      <c r="C715" s="2" t="str">
        <f>"UNIMEDSJN"</f>
        <v>UNIMEDSJN</v>
      </c>
      <c r="D715" s="2" t="str">
        <f>"DH"</f>
        <v>DH</v>
      </c>
      <c r="E715" s="2" t="str">
        <f>"Octavio Pontes de Carvalho Candido"</f>
        <v>Octavio Pontes de Carvalho Candido</v>
      </c>
      <c r="F715" s="2" t="str">
        <f>"45929029-1/1"</f>
        <v>45929029-1/1</v>
      </c>
      <c r="G715" s="2" t="str">
        <f>"Carteira 21"</f>
        <v>Carteira 21</v>
      </c>
      <c r="H715" s="2">
        <v>14</v>
      </c>
      <c r="I715" s="3">
        <v>150</v>
      </c>
      <c r="J715" s="2" t="str">
        <f>"01/11/2019"</f>
        <v>01/11/2019</v>
      </c>
      <c r="K715" s="2" t="str">
        <f>"15/11/2019"</f>
        <v>15/11/2019</v>
      </c>
      <c r="L715" s="2" t="str">
        <f>"05/02/2020"</f>
        <v>05/02/2020</v>
      </c>
      <c r="M715" s="2" t="str">
        <f>"06/02/2020"</f>
        <v>06/02/2020</v>
      </c>
      <c r="N715" s="2">
        <v>248.4</v>
      </c>
      <c r="O715" s="2">
        <v>260.08999999999997</v>
      </c>
      <c r="P715" s="2">
        <v>6.9999999999964799E-2</v>
      </c>
    </row>
    <row r="716" spans="1:16" s="2" customFormat="1" x14ac:dyDescent="0.25">
      <c r="A716" s="2">
        <v>47508869</v>
      </c>
      <c r="B716" s="2">
        <v>47509124</v>
      </c>
      <c r="C716" s="2" t="str">
        <f>"UNIMEDSJN"</f>
        <v>UNIMEDSJN</v>
      </c>
      <c r="D716" s="2" t="str">
        <f>"DH"</f>
        <v>DH</v>
      </c>
      <c r="E716" s="2" t="str">
        <f>"Octavio Pontes de Carvalho Candido"</f>
        <v>Octavio Pontes de Carvalho Candido</v>
      </c>
      <c r="F716" s="2" t="str">
        <f>"47508869-1/1"</f>
        <v>47508869-1/1</v>
      </c>
      <c r="G716" s="2" t="str">
        <f>"Carteira 21"</f>
        <v>Carteira 21</v>
      </c>
      <c r="H716" s="2">
        <v>14</v>
      </c>
      <c r="I716" s="3">
        <v>120</v>
      </c>
      <c r="J716" s="2" t="str">
        <f>"01/12/2019"</f>
        <v>01/12/2019</v>
      </c>
      <c r="K716" s="2" t="str">
        <f>"15/12/2019"</f>
        <v>15/12/2019</v>
      </c>
      <c r="L716" s="2" t="str">
        <f>"18/02/2020"</f>
        <v>18/02/2020</v>
      </c>
      <c r="M716" s="2" t="str">
        <f>"19/02/2020"</f>
        <v>19/02/2020</v>
      </c>
      <c r="N716" s="2">
        <v>266.66000000000003</v>
      </c>
      <c r="O716" s="2">
        <v>277.63</v>
      </c>
      <c r="P716" s="2">
        <v>0.14000000000004301</v>
      </c>
    </row>
    <row r="717" spans="1:16" s="2" customFormat="1" x14ac:dyDescent="0.25">
      <c r="A717" s="2">
        <v>48584675</v>
      </c>
      <c r="B717" s="2">
        <v>48584682</v>
      </c>
      <c r="C717" s="2" t="str">
        <f>"UNIMEDSJN"</f>
        <v>UNIMEDSJN</v>
      </c>
      <c r="D717" s="2" t="str">
        <f>"DH"</f>
        <v>DH</v>
      </c>
      <c r="E717" s="2" t="str">
        <f>"Octavio Pontes de Carvalho Candido"</f>
        <v>Octavio Pontes de Carvalho Candido</v>
      </c>
      <c r="F717" s="2" t="str">
        <f>"48584675-1/1"</f>
        <v>48584675-1/1</v>
      </c>
      <c r="G717" s="2" t="str">
        <f>"Carteira 21"</f>
        <v>Carteira 21</v>
      </c>
      <c r="H717" s="2">
        <v>13</v>
      </c>
      <c r="I717" s="3">
        <v>89</v>
      </c>
      <c r="J717" s="2" t="str">
        <f>"02/01/2020"</f>
        <v>02/01/2020</v>
      </c>
      <c r="K717" s="2" t="str">
        <f>"15/01/2020"</f>
        <v>15/01/2020</v>
      </c>
      <c r="L717" s="2" t="str">
        <f>"15/01/2020"</f>
        <v>15/01/2020</v>
      </c>
      <c r="M717" s="2" t="str">
        <f>"27/12/2019"</f>
        <v>27/12/2019</v>
      </c>
      <c r="N717" s="2">
        <v>266.66000000000003</v>
      </c>
      <c r="O717" s="2">
        <v>266.66000000000003</v>
      </c>
      <c r="P717" s="2">
        <v>0</v>
      </c>
    </row>
    <row r="718" spans="1:16" s="2" customFormat="1" x14ac:dyDescent="0.25">
      <c r="A718" s="2">
        <v>47499033</v>
      </c>
      <c r="B718" s="2">
        <v>47499050</v>
      </c>
      <c r="C718" s="2" t="str">
        <f>"UNIMEDSJN"</f>
        <v>UNIMEDSJN</v>
      </c>
      <c r="D718" s="2" t="str">
        <f>"DH"</f>
        <v>DH</v>
      </c>
      <c r="E718" s="2" t="str">
        <f>"OLGA DA ASSUNCAO PIRES MARTINS"</f>
        <v>OLGA DA ASSUNCAO PIRES MARTINS</v>
      </c>
      <c r="F718" s="2" t="str">
        <f>"47499033-1/1"</f>
        <v>47499033-1/1</v>
      </c>
      <c r="G718" s="2" t="str">
        <f>"Carteira 21"</f>
        <v>Carteira 21</v>
      </c>
      <c r="H718" s="2">
        <v>24</v>
      </c>
      <c r="I718" s="3">
        <v>110</v>
      </c>
      <c r="J718" s="2" t="str">
        <f>"01/12/2019"</f>
        <v>01/12/2019</v>
      </c>
      <c r="K718" s="2" t="str">
        <f>"25/12/2019"</f>
        <v>25/12/2019</v>
      </c>
      <c r="L718" s="2" t="str">
        <f>"05/02/2020"</f>
        <v>05/02/2020</v>
      </c>
      <c r="M718" s="2" t="str">
        <f>"06/02/2020"</f>
        <v>06/02/2020</v>
      </c>
      <c r="N718" s="2">
        <v>68.900000000000006</v>
      </c>
      <c r="O718" s="2">
        <v>71.23</v>
      </c>
      <c r="P718" s="2">
        <v>1.00000000000051E-2</v>
      </c>
    </row>
    <row r="719" spans="1:16" s="2" customFormat="1" x14ac:dyDescent="0.25">
      <c r="A719" s="2">
        <v>48572491</v>
      </c>
      <c r="B719" s="2">
        <v>48572508</v>
      </c>
      <c r="C719" s="2" t="str">
        <f>"UNIMEDSJN"</f>
        <v>UNIMEDSJN</v>
      </c>
      <c r="D719" s="2" t="str">
        <f>"DH"</f>
        <v>DH</v>
      </c>
      <c r="E719" s="2" t="str">
        <f>"OLGA DA ASSUNCAO PIRES MARTINS"</f>
        <v>OLGA DA ASSUNCAO PIRES MARTINS</v>
      </c>
      <c r="F719" s="2" t="str">
        <f>"48572491-1/1"</f>
        <v>48572491-1/1</v>
      </c>
      <c r="G719" s="2" t="str">
        <f>"Carteira 21"</f>
        <v>Carteira 21</v>
      </c>
      <c r="H719" s="2">
        <v>23</v>
      </c>
      <c r="I719" s="3">
        <v>79</v>
      </c>
      <c r="J719" s="2" t="str">
        <f>"02/01/2020"</f>
        <v>02/01/2020</v>
      </c>
      <c r="K719" s="2" t="str">
        <f>"25/01/2020"</f>
        <v>25/01/2020</v>
      </c>
      <c r="L719" s="2" t="str">
        <f>"05/02/2020"</f>
        <v>05/02/2020</v>
      </c>
      <c r="M719" s="2" t="str">
        <f>"06/02/2020"</f>
        <v>06/02/2020</v>
      </c>
      <c r="N719" s="2">
        <v>68.900000000000006</v>
      </c>
      <c r="O719" s="2">
        <v>70.48</v>
      </c>
      <c r="P719" s="2">
        <v>4.9999999999997199E-2</v>
      </c>
    </row>
    <row r="720" spans="1:16" s="2" customFormat="1" x14ac:dyDescent="0.25">
      <c r="A720" s="2">
        <v>48583561</v>
      </c>
      <c r="B720" s="2">
        <v>48583589</v>
      </c>
      <c r="C720" s="2" t="str">
        <f>"UNIMEDSJN"</f>
        <v>UNIMEDSJN</v>
      </c>
      <c r="D720" s="2" t="str">
        <f>"DH"</f>
        <v>DH</v>
      </c>
      <c r="E720" s="2" t="str">
        <f>"OSVALDO JOSE ALMEIDA DE CASTRO"</f>
        <v>OSVALDO JOSE ALMEIDA DE CASTRO</v>
      </c>
      <c r="F720" s="2" t="str">
        <f>"48583561-1/1"</f>
        <v>48583561-1/1</v>
      </c>
      <c r="G720" s="2" t="str">
        <f>"Carteira 21"</f>
        <v>Carteira 21</v>
      </c>
      <c r="H720" s="2">
        <v>16</v>
      </c>
      <c r="I720" s="3">
        <v>86</v>
      </c>
      <c r="J720" s="2" t="str">
        <f>"02/01/2020"</f>
        <v>02/01/2020</v>
      </c>
      <c r="K720" s="2" t="str">
        <f>"18/01/2020"</f>
        <v>18/01/2020</v>
      </c>
      <c r="L720" s="2" t="str">
        <f>"03/02/2020"</f>
        <v>03/02/2020</v>
      </c>
      <c r="M720" s="2" t="str">
        <f>"04/02/2020"</f>
        <v>04/02/2020</v>
      </c>
      <c r="N720" s="2">
        <v>1159.06</v>
      </c>
      <c r="O720" s="2">
        <v>1187.5999999999999</v>
      </c>
      <c r="P720" s="2">
        <v>0.81999999999970896</v>
      </c>
    </row>
    <row r="721" spans="1:16" s="2" customFormat="1" x14ac:dyDescent="0.25">
      <c r="A721" s="2">
        <v>48585308</v>
      </c>
      <c r="B721" s="2">
        <v>48585315</v>
      </c>
      <c r="C721" s="2" t="str">
        <f>"UNIMEDSJN"</f>
        <v>UNIMEDSJN</v>
      </c>
      <c r="D721" s="2" t="str">
        <f>"DH"</f>
        <v>DH</v>
      </c>
      <c r="E721" s="2" t="str">
        <f>"Othon Ponciano da Cruz"</f>
        <v>Othon Ponciano da Cruz</v>
      </c>
      <c r="F721" s="2" t="str">
        <f>"48585308-1/1"</f>
        <v>48585308-1/1</v>
      </c>
      <c r="G721" s="2" t="str">
        <f>"Carteira 21"</f>
        <v>Carteira 21</v>
      </c>
      <c r="H721" s="2">
        <v>23</v>
      </c>
      <c r="I721" s="3">
        <v>79</v>
      </c>
      <c r="J721" s="2" t="str">
        <f>"02/01/2020"</f>
        <v>02/01/2020</v>
      </c>
      <c r="K721" s="2" t="str">
        <f>"25/01/2020"</f>
        <v>25/01/2020</v>
      </c>
      <c r="L721" s="2" t="str">
        <f>"05/02/2020"</f>
        <v>05/02/2020</v>
      </c>
      <c r="M721" s="2" t="str">
        <f>"06/02/2020"</f>
        <v>06/02/2020</v>
      </c>
      <c r="N721" s="2">
        <v>186.46</v>
      </c>
      <c r="O721" s="2">
        <v>190.74</v>
      </c>
      <c r="P721" s="2">
        <v>0.12999999999999501</v>
      </c>
    </row>
    <row r="722" spans="1:16" s="2" customFormat="1" x14ac:dyDescent="0.25">
      <c r="A722" s="2">
        <v>48586466</v>
      </c>
      <c r="B722" s="2">
        <v>48586471</v>
      </c>
      <c r="C722" s="2" t="str">
        <f>"UNIMEDSJN"</f>
        <v>UNIMEDSJN</v>
      </c>
      <c r="D722" s="2" t="str">
        <f>"DH"</f>
        <v>DH</v>
      </c>
      <c r="E722" s="2" t="str">
        <f>"Patricia Araujo Martins"</f>
        <v>Patricia Araujo Martins</v>
      </c>
      <c r="F722" s="2" t="str">
        <f>"48586466-1/1"</f>
        <v>48586466-1/1</v>
      </c>
      <c r="G722" s="2" t="str">
        <f>"Carteira 21"</f>
        <v>Carteira 21</v>
      </c>
      <c r="H722" s="2">
        <v>23</v>
      </c>
      <c r="I722" s="3">
        <v>79</v>
      </c>
      <c r="J722" s="2" t="str">
        <f>"02/01/2020"</f>
        <v>02/01/2020</v>
      </c>
      <c r="K722" s="2" t="str">
        <f>"25/01/2020"</f>
        <v>25/01/2020</v>
      </c>
      <c r="L722" s="2" t="str">
        <f>"11/02/2020"</f>
        <v>11/02/2020</v>
      </c>
      <c r="M722" s="2" t="str">
        <f>"12/02/2020"</f>
        <v>12/02/2020</v>
      </c>
      <c r="N722" s="2">
        <v>186.9</v>
      </c>
      <c r="O722" s="2">
        <v>191.56</v>
      </c>
      <c r="P722" s="2">
        <v>0.140000000000015</v>
      </c>
    </row>
    <row r="723" spans="1:16" s="2" customFormat="1" x14ac:dyDescent="0.25">
      <c r="A723" s="2">
        <v>48577700</v>
      </c>
      <c r="B723" s="2">
        <v>48577718</v>
      </c>
      <c r="C723" s="2" t="str">
        <f>"UNIMEDSJN"</f>
        <v>UNIMEDSJN</v>
      </c>
      <c r="D723" s="2" t="str">
        <f>"DH"</f>
        <v>DH</v>
      </c>
      <c r="E723" s="2" t="str">
        <f>"PATRICIA MARIA COELHO DE PAIVA"</f>
        <v>PATRICIA MARIA COELHO DE PAIVA</v>
      </c>
      <c r="F723" s="2" t="str">
        <f>"48577700-1/1"</f>
        <v>48577700-1/1</v>
      </c>
      <c r="G723" s="2" t="str">
        <f>"Carteira 21"</f>
        <v>Carteira 21</v>
      </c>
      <c r="H723" s="2">
        <v>23</v>
      </c>
      <c r="I723" s="3">
        <v>79</v>
      </c>
      <c r="J723" s="2" t="str">
        <f>"02/01/2020"</f>
        <v>02/01/2020</v>
      </c>
      <c r="K723" s="2" t="str">
        <f>"25/01/2020"</f>
        <v>25/01/2020</v>
      </c>
      <c r="L723" s="2" t="str">
        <f>"03/02/2020"</f>
        <v>03/02/2020</v>
      </c>
      <c r="M723" s="2" t="str">
        <f>"04/02/2020"</f>
        <v>04/02/2020</v>
      </c>
      <c r="N723" s="2">
        <v>240.83</v>
      </c>
      <c r="O723" s="2">
        <v>246.21</v>
      </c>
      <c r="P723" s="2">
        <v>0.15999999999999701</v>
      </c>
    </row>
    <row r="724" spans="1:16" s="2" customFormat="1" x14ac:dyDescent="0.25">
      <c r="A724" s="2">
        <v>48575205</v>
      </c>
      <c r="B724" s="2">
        <v>48575237</v>
      </c>
      <c r="C724" s="2" t="str">
        <f>"UNIMEDSJN"</f>
        <v>UNIMEDSJN</v>
      </c>
      <c r="D724" s="2" t="str">
        <f>"DH"</f>
        <v>DH</v>
      </c>
      <c r="E724" s="2" t="str">
        <f>"PATRICIA NUNES VIEIRA"</f>
        <v>PATRICIA NUNES VIEIRA</v>
      </c>
      <c r="F724" s="2" t="str">
        <f>"48575205-1/1"</f>
        <v>48575205-1/1</v>
      </c>
      <c r="G724" s="2" t="str">
        <f>"Carteira 21"</f>
        <v>Carteira 21</v>
      </c>
      <c r="H724" s="2">
        <v>23</v>
      </c>
      <c r="I724" s="3">
        <v>79</v>
      </c>
      <c r="J724" s="2" t="str">
        <f>"02/01/2020"</f>
        <v>02/01/2020</v>
      </c>
      <c r="K724" s="2" t="str">
        <f>"25/01/2020"</f>
        <v>25/01/2020</v>
      </c>
      <c r="L724" s="2" t="str">
        <f>"20/03/2020"</f>
        <v>20/03/2020</v>
      </c>
      <c r="M724" s="2" t="str">
        <f>"23/03/2020"</f>
        <v>23/03/2020</v>
      </c>
      <c r="N724" s="2">
        <v>261.06</v>
      </c>
      <c r="O724" s="2">
        <v>270.83999999999997</v>
      </c>
      <c r="P724" s="2">
        <v>0.22999999999996101</v>
      </c>
    </row>
    <row r="725" spans="1:16" s="2" customFormat="1" x14ac:dyDescent="0.25">
      <c r="A725" s="2">
        <v>45453802</v>
      </c>
      <c r="B725" s="2">
        <v>45453809</v>
      </c>
      <c r="C725" s="2" t="str">
        <f>"UNIMEDSJN"</f>
        <v>UNIMEDSJN</v>
      </c>
      <c r="D725" s="2" t="str">
        <f>"DH"</f>
        <v>DH</v>
      </c>
      <c r="E725" s="2" t="str">
        <f>"Patricia Paula Vieira da Silva"</f>
        <v>Patricia Paula Vieira da Silva</v>
      </c>
      <c r="F725" s="2" t="str">
        <f>"45453802-1/1"</f>
        <v>45453802-1/1</v>
      </c>
      <c r="G725" s="2" t="str">
        <f>"Carteira 21"</f>
        <v>Carteira 21</v>
      </c>
      <c r="H725" s="2">
        <v>24</v>
      </c>
      <c r="I725" s="3">
        <v>171</v>
      </c>
      <c r="J725" s="2" t="str">
        <f>"01/10/2019"</f>
        <v>01/10/2019</v>
      </c>
      <c r="K725" s="2" t="str">
        <f>"25/10/2019"</f>
        <v>25/10/2019</v>
      </c>
      <c r="L725" s="2" t="str">
        <f>"25/10/2019"</f>
        <v>25/10/2019</v>
      </c>
      <c r="M725" s="2" t="str">
        <f>"27/09/2019"</f>
        <v>27/09/2019</v>
      </c>
      <c r="N725" s="2">
        <v>139.9</v>
      </c>
      <c r="O725" s="2">
        <v>139.9</v>
      </c>
      <c r="P725" s="2">
        <v>0</v>
      </c>
    </row>
    <row r="726" spans="1:16" s="2" customFormat="1" x14ac:dyDescent="0.25">
      <c r="A726" s="2">
        <v>45928032</v>
      </c>
      <c r="B726" s="2">
        <v>45928037</v>
      </c>
      <c r="C726" s="2" t="str">
        <f>"UNIMEDSJN"</f>
        <v>UNIMEDSJN</v>
      </c>
      <c r="D726" s="2" t="str">
        <f>"DH"</f>
        <v>DH</v>
      </c>
      <c r="E726" s="2" t="str">
        <f>"Patricia Paula Vieira da Silva"</f>
        <v>Patricia Paula Vieira da Silva</v>
      </c>
      <c r="F726" s="2" t="str">
        <f>"45928032-1/1"</f>
        <v>45928032-1/1</v>
      </c>
      <c r="G726" s="2" t="str">
        <f>"Carteira 21"</f>
        <v>Carteira 21</v>
      </c>
      <c r="H726" s="2">
        <v>24</v>
      </c>
      <c r="I726" s="3">
        <v>140</v>
      </c>
      <c r="J726" s="2" t="str">
        <f>"01/11/2019"</f>
        <v>01/11/2019</v>
      </c>
      <c r="K726" s="2" t="str">
        <f>"25/11/2019"</f>
        <v>25/11/2019</v>
      </c>
      <c r="L726" s="2" t="str">
        <f>"25/11/2019"</f>
        <v>25/11/2019</v>
      </c>
      <c r="M726" s="2" t="str">
        <f>"31/10/2019"</f>
        <v>31/10/2019</v>
      </c>
      <c r="N726" s="2">
        <v>139.9</v>
      </c>
      <c r="O726" s="2">
        <v>139.9</v>
      </c>
      <c r="P726" s="2">
        <v>0</v>
      </c>
    </row>
    <row r="727" spans="1:16" s="2" customFormat="1" x14ac:dyDescent="0.25">
      <c r="A727" s="2">
        <v>47505578</v>
      </c>
      <c r="B727" s="2">
        <v>47505583</v>
      </c>
      <c r="C727" s="2" t="str">
        <f>"UNIMEDSJN"</f>
        <v>UNIMEDSJN</v>
      </c>
      <c r="D727" s="2" t="str">
        <f>"DH"</f>
        <v>DH</v>
      </c>
      <c r="E727" s="2" t="str">
        <f>"Patricia Paula Vieira da Silva"</f>
        <v>Patricia Paula Vieira da Silva</v>
      </c>
      <c r="F727" s="2" t="str">
        <f>"47505578-1/1"</f>
        <v>47505578-1/1</v>
      </c>
      <c r="G727" s="2" t="str">
        <f>"Carteira 21"</f>
        <v>Carteira 21</v>
      </c>
      <c r="H727" s="2">
        <v>24</v>
      </c>
      <c r="I727" s="3">
        <v>110</v>
      </c>
      <c r="J727" s="2" t="str">
        <f>"01/12/2019"</f>
        <v>01/12/2019</v>
      </c>
      <c r="K727" s="2" t="str">
        <f>"25/12/2019"</f>
        <v>25/12/2019</v>
      </c>
      <c r="L727" s="2" t="str">
        <f>"25/12/2019"</f>
        <v>25/12/2019</v>
      </c>
      <c r="M727" s="2" t="str">
        <f>"28/11/2019"</f>
        <v>28/11/2019</v>
      </c>
      <c r="N727" s="2">
        <v>139.9</v>
      </c>
      <c r="O727" s="2">
        <v>139.9</v>
      </c>
      <c r="P727" s="2">
        <v>0</v>
      </c>
    </row>
    <row r="728" spans="1:16" s="2" customFormat="1" x14ac:dyDescent="0.25">
      <c r="A728" s="2">
        <v>48583250</v>
      </c>
      <c r="B728" s="2">
        <v>48583262</v>
      </c>
      <c r="C728" s="2" t="str">
        <f>"UNIMEDSJN"</f>
        <v>UNIMEDSJN</v>
      </c>
      <c r="D728" s="2" t="str">
        <f>"DH"</f>
        <v>DH</v>
      </c>
      <c r="E728" s="2" t="str">
        <f>"Patricia Paula Vieira da Silva"</f>
        <v>Patricia Paula Vieira da Silva</v>
      </c>
      <c r="F728" s="2" t="str">
        <f>"48583250-1/1"</f>
        <v>48583250-1/1</v>
      </c>
      <c r="G728" s="2" t="str">
        <f>"Carteira 21"</f>
        <v>Carteira 21</v>
      </c>
      <c r="H728" s="2">
        <v>23</v>
      </c>
      <c r="I728" s="3">
        <v>79</v>
      </c>
      <c r="J728" s="2" t="str">
        <f>"02/01/2020"</f>
        <v>02/01/2020</v>
      </c>
      <c r="K728" s="2" t="str">
        <f>"25/01/2020"</f>
        <v>25/01/2020</v>
      </c>
      <c r="L728" s="2" t="str">
        <f>"27/01/2020"</f>
        <v>27/01/2020</v>
      </c>
      <c r="M728" s="2" t="str">
        <f>"27/12/2019"</f>
        <v>27/12/2019</v>
      </c>
      <c r="N728" s="2">
        <v>139.9</v>
      </c>
      <c r="O728" s="2">
        <v>139.9</v>
      </c>
      <c r="P728" s="2">
        <v>0</v>
      </c>
    </row>
    <row r="729" spans="1:16" s="2" customFormat="1" x14ac:dyDescent="0.25">
      <c r="A729" s="2">
        <v>45926277</v>
      </c>
      <c r="B729" s="2">
        <v>45926287</v>
      </c>
      <c r="C729" s="2" t="str">
        <f>"UNIMEDSJN"</f>
        <v>UNIMEDSJN</v>
      </c>
      <c r="D729" s="2" t="str">
        <f>"DH"</f>
        <v>DH</v>
      </c>
      <c r="E729" s="2" t="str">
        <f>"Patricia Souza Castro"</f>
        <v>Patricia Souza Castro</v>
      </c>
      <c r="F729" s="2" t="str">
        <f>"45926277-1/1"</f>
        <v>45926277-1/1</v>
      </c>
      <c r="G729" s="2" t="str">
        <f>"Carteira 21"</f>
        <v>Carteira 21</v>
      </c>
      <c r="H729" s="2">
        <v>24</v>
      </c>
      <c r="I729" s="3">
        <v>140</v>
      </c>
      <c r="J729" s="2" t="str">
        <f>"01/11/2019"</f>
        <v>01/11/2019</v>
      </c>
      <c r="K729" s="2" t="str">
        <f>"25/11/2019"</f>
        <v>25/11/2019</v>
      </c>
      <c r="L729" s="2" t="str">
        <f>"25/11/2019"</f>
        <v>25/11/2019</v>
      </c>
      <c r="M729" s="2" t="str">
        <f>"31/10/2019"</f>
        <v>31/10/2019</v>
      </c>
      <c r="N729" s="2">
        <v>150.18</v>
      </c>
      <c r="O729" s="2">
        <v>150.18</v>
      </c>
      <c r="P729" s="2">
        <v>0</v>
      </c>
    </row>
    <row r="730" spans="1:16" s="2" customFormat="1" x14ac:dyDescent="0.25">
      <c r="A730" s="2">
        <v>47507004</v>
      </c>
      <c r="B730" s="2">
        <v>47507012</v>
      </c>
      <c r="C730" s="2" t="str">
        <f>"UNIMEDSJN"</f>
        <v>UNIMEDSJN</v>
      </c>
      <c r="D730" s="2" t="str">
        <f>"DH"</f>
        <v>DH</v>
      </c>
      <c r="E730" s="2" t="str">
        <f>"Patricia Souza Castro"</f>
        <v>Patricia Souza Castro</v>
      </c>
      <c r="F730" s="2" t="str">
        <f>"47507004-1/1"</f>
        <v>47507004-1/1</v>
      </c>
      <c r="G730" s="2" t="str">
        <f>"Carteira 21"</f>
        <v>Carteira 21</v>
      </c>
      <c r="H730" s="2">
        <v>24</v>
      </c>
      <c r="I730" s="3">
        <v>110</v>
      </c>
      <c r="J730" s="2" t="str">
        <f>"01/12/2019"</f>
        <v>01/12/2019</v>
      </c>
      <c r="K730" s="2" t="str">
        <f>"25/12/2019"</f>
        <v>25/12/2019</v>
      </c>
      <c r="L730" s="2" t="str">
        <f>"25/12/2019"</f>
        <v>25/12/2019</v>
      </c>
      <c r="M730" s="2" t="str">
        <f>"28/11/2019"</f>
        <v>28/11/2019</v>
      </c>
      <c r="N730" s="2">
        <v>150.18</v>
      </c>
      <c r="O730" s="2">
        <v>150.18</v>
      </c>
      <c r="P730" s="2">
        <v>0</v>
      </c>
    </row>
    <row r="731" spans="1:16" s="2" customFormat="1" x14ac:dyDescent="0.25">
      <c r="A731" s="2">
        <v>48583173</v>
      </c>
      <c r="B731" s="2">
        <v>48583183</v>
      </c>
      <c r="C731" s="2" t="str">
        <f>"UNIMEDSJN"</f>
        <v>UNIMEDSJN</v>
      </c>
      <c r="D731" s="2" t="str">
        <f>"DH"</f>
        <v>DH</v>
      </c>
      <c r="E731" s="2" t="str">
        <f>"Patricia Souza Castro"</f>
        <v>Patricia Souza Castro</v>
      </c>
      <c r="F731" s="2" t="str">
        <f>"48583173-1/1"</f>
        <v>48583173-1/1</v>
      </c>
      <c r="G731" s="2" t="str">
        <f>"Carteira 21"</f>
        <v>Carteira 21</v>
      </c>
      <c r="H731" s="2">
        <v>23</v>
      </c>
      <c r="I731" s="3">
        <v>79</v>
      </c>
      <c r="J731" s="2" t="str">
        <f>"02/01/2020"</f>
        <v>02/01/2020</v>
      </c>
      <c r="K731" s="2" t="str">
        <f>"25/01/2020"</f>
        <v>25/01/2020</v>
      </c>
      <c r="L731" s="2" t="str">
        <f>"27/01/2020"</f>
        <v>27/01/2020</v>
      </c>
      <c r="M731" s="2" t="str">
        <f>"27/12/2019"</f>
        <v>27/12/2019</v>
      </c>
      <c r="N731" s="2">
        <v>150.18</v>
      </c>
      <c r="O731" s="2">
        <v>150.18</v>
      </c>
      <c r="P731" s="2">
        <v>0</v>
      </c>
    </row>
    <row r="732" spans="1:16" x14ac:dyDescent="0.25">
      <c r="A732">
        <v>48794024</v>
      </c>
      <c r="B732">
        <v>48794036</v>
      </c>
      <c r="C732" t="str">
        <f>"UNIMEDSJN"</f>
        <v>UNIMEDSJN</v>
      </c>
      <c r="D732" t="str">
        <f>"DH"</f>
        <v>DH</v>
      </c>
      <c r="E732" t="str">
        <f>"PATRICIA VENTURA DA SILVEIRA TORRES"</f>
        <v>PATRICIA VENTURA DA SILVEIRA TORRES</v>
      </c>
      <c r="F732" t="str">
        <f>"48794024-1/1"</f>
        <v>48794024-1/1</v>
      </c>
      <c r="G732" t="str">
        <f>"Carteira 21"</f>
        <v>Carteira 21</v>
      </c>
      <c r="H732">
        <v>27</v>
      </c>
      <c r="I732" s="1">
        <v>57</v>
      </c>
      <c r="J732" t="str">
        <f>"20/01/2020"</f>
        <v>20/01/2020</v>
      </c>
      <c r="K732" t="str">
        <f>"16/02/2020"</f>
        <v>16/02/2020</v>
      </c>
      <c r="L732" t="str">
        <f>"17/02/2020"</f>
        <v>17/02/2020</v>
      </c>
      <c r="M732" t="str">
        <f>"17/02/2020"</f>
        <v>17/02/2020</v>
      </c>
      <c r="N732">
        <v>343.18</v>
      </c>
      <c r="O732">
        <v>343.18</v>
      </c>
      <c r="P732">
        <v>0</v>
      </c>
    </row>
    <row r="733" spans="1:16" s="2" customFormat="1" x14ac:dyDescent="0.25">
      <c r="A733" s="2">
        <v>47496348</v>
      </c>
      <c r="B733" s="2">
        <v>47496366</v>
      </c>
      <c r="C733" s="2" t="str">
        <f>"UNIMEDSJN"</f>
        <v>UNIMEDSJN</v>
      </c>
      <c r="D733" s="2" t="str">
        <f>"DH"</f>
        <v>DH</v>
      </c>
      <c r="E733" s="2" t="str">
        <f>"PAULA COSTA MONFARDINI"</f>
        <v>PAULA COSTA MONFARDINI</v>
      </c>
      <c r="F733" s="2" t="str">
        <f>"47496348-1/1"</f>
        <v>47496348-1/1</v>
      </c>
      <c r="G733" s="2" t="str">
        <f>"Carteira 21"</f>
        <v>Carteira 21</v>
      </c>
      <c r="H733" s="2">
        <v>24</v>
      </c>
      <c r="I733" s="3">
        <v>110</v>
      </c>
      <c r="J733" s="2" t="str">
        <f>"01/12/2019"</f>
        <v>01/12/2019</v>
      </c>
      <c r="K733" s="2" t="str">
        <f>"25/12/2019"</f>
        <v>25/12/2019</v>
      </c>
      <c r="L733" s="2" t="str">
        <f>"14/02/2020"</f>
        <v>14/02/2020</v>
      </c>
      <c r="M733" s="2" t="str">
        <f>"17/02/2020"</f>
        <v>17/02/2020</v>
      </c>
      <c r="N733" s="2">
        <v>997.03</v>
      </c>
      <c r="O733" s="2">
        <v>1033.75</v>
      </c>
      <c r="P733" s="2">
        <v>0.16999999999995899</v>
      </c>
    </row>
    <row r="734" spans="1:16" s="2" customFormat="1" x14ac:dyDescent="0.25">
      <c r="A734" s="2">
        <v>48572671</v>
      </c>
      <c r="B734" s="2">
        <v>48572687</v>
      </c>
      <c r="C734" s="2" t="str">
        <f>"UNIMEDSJN"</f>
        <v>UNIMEDSJN</v>
      </c>
      <c r="D734" s="2" t="str">
        <f>"DH"</f>
        <v>DH</v>
      </c>
      <c r="E734" s="2" t="str">
        <f>"PAULA COSTA MONFARDINI"</f>
        <v>PAULA COSTA MONFARDINI</v>
      </c>
      <c r="F734" s="2" t="str">
        <f>"48572671-1/1"</f>
        <v>48572671-1/1</v>
      </c>
      <c r="G734" s="2" t="str">
        <f>"Carteira 21"</f>
        <v>Carteira 21</v>
      </c>
      <c r="H734" s="2">
        <v>23</v>
      </c>
      <c r="I734" s="3">
        <v>79</v>
      </c>
      <c r="J734" s="2" t="str">
        <f>"02/01/2020"</f>
        <v>02/01/2020</v>
      </c>
      <c r="K734" s="2" t="str">
        <f>"25/01/2020"</f>
        <v>25/01/2020</v>
      </c>
      <c r="L734" s="2" t="str">
        <f>"06/03/2020"</f>
        <v>06/03/2020</v>
      </c>
      <c r="M734" s="2" t="str">
        <f>"09/03/2020"</f>
        <v>09/03/2020</v>
      </c>
      <c r="N734" s="2">
        <v>997.03</v>
      </c>
      <c r="O734" s="2">
        <v>1029.8</v>
      </c>
      <c r="P734" s="2">
        <v>0.80000000000006799</v>
      </c>
    </row>
    <row r="735" spans="1:16" s="2" customFormat="1" x14ac:dyDescent="0.25">
      <c r="A735" s="2">
        <v>44315228</v>
      </c>
      <c r="B735" s="2">
        <v>44315235</v>
      </c>
      <c r="C735" s="2" t="str">
        <f>"UNIMEDSJN"</f>
        <v>UNIMEDSJN</v>
      </c>
      <c r="D735" s="2" t="str">
        <f>"DH"</f>
        <v>DH</v>
      </c>
      <c r="E735" s="2" t="str">
        <f>"Paula Graciele de Jesus Lima"</f>
        <v>Paula Graciele de Jesus Lima</v>
      </c>
      <c r="F735" s="2" t="str">
        <f>"44315228-1/1"</f>
        <v>44315228-1/1</v>
      </c>
      <c r="G735" s="2" t="str">
        <f>"CARTEIRA PERDA"</f>
        <v>CARTEIRA PERDA</v>
      </c>
      <c r="H735" s="2">
        <v>14</v>
      </c>
      <c r="I735" s="3">
        <v>242</v>
      </c>
      <c r="J735" s="2" t="str">
        <f>"01/08/2019"</f>
        <v>01/08/2019</v>
      </c>
      <c r="K735" s="2" t="str">
        <f>"15/08/2019"</f>
        <v>15/08/2019</v>
      </c>
      <c r="L735" s="2" t="str">
        <f>"15/08/2019"</f>
        <v>15/08/2019</v>
      </c>
      <c r="M735" s="2" t="str">
        <f>"05/03/2020"</f>
        <v>05/03/2020</v>
      </c>
      <c r="N735" s="2">
        <v>68.900000000000006</v>
      </c>
      <c r="O735" s="2">
        <v>68.900000000000006</v>
      </c>
      <c r="P735" s="2">
        <v>0</v>
      </c>
    </row>
    <row r="736" spans="1:16" s="2" customFormat="1" x14ac:dyDescent="0.25">
      <c r="A736" s="2">
        <v>44960313</v>
      </c>
      <c r="B736" s="2">
        <v>44960320</v>
      </c>
      <c r="C736" s="2" t="str">
        <f>"UNIMEDSJN"</f>
        <v>UNIMEDSJN</v>
      </c>
      <c r="D736" s="2" t="str">
        <f>"DH"</f>
        <v>DH</v>
      </c>
      <c r="E736" s="2" t="str">
        <f>"Paula Graciele de Jesus Lima"</f>
        <v>Paula Graciele de Jesus Lima</v>
      </c>
      <c r="F736" s="2" t="str">
        <f>"44960313-1/1"</f>
        <v>44960313-1/1</v>
      </c>
      <c r="G736" s="2" t="str">
        <f>"CARTEIRA PERDA"</f>
        <v>CARTEIRA PERDA</v>
      </c>
      <c r="H736" s="2">
        <v>14</v>
      </c>
      <c r="I736" s="3">
        <v>211</v>
      </c>
      <c r="J736" s="2" t="str">
        <f>"01/09/2019"</f>
        <v>01/09/2019</v>
      </c>
      <c r="K736" s="2" t="str">
        <f>"15/09/2019"</f>
        <v>15/09/2019</v>
      </c>
      <c r="L736" s="2" t="str">
        <f>"16/09/2019"</f>
        <v>16/09/2019</v>
      </c>
      <c r="M736" s="2" t="str">
        <f>"05/03/2020"</f>
        <v>05/03/2020</v>
      </c>
      <c r="N736" s="2">
        <v>68.900000000000006</v>
      </c>
      <c r="O736" s="2">
        <v>68.900000000000006</v>
      </c>
      <c r="P736" s="2">
        <v>0</v>
      </c>
    </row>
    <row r="737" spans="1:16" s="2" customFormat="1" x14ac:dyDescent="0.25">
      <c r="A737" s="2">
        <v>45444704</v>
      </c>
      <c r="B737" s="2">
        <v>45444711</v>
      </c>
      <c r="C737" s="2" t="str">
        <f>"UNIMEDSJN"</f>
        <v>UNIMEDSJN</v>
      </c>
      <c r="D737" s="2" t="str">
        <f>"DH"</f>
        <v>DH</v>
      </c>
      <c r="E737" s="2" t="str">
        <f>"Paula Graciele de Jesus Lima"</f>
        <v>Paula Graciele de Jesus Lima</v>
      </c>
      <c r="F737" s="2" t="str">
        <f>"45444704-1/1"</f>
        <v>45444704-1/1</v>
      </c>
      <c r="G737" s="2" t="str">
        <f>"CARTEIRA PERDA"</f>
        <v>CARTEIRA PERDA</v>
      </c>
      <c r="H737" s="2">
        <v>14</v>
      </c>
      <c r="I737" s="3">
        <v>181</v>
      </c>
      <c r="J737" s="2" t="str">
        <f>"01/10/2019"</f>
        <v>01/10/2019</v>
      </c>
      <c r="K737" s="2" t="str">
        <f>"15/10/2019"</f>
        <v>15/10/2019</v>
      </c>
      <c r="L737" s="2" t="str">
        <f>"15/10/2019"</f>
        <v>15/10/2019</v>
      </c>
      <c r="M737" s="2" t="str">
        <f>"05/03/2020"</f>
        <v>05/03/2020</v>
      </c>
      <c r="N737" s="2">
        <v>68.900000000000006</v>
      </c>
      <c r="O737" s="2">
        <v>68.900000000000006</v>
      </c>
      <c r="P737" s="2">
        <v>0</v>
      </c>
    </row>
    <row r="738" spans="1:16" s="2" customFormat="1" x14ac:dyDescent="0.25">
      <c r="A738" s="2">
        <v>45907886</v>
      </c>
      <c r="B738" s="2">
        <v>45907891</v>
      </c>
      <c r="C738" s="2" t="str">
        <f>"UNIMEDSJN"</f>
        <v>UNIMEDSJN</v>
      </c>
      <c r="D738" s="2" t="str">
        <f>"DH"</f>
        <v>DH</v>
      </c>
      <c r="E738" s="2" t="str">
        <f>"Paula Graciele de Jesus Lima"</f>
        <v>Paula Graciele de Jesus Lima</v>
      </c>
      <c r="F738" s="2" t="str">
        <f>"45907886-1/1"</f>
        <v>45907886-1/1</v>
      </c>
      <c r="G738" s="2" t="str">
        <f>"CARTEIRA PERDA"</f>
        <v>CARTEIRA PERDA</v>
      </c>
      <c r="H738" s="2">
        <v>14</v>
      </c>
      <c r="I738" s="3">
        <v>150</v>
      </c>
      <c r="J738" s="2" t="str">
        <f>"01/11/2019"</f>
        <v>01/11/2019</v>
      </c>
      <c r="K738" s="2" t="str">
        <f>"15/11/2019"</f>
        <v>15/11/2019</v>
      </c>
      <c r="L738" s="2" t="str">
        <f>"15/11/2019"</f>
        <v>15/11/2019</v>
      </c>
      <c r="M738" s="2" t="str">
        <f>"05/03/2020"</f>
        <v>05/03/2020</v>
      </c>
      <c r="N738" s="2">
        <v>68.900000000000006</v>
      </c>
      <c r="O738" s="2">
        <v>68.900000000000006</v>
      </c>
      <c r="P738" s="2">
        <v>0</v>
      </c>
    </row>
    <row r="739" spans="1:16" s="2" customFormat="1" x14ac:dyDescent="0.25">
      <c r="A739" s="2">
        <v>47500672</v>
      </c>
      <c r="B739" s="2">
        <v>47500685</v>
      </c>
      <c r="C739" s="2" t="str">
        <f>"UNIMEDSJN"</f>
        <v>UNIMEDSJN</v>
      </c>
      <c r="D739" s="2" t="str">
        <f>"DH"</f>
        <v>DH</v>
      </c>
      <c r="E739" s="2" t="str">
        <f>"Paula Graciele de Jesus Lima"</f>
        <v>Paula Graciele de Jesus Lima</v>
      </c>
      <c r="F739" s="2" t="str">
        <f>"47500672-1/1"</f>
        <v>47500672-1/1</v>
      </c>
      <c r="G739" s="2" t="str">
        <f>"CARTEIRA PERDA"</f>
        <v>CARTEIRA PERDA</v>
      </c>
      <c r="H739" s="2">
        <v>14</v>
      </c>
      <c r="I739" s="3">
        <v>120</v>
      </c>
      <c r="J739" s="2" t="str">
        <f>"01/12/2019"</f>
        <v>01/12/2019</v>
      </c>
      <c r="K739" s="2" t="str">
        <f>"15/12/2019"</f>
        <v>15/12/2019</v>
      </c>
      <c r="L739" s="2" t="str">
        <f>"16/12/2019"</f>
        <v>16/12/2019</v>
      </c>
      <c r="M739" s="2" t="str">
        <f>"05/03/2020"</f>
        <v>05/03/2020</v>
      </c>
      <c r="N739" s="2">
        <v>68.900000000000006</v>
      </c>
      <c r="O739" s="2">
        <v>68.900000000000006</v>
      </c>
      <c r="P739" s="2">
        <v>0</v>
      </c>
    </row>
    <row r="740" spans="1:16" s="2" customFormat="1" x14ac:dyDescent="0.25">
      <c r="A740" s="2">
        <v>47460076</v>
      </c>
      <c r="B740" s="2">
        <v>47460083</v>
      </c>
      <c r="C740" s="2" t="str">
        <f>"UNIMEDSJN"</f>
        <v>UNIMEDSJN</v>
      </c>
      <c r="D740" s="2" t="str">
        <f>"DH"</f>
        <v>DH</v>
      </c>
      <c r="E740" s="2" t="str">
        <f>"PAULO CESAR ABREU DE VIRGILIO"</f>
        <v>PAULO CESAR ABREU DE VIRGILIO</v>
      </c>
      <c r="F740" s="2" t="str">
        <f>"47460076-1/1"</f>
        <v>47460076-1/1</v>
      </c>
      <c r="G740" s="2" t="str">
        <f>"Carteira 21"</f>
        <v>Carteira 21</v>
      </c>
      <c r="H740" s="2">
        <v>54</v>
      </c>
      <c r="I740" s="3">
        <v>80</v>
      </c>
      <c r="J740" s="2" t="str">
        <f>"01/12/2019"</f>
        <v>01/12/2019</v>
      </c>
      <c r="K740" s="2" t="str">
        <f>"24/01/2020"</f>
        <v>24/01/2020</v>
      </c>
      <c r="L740" s="2" t="str">
        <f>"04/03/2020"</f>
        <v>04/03/2020</v>
      </c>
      <c r="M740" s="2" t="str">
        <f>"05/03/2020"</f>
        <v>05/03/2020</v>
      </c>
      <c r="N740" s="2">
        <v>778.31</v>
      </c>
      <c r="O740" s="2">
        <v>811.85</v>
      </c>
      <c r="P740" s="2">
        <v>-7.5899999999999199</v>
      </c>
    </row>
    <row r="741" spans="1:16" s="2" customFormat="1" x14ac:dyDescent="0.25">
      <c r="A741" s="2">
        <v>48564068</v>
      </c>
      <c r="B741" s="2">
        <v>48564073</v>
      </c>
      <c r="C741" s="2" t="str">
        <f>"UNIMEDSJN"</f>
        <v>UNIMEDSJN</v>
      </c>
      <c r="D741" s="2" t="str">
        <f>"DH"</f>
        <v>DH</v>
      </c>
      <c r="E741" s="2" t="str">
        <f>"PAULO CESAR ABREU DE VIRGILIO"</f>
        <v>PAULO CESAR ABREU DE VIRGILIO</v>
      </c>
      <c r="F741" s="2" t="str">
        <f>"48564068-1/1"</f>
        <v>48564068-1/1</v>
      </c>
      <c r="G741" s="2" t="str">
        <f>"Carteira 21"</f>
        <v>Carteira 21</v>
      </c>
      <c r="H741" s="2">
        <v>23</v>
      </c>
      <c r="I741" s="3">
        <v>79</v>
      </c>
      <c r="J741" s="2" t="str">
        <f>"02/01/2020"</f>
        <v>02/01/2020</v>
      </c>
      <c r="K741" s="2" t="str">
        <f>"25/01/2020"</f>
        <v>25/01/2020</v>
      </c>
      <c r="L741" s="2" t="str">
        <f>"27/01/2020"</f>
        <v>27/01/2020</v>
      </c>
      <c r="M741" s="2" t="str">
        <f>"27/12/2019"</f>
        <v>27/12/2019</v>
      </c>
      <c r="N741" s="2">
        <v>778.31</v>
      </c>
      <c r="O741" s="2">
        <v>778.31</v>
      </c>
      <c r="P741" s="2">
        <v>0</v>
      </c>
    </row>
    <row r="742" spans="1:16" s="2" customFormat="1" x14ac:dyDescent="0.25">
      <c r="A742" s="2">
        <v>48615901</v>
      </c>
      <c r="B742" s="2">
        <v>48615917</v>
      </c>
      <c r="C742" s="2" t="str">
        <f>"UNIMEDSJN"</f>
        <v>UNIMEDSJN</v>
      </c>
      <c r="D742" s="2" t="str">
        <f>"DH"</f>
        <v>DH</v>
      </c>
      <c r="E742" s="2" t="str">
        <f>"PAULO CESAR VIEIRA"</f>
        <v>PAULO CESAR VIEIRA</v>
      </c>
      <c r="F742" s="2" t="str">
        <f>"48615901-1/1"</f>
        <v>48615901-1/1</v>
      </c>
      <c r="G742" s="2" t="str">
        <f>"Carteira 21"</f>
        <v>Carteira 21</v>
      </c>
      <c r="H742" s="2">
        <v>17</v>
      </c>
      <c r="I742" s="3">
        <v>67</v>
      </c>
      <c r="J742" s="2" t="str">
        <f>"20/01/2020"</f>
        <v>20/01/2020</v>
      </c>
      <c r="K742" s="2" t="str">
        <f>"06/02/2020"</f>
        <v>06/02/2020</v>
      </c>
      <c r="L742" s="2" t="str">
        <f>"06/02/2020"</f>
        <v>06/02/2020</v>
      </c>
      <c r="M742" s="2" t="str">
        <f>"06/02/2020"</f>
        <v>06/02/2020</v>
      </c>
      <c r="N742" s="2">
        <v>786.64</v>
      </c>
      <c r="O742" s="2">
        <v>786.64</v>
      </c>
      <c r="P742" s="2">
        <v>0</v>
      </c>
    </row>
    <row r="743" spans="1:16" s="2" customFormat="1" x14ac:dyDescent="0.25">
      <c r="A743" s="2">
        <v>45465485</v>
      </c>
      <c r="B743" s="2">
        <v>45465493</v>
      </c>
      <c r="C743" s="2" t="str">
        <f>"UNIMEDSJN"</f>
        <v>UNIMEDSJN</v>
      </c>
      <c r="D743" s="2" t="str">
        <f>"DH"</f>
        <v>DH</v>
      </c>
      <c r="E743" s="2" t="str">
        <f>"PAULO HENRIQUE JOSE DA SILVA"</f>
        <v>PAULO HENRIQUE JOSE DA SILVA</v>
      </c>
      <c r="F743" s="2" t="str">
        <f>"45465485-1/1"</f>
        <v>45465485-1/1</v>
      </c>
      <c r="G743" s="2" t="str">
        <f>"Carteira 21"</f>
        <v>Carteira 21</v>
      </c>
      <c r="H743" s="2">
        <v>24</v>
      </c>
      <c r="I743" s="3">
        <v>171</v>
      </c>
      <c r="J743" s="2" t="str">
        <f>"01/10/2019"</f>
        <v>01/10/2019</v>
      </c>
      <c r="K743" s="2" t="str">
        <f>"25/10/2019"</f>
        <v>25/10/2019</v>
      </c>
      <c r="L743" s="2" t="str">
        <f>"25/10/2019"</f>
        <v>25/10/2019</v>
      </c>
      <c r="M743" s="2" t="str">
        <f>"27/09/2019"</f>
        <v>27/09/2019</v>
      </c>
      <c r="N743" s="2">
        <v>135.44999999999999</v>
      </c>
      <c r="O743" s="2">
        <v>135.44999999999999</v>
      </c>
      <c r="P743" s="2">
        <v>0</v>
      </c>
    </row>
    <row r="744" spans="1:16" s="2" customFormat="1" x14ac:dyDescent="0.25">
      <c r="A744" s="2">
        <v>46001679</v>
      </c>
      <c r="B744" s="2">
        <v>46001687</v>
      </c>
      <c r="C744" s="2" t="str">
        <f>"UNIMEDSJN"</f>
        <v>UNIMEDSJN</v>
      </c>
      <c r="D744" s="2" t="str">
        <f>"DH"</f>
        <v>DH</v>
      </c>
      <c r="E744" s="2" t="str">
        <f>"PAULO ROBERTO COSTA"</f>
        <v>PAULO ROBERTO COSTA</v>
      </c>
      <c r="F744" s="2" t="str">
        <f>"46001679-1/1"</f>
        <v>46001679-1/1</v>
      </c>
      <c r="G744" s="2" t="str">
        <f>"Carteira 21"</f>
        <v>Carteira 21</v>
      </c>
      <c r="H744" s="2">
        <v>21</v>
      </c>
      <c r="I744" s="3">
        <v>140</v>
      </c>
      <c r="J744" s="2" t="str">
        <f>"04/11/2019"</f>
        <v>04/11/2019</v>
      </c>
      <c r="K744" s="2" t="str">
        <f>"25/11/2019"</f>
        <v>25/11/2019</v>
      </c>
      <c r="L744" s="2" t="str">
        <f>"10/02/2020"</f>
        <v>10/02/2020</v>
      </c>
      <c r="M744" s="2" t="str">
        <f>"11/02/2020"</f>
        <v>11/02/2020</v>
      </c>
      <c r="N744" s="2">
        <v>376.65</v>
      </c>
      <c r="O744" s="2">
        <v>393.75</v>
      </c>
      <c r="P744" s="2">
        <v>0.100000000000023</v>
      </c>
    </row>
    <row r="745" spans="1:16" s="2" customFormat="1" x14ac:dyDescent="0.25">
      <c r="A745" s="2">
        <v>47493591</v>
      </c>
      <c r="B745" s="2">
        <v>47493608</v>
      </c>
      <c r="C745" s="2" t="str">
        <f>"UNIMEDSJN"</f>
        <v>UNIMEDSJN</v>
      </c>
      <c r="D745" s="2" t="str">
        <f>"DH"</f>
        <v>DH</v>
      </c>
      <c r="E745" s="2" t="str">
        <f>"PAULO ROBERTO COSTA"</f>
        <v>PAULO ROBERTO COSTA</v>
      </c>
      <c r="F745" s="2" t="str">
        <f>"47493591-1/1"</f>
        <v>47493591-1/1</v>
      </c>
      <c r="G745" s="2" t="str">
        <f>"Carteira 21"</f>
        <v>Carteira 21</v>
      </c>
      <c r="H745" s="2">
        <v>24</v>
      </c>
      <c r="I745" s="3">
        <v>110</v>
      </c>
      <c r="J745" s="2" t="str">
        <f>"01/12/2019"</f>
        <v>01/12/2019</v>
      </c>
      <c r="K745" s="2" t="str">
        <f>"25/12/2019"</f>
        <v>25/12/2019</v>
      </c>
      <c r="L745" s="2" t="str">
        <f>"17/02/2020"</f>
        <v>17/02/2020</v>
      </c>
      <c r="M745" s="2" t="str">
        <f>"18/02/2020"</f>
        <v>18/02/2020</v>
      </c>
      <c r="N745" s="2">
        <v>376.65</v>
      </c>
      <c r="O745" s="2">
        <v>390.89</v>
      </c>
      <c r="P745" s="2">
        <v>7.0000000000049994E-2</v>
      </c>
    </row>
    <row r="746" spans="1:16" s="2" customFormat="1" x14ac:dyDescent="0.25">
      <c r="A746" s="2">
        <v>48568720</v>
      </c>
      <c r="B746" s="2">
        <v>48568729</v>
      </c>
      <c r="C746" s="2" t="str">
        <f>"UNIMEDSJN"</f>
        <v>UNIMEDSJN</v>
      </c>
      <c r="D746" s="2" t="str">
        <f>"DH"</f>
        <v>DH</v>
      </c>
      <c r="E746" s="2" t="str">
        <f>"PAULO ROBERTO COSTA"</f>
        <v>PAULO ROBERTO COSTA</v>
      </c>
      <c r="F746" s="2" t="str">
        <f>"48568720-1/1"</f>
        <v>48568720-1/1</v>
      </c>
      <c r="G746" s="2" t="str">
        <f>"Carteira 21"</f>
        <v>Carteira 21</v>
      </c>
      <c r="H746" s="2">
        <v>23</v>
      </c>
      <c r="I746" s="3">
        <v>79</v>
      </c>
      <c r="J746" s="2" t="str">
        <f>"02/01/2020"</f>
        <v>02/01/2020</v>
      </c>
      <c r="K746" s="2" t="str">
        <f>"25/01/2020"</f>
        <v>25/01/2020</v>
      </c>
      <c r="L746" s="2" t="str">
        <f>"16/03/2020"</f>
        <v>16/03/2020</v>
      </c>
      <c r="M746" s="2" t="str">
        <f>"17/03/2020"</f>
        <v>17/03/2020</v>
      </c>
      <c r="N746" s="2">
        <v>376.65</v>
      </c>
      <c r="O746" s="2">
        <v>390.27</v>
      </c>
      <c r="P746" s="2">
        <v>0.31000000000005901</v>
      </c>
    </row>
    <row r="747" spans="1:16" s="2" customFormat="1" x14ac:dyDescent="0.25">
      <c r="A747" s="2">
        <v>47498553</v>
      </c>
      <c r="B747" s="2">
        <v>47498586</v>
      </c>
      <c r="C747" s="2" t="str">
        <f>"UNIMEDSJN"</f>
        <v>UNIMEDSJN</v>
      </c>
      <c r="D747" s="2" t="str">
        <f>"DH"</f>
        <v>DH</v>
      </c>
      <c r="E747" s="2" t="str">
        <f>"Paulo Sergio Barreiros Vieira"</f>
        <v>Paulo Sergio Barreiros Vieira</v>
      </c>
      <c r="F747" s="2" t="str">
        <f>"47498553-1/1"</f>
        <v>47498553-1/1</v>
      </c>
      <c r="G747" s="2" t="str">
        <f>"Carteira 21"</f>
        <v>Carteira 21</v>
      </c>
      <c r="H747" s="2">
        <v>14</v>
      </c>
      <c r="I747" s="3">
        <v>120</v>
      </c>
      <c r="J747" s="2" t="str">
        <f>"01/12/2019"</f>
        <v>01/12/2019</v>
      </c>
      <c r="K747" s="2" t="str">
        <f>"15/12/2019"</f>
        <v>15/12/2019</v>
      </c>
      <c r="L747" s="2" t="str">
        <f>"03/02/2020"</f>
        <v>03/02/2020</v>
      </c>
      <c r="M747" s="2" t="str">
        <f>"04/02/2020"</f>
        <v>04/02/2020</v>
      </c>
      <c r="N747" s="2">
        <v>534.13</v>
      </c>
      <c r="O747" s="2">
        <v>553.45000000000005</v>
      </c>
      <c r="P747" s="2">
        <v>0.25999999999999102</v>
      </c>
    </row>
    <row r="748" spans="1:16" s="2" customFormat="1" x14ac:dyDescent="0.25">
      <c r="A748" s="2">
        <v>48572892</v>
      </c>
      <c r="B748" s="2">
        <v>48572906</v>
      </c>
      <c r="C748" s="2" t="str">
        <f>"UNIMEDSJN"</f>
        <v>UNIMEDSJN</v>
      </c>
      <c r="D748" s="2" t="str">
        <f>"DH"</f>
        <v>DH</v>
      </c>
      <c r="E748" s="2" t="str">
        <f>"Paulo Sergio Barreiros Vieira"</f>
        <v>Paulo Sergio Barreiros Vieira</v>
      </c>
      <c r="F748" s="2" t="str">
        <f>"48572892-1/1"</f>
        <v>48572892-1/1</v>
      </c>
      <c r="G748" s="2" t="str">
        <f>"Carteira 21"</f>
        <v>Carteira 21</v>
      </c>
      <c r="H748" s="2">
        <v>13</v>
      </c>
      <c r="I748" s="3">
        <v>89</v>
      </c>
      <c r="J748" s="2" t="str">
        <f>"02/01/2020"</f>
        <v>02/01/2020</v>
      </c>
      <c r="K748" s="2" t="str">
        <f>"15/01/2020"</f>
        <v>15/01/2020</v>
      </c>
      <c r="L748" s="2" t="str">
        <f>"04/03/2020"</f>
        <v>04/03/2020</v>
      </c>
      <c r="M748" s="2" t="str">
        <f>"05/03/2020"</f>
        <v>05/03/2020</v>
      </c>
      <c r="N748" s="2">
        <v>534.13</v>
      </c>
      <c r="O748" s="2">
        <v>553.45000000000005</v>
      </c>
      <c r="P748" s="2">
        <v>7.9999999999927199E-2</v>
      </c>
    </row>
    <row r="749" spans="1:16" s="2" customFormat="1" x14ac:dyDescent="0.25">
      <c r="A749" s="2">
        <v>47504836</v>
      </c>
      <c r="B749" s="2">
        <v>47504846</v>
      </c>
      <c r="C749" s="2" t="str">
        <f>"UNIMEDSJN"</f>
        <v>UNIMEDSJN</v>
      </c>
      <c r="D749" s="2" t="str">
        <f>"DH"</f>
        <v>DH</v>
      </c>
      <c r="E749" s="2" t="str">
        <f>"PAULO VICTOR DESSUPOIO SILVA"</f>
        <v>PAULO VICTOR DESSUPOIO SILVA</v>
      </c>
      <c r="F749" s="2" t="str">
        <f>"47504836-1/1"</f>
        <v>47504836-1/1</v>
      </c>
      <c r="G749" s="2" t="str">
        <f>"Carteira 21"</f>
        <v>Carteira 21</v>
      </c>
      <c r="H749" s="2">
        <v>24</v>
      </c>
      <c r="I749" s="3">
        <v>110</v>
      </c>
      <c r="J749" s="2" t="str">
        <f>"01/12/2019"</f>
        <v>01/12/2019</v>
      </c>
      <c r="K749" s="2" t="str">
        <f>"25/12/2019"</f>
        <v>25/12/2019</v>
      </c>
      <c r="L749" s="2" t="str">
        <f>"28/02/2020"</f>
        <v>28/02/2020</v>
      </c>
      <c r="M749" s="2" t="str">
        <f>"13/03/2020"</f>
        <v>13/03/2020</v>
      </c>
      <c r="N749" s="2">
        <v>155.44</v>
      </c>
      <c r="O749" s="2">
        <v>161.88</v>
      </c>
      <c r="P749" s="2">
        <v>3.9999999999992E-2</v>
      </c>
    </row>
    <row r="750" spans="1:16" s="2" customFormat="1" x14ac:dyDescent="0.25">
      <c r="A750" s="2">
        <v>48579798</v>
      </c>
      <c r="B750" s="2">
        <v>48579805</v>
      </c>
      <c r="C750" s="2" t="str">
        <f>"UNIMEDSJN"</f>
        <v>UNIMEDSJN</v>
      </c>
      <c r="D750" s="2" t="str">
        <f>"DH"</f>
        <v>DH</v>
      </c>
      <c r="E750" s="2" t="str">
        <f>"PAULO VICTOR DESSUPOIO SILVA"</f>
        <v>PAULO VICTOR DESSUPOIO SILVA</v>
      </c>
      <c r="F750" s="2" t="str">
        <f>"48579798-1/1"</f>
        <v>48579798-1/1</v>
      </c>
      <c r="G750" s="2" t="str">
        <f>"Carteira 21"</f>
        <v>Carteira 21</v>
      </c>
      <c r="H750" s="2">
        <v>23</v>
      </c>
      <c r="I750" s="3">
        <v>79</v>
      </c>
      <c r="J750" s="2" t="str">
        <f>"02/01/2020"</f>
        <v>02/01/2020</v>
      </c>
      <c r="K750" s="2" t="str">
        <f>"25/01/2020"</f>
        <v>25/01/2020</v>
      </c>
      <c r="L750" s="2" t="str">
        <f>"28/02/2020"</f>
        <v>28/02/2020</v>
      </c>
      <c r="M750" s="2" t="str">
        <f>"13/03/2020"</f>
        <v>13/03/2020</v>
      </c>
      <c r="N750" s="2">
        <v>155.44</v>
      </c>
      <c r="O750" s="2">
        <v>160.19</v>
      </c>
      <c r="P750" s="2">
        <v>0.12000000000000501</v>
      </c>
    </row>
    <row r="751" spans="1:16" s="2" customFormat="1" x14ac:dyDescent="0.25">
      <c r="A751" s="2">
        <v>43563864</v>
      </c>
      <c r="B751" s="2">
        <v>43563883</v>
      </c>
      <c r="C751" s="2" t="str">
        <f>"UNIMEDSJN"</f>
        <v>UNIMEDSJN</v>
      </c>
      <c r="D751" s="2" t="str">
        <f>"DH"</f>
        <v>DH</v>
      </c>
      <c r="E751" s="2" t="str">
        <f>"PEDRO AMORIM CUNHA"</f>
        <v>PEDRO AMORIM CUNHA</v>
      </c>
      <c r="F751" s="2" t="str">
        <f>"43563864-1/1"</f>
        <v>43563864-1/1</v>
      </c>
      <c r="G751" s="2" t="str">
        <f>"Carteira 21"</f>
        <v>Carteira 21</v>
      </c>
      <c r="H751" s="2">
        <v>22</v>
      </c>
      <c r="I751" s="3">
        <v>293</v>
      </c>
      <c r="J751" s="2" t="str">
        <f>"03/06/2019"</f>
        <v>03/06/2019</v>
      </c>
      <c r="K751" s="2" t="str">
        <f>"25/06/2019"</f>
        <v>25/06/2019</v>
      </c>
      <c r="L751" s="2" t="str">
        <f>"25/06/2019"</f>
        <v>25/06/2019</v>
      </c>
      <c r="M751" s="2" t="str">
        <f>"03/06/2019"</f>
        <v>03/06/2019</v>
      </c>
      <c r="N751" s="2">
        <v>131.93</v>
      </c>
      <c r="O751" s="2">
        <v>131.93</v>
      </c>
      <c r="P751" s="2">
        <v>0</v>
      </c>
    </row>
    <row r="752" spans="1:16" s="2" customFormat="1" x14ac:dyDescent="0.25">
      <c r="A752" s="2">
        <v>48584520</v>
      </c>
      <c r="B752" s="2">
        <v>48584527</v>
      </c>
      <c r="C752" s="2" t="str">
        <f>"UNIMEDSJN"</f>
        <v>UNIMEDSJN</v>
      </c>
      <c r="D752" s="2" t="str">
        <f>"DH"</f>
        <v>DH</v>
      </c>
      <c r="E752" s="2" t="str">
        <f>"Pedro Andrade de Lima"</f>
        <v>Pedro Andrade de Lima</v>
      </c>
      <c r="F752" s="2" t="str">
        <f>"48584520-1/1"</f>
        <v>48584520-1/1</v>
      </c>
      <c r="G752" s="2" t="str">
        <f>"Carteira 21"</f>
        <v>Carteira 21</v>
      </c>
      <c r="H752" s="2">
        <v>23</v>
      </c>
      <c r="I752" s="3">
        <v>79</v>
      </c>
      <c r="J752" s="2" t="str">
        <f>"02/01/2020"</f>
        <v>02/01/2020</v>
      </c>
      <c r="K752" s="2" t="str">
        <f>"25/01/2020"</f>
        <v>25/01/2020</v>
      </c>
      <c r="L752" s="2" t="str">
        <f>"17/02/2020"</f>
        <v>17/02/2020</v>
      </c>
      <c r="M752" s="2" t="str">
        <f>"18/02/2020"</f>
        <v>18/02/2020</v>
      </c>
      <c r="N752" s="2">
        <v>198.31</v>
      </c>
      <c r="O752" s="2">
        <v>203.65</v>
      </c>
      <c r="P752" s="2">
        <v>0.15000000000000599</v>
      </c>
    </row>
    <row r="753" spans="1:16" s="2" customFormat="1" x14ac:dyDescent="0.25">
      <c r="A753" s="2">
        <v>47508277</v>
      </c>
      <c r="B753" s="2">
        <v>47508287</v>
      </c>
      <c r="C753" s="2" t="str">
        <f>"UNIMEDSJN"</f>
        <v>UNIMEDSJN</v>
      </c>
      <c r="D753" s="2" t="str">
        <f>"DH"</f>
        <v>DH</v>
      </c>
      <c r="E753" s="2" t="str">
        <f>"Pedro Henrique Duarte Ferreira Filho"</f>
        <v>Pedro Henrique Duarte Ferreira Filho</v>
      </c>
      <c r="F753" s="2" t="str">
        <f>"47508277-1/1"</f>
        <v>47508277-1/1</v>
      </c>
      <c r="G753" s="2" t="str">
        <f>"Carteira 21"</f>
        <v>Carteira 21</v>
      </c>
      <c r="H753" s="2">
        <v>24</v>
      </c>
      <c r="I753" s="3">
        <v>110</v>
      </c>
      <c r="J753" s="2" t="str">
        <f>"01/12/2019"</f>
        <v>01/12/2019</v>
      </c>
      <c r="K753" s="2" t="str">
        <f>"25/12/2019"</f>
        <v>25/12/2019</v>
      </c>
      <c r="L753" s="2" t="str">
        <f>"05/03/2020"</f>
        <v>05/03/2020</v>
      </c>
      <c r="M753" s="2" t="str">
        <f>"06/03/2020"</f>
        <v>06/03/2020</v>
      </c>
      <c r="N753" s="2">
        <v>411.42</v>
      </c>
      <c r="O753" s="2">
        <v>429.29</v>
      </c>
      <c r="P753" s="2">
        <v>9.9999999999965894E-2</v>
      </c>
    </row>
    <row r="754" spans="1:16" s="2" customFormat="1" x14ac:dyDescent="0.25">
      <c r="A754" s="2">
        <v>48585681</v>
      </c>
      <c r="B754" s="2">
        <v>48585691</v>
      </c>
      <c r="C754" s="2" t="str">
        <f>"UNIMEDSJN"</f>
        <v>UNIMEDSJN</v>
      </c>
      <c r="D754" s="2" t="str">
        <f>"DH"</f>
        <v>DH</v>
      </c>
      <c r="E754" s="2" t="str">
        <f>"Pedro Henrique Duarte Ferreira Filho"</f>
        <v>Pedro Henrique Duarte Ferreira Filho</v>
      </c>
      <c r="F754" s="2" t="str">
        <f>"48585681-1/1"</f>
        <v>48585681-1/1</v>
      </c>
      <c r="G754" s="2" t="str">
        <f>"Carteira 21"</f>
        <v>Carteira 21</v>
      </c>
      <c r="H754" s="2">
        <v>23</v>
      </c>
      <c r="I754" s="3">
        <v>79</v>
      </c>
      <c r="J754" s="2" t="str">
        <f>"02/01/2020"</f>
        <v>02/01/2020</v>
      </c>
      <c r="K754" s="2" t="str">
        <f>"25/01/2020"</f>
        <v>25/01/2020</v>
      </c>
      <c r="L754" s="2" t="str">
        <f>"05/03/2020"</f>
        <v>05/03/2020</v>
      </c>
      <c r="M754" s="2" t="str">
        <f>"06/03/2020"</f>
        <v>06/03/2020</v>
      </c>
      <c r="N754" s="2">
        <v>411.42</v>
      </c>
      <c r="O754" s="2">
        <v>424.8</v>
      </c>
      <c r="P754" s="2">
        <v>0.340000000000032</v>
      </c>
    </row>
    <row r="755" spans="1:16" s="2" customFormat="1" x14ac:dyDescent="0.25">
      <c r="A755" s="2">
        <v>48584401</v>
      </c>
      <c r="B755" s="2">
        <v>48584410</v>
      </c>
      <c r="C755" s="2" t="str">
        <f>"UNIMEDSJN"</f>
        <v>UNIMEDSJN</v>
      </c>
      <c r="D755" s="2" t="str">
        <f>"DH"</f>
        <v>DH</v>
      </c>
      <c r="E755" s="2" t="str">
        <f>"Pedro Henrique Vieira Victorio"</f>
        <v>Pedro Henrique Vieira Victorio</v>
      </c>
      <c r="F755" s="2" t="str">
        <f>"48584401-1/1"</f>
        <v>48584401-1/1</v>
      </c>
      <c r="G755" s="2" t="str">
        <f>"Carteira 21"</f>
        <v>Carteira 21</v>
      </c>
      <c r="H755" s="2">
        <v>23</v>
      </c>
      <c r="I755" s="3">
        <v>79</v>
      </c>
      <c r="J755" s="2" t="str">
        <f>"02/01/2020"</f>
        <v>02/01/2020</v>
      </c>
      <c r="K755" s="2" t="str">
        <f>"25/01/2020"</f>
        <v>25/01/2020</v>
      </c>
      <c r="L755" s="2" t="str">
        <f>"27/01/2020"</f>
        <v>27/01/2020</v>
      </c>
      <c r="M755" s="2" t="str">
        <f>"27/12/2019"</f>
        <v>27/12/2019</v>
      </c>
      <c r="N755" s="2">
        <v>252.53</v>
      </c>
      <c r="O755" s="2">
        <v>252.53</v>
      </c>
      <c r="P755" s="2">
        <v>0</v>
      </c>
    </row>
    <row r="756" spans="1:16" s="2" customFormat="1" x14ac:dyDescent="0.25">
      <c r="A756" s="2">
        <v>43981439</v>
      </c>
      <c r="B756" s="2">
        <v>43981446</v>
      </c>
      <c r="C756" s="2" t="str">
        <f>"UNIMEDSJN"</f>
        <v>UNIMEDSJN</v>
      </c>
      <c r="D756" s="2" t="str">
        <f>"DH"</f>
        <v>DH</v>
      </c>
      <c r="E756" s="2" t="str">
        <f>"PEDRO RUAN GUILHERMINO MENDES JUNIOR"</f>
        <v>PEDRO RUAN GUILHERMINO MENDES JUNIOR</v>
      </c>
      <c r="F756" s="2" t="str">
        <f>"43981439-1/1"</f>
        <v>43981439-1/1</v>
      </c>
      <c r="G756" s="2" t="str">
        <f>"Carteira 21"</f>
        <v>Carteira 21</v>
      </c>
      <c r="H756" s="2">
        <v>24</v>
      </c>
      <c r="I756" s="3">
        <v>263</v>
      </c>
      <c r="J756" s="2" t="str">
        <f>"01/07/2019"</f>
        <v>01/07/2019</v>
      </c>
      <c r="K756" s="2" t="str">
        <f>"25/07/2019"</f>
        <v>25/07/2019</v>
      </c>
      <c r="L756" s="2" t="str">
        <f>"25/07/2019"</f>
        <v>25/07/2019</v>
      </c>
      <c r="M756" s="2" t="str">
        <f>"01/07/2019"</f>
        <v>01/07/2019</v>
      </c>
      <c r="N756" s="2">
        <v>209.03</v>
      </c>
      <c r="O756" s="2">
        <v>209.03</v>
      </c>
      <c r="P756" s="2">
        <v>0</v>
      </c>
    </row>
    <row r="757" spans="1:16" s="2" customFormat="1" x14ac:dyDescent="0.25">
      <c r="A757" s="2">
        <v>43988065</v>
      </c>
      <c r="B757" s="2">
        <v>43988074</v>
      </c>
      <c r="C757" s="2" t="str">
        <f>"UNIMEDSJN"</f>
        <v>UNIMEDSJN</v>
      </c>
      <c r="D757" s="2" t="str">
        <f>"DH"</f>
        <v>DH</v>
      </c>
      <c r="E757" s="2" t="str">
        <f>"PEDRO RUAN GUILHERMINO MENDES JUNIOR"</f>
        <v>PEDRO RUAN GUILHERMINO MENDES JUNIOR</v>
      </c>
      <c r="F757" s="2" t="str">
        <f>"43988065-1/1"</f>
        <v>43988065-1/1</v>
      </c>
      <c r="G757" s="2" t="str">
        <f>"Carteira 21"</f>
        <v>Carteira 21</v>
      </c>
      <c r="H757" s="2">
        <v>24</v>
      </c>
      <c r="I757" s="3">
        <v>263</v>
      </c>
      <c r="J757" s="2" t="str">
        <f>"01/07/2019"</f>
        <v>01/07/2019</v>
      </c>
      <c r="K757" s="2" t="str">
        <f>"25/07/2019"</f>
        <v>25/07/2019</v>
      </c>
      <c r="L757" s="2" t="str">
        <f>"25/07/2019"</f>
        <v>25/07/2019</v>
      </c>
      <c r="M757" s="2" t="str">
        <f>"01/07/2019"</f>
        <v>01/07/2019</v>
      </c>
      <c r="N757" s="2">
        <v>184.73</v>
      </c>
      <c r="O757" s="2">
        <v>184.73</v>
      </c>
      <c r="P757" s="2">
        <v>0</v>
      </c>
    </row>
    <row r="758" spans="1:16" s="2" customFormat="1" x14ac:dyDescent="0.25">
      <c r="A758" s="2">
        <v>48585755</v>
      </c>
      <c r="B758" s="2">
        <v>48585768</v>
      </c>
      <c r="C758" s="2" t="str">
        <f>"UNIMEDSJN"</f>
        <v>UNIMEDSJN</v>
      </c>
      <c r="D758" s="2" t="str">
        <f>"DH"</f>
        <v>DH</v>
      </c>
      <c r="E758" s="2" t="str">
        <f>"Pollyana das Chagas Ferreira"</f>
        <v>Pollyana das Chagas Ferreira</v>
      </c>
      <c r="F758" s="2" t="str">
        <f>"48585755-1/1"</f>
        <v>48585755-1/1</v>
      </c>
      <c r="G758" s="2" t="str">
        <f>"Carteira 21"</f>
        <v>Carteira 21</v>
      </c>
      <c r="H758" s="2">
        <v>23</v>
      </c>
      <c r="I758" s="3">
        <v>79</v>
      </c>
      <c r="J758" s="2" t="str">
        <f>"02/01/2020"</f>
        <v>02/01/2020</v>
      </c>
      <c r="K758" s="2" t="str">
        <f>"25/01/2020"</f>
        <v>25/01/2020</v>
      </c>
      <c r="L758" s="2" t="str">
        <f>"27/02/2020"</f>
        <v>27/02/2020</v>
      </c>
      <c r="M758" s="2" t="str">
        <f>"28/02/2020"</f>
        <v>28/02/2020</v>
      </c>
      <c r="N758" s="2">
        <v>477.34</v>
      </c>
      <c r="O758" s="2">
        <v>491.76</v>
      </c>
      <c r="P758" s="2">
        <v>0.38000000000005202</v>
      </c>
    </row>
    <row r="759" spans="1:16" s="2" customFormat="1" x14ac:dyDescent="0.25">
      <c r="A759" s="2">
        <v>48754245</v>
      </c>
      <c r="B759" s="2">
        <v>48754252</v>
      </c>
      <c r="C759" s="2" t="str">
        <f>"UNIMEDSJN"</f>
        <v>UNIMEDSJN</v>
      </c>
      <c r="D759" s="2" t="str">
        <f>"DH"</f>
        <v>DH</v>
      </c>
      <c r="E759" s="2" t="str">
        <f>"Rafael Lobao Gotti"</f>
        <v>Rafael Lobao Gotti</v>
      </c>
      <c r="F759" s="2" t="str">
        <f>"48754245-1/1"</f>
        <v>48754245-1/1</v>
      </c>
      <c r="G759" s="2" t="str">
        <f>"Carteira 21"</f>
        <v>Carteira 21</v>
      </c>
      <c r="H759" s="2">
        <v>16</v>
      </c>
      <c r="I759" s="3">
        <v>79</v>
      </c>
      <c r="J759" s="2" t="str">
        <f>"09/01/2020"</f>
        <v>09/01/2020</v>
      </c>
      <c r="K759" s="2" t="str">
        <f>"25/01/2020"</f>
        <v>25/01/2020</v>
      </c>
      <c r="L759" s="2" t="str">
        <f>"12/03/2020"</f>
        <v>12/03/2020</v>
      </c>
      <c r="M759" s="2" t="str">
        <f>"13/03/2020"</f>
        <v>13/03/2020</v>
      </c>
      <c r="N759" s="2">
        <v>165.9</v>
      </c>
      <c r="O759" s="2">
        <v>171.68</v>
      </c>
      <c r="P759" s="2">
        <v>0.139999999999986</v>
      </c>
    </row>
    <row r="760" spans="1:16" s="2" customFormat="1" x14ac:dyDescent="0.25">
      <c r="A760" s="2">
        <v>48585201</v>
      </c>
      <c r="B760" s="2">
        <v>48585206</v>
      </c>
      <c r="C760" s="2" t="str">
        <f>"UNIMEDSJN"</f>
        <v>UNIMEDSJN</v>
      </c>
      <c r="D760" s="2" t="str">
        <f>"DH"</f>
        <v>DH</v>
      </c>
      <c r="E760" s="2" t="str">
        <f>"Rafaela Dornelas"</f>
        <v>Rafaela Dornelas</v>
      </c>
      <c r="F760" s="2" t="str">
        <f>"48585201-1/1"</f>
        <v>48585201-1/1</v>
      </c>
      <c r="G760" s="2" t="str">
        <f>"Carteira 21"</f>
        <v>Carteira 21</v>
      </c>
      <c r="H760" s="2">
        <v>23</v>
      </c>
      <c r="I760" s="3">
        <v>79</v>
      </c>
      <c r="J760" s="2" t="str">
        <f>"02/01/2020"</f>
        <v>02/01/2020</v>
      </c>
      <c r="K760" s="2" t="str">
        <f>"25/01/2020"</f>
        <v>25/01/2020</v>
      </c>
      <c r="L760" s="2" t="str">
        <f>"07/02/2020"</f>
        <v>07/02/2020</v>
      </c>
      <c r="M760" s="2" t="str">
        <f>"10/02/2020"</f>
        <v>10/02/2020</v>
      </c>
      <c r="N760" s="2">
        <v>173.9</v>
      </c>
      <c r="O760" s="2">
        <v>178</v>
      </c>
      <c r="P760" s="2">
        <v>0.12999999999999501</v>
      </c>
    </row>
    <row r="761" spans="1:16" s="2" customFormat="1" x14ac:dyDescent="0.25">
      <c r="A761" s="2">
        <v>47500902</v>
      </c>
      <c r="B761" s="2">
        <v>47500923</v>
      </c>
      <c r="C761" s="2" t="str">
        <f>"UNIMEDSJN"</f>
        <v>UNIMEDSJN</v>
      </c>
      <c r="D761" s="2" t="str">
        <f>"DH"</f>
        <v>DH</v>
      </c>
      <c r="E761" s="2" t="str">
        <f>"RAQUEL COSTA MARQUES"</f>
        <v>RAQUEL COSTA MARQUES</v>
      </c>
      <c r="F761" s="2" t="str">
        <f>"47500902-1/1"</f>
        <v>47500902-1/1</v>
      </c>
      <c r="G761" s="2" t="str">
        <f>"Carteira 21"</f>
        <v>Carteira 21</v>
      </c>
      <c r="H761" s="2">
        <v>24</v>
      </c>
      <c r="I761" s="3">
        <v>110</v>
      </c>
      <c r="J761" s="2" t="str">
        <f>"01/12/2019"</f>
        <v>01/12/2019</v>
      </c>
      <c r="K761" s="2" t="str">
        <f>"25/12/2019"</f>
        <v>25/12/2019</v>
      </c>
      <c r="L761" s="2" t="str">
        <f>"04/02/2020"</f>
        <v>04/02/2020</v>
      </c>
      <c r="M761" s="2" t="str">
        <f>"05/02/2020"</f>
        <v>05/02/2020</v>
      </c>
      <c r="N761" s="2">
        <v>284.8</v>
      </c>
      <c r="O761" s="2">
        <v>294.33999999999997</v>
      </c>
      <c r="P761" s="2">
        <v>4.9999999999954498E-2</v>
      </c>
    </row>
    <row r="762" spans="1:16" s="2" customFormat="1" x14ac:dyDescent="0.25">
      <c r="A762" s="2">
        <v>48577218</v>
      </c>
      <c r="B762" s="2">
        <v>48577227</v>
      </c>
      <c r="C762" s="2" t="str">
        <f>"UNIMEDSJN"</f>
        <v>UNIMEDSJN</v>
      </c>
      <c r="D762" s="2" t="str">
        <f>"DH"</f>
        <v>DH</v>
      </c>
      <c r="E762" s="2" t="str">
        <f>"RAQUEL COSTA MARQUES"</f>
        <v>RAQUEL COSTA MARQUES</v>
      </c>
      <c r="F762" s="2" t="str">
        <f>"48577218-1/1"</f>
        <v>48577218-1/1</v>
      </c>
      <c r="G762" s="2" t="str">
        <f>"Carteira 21"</f>
        <v>Carteira 21</v>
      </c>
      <c r="H762" s="2">
        <v>23</v>
      </c>
      <c r="I762" s="3">
        <v>79</v>
      </c>
      <c r="J762" s="2" t="str">
        <f>"02/01/2020"</f>
        <v>02/01/2020</v>
      </c>
      <c r="K762" s="2" t="str">
        <f>"25/01/2020"</f>
        <v>25/01/2020</v>
      </c>
      <c r="L762" s="2" t="str">
        <f>"11/02/2020"</f>
        <v>11/02/2020</v>
      </c>
      <c r="M762" s="2" t="str">
        <f>"12/02/2020"</f>
        <v>12/02/2020</v>
      </c>
      <c r="N762" s="2">
        <v>284.8</v>
      </c>
      <c r="O762" s="2">
        <v>291.91000000000003</v>
      </c>
      <c r="P762" s="2">
        <v>0.19999999999998899</v>
      </c>
    </row>
    <row r="763" spans="1:16" s="2" customFormat="1" x14ac:dyDescent="0.25">
      <c r="A763" s="2">
        <v>48570960</v>
      </c>
      <c r="B763" s="2">
        <v>48570974</v>
      </c>
      <c r="C763" s="2" t="str">
        <f>"UNIMEDSJN"</f>
        <v>UNIMEDSJN</v>
      </c>
      <c r="D763" s="2" t="str">
        <f>"DH"</f>
        <v>DH</v>
      </c>
      <c r="E763" s="2" t="str">
        <f>"RAYONE GONCALVES LAURINDO"</f>
        <v>RAYONE GONCALVES LAURINDO</v>
      </c>
      <c r="F763" s="2" t="str">
        <f>"48570960-1/1"</f>
        <v>48570960-1/1</v>
      </c>
      <c r="G763" s="2" t="str">
        <f>"Carteira 21"</f>
        <v>Carteira 21</v>
      </c>
      <c r="H763" s="2">
        <v>23</v>
      </c>
      <c r="I763" s="3">
        <v>79</v>
      </c>
      <c r="J763" s="2" t="str">
        <f>"02/01/2020"</f>
        <v>02/01/2020</v>
      </c>
      <c r="K763" s="2" t="str">
        <f>"25/01/2020"</f>
        <v>25/01/2020</v>
      </c>
      <c r="L763" s="2" t="str">
        <f>"17/02/2020"</f>
        <v>17/02/2020</v>
      </c>
      <c r="M763" s="2" t="str">
        <f>"18/02/2020"</f>
        <v>18/02/2020</v>
      </c>
      <c r="N763" s="2">
        <v>241.74</v>
      </c>
      <c r="O763" s="2">
        <v>248.25</v>
      </c>
      <c r="P763" s="2">
        <v>0.170000000000016</v>
      </c>
    </row>
    <row r="764" spans="1:16" s="2" customFormat="1" x14ac:dyDescent="0.25">
      <c r="A764" s="2">
        <v>48575990</v>
      </c>
      <c r="B764" s="2">
        <v>48576004</v>
      </c>
      <c r="C764" s="2" t="str">
        <f>"UNIMEDSJN"</f>
        <v>UNIMEDSJN</v>
      </c>
      <c r="D764" s="2" t="str">
        <f>"DH"</f>
        <v>DH</v>
      </c>
      <c r="E764" s="2" t="str">
        <f>"REGINA HELENA DE SA LAMAH"</f>
        <v>REGINA HELENA DE SA LAMAH</v>
      </c>
      <c r="F764" s="2" t="str">
        <f>"48575990-1/1"</f>
        <v>48575990-1/1</v>
      </c>
      <c r="G764" s="2" t="str">
        <f>"Carteira 21"</f>
        <v>Carteira 21</v>
      </c>
      <c r="H764" s="2">
        <v>23</v>
      </c>
      <c r="I764" s="3">
        <v>79</v>
      </c>
      <c r="J764" s="2" t="str">
        <f>"02/01/2020"</f>
        <v>02/01/2020</v>
      </c>
      <c r="K764" s="2" t="str">
        <f>"25/01/2020"</f>
        <v>25/01/2020</v>
      </c>
      <c r="L764" s="2" t="str">
        <f>"28/02/2020"</f>
        <v>28/02/2020</v>
      </c>
      <c r="M764" s="2" t="str">
        <f>"13/03/2020"</f>
        <v>13/03/2020</v>
      </c>
      <c r="N764" s="2">
        <v>839.26</v>
      </c>
      <c r="O764" s="2">
        <v>864.91</v>
      </c>
      <c r="P764" s="2">
        <v>0.64999999999997704</v>
      </c>
    </row>
    <row r="765" spans="1:16" s="2" customFormat="1" x14ac:dyDescent="0.25">
      <c r="A765" s="2">
        <v>47508391</v>
      </c>
      <c r="B765" s="2">
        <v>47508396</v>
      </c>
      <c r="C765" s="2" t="str">
        <f>"UNIMEDSJN"</f>
        <v>UNIMEDSJN</v>
      </c>
      <c r="D765" s="2" t="str">
        <f>"DH"</f>
        <v>DH</v>
      </c>
      <c r="E765" s="2" t="str">
        <f>"Reinholdo Paulo Wandalsen Roenick"</f>
        <v>Reinholdo Paulo Wandalsen Roenick</v>
      </c>
      <c r="F765" s="2" t="str">
        <f>"47508391-1/1"</f>
        <v>47508391-1/1</v>
      </c>
      <c r="G765" s="2" t="str">
        <f>"Carteira 21"</f>
        <v>Carteira 21</v>
      </c>
      <c r="H765" s="2">
        <v>24</v>
      </c>
      <c r="I765" s="3">
        <v>110</v>
      </c>
      <c r="J765" s="2" t="str">
        <f>"01/12/2019"</f>
        <v>01/12/2019</v>
      </c>
      <c r="K765" s="2" t="str">
        <f>"25/12/2019"</f>
        <v>25/12/2019</v>
      </c>
      <c r="L765" s="2" t="str">
        <f>"19/02/2020"</f>
        <v>19/02/2020</v>
      </c>
      <c r="M765" s="2" t="str">
        <f>"20/02/2020"</f>
        <v>20/02/2020</v>
      </c>
      <c r="N765" s="2">
        <v>384.06</v>
      </c>
      <c r="O765" s="2">
        <v>398.84</v>
      </c>
      <c r="P765" s="2">
        <v>6.9999999999993207E-2</v>
      </c>
    </row>
    <row r="766" spans="1:16" s="2" customFormat="1" x14ac:dyDescent="0.25">
      <c r="A766" s="2">
        <v>43563901</v>
      </c>
      <c r="B766" s="2">
        <v>43563918</v>
      </c>
      <c r="C766" s="2" t="str">
        <f>"UNIMEDSJN"</f>
        <v>UNIMEDSJN</v>
      </c>
      <c r="D766" s="2" t="str">
        <f>"DH"</f>
        <v>DH</v>
      </c>
      <c r="E766" s="2" t="str">
        <f>"REJANI VIEIRA PINTON"</f>
        <v>REJANI VIEIRA PINTON</v>
      </c>
      <c r="F766" s="2" t="str">
        <f>"43563901-1/1"</f>
        <v>43563901-1/1</v>
      </c>
      <c r="G766" s="2" t="str">
        <f>"Carteira 21"</f>
        <v>Carteira 21</v>
      </c>
      <c r="H766" s="2">
        <v>19</v>
      </c>
      <c r="I766" s="3">
        <v>296</v>
      </c>
      <c r="J766" s="2" t="str">
        <f>"03/06/2019"</f>
        <v>03/06/2019</v>
      </c>
      <c r="K766" s="2" t="str">
        <f>"22/06/2019"</f>
        <v>22/06/2019</v>
      </c>
      <c r="L766" s="2" t="str">
        <f>"24/06/2019"</f>
        <v>24/06/2019</v>
      </c>
      <c r="M766" s="2" t="str">
        <f>"03/06/2019"</f>
        <v>03/06/2019</v>
      </c>
      <c r="N766" s="2">
        <v>264.32</v>
      </c>
      <c r="O766" s="2">
        <v>264.32</v>
      </c>
      <c r="P766" s="2">
        <v>0</v>
      </c>
    </row>
    <row r="767" spans="1:16" s="2" customFormat="1" x14ac:dyDescent="0.25">
      <c r="A767" s="2">
        <v>48586186</v>
      </c>
      <c r="B767" s="2">
        <v>48586191</v>
      </c>
      <c r="C767" s="2" t="str">
        <f>"UNIMEDSJN"</f>
        <v>UNIMEDSJN</v>
      </c>
      <c r="D767" s="2" t="str">
        <f>"DH"</f>
        <v>DH</v>
      </c>
      <c r="E767" s="2" t="str">
        <f>"Renata Dutra da Silva"</f>
        <v>Renata Dutra da Silva</v>
      </c>
      <c r="F767" s="2" t="str">
        <f>"48586186-1/1"</f>
        <v>48586186-1/1</v>
      </c>
      <c r="G767" s="2" t="str">
        <f>"Carteira 21"</f>
        <v>Carteira 21</v>
      </c>
      <c r="H767" s="2">
        <v>13</v>
      </c>
      <c r="I767" s="3">
        <v>89</v>
      </c>
      <c r="J767" s="2" t="str">
        <f>"02/01/2020"</f>
        <v>02/01/2020</v>
      </c>
      <c r="K767" s="2" t="str">
        <f>"15/01/2020"</f>
        <v>15/01/2020</v>
      </c>
      <c r="L767" s="2" t="str">
        <f>"15/01/2020"</f>
        <v>15/01/2020</v>
      </c>
      <c r="M767" s="2" t="str">
        <f>"27/12/2019"</f>
        <v>27/12/2019</v>
      </c>
      <c r="N767" s="2">
        <v>169.51</v>
      </c>
      <c r="O767" s="2">
        <v>169.51</v>
      </c>
      <c r="P767" s="2">
        <v>0</v>
      </c>
    </row>
    <row r="768" spans="1:16" s="2" customFormat="1" x14ac:dyDescent="0.25">
      <c r="A768" s="2">
        <v>48575854</v>
      </c>
      <c r="B768" s="2">
        <v>48575865</v>
      </c>
      <c r="C768" s="2" t="str">
        <f>"UNIMEDSJN"</f>
        <v>UNIMEDSJN</v>
      </c>
      <c r="D768" s="2" t="str">
        <f>"DH"</f>
        <v>DH</v>
      </c>
      <c r="E768" s="2" t="str">
        <f>"Renata Sporch Filgueiras"</f>
        <v>Renata Sporch Filgueiras</v>
      </c>
      <c r="F768" s="2" t="str">
        <f>"48575854-1/1"</f>
        <v>48575854-1/1</v>
      </c>
      <c r="G768" s="2" t="str">
        <f>"Carteira 21"</f>
        <v>Carteira 21</v>
      </c>
      <c r="H768" s="2">
        <v>23</v>
      </c>
      <c r="I768" s="3">
        <v>79</v>
      </c>
      <c r="J768" s="2" t="str">
        <f>"02/01/2020"</f>
        <v>02/01/2020</v>
      </c>
      <c r="K768" s="2" t="str">
        <f>"25/01/2020"</f>
        <v>25/01/2020</v>
      </c>
      <c r="L768" s="2" t="str">
        <f>"04/03/2020"</f>
        <v>04/03/2020</v>
      </c>
      <c r="M768" s="2" t="str">
        <f>"05/03/2020"</f>
        <v>05/03/2020</v>
      </c>
      <c r="N768" s="2">
        <v>151.1</v>
      </c>
      <c r="O768" s="2">
        <v>155.97</v>
      </c>
      <c r="P768" s="2">
        <v>0.109999999999985</v>
      </c>
    </row>
    <row r="769" spans="1:16" s="2" customFormat="1" x14ac:dyDescent="0.25">
      <c r="A769" s="2">
        <v>47513598</v>
      </c>
      <c r="B769" s="2">
        <v>47513607</v>
      </c>
      <c r="C769" s="2" t="str">
        <f>"UNIMEDSJN"</f>
        <v>UNIMEDSJN</v>
      </c>
      <c r="D769" s="2" t="str">
        <f>"DH"</f>
        <v>DH</v>
      </c>
      <c r="E769" s="2" t="str">
        <f>"Renato de Souza Gomes"</f>
        <v>Renato de Souza Gomes</v>
      </c>
      <c r="F769" s="2" t="str">
        <f>"47513598-1/1"</f>
        <v>47513598-1/1</v>
      </c>
      <c r="G769" s="2" t="str">
        <f>"Carteira 21"</f>
        <v>Carteira 21</v>
      </c>
      <c r="H769" s="2">
        <v>29</v>
      </c>
      <c r="I769" s="3">
        <v>105</v>
      </c>
      <c r="J769" s="2" t="str">
        <f>"01/12/2019"</f>
        <v>01/12/2019</v>
      </c>
      <c r="K769" s="2" t="str">
        <f>"30/12/2019"</f>
        <v>30/12/2019</v>
      </c>
      <c r="L769" s="2" t="str">
        <f>"17/02/2020"</f>
        <v>17/02/2020</v>
      </c>
      <c r="M769" s="2" t="str">
        <f>"18/02/2020"</f>
        <v>18/02/2020</v>
      </c>
      <c r="N769" s="2">
        <v>1923.27</v>
      </c>
      <c r="O769" s="2">
        <v>1992.84</v>
      </c>
      <c r="P769" s="2">
        <v>0.30999999999994499</v>
      </c>
    </row>
    <row r="770" spans="1:16" x14ac:dyDescent="0.25">
      <c r="A770">
        <v>48585954</v>
      </c>
      <c r="B770">
        <v>48585965</v>
      </c>
      <c r="C770" t="str">
        <f>"UNIMEDSJN"</f>
        <v>UNIMEDSJN</v>
      </c>
      <c r="D770" t="str">
        <f>"DH"</f>
        <v>DH</v>
      </c>
      <c r="E770" t="str">
        <f>"Renato de Souza Gomes"</f>
        <v>Renato de Souza Gomes</v>
      </c>
      <c r="F770" t="str">
        <f>"48585954-1/1"</f>
        <v>48585954-1/1</v>
      </c>
      <c r="G770" t="str">
        <f>"Carteira 21"</f>
        <v>Carteira 21</v>
      </c>
      <c r="H770">
        <v>58</v>
      </c>
      <c r="I770" s="1">
        <v>44</v>
      </c>
      <c r="J770" t="str">
        <f>"02/01/2020"</f>
        <v>02/01/2020</v>
      </c>
      <c r="K770" t="str">
        <f>"29/02/2020"</f>
        <v>29/02/2020</v>
      </c>
      <c r="L770" t="str">
        <f>"03/04/2020"</f>
        <v>03/04/2020</v>
      </c>
      <c r="M770" t="str">
        <f>"06/04/2020"</f>
        <v>06/04/2020</v>
      </c>
      <c r="N770">
        <v>1923.27</v>
      </c>
      <c r="O770">
        <v>2002.36</v>
      </c>
      <c r="P770">
        <v>-18.820000000000199</v>
      </c>
    </row>
    <row r="771" spans="1:16" s="2" customFormat="1" x14ac:dyDescent="0.25">
      <c r="A771" s="2">
        <v>48584381</v>
      </c>
      <c r="B771" s="2">
        <v>48584393</v>
      </c>
      <c r="C771" s="2" t="str">
        <f>"UNIMEDSJN"</f>
        <v>UNIMEDSJN</v>
      </c>
      <c r="D771" s="2" t="str">
        <f>"DH"</f>
        <v>DH</v>
      </c>
      <c r="E771" s="2" t="str">
        <f>"Renato Rocha"</f>
        <v>Renato Rocha</v>
      </c>
      <c r="F771" s="2" t="str">
        <f>"48584381-1/1"</f>
        <v>48584381-1/1</v>
      </c>
      <c r="G771" s="2" t="str">
        <f>"Carteira 21"</f>
        <v>Carteira 21</v>
      </c>
      <c r="H771" s="2">
        <v>16</v>
      </c>
      <c r="I771" s="3">
        <v>86</v>
      </c>
      <c r="J771" s="2" t="str">
        <f>"02/01/2020"</f>
        <v>02/01/2020</v>
      </c>
      <c r="K771" s="2" t="str">
        <f>"18/01/2020"</f>
        <v>18/01/2020</v>
      </c>
      <c r="L771" s="2" t="str">
        <f>"05/03/2020"</f>
        <v>05/03/2020</v>
      </c>
      <c r="M771" s="2" t="str">
        <f>"06/03/2020"</f>
        <v>06/03/2020</v>
      </c>
      <c r="N771" s="2">
        <v>415.59</v>
      </c>
      <c r="O771" s="2">
        <v>430.07</v>
      </c>
      <c r="P771" s="2">
        <v>0.340000000000032</v>
      </c>
    </row>
    <row r="772" spans="1:16" s="2" customFormat="1" x14ac:dyDescent="0.25">
      <c r="A772" s="2">
        <v>45909715</v>
      </c>
      <c r="B772" s="2">
        <v>45909725</v>
      </c>
      <c r="C772" s="2" t="str">
        <f>"UNIMEDSJN"</f>
        <v>UNIMEDSJN</v>
      </c>
      <c r="D772" s="2" t="str">
        <f>"DH"</f>
        <v>DH</v>
      </c>
      <c r="E772" s="2" t="str">
        <f>"RHUAN HENRIQUE LAMBERT MORAIS"</f>
        <v>RHUAN HENRIQUE LAMBERT MORAIS</v>
      </c>
      <c r="F772" s="2" t="str">
        <f>"45909715-1/1"</f>
        <v>45909715-1/1</v>
      </c>
      <c r="G772" s="2" t="str">
        <f>"Carteira 21"</f>
        <v>Carteira 21</v>
      </c>
      <c r="H772" s="2">
        <v>83</v>
      </c>
      <c r="I772" s="3">
        <v>81</v>
      </c>
      <c r="J772" s="2" t="str">
        <f>"01/11/2019"</f>
        <v>01/11/2019</v>
      </c>
      <c r="K772" s="2" t="str">
        <f>"23/01/2020"</f>
        <v>23/01/2020</v>
      </c>
      <c r="L772" s="2" t="str">
        <f>"27/02/2020"</f>
        <v>27/02/2020</v>
      </c>
      <c r="M772" s="2" t="str">
        <f>"28/02/2020"</f>
        <v>28/02/2020</v>
      </c>
      <c r="N772" s="2">
        <v>188.31</v>
      </c>
      <c r="O772" s="2">
        <v>197.92</v>
      </c>
      <c r="P772" s="2">
        <v>-3.6400000000000099</v>
      </c>
    </row>
    <row r="773" spans="1:16" s="2" customFormat="1" x14ac:dyDescent="0.25">
      <c r="A773" s="2">
        <v>47509538</v>
      </c>
      <c r="B773" s="2">
        <v>47509551</v>
      </c>
      <c r="C773" s="2" t="str">
        <f>"UNIMEDSJN"</f>
        <v>UNIMEDSJN</v>
      </c>
      <c r="D773" s="2" t="str">
        <f>"DH"</f>
        <v>DH</v>
      </c>
      <c r="E773" s="2" t="str">
        <f>"RHUAN HENRIQUE LAMBERT MORAIS"</f>
        <v>RHUAN HENRIQUE LAMBERT MORAIS</v>
      </c>
      <c r="F773" s="2" t="str">
        <f>"47509538-1/1"</f>
        <v>47509538-1/1</v>
      </c>
      <c r="G773" s="2" t="str">
        <f>"Carteira 21"</f>
        <v>Carteira 21</v>
      </c>
      <c r="H773" s="2">
        <v>53</v>
      </c>
      <c r="I773" s="3">
        <v>81</v>
      </c>
      <c r="J773" s="2" t="str">
        <f>"01/12/2019"</f>
        <v>01/12/2019</v>
      </c>
      <c r="K773" s="2" t="str">
        <f>"23/01/2020"</f>
        <v>23/01/2020</v>
      </c>
      <c r="L773" s="2" t="str">
        <f>"27/02/2020"</f>
        <v>27/02/2020</v>
      </c>
      <c r="M773" s="2" t="str">
        <f>"28/02/2020"</f>
        <v>28/02/2020</v>
      </c>
      <c r="N773" s="2">
        <v>188.31</v>
      </c>
      <c r="O773" s="2">
        <v>196.05</v>
      </c>
      <c r="P773" s="2">
        <v>-1.77000000000001</v>
      </c>
    </row>
    <row r="774" spans="1:16" s="2" customFormat="1" x14ac:dyDescent="0.25">
      <c r="A774" s="2">
        <v>48583035</v>
      </c>
      <c r="B774" s="2">
        <v>48583043</v>
      </c>
      <c r="C774" s="2" t="str">
        <f>"UNIMEDSJN"</f>
        <v>UNIMEDSJN</v>
      </c>
      <c r="D774" s="2" t="str">
        <f>"DH"</f>
        <v>DH</v>
      </c>
      <c r="E774" s="2" t="str">
        <f>"RHUAN HENRIQUE LAMBERT MORAIS"</f>
        <v>RHUAN HENRIQUE LAMBERT MORAIS</v>
      </c>
      <c r="F774" s="2" t="str">
        <f>"48583035-1/1"</f>
        <v>48583035-1/1</v>
      </c>
      <c r="G774" s="2" t="str">
        <f>"Carteira 21"</f>
        <v>Carteira 21</v>
      </c>
      <c r="H774" s="2">
        <v>23</v>
      </c>
      <c r="I774" s="3">
        <v>79</v>
      </c>
      <c r="J774" s="2" t="str">
        <f>"02/01/2020"</f>
        <v>02/01/2020</v>
      </c>
      <c r="K774" s="2" t="str">
        <f>"25/01/2020"</f>
        <v>25/01/2020</v>
      </c>
      <c r="L774" s="2" t="str">
        <f>"27/02/2020"</f>
        <v>27/02/2020</v>
      </c>
      <c r="M774" s="2" t="str">
        <f>"28/02/2020"</f>
        <v>28/02/2020</v>
      </c>
      <c r="N774" s="2">
        <v>188.31</v>
      </c>
      <c r="O774" s="2">
        <v>194.01</v>
      </c>
      <c r="P774" s="2">
        <v>0.140000000000015</v>
      </c>
    </row>
    <row r="775" spans="1:16" s="2" customFormat="1" x14ac:dyDescent="0.25">
      <c r="A775" s="2">
        <v>48578854</v>
      </c>
      <c r="B775" s="2">
        <v>48578865</v>
      </c>
      <c r="C775" s="2" t="str">
        <f>"UNIMEDSJN"</f>
        <v>UNIMEDSJN</v>
      </c>
      <c r="D775" s="2" t="str">
        <f>"DH"</f>
        <v>DH</v>
      </c>
      <c r="E775" s="2" t="str">
        <f>"RICARDO CARNAVALLI JUNIOR"</f>
        <v>RICARDO CARNAVALLI JUNIOR</v>
      </c>
      <c r="F775" s="2" t="str">
        <f>"48578854-1/1"</f>
        <v>48578854-1/1</v>
      </c>
      <c r="G775" s="2" t="str">
        <f>"Carteira 21"</f>
        <v>Carteira 21</v>
      </c>
      <c r="H775" s="2">
        <v>23</v>
      </c>
      <c r="I775" s="3">
        <v>79</v>
      </c>
      <c r="J775" s="2" t="str">
        <f>"02/01/2020"</f>
        <v>02/01/2020</v>
      </c>
      <c r="K775" s="2" t="str">
        <f>"25/01/2020"</f>
        <v>25/01/2020</v>
      </c>
      <c r="L775" s="2" t="str">
        <f>"27/01/2020"</f>
        <v>27/01/2020</v>
      </c>
      <c r="M775" s="2" t="str">
        <f>"27/12/2019"</f>
        <v>27/12/2019</v>
      </c>
      <c r="N775" s="2">
        <v>150.71</v>
      </c>
      <c r="O775" s="2">
        <v>150.71</v>
      </c>
      <c r="P775" s="2">
        <v>0</v>
      </c>
    </row>
    <row r="776" spans="1:16" s="2" customFormat="1" x14ac:dyDescent="0.25">
      <c r="A776" s="2">
        <v>43623012</v>
      </c>
      <c r="B776" s="2">
        <v>43623017</v>
      </c>
      <c r="C776" s="2" t="str">
        <f>"UNIMEDSJN"</f>
        <v>UNIMEDSJN</v>
      </c>
      <c r="D776" s="2" t="str">
        <f>"DH"</f>
        <v>DH</v>
      </c>
      <c r="E776" s="2" t="str">
        <f>"Ricardo Mendes de Araujo"</f>
        <v>Ricardo Mendes de Araujo</v>
      </c>
      <c r="F776" s="2" t="str">
        <f>"43623012-1/1"</f>
        <v>43623012-1/1</v>
      </c>
      <c r="G776" s="2" t="str">
        <f>"CARTEIRA PERDA"</f>
        <v>CARTEIRA PERDA</v>
      </c>
      <c r="H776" s="2">
        <v>15</v>
      </c>
      <c r="I776" s="3">
        <v>282</v>
      </c>
      <c r="J776" s="2" t="str">
        <f>"21/06/2019"</f>
        <v>21/06/2019</v>
      </c>
      <c r="K776" s="2" t="str">
        <f>"06/07/2019"</f>
        <v>06/07/2019</v>
      </c>
      <c r="L776" s="2" t="str">
        <f>"08/07/2019"</f>
        <v>08/07/2019</v>
      </c>
      <c r="M776" s="2" t="str">
        <f>"05/03/2020"</f>
        <v>05/03/2020</v>
      </c>
      <c r="N776" s="2">
        <v>386.78</v>
      </c>
      <c r="O776" s="2">
        <v>386.78</v>
      </c>
      <c r="P776" s="2">
        <v>0</v>
      </c>
    </row>
    <row r="777" spans="1:16" s="2" customFormat="1" x14ac:dyDescent="0.25">
      <c r="A777" s="2">
        <v>44192268</v>
      </c>
      <c r="B777" s="2">
        <v>44192280</v>
      </c>
      <c r="C777" s="2" t="str">
        <f>"UNIMEDSJN"</f>
        <v>UNIMEDSJN</v>
      </c>
      <c r="D777" s="2" t="str">
        <f>"DH"</f>
        <v>DH</v>
      </c>
      <c r="E777" s="2" t="str">
        <f>"Ricardo Mendes de Araujo"</f>
        <v>Ricardo Mendes de Araujo</v>
      </c>
      <c r="F777" s="2" t="str">
        <f>"44192268-1/1"</f>
        <v>44192268-1/1</v>
      </c>
      <c r="G777" s="2" t="str">
        <f>"CARTEIRA PERDA"</f>
        <v>CARTEIRA PERDA</v>
      </c>
      <c r="H777" s="2">
        <v>17</v>
      </c>
      <c r="I777" s="3">
        <v>220</v>
      </c>
      <c r="J777" s="2" t="str">
        <f>"20/08/2019"</f>
        <v>20/08/2019</v>
      </c>
      <c r="K777" s="2" t="str">
        <f>"06/09/2019"</f>
        <v>06/09/2019</v>
      </c>
      <c r="L777" s="2" t="str">
        <f>"06/09/2019"</f>
        <v>06/09/2019</v>
      </c>
      <c r="M777" s="2" t="str">
        <f>"05/03/2020"</f>
        <v>05/03/2020</v>
      </c>
      <c r="N777" s="2">
        <v>28.43</v>
      </c>
      <c r="O777" s="2">
        <v>28.43</v>
      </c>
      <c r="P777" s="2">
        <v>0</v>
      </c>
    </row>
    <row r="778" spans="1:16" s="2" customFormat="1" x14ac:dyDescent="0.25">
      <c r="A778" s="2">
        <v>44192381</v>
      </c>
      <c r="B778" s="2">
        <v>44192393</v>
      </c>
      <c r="C778" s="2" t="str">
        <f>"UNIMEDSJN"</f>
        <v>UNIMEDSJN</v>
      </c>
      <c r="D778" s="2" t="str">
        <f>"DH"</f>
        <v>DH</v>
      </c>
      <c r="E778" s="2" t="str">
        <f>"Ricardo Mendes de Araujo"</f>
        <v>Ricardo Mendes de Araujo</v>
      </c>
      <c r="F778" s="2" t="str">
        <f>"44192381-1/1"</f>
        <v>44192381-1/1</v>
      </c>
      <c r="G778" s="2" t="str">
        <f>"CARTEIRA PERDA"</f>
        <v>CARTEIRA PERDA</v>
      </c>
      <c r="H778" s="2">
        <v>16</v>
      </c>
      <c r="I778" s="3">
        <v>190</v>
      </c>
      <c r="J778" s="2" t="str">
        <f>"20/09/2019"</f>
        <v>20/09/2019</v>
      </c>
      <c r="K778" s="2" t="str">
        <f>"06/10/2019"</f>
        <v>06/10/2019</v>
      </c>
      <c r="L778" s="2" t="str">
        <f>"07/10/2019"</f>
        <v>07/10/2019</v>
      </c>
      <c r="M778" s="2" t="str">
        <f>"05/03/2020"</f>
        <v>05/03/2020</v>
      </c>
      <c r="N778" s="2">
        <v>28.43</v>
      </c>
      <c r="O778" s="2">
        <v>28.43</v>
      </c>
      <c r="P778" s="2">
        <v>0</v>
      </c>
    </row>
    <row r="779" spans="1:16" s="2" customFormat="1" x14ac:dyDescent="0.25">
      <c r="A779" s="2">
        <v>44206275</v>
      </c>
      <c r="B779" s="2">
        <v>44206280</v>
      </c>
      <c r="C779" s="2" t="str">
        <f>"UNIMEDSJN"</f>
        <v>UNIMEDSJN</v>
      </c>
      <c r="D779" s="2" t="str">
        <f>"DH"</f>
        <v>DH</v>
      </c>
      <c r="E779" s="2" t="str">
        <f>"Ricardo Mendes de Araujo"</f>
        <v>Ricardo Mendes de Araujo</v>
      </c>
      <c r="F779" s="2" t="str">
        <f>"44206275-1/1"</f>
        <v>44206275-1/1</v>
      </c>
      <c r="G779" s="2" t="str">
        <f>"CARTEIRA PERDA"</f>
        <v>CARTEIRA PERDA</v>
      </c>
      <c r="H779" s="2">
        <v>13</v>
      </c>
      <c r="I779" s="3">
        <v>251</v>
      </c>
      <c r="J779" s="2" t="str">
        <f>"24/07/2019"</f>
        <v>24/07/2019</v>
      </c>
      <c r="K779" s="2" t="str">
        <f>"06/08/2019"</f>
        <v>06/08/2019</v>
      </c>
      <c r="L779" s="2" t="str">
        <f>"06/08/2019"</f>
        <v>06/08/2019</v>
      </c>
      <c r="M779" s="2" t="str">
        <f>"05/03/2020"</f>
        <v>05/03/2020</v>
      </c>
      <c r="N779" s="2">
        <v>28.43</v>
      </c>
      <c r="O779" s="2">
        <v>28.43</v>
      </c>
      <c r="P779" s="2">
        <v>0</v>
      </c>
    </row>
    <row r="780" spans="1:16" s="2" customFormat="1" x14ac:dyDescent="0.25">
      <c r="A780" s="2">
        <v>44206833</v>
      </c>
      <c r="B780" s="2">
        <v>44206838</v>
      </c>
      <c r="C780" s="2" t="str">
        <f>"UNIMEDSJN"</f>
        <v>UNIMEDSJN</v>
      </c>
      <c r="D780" s="2" t="str">
        <f>"DH"</f>
        <v>DH</v>
      </c>
      <c r="E780" s="2" t="str">
        <f>"Ricardo Mendes de Araujo"</f>
        <v>Ricardo Mendes de Araujo</v>
      </c>
      <c r="F780" s="2" t="str">
        <f>"44206833-1/1"</f>
        <v>44206833-1/1</v>
      </c>
      <c r="G780" s="2" t="str">
        <f>"CARTEIRA PERDA"</f>
        <v>CARTEIRA PERDA</v>
      </c>
      <c r="H780" s="2">
        <v>13</v>
      </c>
      <c r="I780" s="3">
        <v>251</v>
      </c>
      <c r="J780" s="2" t="str">
        <f>"24/07/2019"</f>
        <v>24/07/2019</v>
      </c>
      <c r="K780" s="2" t="str">
        <f>"06/08/2019"</f>
        <v>06/08/2019</v>
      </c>
      <c r="L780" s="2" t="str">
        <f>"06/08/2019"</f>
        <v>06/08/2019</v>
      </c>
      <c r="M780" s="2" t="str">
        <f>"05/03/2020"</f>
        <v>05/03/2020</v>
      </c>
      <c r="N780" s="2">
        <v>415.21</v>
      </c>
      <c r="O780" s="2">
        <v>415.21</v>
      </c>
      <c r="P780" s="2">
        <v>0</v>
      </c>
    </row>
    <row r="781" spans="1:16" s="2" customFormat="1" x14ac:dyDescent="0.25">
      <c r="A781" s="2">
        <v>44370708</v>
      </c>
      <c r="B781" s="2">
        <v>44370718</v>
      </c>
      <c r="C781" s="2" t="str">
        <f>"UNIMEDSJN"</f>
        <v>UNIMEDSJN</v>
      </c>
      <c r="D781" s="2" t="str">
        <f>"DH"</f>
        <v>DH</v>
      </c>
      <c r="E781" s="2" t="str">
        <f>"Ricardo Mendes de Araujo"</f>
        <v>Ricardo Mendes de Araujo</v>
      </c>
      <c r="F781" s="2" t="str">
        <f>"44370708-1/1"</f>
        <v>44370708-1/1</v>
      </c>
      <c r="G781" s="2" t="str">
        <f>"CARTEIRA PERDA"</f>
        <v>CARTEIRA PERDA</v>
      </c>
      <c r="H781" s="2">
        <v>17</v>
      </c>
      <c r="I781" s="3">
        <v>220</v>
      </c>
      <c r="J781" s="2" t="str">
        <f>"20/08/2019"</f>
        <v>20/08/2019</v>
      </c>
      <c r="K781" s="2" t="str">
        <f>"06/09/2019"</f>
        <v>06/09/2019</v>
      </c>
      <c r="L781" s="2" t="str">
        <f>"06/09/2019"</f>
        <v>06/09/2019</v>
      </c>
      <c r="M781" s="2" t="str">
        <f>"05/03/2020"</f>
        <v>05/03/2020</v>
      </c>
      <c r="N781" s="2">
        <v>415.21</v>
      </c>
      <c r="O781" s="2">
        <v>415.21</v>
      </c>
      <c r="P781" s="2">
        <v>0</v>
      </c>
    </row>
    <row r="782" spans="1:16" s="2" customFormat="1" x14ac:dyDescent="0.25">
      <c r="A782" s="2">
        <v>45028735</v>
      </c>
      <c r="B782" s="2">
        <v>45028742</v>
      </c>
      <c r="C782" s="2" t="str">
        <f>"UNIMEDSJN"</f>
        <v>UNIMEDSJN</v>
      </c>
      <c r="D782" s="2" t="str">
        <f>"DH"</f>
        <v>DH</v>
      </c>
      <c r="E782" s="2" t="str">
        <f>"Ricardo Mendes de Araujo"</f>
        <v>Ricardo Mendes de Araujo</v>
      </c>
      <c r="F782" s="2" t="str">
        <f>"45028735-1/1"</f>
        <v>45028735-1/1</v>
      </c>
      <c r="G782" s="2" t="str">
        <f>"CARTEIRA PERDA"</f>
        <v>CARTEIRA PERDA</v>
      </c>
      <c r="H782" s="2">
        <v>19</v>
      </c>
      <c r="I782" s="3">
        <v>190</v>
      </c>
      <c r="J782" s="2" t="str">
        <f>"17/09/2019"</f>
        <v>17/09/2019</v>
      </c>
      <c r="K782" s="2" t="str">
        <f>"06/10/2019"</f>
        <v>06/10/2019</v>
      </c>
      <c r="L782" s="2" t="str">
        <f>"07/10/2019"</f>
        <v>07/10/2019</v>
      </c>
      <c r="M782" s="2" t="str">
        <f>"05/03/2020"</f>
        <v>05/03/2020</v>
      </c>
      <c r="N782" s="2">
        <v>415.21</v>
      </c>
      <c r="O782" s="2">
        <v>415.21</v>
      </c>
      <c r="P782" s="2">
        <v>0</v>
      </c>
    </row>
    <row r="783" spans="1:16" s="2" customFormat="1" x14ac:dyDescent="0.25">
      <c r="A783" s="2">
        <v>45952361</v>
      </c>
      <c r="B783" s="2">
        <v>45952369</v>
      </c>
      <c r="C783" s="2" t="str">
        <f>"UNIMEDSJN"</f>
        <v>UNIMEDSJN</v>
      </c>
      <c r="D783" s="2" t="str">
        <f>"DH"</f>
        <v>DH</v>
      </c>
      <c r="E783" s="2" t="str">
        <f>"Ricardo Mendes de Araujo"</f>
        <v>Ricardo Mendes de Araujo</v>
      </c>
      <c r="F783" s="2" t="str">
        <f>"45952361-1/1"</f>
        <v>45952361-1/1</v>
      </c>
      <c r="G783" s="2" t="str">
        <f>"CARTEIRA PERDA"</f>
        <v>CARTEIRA PERDA</v>
      </c>
      <c r="H783" s="2">
        <v>14</v>
      </c>
      <c r="I783" s="3">
        <v>129</v>
      </c>
      <c r="J783" s="2" t="str">
        <f>"22/11/2019"</f>
        <v>22/11/2019</v>
      </c>
      <c r="K783" s="2" t="str">
        <f>"06/12/2019"</f>
        <v>06/12/2019</v>
      </c>
      <c r="L783" s="2" t="str">
        <f>"06/12/2019"</f>
        <v>06/12/2019</v>
      </c>
      <c r="M783" s="2" t="str">
        <f>"05/03/2020"</f>
        <v>05/03/2020</v>
      </c>
      <c r="N783" s="2">
        <v>415.21</v>
      </c>
      <c r="O783" s="2">
        <v>415.21</v>
      </c>
      <c r="P783" s="2">
        <v>0</v>
      </c>
    </row>
    <row r="784" spans="1:16" s="2" customFormat="1" x14ac:dyDescent="0.25">
      <c r="A784" s="2">
        <v>46001663</v>
      </c>
      <c r="B784" s="2">
        <v>46001668</v>
      </c>
      <c r="C784" s="2" t="str">
        <f>"UNIMEDSJN"</f>
        <v>UNIMEDSJN</v>
      </c>
      <c r="D784" s="2" t="str">
        <f>"DH"</f>
        <v>DH</v>
      </c>
      <c r="E784" s="2" t="str">
        <f>"Ricardo Mendes de Araujo"</f>
        <v>Ricardo Mendes de Araujo</v>
      </c>
      <c r="F784" s="2" t="str">
        <f>"46001663-1/1"</f>
        <v>46001663-1/1</v>
      </c>
      <c r="G784" s="2" t="str">
        <f>"CARTEIRA PERDA"</f>
        <v>CARTEIRA PERDA</v>
      </c>
      <c r="H784" s="2">
        <v>2</v>
      </c>
      <c r="I784" s="3">
        <v>159</v>
      </c>
      <c r="J784" s="2" t="str">
        <f>"04/11/2019"</f>
        <v>04/11/2019</v>
      </c>
      <c r="K784" s="2" t="str">
        <f>"06/11/2019"</f>
        <v>06/11/2019</v>
      </c>
      <c r="L784" s="2" t="str">
        <f>"06/11/2019"</f>
        <v>06/11/2019</v>
      </c>
      <c r="M784" s="2" t="str">
        <f>"05/03/2020"</f>
        <v>05/03/2020</v>
      </c>
      <c r="N784" s="2">
        <v>415.21</v>
      </c>
      <c r="O784" s="2">
        <v>415.21</v>
      </c>
      <c r="P784" s="2">
        <v>0</v>
      </c>
    </row>
    <row r="785" spans="1:16" s="2" customFormat="1" x14ac:dyDescent="0.25">
      <c r="A785" s="2">
        <v>48615963</v>
      </c>
      <c r="B785" s="2">
        <v>48615970</v>
      </c>
      <c r="C785" s="2" t="str">
        <f>"UNIMEDSJN"</f>
        <v>UNIMEDSJN</v>
      </c>
      <c r="D785" s="2" t="str">
        <f>"DH"</f>
        <v>DH</v>
      </c>
      <c r="E785" s="2" t="str">
        <f>"RITA ALVES PEREIRA"</f>
        <v>RITA ALVES PEREIRA</v>
      </c>
      <c r="F785" s="2" t="str">
        <f>"48615963-1/1"</f>
        <v>48615963-1/1</v>
      </c>
      <c r="G785" s="2" t="str">
        <f>"Carteira 21"</f>
        <v>Carteira 21</v>
      </c>
      <c r="H785" s="2">
        <v>21</v>
      </c>
      <c r="I785" s="3">
        <v>63</v>
      </c>
      <c r="J785" s="2" t="str">
        <f>"20/01/2020"</f>
        <v>20/01/2020</v>
      </c>
      <c r="K785" s="2" t="str">
        <f>"10/02/2020"</f>
        <v>10/02/2020</v>
      </c>
      <c r="L785" s="2" t="str">
        <f>"10/02/2020"</f>
        <v>10/02/2020</v>
      </c>
      <c r="M785" s="2" t="str">
        <f>"11/02/2020"</f>
        <v>11/02/2020</v>
      </c>
      <c r="N785" s="2">
        <v>302.63</v>
      </c>
      <c r="O785" s="2">
        <v>302.63</v>
      </c>
      <c r="P785" s="2">
        <v>0</v>
      </c>
    </row>
    <row r="786" spans="1:16" x14ac:dyDescent="0.25">
      <c r="A786">
        <v>48798469</v>
      </c>
      <c r="B786">
        <v>48798474</v>
      </c>
      <c r="C786" t="str">
        <f>"UNIMEDSJN"</f>
        <v>UNIMEDSJN</v>
      </c>
      <c r="D786" t="str">
        <f>"DH"</f>
        <v>DH</v>
      </c>
      <c r="E786" t="str">
        <f>"Rita de Cassia Coelho de Medeiros"</f>
        <v>Rita de Cassia Coelho de Medeiros</v>
      </c>
      <c r="F786" t="str">
        <f>"48798469-1/1"</f>
        <v>48798469-1/1</v>
      </c>
      <c r="G786" t="str">
        <f>"Carteira 21"</f>
        <v>Carteira 21</v>
      </c>
      <c r="H786">
        <v>40</v>
      </c>
      <c r="I786" s="1">
        <v>44</v>
      </c>
      <c r="J786" t="str">
        <f>"20/01/2020"</f>
        <v>20/01/2020</v>
      </c>
      <c r="K786" t="str">
        <f>"29/02/2020"</f>
        <v>29/02/2020</v>
      </c>
      <c r="L786" t="str">
        <f>"02/03/2020"</f>
        <v>02/03/2020</v>
      </c>
      <c r="M786" t="str">
        <f>"28/02/2020"</f>
        <v>28/02/2020</v>
      </c>
      <c r="N786">
        <v>289.93</v>
      </c>
      <c r="O786">
        <v>289.93</v>
      </c>
      <c r="P786">
        <v>0</v>
      </c>
    </row>
    <row r="787" spans="1:16" s="2" customFormat="1" x14ac:dyDescent="0.25">
      <c r="A787" s="2">
        <v>47492057</v>
      </c>
      <c r="B787" s="2">
        <v>47492062</v>
      </c>
      <c r="C787" s="2" t="str">
        <f>"UNIMEDSJN"</f>
        <v>UNIMEDSJN</v>
      </c>
      <c r="D787" s="2" t="str">
        <f>"DH"</f>
        <v>DH</v>
      </c>
      <c r="E787" s="2" t="str">
        <f>"RITA DE CASSIA DOMINGOS DE OLIVEIRA"</f>
        <v>RITA DE CASSIA DOMINGOS DE OLIVEIRA</v>
      </c>
      <c r="F787" s="2" t="str">
        <f>"47492057-1/1"</f>
        <v>47492057-1/1</v>
      </c>
      <c r="G787" s="2" t="str">
        <f>"Carteira 21"</f>
        <v>Carteira 21</v>
      </c>
      <c r="H787" s="2">
        <v>14</v>
      </c>
      <c r="I787" s="3">
        <v>120</v>
      </c>
      <c r="J787" s="2" t="str">
        <f>"01/12/2019"</f>
        <v>01/12/2019</v>
      </c>
      <c r="K787" s="2" t="str">
        <f>"15/12/2019"</f>
        <v>15/12/2019</v>
      </c>
      <c r="L787" s="2" t="str">
        <f>"12/02/2020"</f>
        <v>12/02/2020</v>
      </c>
      <c r="M787" s="2" t="str">
        <f>"13/02/2020"</f>
        <v>13/02/2020</v>
      </c>
      <c r="N787" s="2">
        <v>502.93</v>
      </c>
      <c r="O787" s="2">
        <v>522.62</v>
      </c>
      <c r="P787" s="2">
        <v>0.25999999999999102</v>
      </c>
    </row>
    <row r="788" spans="1:16" s="2" customFormat="1" x14ac:dyDescent="0.25">
      <c r="A788" s="2">
        <v>48567229</v>
      </c>
      <c r="B788" s="2">
        <v>48567245</v>
      </c>
      <c r="C788" s="2" t="str">
        <f>"UNIMEDSJN"</f>
        <v>UNIMEDSJN</v>
      </c>
      <c r="D788" s="2" t="str">
        <f>"DH"</f>
        <v>DH</v>
      </c>
      <c r="E788" s="2" t="str">
        <f>"RITA DE CASSIA DOMINGOS DE OLIVEIRA"</f>
        <v>RITA DE CASSIA DOMINGOS DE OLIVEIRA</v>
      </c>
      <c r="F788" s="2" t="str">
        <f>"48567229-1/1"</f>
        <v>48567229-1/1</v>
      </c>
      <c r="G788" s="2" t="str">
        <f>"Carteira 21"</f>
        <v>Carteira 21</v>
      </c>
      <c r="H788" s="2">
        <v>13</v>
      </c>
      <c r="I788" s="3">
        <v>89</v>
      </c>
      <c r="J788" s="2" t="str">
        <f>"02/01/2020"</f>
        <v>02/01/2020</v>
      </c>
      <c r="K788" s="2" t="str">
        <f>"15/01/2020"</f>
        <v>15/01/2020</v>
      </c>
      <c r="L788" s="2" t="str">
        <f>"13/03/2020"</f>
        <v>13/03/2020</v>
      </c>
      <c r="M788" s="2" t="str">
        <f>"16/03/2020"</f>
        <v>16/03/2020</v>
      </c>
      <c r="N788" s="2">
        <v>502.93</v>
      </c>
      <c r="O788" s="2">
        <v>522.62</v>
      </c>
      <c r="P788" s="2">
        <v>8.9999999999975003E-2</v>
      </c>
    </row>
    <row r="789" spans="1:16" x14ac:dyDescent="0.25">
      <c r="A789">
        <v>48616001</v>
      </c>
      <c r="B789">
        <v>48616009</v>
      </c>
      <c r="C789" t="str">
        <f>"UNIMEDSJN"</f>
        <v>UNIMEDSJN</v>
      </c>
      <c r="D789" t="str">
        <f>"DH"</f>
        <v>DH</v>
      </c>
      <c r="E789" t="str">
        <f>"RITA DE CASSIA SIQUEIRA FURLAN SANTOS"</f>
        <v>RITA DE CASSIA SIQUEIRA FURLAN SANTOS</v>
      </c>
      <c r="F789" t="str">
        <f>"48616001-1/1"</f>
        <v>48616001-1/1</v>
      </c>
      <c r="G789" t="str">
        <f>"Carteira 21"</f>
        <v>Carteira 21</v>
      </c>
      <c r="H789">
        <v>37</v>
      </c>
      <c r="I789" s="1">
        <v>47</v>
      </c>
      <c r="J789" t="str">
        <f>"20/01/2020"</f>
        <v>20/01/2020</v>
      </c>
      <c r="K789" t="str">
        <f>"26/02/2020"</f>
        <v>26/02/2020</v>
      </c>
      <c r="L789" t="str">
        <f>"26/02/2020"</f>
        <v>26/02/2020</v>
      </c>
      <c r="M789" t="str">
        <f>"07/02/2020"</f>
        <v>07/02/2020</v>
      </c>
      <c r="N789">
        <v>271.70999999999998</v>
      </c>
      <c r="O789">
        <v>271.70999999999998</v>
      </c>
      <c r="P789">
        <v>0</v>
      </c>
    </row>
    <row r="790" spans="1:16" s="2" customFormat="1" x14ac:dyDescent="0.25">
      <c r="A790" s="2">
        <v>48576881</v>
      </c>
      <c r="B790" s="2">
        <v>48576886</v>
      </c>
      <c r="C790" s="2" t="str">
        <f>"UNIMEDSJN"</f>
        <v>UNIMEDSJN</v>
      </c>
      <c r="D790" s="2" t="str">
        <f>"DH"</f>
        <v>DH</v>
      </c>
      <c r="E790" s="2" t="str">
        <f>"ROBERTA FULCO CALZAVARA"</f>
        <v>ROBERTA FULCO CALZAVARA</v>
      </c>
      <c r="F790" s="2" t="str">
        <f>"48576881-1/1"</f>
        <v>48576881-1/1</v>
      </c>
      <c r="G790" s="2" t="str">
        <f>"Carteira 21"</f>
        <v>Carteira 21</v>
      </c>
      <c r="H790" s="2">
        <v>23</v>
      </c>
      <c r="I790" s="3">
        <v>79</v>
      </c>
      <c r="J790" s="2" t="str">
        <f>"02/01/2020"</f>
        <v>02/01/2020</v>
      </c>
      <c r="K790" s="2" t="str">
        <f>"25/01/2020"</f>
        <v>25/01/2020</v>
      </c>
      <c r="L790" s="2" t="str">
        <f>"05/02/2020"</f>
        <v>05/02/2020</v>
      </c>
      <c r="M790" s="2" t="str">
        <f>"06/02/2020"</f>
        <v>06/02/2020</v>
      </c>
      <c r="N790" s="2">
        <v>146.04</v>
      </c>
      <c r="O790" s="2">
        <v>149.38999999999999</v>
      </c>
      <c r="P790" s="2">
        <v>0.109999999999985</v>
      </c>
    </row>
    <row r="791" spans="1:16" s="2" customFormat="1" x14ac:dyDescent="0.25">
      <c r="A791" s="2">
        <v>48576915</v>
      </c>
      <c r="B791" s="2">
        <v>48576920</v>
      </c>
      <c r="C791" s="2" t="str">
        <f>"UNIMEDSJN"</f>
        <v>UNIMEDSJN</v>
      </c>
      <c r="D791" s="2" t="str">
        <f>"DH"</f>
        <v>DH</v>
      </c>
      <c r="E791" s="2" t="str">
        <f>"ROBERTA FULCO CALZAVARA"</f>
        <v>ROBERTA FULCO CALZAVARA</v>
      </c>
      <c r="F791" s="2" t="str">
        <f>"48576915-1/1"</f>
        <v>48576915-1/1</v>
      </c>
      <c r="G791" s="2" t="str">
        <f>"Carteira 21"</f>
        <v>Carteira 21</v>
      </c>
      <c r="H791" s="2">
        <v>23</v>
      </c>
      <c r="I791" s="3">
        <v>79</v>
      </c>
      <c r="J791" s="2" t="str">
        <f>"02/01/2020"</f>
        <v>02/01/2020</v>
      </c>
      <c r="K791" s="2" t="str">
        <f>"25/01/2020"</f>
        <v>25/01/2020</v>
      </c>
      <c r="L791" s="2" t="str">
        <f>"05/02/2020"</f>
        <v>05/02/2020</v>
      </c>
      <c r="M791" s="2" t="str">
        <f>"06/02/2020"</f>
        <v>06/02/2020</v>
      </c>
      <c r="N791" s="2">
        <v>112.01</v>
      </c>
      <c r="O791" s="2">
        <v>114.58</v>
      </c>
      <c r="P791" s="2">
        <v>8.0000000000012506E-2</v>
      </c>
    </row>
    <row r="792" spans="1:16" s="2" customFormat="1" x14ac:dyDescent="0.25">
      <c r="A792" s="2">
        <v>48584347</v>
      </c>
      <c r="B792" s="2">
        <v>48584352</v>
      </c>
      <c r="C792" s="2" t="str">
        <f>"UNIMEDSJN"</f>
        <v>UNIMEDSJN</v>
      </c>
      <c r="D792" s="2" t="str">
        <f>"DH"</f>
        <v>DH</v>
      </c>
      <c r="E792" s="2" t="str">
        <f>"Rodolfo Oliveira da Silva"</f>
        <v>Rodolfo Oliveira da Silva</v>
      </c>
      <c r="F792" s="2" t="str">
        <f>"48584347-1/1"</f>
        <v>48584347-1/1</v>
      </c>
      <c r="G792" s="2" t="str">
        <f>"Carteira 21"</f>
        <v>Carteira 21</v>
      </c>
      <c r="H792" s="2">
        <v>13</v>
      </c>
      <c r="I792" s="3">
        <v>89</v>
      </c>
      <c r="J792" s="2" t="str">
        <f>"02/01/2020"</f>
        <v>02/01/2020</v>
      </c>
      <c r="K792" s="2" t="str">
        <f>"15/01/2020"</f>
        <v>15/01/2020</v>
      </c>
      <c r="L792" s="2" t="str">
        <f>"05/02/2020"</f>
        <v>05/02/2020</v>
      </c>
      <c r="M792" s="2" t="str">
        <f>"06/02/2020"</f>
        <v>06/02/2020</v>
      </c>
      <c r="N792" s="2">
        <v>191.72</v>
      </c>
      <c r="O792" s="2">
        <v>196.88</v>
      </c>
      <c r="P792" s="2">
        <v>9.9999999999909103E-3</v>
      </c>
    </row>
    <row r="793" spans="1:16" s="2" customFormat="1" x14ac:dyDescent="0.25">
      <c r="A793" s="2">
        <v>48565895</v>
      </c>
      <c r="B793" s="2">
        <v>48565900</v>
      </c>
      <c r="C793" s="2" t="str">
        <f>"UNIMEDSJN"</f>
        <v>UNIMEDSJN</v>
      </c>
      <c r="D793" s="2" t="str">
        <f>"DH"</f>
        <v>DH</v>
      </c>
      <c r="E793" s="2" t="str">
        <f>"RODOLPHO NAZARETH ROSSETE DE SOUZA"</f>
        <v>RODOLPHO NAZARETH ROSSETE DE SOUZA</v>
      </c>
      <c r="F793" s="2" t="str">
        <f>"48565895-1/1"</f>
        <v>48565895-1/1</v>
      </c>
      <c r="G793" s="2" t="str">
        <f>"Carteira 21"</f>
        <v>Carteira 21</v>
      </c>
      <c r="H793" s="2">
        <v>23</v>
      </c>
      <c r="I793" s="3">
        <v>79</v>
      </c>
      <c r="J793" s="2" t="str">
        <f>"02/01/2020"</f>
        <v>02/01/2020</v>
      </c>
      <c r="K793" s="2" t="str">
        <f>"25/01/2020"</f>
        <v>25/01/2020</v>
      </c>
      <c r="L793" s="2" t="str">
        <f>"03/02/2020"</f>
        <v>03/02/2020</v>
      </c>
      <c r="M793" s="2" t="str">
        <f>"04/02/2020"</f>
        <v>04/02/2020</v>
      </c>
      <c r="N793" s="2">
        <v>303.86</v>
      </c>
      <c r="O793" s="2">
        <v>310.64</v>
      </c>
      <c r="P793" s="2">
        <v>0.21000000000003599</v>
      </c>
    </row>
    <row r="794" spans="1:16" s="2" customFormat="1" x14ac:dyDescent="0.25">
      <c r="A794" s="2">
        <v>47493104</v>
      </c>
      <c r="B794" s="2">
        <v>47493121</v>
      </c>
      <c r="C794" s="2" t="str">
        <f>"UNIMEDSJN"</f>
        <v>UNIMEDSJN</v>
      </c>
      <c r="D794" s="2" t="str">
        <f>"DH"</f>
        <v>DH</v>
      </c>
      <c r="E794" s="2" t="str">
        <f>"RODRIGO SOARES"</f>
        <v>RODRIGO SOARES</v>
      </c>
      <c r="F794" s="2" t="str">
        <f>"47493104-1/1"</f>
        <v>47493104-1/1</v>
      </c>
      <c r="G794" s="2" t="str">
        <f>"Carteira 21"</f>
        <v>Carteira 21</v>
      </c>
      <c r="H794" s="2">
        <v>24</v>
      </c>
      <c r="I794" s="3">
        <v>110</v>
      </c>
      <c r="J794" s="2" t="str">
        <f>"01/12/2019"</f>
        <v>01/12/2019</v>
      </c>
      <c r="K794" s="2" t="str">
        <f>"25/12/2019"</f>
        <v>25/12/2019</v>
      </c>
      <c r="L794" s="2" t="str">
        <f>"04/02/2020"</f>
        <v>04/02/2020</v>
      </c>
      <c r="M794" s="2" t="str">
        <f>"05/02/2020"</f>
        <v>05/02/2020</v>
      </c>
      <c r="N794" s="2">
        <v>449.41</v>
      </c>
      <c r="O794" s="2">
        <v>464.48</v>
      </c>
      <c r="P794" s="2">
        <v>6.0000000000002301E-2</v>
      </c>
    </row>
    <row r="795" spans="1:16" s="2" customFormat="1" x14ac:dyDescent="0.25">
      <c r="A795" s="2">
        <v>48567872</v>
      </c>
      <c r="B795" s="2">
        <v>48568139</v>
      </c>
      <c r="C795" s="2" t="str">
        <f>"UNIMEDSJN"</f>
        <v>UNIMEDSJN</v>
      </c>
      <c r="D795" s="2" t="str">
        <f>"DH"</f>
        <v>DH</v>
      </c>
      <c r="E795" s="2" t="str">
        <f>"RODRIGO SOARES"</f>
        <v>RODRIGO SOARES</v>
      </c>
      <c r="F795" s="2" t="str">
        <f>"48567872-1/1"</f>
        <v>48567872-1/1</v>
      </c>
      <c r="G795" s="2" t="str">
        <f>"Carteira 21"</f>
        <v>Carteira 21</v>
      </c>
      <c r="H795" s="2">
        <v>23</v>
      </c>
      <c r="I795" s="3">
        <v>79</v>
      </c>
      <c r="J795" s="2" t="str">
        <f>"02/01/2020"</f>
        <v>02/01/2020</v>
      </c>
      <c r="K795" s="2" t="str">
        <f>"25/01/2020"</f>
        <v>25/01/2020</v>
      </c>
      <c r="L795" s="2" t="str">
        <f>"03/03/2020"</f>
        <v>03/03/2020</v>
      </c>
      <c r="M795" s="2" t="str">
        <f>"04/03/2020"</f>
        <v>04/03/2020</v>
      </c>
      <c r="N795" s="2">
        <v>449.41</v>
      </c>
      <c r="O795" s="2">
        <v>463.74</v>
      </c>
      <c r="P795" s="2">
        <v>0.35000000000002301</v>
      </c>
    </row>
    <row r="796" spans="1:16" s="2" customFormat="1" x14ac:dyDescent="0.25">
      <c r="A796" s="2">
        <v>48580373</v>
      </c>
      <c r="B796" s="2">
        <v>48580632</v>
      </c>
      <c r="C796" s="2" t="str">
        <f>"UNIMEDSJN"</f>
        <v>UNIMEDSJN</v>
      </c>
      <c r="D796" s="2" t="str">
        <f>"DH"</f>
        <v>DH</v>
      </c>
      <c r="E796" s="2" t="str">
        <f>"RONALDO NEVES DA SILVA"</f>
        <v>RONALDO NEVES DA SILVA</v>
      </c>
      <c r="F796" s="2" t="str">
        <f>"48580373-1/1"</f>
        <v>48580373-1/1</v>
      </c>
      <c r="G796" s="2" t="str">
        <f>"Carteira 21"</f>
        <v>Carteira 21</v>
      </c>
      <c r="H796" s="2">
        <v>23</v>
      </c>
      <c r="I796" s="3">
        <v>79</v>
      </c>
      <c r="J796" s="2" t="str">
        <f>"02/01/2020"</f>
        <v>02/01/2020</v>
      </c>
      <c r="K796" s="2" t="str">
        <f>"25/01/2020"</f>
        <v>25/01/2020</v>
      </c>
      <c r="L796" s="2" t="str">
        <f>"10/02/2020"</f>
        <v>10/02/2020</v>
      </c>
      <c r="M796" s="2" t="str">
        <f>"11/02/2020"</f>
        <v>11/02/2020</v>
      </c>
      <c r="N796" s="2">
        <v>137.58000000000001</v>
      </c>
      <c r="O796" s="2">
        <v>140.96</v>
      </c>
      <c r="P796" s="2">
        <v>9.9999999999994302E-2</v>
      </c>
    </row>
    <row r="797" spans="1:16" s="2" customFormat="1" x14ac:dyDescent="0.25">
      <c r="A797" s="2">
        <v>48580641</v>
      </c>
      <c r="B797" s="2">
        <v>48580650</v>
      </c>
      <c r="C797" s="2" t="str">
        <f>"UNIMEDSJN"</f>
        <v>UNIMEDSJN</v>
      </c>
      <c r="D797" s="2" t="str">
        <f>"DH"</f>
        <v>DH</v>
      </c>
      <c r="E797" s="2" t="str">
        <f>"RONALDO NEVES DA SILVA"</f>
        <v>RONALDO NEVES DA SILVA</v>
      </c>
      <c r="F797" s="2" t="str">
        <f>"48580641-1/1"</f>
        <v>48580641-1/1</v>
      </c>
      <c r="G797" s="2" t="str">
        <f>"Carteira 21"</f>
        <v>Carteira 21</v>
      </c>
      <c r="H797" s="2">
        <v>23</v>
      </c>
      <c r="I797" s="3">
        <v>79</v>
      </c>
      <c r="J797" s="2" t="str">
        <f>"02/01/2020"</f>
        <v>02/01/2020</v>
      </c>
      <c r="K797" s="2" t="str">
        <f>"25/01/2020"</f>
        <v>25/01/2020</v>
      </c>
      <c r="L797" s="2" t="str">
        <f>"10/02/2020"</f>
        <v>10/02/2020</v>
      </c>
      <c r="M797" s="2" t="str">
        <f>"11/02/2020"</f>
        <v>11/02/2020</v>
      </c>
      <c r="N797" s="2">
        <v>137.58000000000001</v>
      </c>
      <c r="O797" s="2">
        <v>140.97</v>
      </c>
      <c r="P797" s="2">
        <v>9.0000000000003397E-2</v>
      </c>
    </row>
    <row r="798" spans="1:16" s="2" customFormat="1" x14ac:dyDescent="0.25">
      <c r="A798" s="2">
        <v>43561912</v>
      </c>
      <c r="B798" s="2">
        <v>43561918</v>
      </c>
      <c r="C798" s="2" t="str">
        <f>"UNIMEDSJN"</f>
        <v>UNIMEDSJN</v>
      </c>
      <c r="D798" s="2" t="str">
        <f>"DH"</f>
        <v>DH</v>
      </c>
      <c r="E798" s="2" t="str">
        <f>"ROSALVA SOUZA ANDRADE"</f>
        <v>ROSALVA SOUZA ANDRADE</v>
      </c>
      <c r="F798" s="2" t="str">
        <f>"43561912-1/1"</f>
        <v>43561912-1/1</v>
      </c>
      <c r="G798" s="2" t="str">
        <f>"Carteira 21"</f>
        <v>Carteira 21</v>
      </c>
      <c r="H798" s="2">
        <v>22</v>
      </c>
      <c r="I798" s="3">
        <v>293</v>
      </c>
      <c r="J798" s="2" t="str">
        <f>"03/06/2019"</f>
        <v>03/06/2019</v>
      </c>
      <c r="K798" s="2" t="str">
        <f>"25/06/2019"</f>
        <v>25/06/2019</v>
      </c>
      <c r="L798" s="2" t="str">
        <f>"25/06/2019"</f>
        <v>25/06/2019</v>
      </c>
      <c r="M798" s="2" t="str">
        <f>"03/06/2019"</f>
        <v>03/06/2019</v>
      </c>
      <c r="N798" s="2">
        <v>773.18</v>
      </c>
      <c r="O798" s="2">
        <v>773.18</v>
      </c>
      <c r="P798" s="2">
        <v>0</v>
      </c>
    </row>
    <row r="799" spans="1:16" s="2" customFormat="1" x14ac:dyDescent="0.25">
      <c r="A799" s="2">
        <v>48569836</v>
      </c>
      <c r="B799" s="2">
        <v>48569843</v>
      </c>
      <c r="C799" s="2" t="str">
        <f>"UNIMEDSJN"</f>
        <v>UNIMEDSJN</v>
      </c>
      <c r="D799" s="2" t="str">
        <f>"DH"</f>
        <v>DH</v>
      </c>
      <c r="E799" s="2" t="str">
        <f>"ROSALVA SOUZA ANDRADE"</f>
        <v>ROSALVA SOUZA ANDRADE</v>
      </c>
      <c r="F799" s="2" t="str">
        <f>"48569836-1/1"</f>
        <v>48569836-1/1</v>
      </c>
      <c r="G799" s="2" t="str">
        <f>"Carteira 21"</f>
        <v>Carteira 21</v>
      </c>
      <c r="H799" s="2">
        <v>23</v>
      </c>
      <c r="I799" s="3">
        <v>79</v>
      </c>
      <c r="J799" s="2" t="str">
        <f>"02/01/2020"</f>
        <v>02/01/2020</v>
      </c>
      <c r="K799" s="2" t="str">
        <f>"25/01/2020"</f>
        <v>25/01/2020</v>
      </c>
      <c r="L799" s="2" t="str">
        <f>"11/02/2020"</f>
        <v>11/02/2020</v>
      </c>
      <c r="M799" s="2" t="str">
        <f>"12/02/2020"</f>
        <v>12/02/2020</v>
      </c>
      <c r="N799" s="2">
        <v>1001.23</v>
      </c>
      <c r="O799" s="2">
        <v>1026.21</v>
      </c>
      <c r="P799" s="2">
        <v>0.71000000000003605</v>
      </c>
    </row>
    <row r="800" spans="1:16" x14ac:dyDescent="0.25">
      <c r="A800">
        <v>48615981</v>
      </c>
      <c r="B800">
        <v>48615993</v>
      </c>
      <c r="C800" t="str">
        <f>"UNIMEDSJN"</f>
        <v>UNIMEDSJN</v>
      </c>
      <c r="D800" t="str">
        <f>"DH"</f>
        <v>DH</v>
      </c>
      <c r="E800" t="str">
        <f>"ROSANE FERREIRA MACHADO"</f>
        <v>ROSANE FERREIRA MACHADO</v>
      </c>
      <c r="F800" t="str">
        <f>"48615981-1/1"</f>
        <v>48615981-1/1</v>
      </c>
      <c r="G800" t="str">
        <f>"Carteira 21"</f>
        <v>Carteira 21</v>
      </c>
      <c r="H800">
        <v>40</v>
      </c>
      <c r="I800" s="1">
        <v>44</v>
      </c>
      <c r="J800" t="str">
        <f>"20/01/2020"</f>
        <v>20/01/2020</v>
      </c>
      <c r="K800" t="str">
        <f>"29/02/2020"</f>
        <v>29/02/2020</v>
      </c>
      <c r="L800" t="str">
        <f>"02/03/2020"</f>
        <v>02/03/2020</v>
      </c>
      <c r="M800" t="str">
        <f>"20/02/2020"</f>
        <v>20/02/2020</v>
      </c>
      <c r="N800">
        <v>279.18</v>
      </c>
      <c r="O800">
        <v>279.18</v>
      </c>
      <c r="P800">
        <v>0</v>
      </c>
    </row>
    <row r="801" spans="1:16" s="2" customFormat="1" x14ac:dyDescent="0.25">
      <c r="A801" s="2">
        <v>45907609</v>
      </c>
      <c r="B801" s="2">
        <v>45907619</v>
      </c>
      <c r="C801" s="2" t="str">
        <f>"UNIMEDSJN"</f>
        <v>UNIMEDSJN</v>
      </c>
      <c r="D801" s="2" t="str">
        <f>"DH"</f>
        <v>DH</v>
      </c>
      <c r="E801" s="2" t="str">
        <f>"ROSANGELA DE CASSIA SOUZA VASCONCELOS"</f>
        <v>ROSANGELA DE CASSIA SOUZA VASCONCELOS</v>
      </c>
      <c r="F801" s="2" t="str">
        <f>"45907609-1/1"</f>
        <v>45907609-1/1</v>
      </c>
      <c r="G801" s="2" t="str">
        <f>"Carteira 21"</f>
        <v>Carteira 21</v>
      </c>
      <c r="H801" s="2">
        <v>24</v>
      </c>
      <c r="I801" s="3">
        <v>140</v>
      </c>
      <c r="J801" s="2" t="str">
        <f>"01/11/2019"</f>
        <v>01/11/2019</v>
      </c>
      <c r="K801" s="2" t="str">
        <f>"25/11/2019"</f>
        <v>25/11/2019</v>
      </c>
      <c r="L801" s="2" t="str">
        <f>"10/02/2020"</f>
        <v>10/02/2020</v>
      </c>
      <c r="M801" s="2" t="str">
        <f>"11/02/2020"</f>
        <v>11/02/2020</v>
      </c>
      <c r="N801" s="2">
        <v>223.18</v>
      </c>
      <c r="O801" s="2">
        <v>233.31</v>
      </c>
      <c r="P801" s="2">
        <v>6.0000000000002301E-2</v>
      </c>
    </row>
    <row r="802" spans="1:16" s="2" customFormat="1" x14ac:dyDescent="0.25">
      <c r="A802" s="2">
        <v>45908097</v>
      </c>
      <c r="B802" s="2">
        <v>45908102</v>
      </c>
      <c r="C802" s="2" t="str">
        <f>"UNIMEDSJN"</f>
        <v>UNIMEDSJN</v>
      </c>
      <c r="D802" s="2" t="str">
        <f>"DH"</f>
        <v>DH</v>
      </c>
      <c r="E802" s="2" t="str">
        <f>"ROSANGELA DE CASSIA SOUZA VASCONCELOS"</f>
        <v>ROSANGELA DE CASSIA SOUZA VASCONCELOS</v>
      </c>
      <c r="F802" s="2" t="str">
        <f>"45908097-1/1"</f>
        <v>45908097-1/1</v>
      </c>
      <c r="G802" s="2" t="str">
        <f>"Carteira 21"</f>
        <v>Carteira 21</v>
      </c>
      <c r="H802" s="2">
        <v>24</v>
      </c>
      <c r="I802" s="3">
        <v>140</v>
      </c>
      <c r="J802" s="2" t="str">
        <f>"01/11/2019"</f>
        <v>01/11/2019</v>
      </c>
      <c r="K802" s="2" t="str">
        <f>"25/11/2019"</f>
        <v>25/11/2019</v>
      </c>
      <c r="L802" s="2" t="str">
        <f>"10/02/2020"</f>
        <v>10/02/2020</v>
      </c>
      <c r="M802" s="2" t="str">
        <f>"11/02/2020"</f>
        <v>11/02/2020</v>
      </c>
      <c r="N802" s="2">
        <v>369.61</v>
      </c>
      <c r="O802" s="2">
        <v>386.39</v>
      </c>
      <c r="P802" s="2">
        <v>0.100000000000023</v>
      </c>
    </row>
    <row r="803" spans="1:16" s="2" customFormat="1" x14ac:dyDescent="0.25">
      <c r="A803" s="2">
        <v>47495752</v>
      </c>
      <c r="B803" s="2">
        <v>47495767</v>
      </c>
      <c r="C803" s="2" t="str">
        <f>"UNIMEDSJN"</f>
        <v>UNIMEDSJN</v>
      </c>
      <c r="D803" s="2" t="str">
        <f>"DH"</f>
        <v>DH</v>
      </c>
      <c r="E803" s="2" t="str">
        <f>"ROSANGELA DE CASSIA SOUZA VASCONCELOS"</f>
        <v>ROSANGELA DE CASSIA SOUZA VASCONCELOS</v>
      </c>
      <c r="F803" s="2" t="str">
        <f>"47495752-1/1"</f>
        <v>47495752-1/1</v>
      </c>
      <c r="G803" s="2" t="str">
        <f>"Carteira 21"</f>
        <v>Carteira 21</v>
      </c>
      <c r="H803" s="2">
        <v>24</v>
      </c>
      <c r="I803" s="3">
        <v>110</v>
      </c>
      <c r="J803" s="2" t="str">
        <f>"01/12/2019"</f>
        <v>01/12/2019</v>
      </c>
      <c r="K803" s="2" t="str">
        <f>"25/12/2019"</f>
        <v>25/12/2019</v>
      </c>
      <c r="L803" s="2" t="str">
        <f>"17/02/2020"</f>
        <v>17/02/2020</v>
      </c>
      <c r="M803" s="2" t="str">
        <f>"18/02/2020"</f>
        <v>18/02/2020</v>
      </c>
      <c r="N803" s="2">
        <v>223.18</v>
      </c>
      <c r="O803" s="2">
        <v>231.62</v>
      </c>
      <c r="P803" s="2">
        <v>3.9999999999992E-2</v>
      </c>
    </row>
    <row r="804" spans="1:16" s="2" customFormat="1" x14ac:dyDescent="0.25">
      <c r="A804" s="2">
        <v>47499996</v>
      </c>
      <c r="B804" s="2">
        <v>47500008</v>
      </c>
      <c r="C804" s="2" t="str">
        <f>"UNIMEDSJN"</f>
        <v>UNIMEDSJN</v>
      </c>
      <c r="D804" s="2" t="str">
        <f>"DH"</f>
        <v>DH</v>
      </c>
      <c r="E804" s="2" t="str">
        <f>"ROSANGELA DE CASSIA SOUZA VASCONCELOS"</f>
        <v>ROSANGELA DE CASSIA SOUZA VASCONCELOS</v>
      </c>
      <c r="F804" s="2" t="str">
        <f>"47499996-1/1"</f>
        <v>47499996-1/1</v>
      </c>
      <c r="G804" s="2" t="str">
        <f>"Carteira 21"</f>
        <v>Carteira 21</v>
      </c>
      <c r="H804" s="2">
        <v>24</v>
      </c>
      <c r="I804" s="3">
        <v>110</v>
      </c>
      <c r="J804" s="2" t="str">
        <f>"01/12/2019"</f>
        <v>01/12/2019</v>
      </c>
      <c r="K804" s="2" t="str">
        <f>"25/12/2019"</f>
        <v>25/12/2019</v>
      </c>
      <c r="L804" s="2" t="str">
        <f>"17/02/2020"</f>
        <v>17/02/2020</v>
      </c>
      <c r="M804" s="2" t="str">
        <f>"18/02/2020"</f>
        <v>18/02/2020</v>
      </c>
      <c r="N804" s="2">
        <v>369.61</v>
      </c>
      <c r="O804" s="2">
        <v>383.59</v>
      </c>
      <c r="P804" s="2">
        <v>6.0000000000002301E-2</v>
      </c>
    </row>
    <row r="805" spans="1:16" s="2" customFormat="1" x14ac:dyDescent="0.25">
      <c r="A805" s="2">
        <v>48571765</v>
      </c>
      <c r="B805" s="2">
        <v>48571788</v>
      </c>
      <c r="C805" s="2" t="str">
        <f>"UNIMEDSJN"</f>
        <v>UNIMEDSJN</v>
      </c>
      <c r="D805" s="2" t="str">
        <f>"DH"</f>
        <v>DH</v>
      </c>
      <c r="E805" s="2" t="str">
        <f>"ROSANGELA DE CASSIA SOUZA VASCONCELOS"</f>
        <v>ROSANGELA DE CASSIA SOUZA VASCONCELOS</v>
      </c>
      <c r="F805" s="2" t="str">
        <f>"48571765-1/1"</f>
        <v>48571765-1/1</v>
      </c>
      <c r="G805" s="2" t="str">
        <f>"Carteira 21"</f>
        <v>Carteira 21</v>
      </c>
      <c r="H805" s="2">
        <v>23</v>
      </c>
      <c r="I805" s="3">
        <v>79</v>
      </c>
      <c r="J805" s="2" t="str">
        <f>"02/01/2020"</f>
        <v>02/01/2020</v>
      </c>
      <c r="K805" s="2" t="str">
        <f>"25/01/2020"</f>
        <v>25/01/2020</v>
      </c>
      <c r="L805" s="2" t="str">
        <f>"11/03/2020"</f>
        <v>11/03/2020</v>
      </c>
      <c r="M805" s="2" t="str">
        <f>"12/03/2020"</f>
        <v>12/03/2020</v>
      </c>
      <c r="N805" s="2">
        <v>223.18</v>
      </c>
      <c r="O805" s="2">
        <v>230.88</v>
      </c>
      <c r="P805" s="2">
        <v>0.18000000000000699</v>
      </c>
    </row>
    <row r="806" spans="1:16" s="2" customFormat="1" x14ac:dyDescent="0.25">
      <c r="A806" s="2">
        <v>48577241</v>
      </c>
      <c r="B806" s="2">
        <v>48577252</v>
      </c>
      <c r="C806" s="2" t="str">
        <f>"UNIMEDSJN"</f>
        <v>UNIMEDSJN</v>
      </c>
      <c r="D806" s="2" t="str">
        <f>"DH"</f>
        <v>DH</v>
      </c>
      <c r="E806" s="2" t="str">
        <f>"ROSANGELA DE CASSIA SOUZA VASCONCELOS"</f>
        <v>ROSANGELA DE CASSIA SOUZA VASCONCELOS</v>
      </c>
      <c r="F806" s="2" t="str">
        <f>"48577241-1/1"</f>
        <v>48577241-1/1</v>
      </c>
      <c r="G806" s="2" t="str">
        <f>"Carteira 21"</f>
        <v>Carteira 21</v>
      </c>
      <c r="H806" s="2">
        <v>23</v>
      </c>
      <c r="I806" s="3">
        <v>79</v>
      </c>
      <c r="J806" s="2" t="str">
        <f>"02/01/2020"</f>
        <v>02/01/2020</v>
      </c>
      <c r="K806" s="2" t="str">
        <f>"25/01/2020"</f>
        <v>25/01/2020</v>
      </c>
      <c r="L806" s="2" t="str">
        <f>"11/03/2020"</f>
        <v>11/03/2020</v>
      </c>
      <c r="M806" s="2" t="str">
        <f>"12/03/2020"</f>
        <v>12/03/2020</v>
      </c>
      <c r="N806" s="2">
        <v>369.61</v>
      </c>
      <c r="O806" s="2">
        <v>382.37</v>
      </c>
      <c r="P806" s="2">
        <v>0.30000000000001098</v>
      </c>
    </row>
    <row r="807" spans="1:16" s="2" customFormat="1" x14ac:dyDescent="0.25">
      <c r="A807" s="2">
        <v>47510746</v>
      </c>
      <c r="B807" s="2">
        <v>47510782</v>
      </c>
      <c r="C807" s="2" t="str">
        <f>"UNIMEDSJN"</f>
        <v>UNIMEDSJN</v>
      </c>
      <c r="D807" s="2" t="str">
        <f>"DH"</f>
        <v>DH</v>
      </c>
      <c r="E807" s="2" t="str">
        <f>"ROSANNE TEREZA SCHETTINI LONGO NASCENTES"</f>
        <v>ROSANNE TEREZA SCHETTINI LONGO NASCENTES</v>
      </c>
      <c r="F807" s="2" t="str">
        <f>"47510746-1/1"</f>
        <v>47510746-1/1</v>
      </c>
      <c r="G807" s="2" t="str">
        <f>"Carteira 21"</f>
        <v>Carteira 21</v>
      </c>
      <c r="H807" s="2">
        <v>24</v>
      </c>
      <c r="I807" s="3">
        <v>110</v>
      </c>
      <c r="J807" s="2" t="str">
        <f>"01/12/2019"</f>
        <v>01/12/2019</v>
      </c>
      <c r="K807" s="2" t="str">
        <f>"25/12/2019"</f>
        <v>25/12/2019</v>
      </c>
      <c r="L807" s="2" t="str">
        <f>"07/02/2020"</f>
        <v>07/02/2020</v>
      </c>
      <c r="M807" s="2" t="str">
        <f>"10/02/2020"</f>
        <v>10/02/2020</v>
      </c>
      <c r="N807" s="2">
        <v>1590.46</v>
      </c>
      <c r="O807" s="2">
        <v>1645.36</v>
      </c>
      <c r="P807" s="2">
        <v>0.24000000000000901</v>
      </c>
    </row>
    <row r="808" spans="1:16" s="2" customFormat="1" x14ac:dyDescent="0.25">
      <c r="A808" s="2">
        <v>48562506</v>
      </c>
      <c r="B808" s="2">
        <v>48562526</v>
      </c>
      <c r="C808" s="2" t="str">
        <f>"UNIMEDSJN"</f>
        <v>UNIMEDSJN</v>
      </c>
      <c r="D808" s="2" t="str">
        <f>"DH"</f>
        <v>DH</v>
      </c>
      <c r="E808" s="2" t="str">
        <f>"ROSANNE TEREZA SCHETTINI LONGO NASCENTES"</f>
        <v>ROSANNE TEREZA SCHETTINI LONGO NASCENTES</v>
      </c>
      <c r="F808" s="2" t="str">
        <f>"48562506-1/1"</f>
        <v>48562506-1/1</v>
      </c>
      <c r="G808" s="2" t="str">
        <f>"Carteira 21"</f>
        <v>Carteira 21</v>
      </c>
      <c r="H808" s="2">
        <v>23</v>
      </c>
      <c r="I808" s="3">
        <v>79</v>
      </c>
      <c r="J808" s="2" t="str">
        <f>"02/01/2020"</f>
        <v>02/01/2020</v>
      </c>
      <c r="K808" s="2" t="str">
        <f>"25/01/2020"</f>
        <v>25/01/2020</v>
      </c>
      <c r="L808" s="2" t="str">
        <f>"11/03/2020"</f>
        <v>11/03/2020</v>
      </c>
      <c r="M808" s="2" t="str">
        <f>"12/03/2020"</f>
        <v>12/03/2020</v>
      </c>
      <c r="N808" s="2">
        <v>1590.46</v>
      </c>
      <c r="O808" s="2">
        <v>1645.37</v>
      </c>
      <c r="P808" s="2">
        <v>1.2899999999999601</v>
      </c>
    </row>
    <row r="809" spans="1:16" s="2" customFormat="1" x14ac:dyDescent="0.25">
      <c r="A809" s="2">
        <v>48563204</v>
      </c>
      <c r="B809" s="2">
        <v>48563216</v>
      </c>
      <c r="C809" s="2" t="str">
        <f>"UNIMEDSJN"</f>
        <v>UNIMEDSJN</v>
      </c>
      <c r="D809" s="2" t="str">
        <f>"DH"</f>
        <v>DH</v>
      </c>
      <c r="E809" s="2" t="str">
        <f>"Roseane Aparecida Ferreira Vital"</f>
        <v>Roseane Aparecida Ferreira Vital</v>
      </c>
      <c r="F809" s="2" t="str">
        <f>"48563204-1/1"</f>
        <v>48563204-1/1</v>
      </c>
      <c r="G809" s="2" t="str">
        <f>"Carteira 21"</f>
        <v>Carteira 21</v>
      </c>
      <c r="H809" s="2">
        <v>23</v>
      </c>
      <c r="I809" s="3">
        <v>79</v>
      </c>
      <c r="J809" s="2" t="str">
        <f>"02/01/2020"</f>
        <v>02/01/2020</v>
      </c>
      <c r="K809" s="2" t="str">
        <f>"25/01/2020"</f>
        <v>25/01/2020</v>
      </c>
      <c r="L809" s="2" t="str">
        <f>"12/02/2020"</f>
        <v>12/02/2020</v>
      </c>
      <c r="M809" s="2" t="str">
        <f>"13/02/2020"</f>
        <v>13/02/2020</v>
      </c>
      <c r="N809" s="2">
        <v>146.61000000000001</v>
      </c>
      <c r="O809" s="2">
        <v>150.31</v>
      </c>
      <c r="P809" s="2">
        <v>0.110000000000014</v>
      </c>
    </row>
    <row r="810" spans="1:16" s="2" customFormat="1" x14ac:dyDescent="0.25">
      <c r="A810" s="2">
        <v>48573322</v>
      </c>
      <c r="B810" s="2">
        <v>48573332</v>
      </c>
      <c r="C810" s="2" t="str">
        <f>"UNIMEDSJN"</f>
        <v>UNIMEDSJN</v>
      </c>
      <c r="D810" s="2" t="str">
        <f>"DH"</f>
        <v>DH</v>
      </c>
      <c r="E810" s="2" t="str">
        <f>"Rosely Sacramento Freitas"</f>
        <v>Rosely Sacramento Freitas</v>
      </c>
      <c r="F810" s="2" t="str">
        <f>"48573322-1/1"</f>
        <v>48573322-1/1</v>
      </c>
      <c r="G810" s="2" t="str">
        <f>"Carteira 21"</f>
        <v>Carteira 21</v>
      </c>
      <c r="H810" s="2">
        <v>23</v>
      </c>
      <c r="I810" s="3">
        <v>79</v>
      </c>
      <c r="J810" s="2" t="str">
        <f>"02/01/2020"</f>
        <v>02/01/2020</v>
      </c>
      <c r="K810" s="2" t="str">
        <f>"25/01/2020"</f>
        <v>25/01/2020</v>
      </c>
      <c r="L810" s="2" t="str">
        <f>"10/02/2020"</f>
        <v>10/02/2020</v>
      </c>
      <c r="M810" s="2" t="str">
        <f>"11/02/2020"</f>
        <v>11/02/2020</v>
      </c>
      <c r="N810" s="2">
        <v>91.23</v>
      </c>
      <c r="O810" s="2">
        <v>93.47</v>
      </c>
      <c r="P810" s="2">
        <v>7.0000000000007404E-2</v>
      </c>
    </row>
    <row r="811" spans="1:16" s="2" customFormat="1" x14ac:dyDescent="0.25">
      <c r="A811" s="2">
        <v>47504235</v>
      </c>
      <c r="B811" s="2">
        <v>47504242</v>
      </c>
      <c r="C811" s="2" t="str">
        <f>"UNIMEDSJN"</f>
        <v>UNIMEDSJN</v>
      </c>
      <c r="D811" s="2" t="str">
        <f>"DH"</f>
        <v>DH</v>
      </c>
      <c r="E811" s="2" t="str">
        <f>"ROSEMEIRE APARECIDA DE OLIVEIRA CARPANEZ"</f>
        <v>ROSEMEIRE APARECIDA DE OLIVEIRA CARPANEZ</v>
      </c>
      <c r="F811" s="2" t="str">
        <f>"47504235-1/1"</f>
        <v>47504235-1/1</v>
      </c>
      <c r="G811" s="2" t="str">
        <f>"Carteira 21"</f>
        <v>Carteira 21</v>
      </c>
      <c r="H811" s="2">
        <v>21</v>
      </c>
      <c r="I811" s="3">
        <v>113</v>
      </c>
      <c r="J811" s="2" t="str">
        <f>"01/12/2019"</f>
        <v>01/12/2019</v>
      </c>
      <c r="K811" s="2" t="str">
        <f>"22/12/2019"</f>
        <v>22/12/2019</v>
      </c>
      <c r="L811" s="2" t="str">
        <f>"21/02/2020"</f>
        <v>21/02/2020</v>
      </c>
      <c r="M811" s="2" t="str">
        <f>"24/02/2020"</f>
        <v>24/02/2020</v>
      </c>
      <c r="N811" s="2">
        <v>612.25</v>
      </c>
      <c r="O811" s="2">
        <v>636.61</v>
      </c>
      <c r="P811" s="2">
        <v>0.340000000000032</v>
      </c>
    </row>
    <row r="812" spans="1:16" s="2" customFormat="1" x14ac:dyDescent="0.25">
      <c r="A812" s="2">
        <v>48579163</v>
      </c>
      <c r="B812" s="2">
        <v>48579168</v>
      </c>
      <c r="C812" s="2" t="str">
        <f>"UNIMEDSJN"</f>
        <v>UNIMEDSJN</v>
      </c>
      <c r="D812" s="2" t="str">
        <f>"DH"</f>
        <v>DH</v>
      </c>
      <c r="E812" s="2" t="str">
        <f>"ROSEMEIRE APARECIDA DE OLIVEIRA CARPANEZ"</f>
        <v>ROSEMEIRE APARECIDA DE OLIVEIRA CARPANEZ</v>
      </c>
      <c r="F812" s="2" t="str">
        <f>"48579163-1/1"</f>
        <v>48579163-1/1</v>
      </c>
      <c r="G812" s="2" t="str">
        <f>"Carteira 21"</f>
        <v>Carteira 21</v>
      </c>
      <c r="H812" s="2">
        <v>20</v>
      </c>
      <c r="I812" s="3">
        <v>82</v>
      </c>
      <c r="J812" s="2" t="str">
        <f>"02/01/2020"</f>
        <v>02/01/2020</v>
      </c>
      <c r="K812" s="2" t="str">
        <f>"22/01/2020"</f>
        <v>22/01/2020</v>
      </c>
      <c r="L812" s="2" t="str">
        <f>"20/03/2020"</f>
        <v>20/03/2020</v>
      </c>
      <c r="M812" s="2" t="str">
        <f>"23/03/2020"</f>
        <v>23/03/2020</v>
      </c>
      <c r="N812" s="2">
        <v>612.25</v>
      </c>
      <c r="O812" s="2">
        <v>636.21</v>
      </c>
      <c r="P812" s="2">
        <v>0.12999999999999501</v>
      </c>
    </row>
    <row r="813" spans="1:16" s="2" customFormat="1" x14ac:dyDescent="0.25">
      <c r="A813" s="2">
        <v>48585814</v>
      </c>
      <c r="B813" s="2">
        <v>48585837</v>
      </c>
      <c r="C813" s="2" t="str">
        <f>"UNIMEDSJN"</f>
        <v>UNIMEDSJN</v>
      </c>
      <c r="D813" s="2" t="str">
        <f>"DH"</f>
        <v>DH</v>
      </c>
      <c r="E813" s="2" t="str">
        <f>"Rosiane Rodrigues de Oliveira"</f>
        <v>Rosiane Rodrigues de Oliveira</v>
      </c>
      <c r="F813" s="2" t="str">
        <f>"48585814-1/1"</f>
        <v>48585814-1/1</v>
      </c>
      <c r="G813" s="2" t="str">
        <f>"Carteira 21"</f>
        <v>Carteira 21</v>
      </c>
      <c r="H813" s="2">
        <v>23</v>
      </c>
      <c r="I813" s="3">
        <v>79</v>
      </c>
      <c r="J813" s="2" t="str">
        <f>"02/01/2020"</f>
        <v>02/01/2020</v>
      </c>
      <c r="K813" s="2" t="str">
        <f>"25/01/2020"</f>
        <v>25/01/2020</v>
      </c>
      <c r="L813" s="2" t="str">
        <f>"03/02/2020"</f>
        <v>03/02/2020</v>
      </c>
      <c r="M813" s="2" t="str">
        <f>"04/02/2020"</f>
        <v>04/02/2020</v>
      </c>
      <c r="N813" s="2">
        <v>712.56</v>
      </c>
      <c r="O813" s="2">
        <v>728.45</v>
      </c>
      <c r="P813" s="2">
        <v>0.5</v>
      </c>
    </row>
    <row r="814" spans="1:16" s="2" customFormat="1" x14ac:dyDescent="0.25">
      <c r="A814" s="2">
        <v>47508830</v>
      </c>
      <c r="B814" s="2">
        <v>47508835</v>
      </c>
      <c r="C814" s="2" t="str">
        <f>"UNIMEDSJN"</f>
        <v>UNIMEDSJN</v>
      </c>
      <c r="D814" s="2" t="str">
        <f>"DH"</f>
        <v>DH</v>
      </c>
      <c r="E814" s="2" t="str">
        <f>"Rosilene Marques Guimaraes"</f>
        <v>Rosilene Marques Guimaraes</v>
      </c>
      <c r="F814" s="2" t="str">
        <f>"47508830-1/1"</f>
        <v>47508830-1/1</v>
      </c>
      <c r="G814" s="2" t="str">
        <f>"Carteira 21"</f>
        <v>Carteira 21</v>
      </c>
      <c r="H814" s="2">
        <v>24</v>
      </c>
      <c r="I814" s="3">
        <v>110</v>
      </c>
      <c r="J814" s="2" t="str">
        <f>"01/12/2019"</f>
        <v>01/12/2019</v>
      </c>
      <c r="K814" s="2" t="str">
        <f>"25/12/2019"</f>
        <v>25/12/2019</v>
      </c>
      <c r="L814" s="2" t="str">
        <f>"25/12/2019"</f>
        <v>25/12/2019</v>
      </c>
      <c r="M814" s="2" t="str">
        <f>"28/11/2019"</f>
        <v>28/11/2019</v>
      </c>
      <c r="N814" s="2">
        <v>307.31</v>
      </c>
      <c r="O814" s="2">
        <v>307.31</v>
      </c>
      <c r="P814" s="2">
        <v>0</v>
      </c>
    </row>
    <row r="815" spans="1:16" s="2" customFormat="1" x14ac:dyDescent="0.25">
      <c r="A815" s="2">
        <v>47507220</v>
      </c>
      <c r="B815" s="2">
        <v>47507231</v>
      </c>
      <c r="C815" s="2" t="str">
        <f>"UNIMEDSJN"</f>
        <v>UNIMEDSJN</v>
      </c>
      <c r="D815" s="2" t="str">
        <f>"DH"</f>
        <v>DH</v>
      </c>
      <c r="E815" s="2" t="str">
        <f>"RUAN MIRANDA FERREIRA"</f>
        <v>RUAN MIRANDA FERREIRA</v>
      </c>
      <c r="F815" s="2" t="str">
        <f>"47507220-1/1"</f>
        <v>47507220-1/1</v>
      </c>
      <c r="G815" s="2" t="str">
        <f>"Carteira 21"</f>
        <v>Carteira 21</v>
      </c>
      <c r="H815" s="2">
        <v>24</v>
      </c>
      <c r="I815" s="3">
        <v>110</v>
      </c>
      <c r="J815" s="2" t="str">
        <f>"01/12/2019"</f>
        <v>01/12/2019</v>
      </c>
      <c r="K815" s="2" t="str">
        <f>"25/12/2019"</f>
        <v>25/12/2019</v>
      </c>
      <c r="L815" s="2" t="str">
        <f>"25/12/2019"</f>
        <v>25/12/2019</v>
      </c>
      <c r="M815" s="2" t="str">
        <f>"28/11/2019"</f>
        <v>28/11/2019</v>
      </c>
      <c r="N815" s="2">
        <v>188.31</v>
      </c>
      <c r="O815" s="2">
        <v>188.31</v>
      </c>
      <c r="P815" s="2">
        <v>0</v>
      </c>
    </row>
    <row r="816" spans="1:16" s="2" customFormat="1" x14ac:dyDescent="0.25">
      <c r="A816" s="2">
        <v>48584634</v>
      </c>
      <c r="B816" s="2">
        <v>48584642</v>
      </c>
      <c r="C816" s="2" t="str">
        <f>"UNIMEDSJN"</f>
        <v>UNIMEDSJN</v>
      </c>
      <c r="D816" s="2" t="str">
        <f>"DH"</f>
        <v>DH</v>
      </c>
      <c r="E816" s="2" t="str">
        <f>"RUAN MIRANDA FERREIRA"</f>
        <v>RUAN MIRANDA FERREIRA</v>
      </c>
      <c r="F816" s="2" t="str">
        <f>"48584634-1/1"</f>
        <v>48584634-1/1</v>
      </c>
      <c r="G816" s="2" t="str">
        <f>"Carteira 21"</f>
        <v>Carteira 21</v>
      </c>
      <c r="H816" s="2">
        <v>23</v>
      </c>
      <c r="I816" s="3">
        <v>79</v>
      </c>
      <c r="J816" s="2" t="str">
        <f>"02/01/2020"</f>
        <v>02/01/2020</v>
      </c>
      <c r="K816" s="2" t="str">
        <f>"25/01/2020"</f>
        <v>25/01/2020</v>
      </c>
      <c r="L816" s="2" t="str">
        <f>"27/01/2020"</f>
        <v>27/01/2020</v>
      </c>
      <c r="M816" s="2" t="str">
        <f>"27/12/2019"</f>
        <v>27/12/2019</v>
      </c>
      <c r="N816" s="2">
        <v>188.31</v>
      </c>
      <c r="O816" s="2">
        <v>188.31</v>
      </c>
      <c r="P816" s="2">
        <v>0</v>
      </c>
    </row>
    <row r="817" spans="1:16" s="2" customFormat="1" x14ac:dyDescent="0.25">
      <c r="A817" s="2">
        <v>48575331</v>
      </c>
      <c r="B817" s="2">
        <v>48575338</v>
      </c>
      <c r="C817" s="2" t="str">
        <f>"UNIMEDSJN"</f>
        <v>UNIMEDSJN</v>
      </c>
      <c r="D817" s="2" t="str">
        <f>"DH"</f>
        <v>DH</v>
      </c>
      <c r="E817" s="2" t="str">
        <f>"Rubinez Alcara Lopes"</f>
        <v>Rubinez Alcara Lopes</v>
      </c>
      <c r="F817" s="2" t="str">
        <f>"48575331-1/1"</f>
        <v>48575331-1/1</v>
      </c>
      <c r="G817" s="2" t="str">
        <f>"Carteira 21"</f>
        <v>Carteira 21</v>
      </c>
      <c r="H817" s="2">
        <v>13</v>
      </c>
      <c r="I817" s="3">
        <v>89</v>
      </c>
      <c r="J817" s="2" t="str">
        <f>"02/01/2020"</f>
        <v>02/01/2020</v>
      </c>
      <c r="K817" s="2" t="str">
        <f>"15/01/2020"</f>
        <v>15/01/2020</v>
      </c>
      <c r="L817" s="2" t="str">
        <f>"06/02/2020"</f>
        <v>06/02/2020</v>
      </c>
      <c r="M817" s="2" t="str">
        <f>"07/02/2020"</f>
        <v>07/02/2020</v>
      </c>
      <c r="N817" s="2">
        <v>88.45</v>
      </c>
      <c r="O817" s="2">
        <v>90.86</v>
      </c>
      <c r="P817" s="2">
        <v>1.00000000000051E-2</v>
      </c>
    </row>
    <row r="818" spans="1:16" s="2" customFormat="1" x14ac:dyDescent="0.25">
      <c r="A818" s="2">
        <v>48583444</v>
      </c>
      <c r="B818" s="2">
        <v>48583451</v>
      </c>
      <c r="C818" s="2" t="str">
        <f>"UNIMEDSJN"</f>
        <v>UNIMEDSJN</v>
      </c>
      <c r="D818" s="2" t="str">
        <f>"DH"</f>
        <v>DH</v>
      </c>
      <c r="E818" s="2" t="str">
        <f>"SABRINA CARPANEZ VEIGA"</f>
        <v>SABRINA CARPANEZ VEIGA</v>
      </c>
      <c r="F818" s="2" t="str">
        <f>"48583444-1/1"</f>
        <v>48583444-1/1</v>
      </c>
      <c r="G818" s="2" t="str">
        <f>"Carteira 21"</f>
        <v>Carteira 21</v>
      </c>
      <c r="H818" s="2">
        <v>23</v>
      </c>
      <c r="I818" s="3">
        <v>79</v>
      </c>
      <c r="J818" s="2" t="str">
        <f>"02/01/2020"</f>
        <v>02/01/2020</v>
      </c>
      <c r="K818" s="2" t="str">
        <f>"25/01/2020"</f>
        <v>25/01/2020</v>
      </c>
      <c r="L818" s="2" t="str">
        <f>"03/02/2020"</f>
        <v>03/02/2020</v>
      </c>
      <c r="M818" s="2" t="str">
        <f>"04/02/2020"</f>
        <v>04/02/2020</v>
      </c>
      <c r="N818" s="2">
        <v>253.92</v>
      </c>
      <c r="O818" s="2">
        <v>259.58999999999997</v>
      </c>
      <c r="P818" s="2">
        <v>0.16999999999998699</v>
      </c>
    </row>
    <row r="819" spans="1:16" s="2" customFormat="1" x14ac:dyDescent="0.25">
      <c r="A819" s="2">
        <v>48586160</v>
      </c>
      <c r="B819" s="2">
        <v>48586170</v>
      </c>
      <c r="C819" s="2" t="str">
        <f>"UNIMEDSJN"</f>
        <v>UNIMEDSJN</v>
      </c>
      <c r="D819" s="2" t="str">
        <f>"DH"</f>
        <v>DH</v>
      </c>
      <c r="E819" s="2" t="str">
        <f>"Sabrine Pereira Machado"</f>
        <v>Sabrine Pereira Machado</v>
      </c>
      <c r="F819" s="2" t="str">
        <f>"48586160-1/1"</f>
        <v>48586160-1/1</v>
      </c>
      <c r="G819" s="2" t="str">
        <f>"Carteira 21"</f>
        <v>Carteira 21</v>
      </c>
      <c r="H819" s="2">
        <v>23</v>
      </c>
      <c r="I819" s="3">
        <v>79</v>
      </c>
      <c r="J819" s="2" t="str">
        <f>"02/01/2020"</f>
        <v>02/01/2020</v>
      </c>
      <c r="K819" s="2" t="str">
        <f>"25/01/2020"</f>
        <v>25/01/2020</v>
      </c>
      <c r="L819" s="2" t="str">
        <f>"02/03/2020"</f>
        <v>02/03/2020</v>
      </c>
      <c r="M819" s="2" t="str">
        <f>"03/03/2020"</f>
        <v>03/03/2020</v>
      </c>
      <c r="N819" s="2">
        <v>186.9</v>
      </c>
      <c r="O819" s="2">
        <v>192.8</v>
      </c>
      <c r="P819" s="2">
        <v>0.15000000000000599</v>
      </c>
    </row>
    <row r="820" spans="1:16" s="2" customFormat="1" x14ac:dyDescent="0.25">
      <c r="A820" s="2">
        <v>48579639</v>
      </c>
      <c r="B820" s="2">
        <v>48579647</v>
      </c>
      <c r="C820" s="2" t="str">
        <f>"UNIMEDSJN"</f>
        <v>UNIMEDSJN</v>
      </c>
      <c r="D820" s="2" t="str">
        <f>"DH"</f>
        <v>DH</v>
      </c>
      <c r="E820" s="2" t="str">
        <f>"SAMANTHA DA SILVA CRUZ"</f>
        <v>SAMANTHA DA SILVA CRUZ</v>
      </c>
      <c r="F820" s="2" t="str">
        <f>"48579639-1/1"</f>
        <v>48579639-1/1</v>
      </c>
      <c r="G820" s="2" t="str">
        <f>"Carteira 21"</f>
        <v>Carteira 21</v>
      </c>
      <c r="H820" s="2">
        <v>23</v>
      </c>
      <c r="I820" s="3">
        <v>79</v>
      </c>
      <c r="J820" s="2" t="str">
        <f>"02/01/2020"</f>
        <v>02/01/2020</v>
      </c>
      <c r="K820" s="2" t="str">
        <f>"25/01/2020"</f>
        <v>25/01/2020</v>
      </c>
      <c r="L820" s="2" t="str">
        <f>"17/02/2020"</f>
        <v>17/02/2020</v>
      </c>
      <c r="M820" s="2" t="str">
        <f>"18/02/2020"</f>
        <v>18/02/2020</v>
      </c>
      <c r="N820" s="2">
        <v>144.80000000000001</v>
      </c>
      <c r="O820" s="2">
        <v>148.69999999999999</v>
      </c>
      <c r="P820" s="2">
        <v>0.109999999999985</v>
      </c>
    </row>
    <row r="821" spans="1:16" s="2" customFormat="1" x14ac:dyDescent="0.25">
      <c r="A821" s="2">
        <v>48582127</v>
      </c>
      <c r="B821" s="2">
        <v>48582136</v>
      </c>
      <c r="C821" s="2" t="str">
        <f>"UNIMEDSJN"</f>
        <v>UNIMEDSJN</v>
      </c>
      <c r="D821" s="2" t="str">
        <f>"DH"</f>
        <v>DH</v>
      </c>
      <c r="E821" s="2" t="str">
        <f>"SARAH CRISTINA MATIAS ANASTACIO"</f>
        <v>SARAH CRISTINA MATIAS ANASTACIO</v>
      </c>
      <c r="F821" s="2" t="str">
        <f>"48582127-1/1"</f>
        <v>48582127-1/1</v>
      </c>
      <c r="G821" s="2" t="str">
        <f>"Carteira 21"</f>
        <v>Carteira 21</v>
      </c>
      <c r="H821" s="2">
        <v>23</v>
      </c>
      <c r="I821" s="3">
        <v>79</v>
      </c>
      <c r="J821" s="2" t="str">
        <f>"02/01/2020"</f>
        <v>02/01/2020</v>
      </c>
      <c r="K821" s="2" t="str">
        <f>"25/01/2020"</f>
        <v>25/01/2020</v>
      </c>
      <c r="L821" s="2" t="str">
        <f>"09/03/2020"</f>
        <v>09/03/2020</v>
      </c>
      <c r="M821" s="2" t="str">
        <f>"10/03/2020"</f>
        <v>10/03/2020</v>
      </c>
      <c r="N821" s="2">
        <v>349.03</v>
      </c>
      <c r="O821" s="2">
        <v>360.85</v>
      </c>
      <c r="P821" s="2">
        <v>0.28000000000003</v>
      </c>
    </row>
    <row r="822" spans="1:16" s="2" customFormat="1" x14ac:dyDescent="0.25">
      <c r="A822" s="2">
        <v>45453160</v>
      </c>
      <c r="B822" s="2">
        <v>45453167</v>
      </c>
      <c r="C822" s="2" t="str">
        <f>"UNIMEDSJN"</f>
        <v>UNIMEDSJN</v>
      </c>
      <c r="D822" s="2" t="str">
        <f>"DH"</f>
        <v>DH</v>
      </c>
      <c r="E822" s="2" t="str">
        <f>"SAVIO MOREIRA CESTARO"</f>
        <v>SAVIO MOREIRA CESTARO</v>
      </c>
      <c r="F822" s="2" t="str">
        <f>"45453160-1/1"</f>
        <v>45453160-1/1</v>
      </c>
      <c r="G822" s="2" t="str">
        <f>"Carteira 21"</f>
        <v>Carteira 21</v>
      </c>
      <c r="H822" s="2">
        <v>24</v>
      </c>
      <c r="I822" s="3">
        <v>171</v>
      </c>
      <c r="J822" s="2" t="str">
        <f>"01/10/2019"</f>
        <v>01/10/2019</v>
      </c>
      <c r="K822" s="2" t="str">
        <f>"25/10/2019"</f>
        <v>25/10/2019</v>
      </c>
      <c r="L822" s="2" t="str">
        <f>"25/10/2019"</f>
        <v>25/10/2019</v>
      </c>
      <c r="M822" s="2" t="str">
        <f>"27/09/2019"</f>
        <v>27/09/2019</v>
      </c>
      <c r="N822" s="2">
        <v>153.36000000000001</v>
      </c>
      <c r="O822" s="2">
        <v>153.36000000000001</v>
      </c>
      <c r="P822" s="2">
        <v>0</v>
      </c>
    </row>
    <row r="823" spans="1:16" s="2" customFormat="1" x14ac:dyDescent="0.25">
      <c r="A823" s="2">
        <v>45922216</v>
      </c>
      <c r="B823" s="2">
        <v>45922228</v>
      </c>
      <c r="C823" s="2" t="str">
        <f>"UNIMEDSJN"</f>
        <v>UNIMEDSJN</v>
      </c>
      <c r="D823" s="2" t="str">
        <f>"DH"</f>
        <v>DH</v>
      </c>
      <c r="E823" s="2" t="str">
        <f>"SAVIO MOREIRA CESTARO"</f>
        <v>SAVIO MOREIRA CESTARO</v>
      </c>
      <c r="F823" s="2" t="str">
        <f>"45922216-1/1"</f>
        <v>45922216-1/1</v>
      </c>
      <c r="G823" s="2" t="str">
        <f>"Carteira 21"</f>
        <v>Carteira 21</v>
      </c>
      <c r="H823" s="2">
        <v>24</v>
      </c>
      <c r="I823" s="3">
        <v>140</v>
      </c>
      <c r="J823" s="2" t="str">
        <f>"01/11/2019"</f>
        <v>01/11/2019</v>
      </c>
      <c r="K823" s="2" t="str">
        <f>"25/11/2019"</f>
        <v>25/11/2019</v>
      </c>
      <c r="L823" s="2" t="str">
        <f>"25/11/2019"</f>
        <v>25/11/2019</v>
      </c>
      <c r="M823" s="2" t="str">
        <f>"31/10/2019"</f>
        <v>31/10/2019</v>
      </c>
      <c r="N823" s="2">
        <v>153.36000000000001</v>
      </c>
      <c r="O823" s="2">
        <v>153.36000000000001</v>
      </c>
      <c r="P823" s="2">
        <v>0</v>
      </c>
    </row>
    <row r="824" spans="1:16" s="2" customFormat="1" x14ac:dyDescent="0.25">
      <c r="A824" s="2">
        <v>47500555</v>
      </c>
      <c r="B824" s="2">
        <v>47500581</v>
      </c>
      <c r="C824" s="2" t="str">
        <f>"UNIMEDSJN"</f>
        <v>UNIMEDSJN</v>
      </c>
      <c r="D824" s="2" t="str">
        <f>"DH"</f>
        <v>DH</v>
      </c>
      <c r="E824" s="2" t="str">
        <f>"SAVIO MOREIRA CESTARO"</f>
        <v>SAVIO MOREIRA CESTARO</v>
      </c>
      <c r="F824" s="2" t="str">
        <f>"47500555-1/1"</f>
        <v>47500555-1/1</v>
      </c>
      <c r="G824" s="2" t="str">
        <f>"Carteira 21"</f>
        <v>Carteira 21</v>
      </c>
      <c r="H824" s="2">
        <v>24</v>
      </c>
      <c r="I824" s="3">
        <v>110</v>
      </c>
      <c r="J824" s="2" t="str">
        <f>"01/12/2019"</f>
        <v>01/12/2019</v>
      </c>
      <c r="K824" s="2" t="str">
        <f>"25/12/2019"</f>
        <v>25/12/2019</v>
      </c>
      <c r="L824" s="2" t="str">
        <f>"25/12/2019"</f>
        <v>25/12/2019</v>
      </c>
      <c r="M824" s="2" t="str">
        <f>"28/11/2019"</f>
        <v>28/11/2019</v>
      </c>
      <c r="N824" s="2">
        <v>153.36000000000001</v>
      </c>
      <c r="O824" s="2">
        <v>153.36000000000001</v>
      </c>
      <c r="P824" s="2">
        <v>0</v>
      </c>
    </row>
    <row r="825" spans="1:16" s="2" customFormat="1" x14ac:dyDescent="0.25">
      <c r="A825" s="2">
        <v>48578282</v>
      </c>
      <c r="B825" s="2">
        <v>48578289</v>
      </c>
      <c r="C825" s="2" t="str">
        <f>"UNIMEDSJN"</f>
        <v>UNIMEDSJN</v>
      </c>
      <c r="D825" s="2" t="str">
        <f>"DH"</f>
        <v>DH</v>
      </c>
      <c r="E825" s="2" t="str">
        <f>"SAVIO MOREIRA CESTARO"</f>
        <v>SAVIO MOREIRA CESTARO</v>
      </c>
      <c r="F825" s="2" t="str">
        <f>"48578282-1/1"</f>
        <v>48578282-1/1</v>
      </c>
      <c r="G825" s="2" t="str">
        <f>"Carteira 21"</f>
        <v>Carteira 21</v>
      </c>
      <c r="H825" s="2">
        <v>23</v>
      </c>
      <c r="I825" s="3">
        <v>79</v>
      </c>
      <c r="J825" s="2" t="str">
        <f>"02/01/2020"</f>
        <v>02/01/2020</v>
      </c>
      <c r="K825" s="2" t="str">
        <f>"25/01/2020"</f>
        <v>25/01/2020</v>
      </c>
      <c r="L825" s="2" t="str">
        <f>"27/01/2020"</f>
        <v>27/01/2020</v>
      </c>
      <c r="M825" s="2" t="str">
        <f>"27/12/2019"</f>
        <v>27/12/2019</v>
      </c>
      <c r="N825" s="2">
        <v>153.36000000000001</v>
      </c>
      <c r="O825" s="2">
        <v>153.36000000000001</v>
      </c>
      <c r="P825" s="2">
        <v>0</v>
      </c>
    </row>
    <row r="826" spans="1:16" s="2" customFormat="1" x14ac:dyDescent="0.25">
      <c r="A826" s="2">
        <v>47505114</v>
      </c>
      <c r="B826" s="2">
        <v>47505119</v>
      </c>
      <c r="C826" s="2" t="str">
        <f>"UNIMEDSJN"</f>
        <v>UNIMEDSJN</v>
      </c>
      <c r="D826" s="2" t="str">
        <f>"DH"</f>
        <v>DH</v>
      </c>
      <c r="E826" s="2" t="str">
        <f>"Scarlett Guilhermino Alves"</f>
        <v>Scarlett Guilhermino Alves</v>
      </c>
      <c r="F826" s="2" t="str">
        <f>"47505114-1/1"</f>
        <v>47505114-1/1</v>
      </c>
      <c r="G826" s="2" t="str">
        <f>"Carteira 21"</f>
        <v>Carteira 21</v>
      </c>
      <c r="H826" s="2">
        <v>24</v>
      </c>
      <c r="I826" s="3">
        <v>110</v>
      </c>
      <c r="J826" s="2" t="str">
        <f>"01/12/2019"</f>
        <v>01/12/2019</v>
      </c>
      <c r="K826" s="2" t="str">
        <f>"25/12/2019"</f>
        <v>25/12/2019</v>
      </c>
      <c r="L826" s="2" t="str">
        <f>"03/02/2020"</f>
        <v>03/02/2020</v>
      </c>
      <c r="M826" s="2" t="str">
        <f>"04/02/2020"</f>
        <v>04/02/2020</v>
      </c>
      <c r="N826" s="2">
        <v>139.59</v>
      </c>
      <c r="O826" s="2">
        <v>144.22</v>
      </c>
      <c r="P826" s="2">
        <v>2.0000000000010201E-2</v>
      </c>
    </row>
    <row r="827" spans="1:16" s="2" customFormat="1" x14ac:dyDescent="0.25">
      <c r="A827" s="2">
        <v>48580544</v>
      </c>
      <c r="B827" s="2">
        <v>48580556</v>
      </c>
      <c r="C827" s="2" t="str">
        <f>"UNIMEDSJN"</f>
        <v>UNIMEDSJN</v>
      </c>
      <c r="D827" s="2" t="str">
        <f>"DH"</f>
        <v>DH</v>
      </c>
      <c r="E827" s="2" t="str">
        <f>"Scarlett Guilhermino Alves"</f>
        <v>Scarlett Guilhermino Alves</v>
      </c>
      <c r="F827" s="2" t="str">
        <f>"48580544-1/1"</f>
        <v>48580544-1/1</v>
      </c>
      <c r="G827" s="2" t="str">
        <f>"Carteira 21"</f>
        <v>Carteira 21</v>
      </c>
      <c r="H827" s="2">
        <v>23</v>
      </c>
      <c r="I827" s="3">
        <v>79</v>
      </c>
      <c r="J827" s="2" t="str">
        <f>"02/01/2020"</f>
        <v>02/01/2020</v>
      </c>
      <c r="K827" s="2" t="str">
        <f>"25/01/2020"</f>
        <v>25/01/2020</v>
      </c>
      <c r="L827" s="2" t="str">
        <f>"06/03/2020"</f>
        <v>06/03/2020</v>
      </c>
      <c r="M827" s="2" t="str">
        <f>"09/03/2020"</f>
        <v>09/03/2020</v>
      </c>
      <c r="N827" s="2">
        <v>139.59</v>
      </c>
      <c r="O827" s="2">
        <v>144.18</v>
      </c>
      <c r="P827" s="2">
        <v>0.109999999999985</v>
      </c>
    </row>
    <row r="828" spans="1:16" s="2" customFormat="1" x14ac:dyDescent="0.25">
      <c r="A828" s="2">
        <v>48585777</v>
      </c>
      <c r="B828" s="2">
        <v>48585782</v>
      </c>
      <c r="C828" s="2" t="str">
        <f>"UNIMEDSJN"</f>
        <v>UNIMEDSJN</v>
      </c>
      <c r="D828" s="2" t="str">
        <f>"DH"</f>
        <v>DH</v>
      </c>
      <c r="E828" s="2" t="str">
        <f>"Sebastiao Cesar Badaro dos Reis"</f>
        <v>Sebastiao Cesar Badaro dos Reis</v>
      </c>
      <c r="F828" s="2" t="str">
        <f>"48585777-1/1"</f>
        <v>48585777-1/1</v>
      </c>
      <c r="G828" s="2" t="str">
        <f>"Carteira 21"</f>
        <v>Carteira 21</v>
      </c>
      <c r="H828" s="2">
        <v>23</v>
      </c>
      <c r="I828" s="3">
        <v>79</v>
      </c>
      <c r="J828" s="2" t="str">
        <f>"02/01/2020"</f>
        <v>02/01/2020</v>
      </c>
      <c r="K828" s="2" t="str">
        <f>"25/01/2020"</f>
        <v>25/01/2020</v>
      </c>
      <c r="L828" s="2" t="str">
        <f>"13/02/2020"</f>
        <v>13/02/2020</v>
      </c>
      <c r="M828" s="2" t="str">
        <f>"14/02/2020"</f>
        <v>14/02/2020</v>
      </c>
      <c r="N828" s="2">
        <v>173.9</v>
      </c>
      <c r="O828" s="2">
        <v>178.35</v>
      </c>
      <c r="P828" s="2">
        <v>0.13000000000002401</v>
      </c>
    </row>
    <row r="829" spans="1:16" s="2" customFormat="1" x14ac:dyDescent="0.25">
      <c r="A829" s="2">
        <v>47495818</v>
      </c>
      <c r="B829" s="2">
        <v>47495856</v>
      </c>
      <c r="C829" s="2" t="str">
        <f>"UNIMEDSJN"</f>
        <v>UNIMEDSJN</v>
      </c>
      <c r="D829" s="2" t="str">
        <f>"DH"</f>
        <v>DH</v>
      </c>
      <c r="E829" s="2" t="str">
        <f>"SEBASTIAO DE ALMEIDA SALES"</f>
        <v>SEBASTIAO DE ALMEIDA SALES</v>
      </c>
      <c r="F829" s="2" t="str">
        <f>"47495818-1/1"</f>
        <v>47495818-1/1</v>
      </c>
      <c r="G829" s="2" t="str">
        <f>"Carteira 21"</f>
        <v>Carteira 21</v>
      </c>
      <c r="H829" s="2">
        <v>24</v>
      </c>
      <c r="I829" s="3">
        <v>110</v>
      </c>
      <c r="J829" s="2" t="str">
        <f>"01/12/2019"</f>
        <v>01/12/2019</v>
      </c>
      <c r="K829" s="2" t="str">
        <f>"25/12/2019"</f>
        <v>25/12/2019</v>
      </c>
      <c r="L829" s="2" t="str">
        <f>"12/03/2020"</f>
        <v>12/03/2020</v>
      </c>
      <c r="M829" s="2" t="str">
        <f>"13/03/2020"</f>
        <v>13/03/2020</v>
      </c>
      <c r="N829" s="2">
        <v>2974.28</v>
      </c>
      <c r="O829" s="2">
        <v>3110.32</v>
      </c>
      <c r="P829" s="2">
        <v>0.78000000000019998</v>
      </c>
    </row>
    <row r="830" spans="1:16" s="2" customFormat="1" x14ac:dyDescent="0.25">
      <c r="A830" s="2">
        <v>48571838</v>
      </c>
      <c r="B830" s="2">
        <v>48571854</v>
      </c>
      <c r="C830" s="2" t="str">
        <f>"UNIMEDSJN"</f>
        <v>UNIMEDSJN</v>
      </c>
      <c r="D830" s="2" t="str">
        <f>"DH"</f>
        <v>DH</v>
      </c>
      <c r="E830" s="2" t="str">
        <f>"SEBASTIAO DE ALMEIDA SALES"</f>
        <v>SEBASTIAO DE ALMEIDA SALES</v>
      </c>
      <c r="F830" s="2" t="str">
        <f>"48571838-1/1"</f>
        <v>48571838-1/1</v>
      </c>
      <c r="G830" s="2" t="str">
        <f>"Carteira 21"</f>
        <v>Carteira 21</v>
      </c>
      <c r="H830" s="2">
        <v>23</v>
      </c>
      <c r="I830" s="3">
        <v>79</v>
      </c>
      <c r="J830" s="2" t="str">
        <f>"02/01/2020"</f>
        <v>02/01/2020</v>
      </c>
      <c r="K830" s="2" t="str">
        <f>"25/01/2020"</f>
        <v>25/01/2020</v>
      </c>
      <c r="L830" s="2" t="str">
        <f>"13/03/2020"</f>
        <v>13/03/2020</v>
      </c>
      <c r="M830" s="2" t="str">
        <f>"16/03/2020"</f>
        <v>16/03/2020</v>
      </c>
      <c r="N830" s="2">
        <v>1487.14</v>
      </c>
      <c r="O830" s="2">
        <v>1539.46</v>
      </c>
      <c r="P830" s="2">
        <v>1.2100000000000399</v>
      </c>
    </row>
    <row r="831" spans="1:16" s="2" customFormat="1" x14ac:dyDescent="0.25">
      <c r="A831" s="2">
        <v>44956610</v>
      </c>
      <c r="B831" s="2">
        <v>44956615</v>
      </c>
      <c r="C831" s="2" t="str">
        <f>"UNIMEDSJN"</f>
        <v>UNIMEDSJN</v>
      </c>
      <c r="D831" s="2" t="str">
        <f>"DH"</f>
        <v>DH</v>
      </c>
      <c r="E831" s="2" t="str">
        <f>"Sebastiao Resende da Costa"</f>
        <v>Sebastiao Resende da Costa</v>
      </c>
      <c r="F831" s="2" t="str">
        <f>"44956610-1/1"</f>
        <v>44956610-1/1</v>
      </c>
      <c r="G831" s="2" t="str">
        <f>"Carteira 21"</f>
        <v>Carteira 21</v>
      </c>
      <c r="H831" s="2">
        <v>24</v>
      </c>
      <c r="I831" s="3">
        <v>201</v>
      </c>
      <c r="J831" s="2" t="str">
        <f>"01/09/2019"</f>
        <v>01/09/2019</v>
      </c>
      <c r="K831" s="2" t="str">
        <f>"25/09/2019"</f>
        <v>25/09/2019</v>
      </c>
      <c r="L831" s="2" t="str">
        <f>"28/02/2020"</f>
        <v>28/02/2020</v>
      </c>
      <c r="M831" s="2" t="str">
        <f>"13/03/2020"</f>
        <v>13/03/2020</v>
      </c>
      <c r="N831" s="2">
        <v>68.900000000000006</v>
      </c>
      <c r="O831" s="2">
        <v>73.83</v>
      </c>
      <c r="P831" s="2">
        <v>3.0000000000001099E-2</v>
      </c>
    </row>
    <row r="832" spans="1:16" s="2" customFormat="1" x14ac:dyDescent="0.25">
      <c r="A832" s="2">
        <v>47500363</v>
      </c>
      <c r="B832" s="2">
        <v>47500371</v>
      </c>
      <c r="C832" s="2" t="str">
        <f>"UNIMEDSJN"</f>
        <v>UNIMEDSJN</v>
      </c>
      <c r="D832" s="2" t="str">
        <f>"DH"</f>
        <v>DH</v>
      </c>
      <c r="E832" s="2" t="str">
        <f>"Sebastiao Resende da Costa"</f>
        <v>Sebastiao Resende da Costa</v>
      </c>
      <c r="F832" s="2" t="str">
        <f>"47500363-1/1"</f>
        <v>47500363-1/1</v>
      </c>
      <c r="G832" s="2" t="str">
        <f>"Carteira 21"</f>
        <v>Carteira 21</v>
      </c>
      <c r="H832" s="2">
        <v>24</v>
      </c>
      <c r="I832" s="3">
        <v>110</v>
      </c>
      <c r="J832" s="2" t="str">
        <f>"01/12/2019"</f>
        <v>01/12/2019</v>
      </c>
      <c r="K832" s="2" t="str">
        <f>"25/12/2019"</f>
        <v>25/12/2019</v>
      </c>
      <c r="L832" s="2" t="str">
        <f>"28/02/2020"</f>
        <v>28/02/2020</v>
      </c>
      <c r="M832" s="2" t="str">
        <f>"13/03/2020"</f>
        <v>13/03/2020</v>
      </c>
      <c r="N832" s="2">
        <v>68.900000000000006</v>
      </c>
      <c r="O832" s="2">
        <v>71.760000000000005</v>
      </c>
      <c r="P832" s="2">
        <v>1.00000000000051E-2</v>
      </c>
    </row>
    <row r="833" spans="1:16" s="2" customFormat="1" x14ac:dyDescent="0.25">
      <c r="A833" s="2">
        <v>48574701</v>
      </c>
      <c r="B833" s="2">
        <v>48574714</v>
      </c>
      <c r="C833" s="2" t="str">
        <f>"UNIMEDSJN"</f>
        <v>UNIMEDSJN</v>
      </c>
      <c r="D833" s="2" t="str">
        <f>"DH"</f>
        <v>DH</v>
      </c>
      <c r="E833" s="2" t="str">
        <f>"Sebastiao Resende da Costa"</f>
        <v>Sebastiao Resende da Costa</v>
      </c>
      <c r="F833" s="2" t="str">
        <f>"48574701-1/1"</f>
        <v>48574701-1/1</v>
      </c>
      <c r="G833" s="2" t="str">
        <f>"Carteira 21"</f>
        <v>Carteira 21</v>
      </c>
      <c r="H833" s="2">
        <v>23</v>
      </c>
      <c r="I833" s="3">
        <v>79</v>
      </c>
      <c r="J833" s="2" t="str">
        <f>"02/01/2020"</f>
        <v>02/01/2020</v>
      </c>
      <c r="K833" s="2" t="str">
        <f>"25/01/2020"</f>
        <v>25/01/2020</v>
      </c>
      <c r="L833" s="2" t="str">
        <f>"27/01/2020"</f>
        <v>27/01/2020</v>
      </c>
      <c r="M833" s="2" t="str">
        <f>"27/12/2019"</f>
        <v>27/12/2019</v>
      </c>
      <c r="N833" s="2">
        <v>73.959999999999994</v>
      </c>
      <c r="O833" s="2">
        <v>73.959999999999994</v>
      </c>
      <c r="P833" s="2">
        <v>0</v>
      </c>
    </row>
    <row r="834" spans="1:16" s="2" customFormat="1" x14ac:dyDescent="0.25">
      <c r="A834" s="2">
        <v>48578218</v>
      </c>
      <c r="B834" s="2">
        <v>48578230</v>
      </c>
      <c r="C834" s="2" t="str">
        <f>"UNIMEDSJN"</f>
        <v>UNIMEDSJN</v>
      </c>
      <c r="D834" s="2" t="str">
        <f>"DH"</f>
        <v>DH</v>
      </c>
      <c r="E834" s="2" t="str">
        <f>"SHEILA CRISTINA MOUTI"</f>
        <v>SHEILA CRISTINA MOUTI</v>
      </c>
      <c r="F834" s="2" t="str">
        <f>"48578218-1/1"</f>
        <v>48578218-1/1</v>
      </c>
      <c r="G834" s="2" t="str">
        <f>"Carteira 21"</f>
        <v>Carteira 21</v>
      </c>
      <c r="H834" s="2">
        <v>23</v>
      </c>
      <c r="I834" s="3">
        <v>79</v>
      </c>
      <c r="J834" s="2" t="str">
        <f>"02/01/2020"</f>
        <v>02/01/2020</v>
      </c>
      <c r="K834" s="2" t="str">
        <f>"25/01/2020"</f>
        <v>25/01/2020</v>
      </c>
      <c r="L834" s="2" t="str">
        <f>"26/02/2020"</f>
        <v>26/02/2020</v>
      </c>
      <c r="M834" s="2" t="str">
        <f>"27/02/2020"</f>
        <v>27/02/2020</v>
      </c>
      <c r="N834" s="2">
        <v>296.37</v>
      </c>
      <c r="O834" s="2">
        <v>305.22000000000003</v>
      </c>
      <c r="P834" s="2">
        <v>0.239999999999952</v>
      </c>
    </row>
    <row r="835" spans="1:16" s="2" customFormat="1" x14ac:dyDescent="0.25">
      <c r="A835" s="2">
        <v>48578245</v>
      </c>
      <c r="B835" s="2">
        <v>48578254</v>
      </c>
      <c r="C835" s="2" t="str">
        <f>"UNIMEDSJN"</f>
        <v>UNIMEDSJN</v>
      </c>
      <c r="D835" s="2" t="str">
        <f>"DH"</f>
        <v>DH</v>
      </c>
      <c r="E835" s="2" t="str">
        <f>"SHEILA CRISTINA MOUTI"</f>
        <v>SHEILA CRISTINA MOUTI</v>
      </c>
      <c r="F835" s="2" t="str">
        <f>"48578245-1/1"</f>
        <v>48578245-1/1</v>
      </c>
      <c r="G835" s="2" t="str">
        <f>"Carteira 21"</f>
        <v>Carteira 21</v>
      </c>
      <c r="H835" s="2">
        <v>23</v>
      </c>
      <c r="I835" s="3">
        <v>79</v>
      </c>
      <c r="J835" s="2" t="str">
        <f>"02/01/2020"</f>
        <v>02/01/2020</v>
      </c>
      <c r="K835" s="2" t="str">
        <f>"25/01/2020"</f>
        <v>25/01/2020</v>
      </c>
      <c r="L835" s="2" t="str">
        <f>"26/02/2020"</f>
        <v>26/02/2020</v>
      </c>
      <c r="M835" s="2" t="str">
        <f>"27/02/2020"</f>
        <v>27/02/2020</v>
      </c>
      <c r="N835" s="2">
        <v>139.9</v>
      </c>
      <c r="O835" s="2">
        <v>144.09</v>
      </c>
      <c r="P835" s="2">
        <v>9.9999999999994302E-2</v>
      </c>
    </row>
    <row r="836" spans="1:16" s="2" customFormat="1" x14ac:dyDescent="0.25">
      <c r="A836" s="2">
        <v>43569895</v>
      </c>
      <c r="B836" s="2">
        <v>43569900</v>
      </c>
      <c r="C836" s="2" t="str">
        <f>"UNIMEDSJN"</f>
        <v>UNIMEDSJN</v>
      </c>
      <c r="D836" s="2" t="str">
        <f>"DH"</f>
        <v>DH</v>
      </c>
      <c r="E836" s="2" t="str">
        <f>"SHEILA TEIXEIRA DA SILVA MEDEIROS"</f>
        <v>SHEILA TEIXEIRA DA SILVA MEDEIROS</v>
      </c>
      <c r="F836" s="2" t="str">
        <f>"43569895-1/1"</f>
        <v>43569895-1/1</v>
      </c>
      <c r="G836" s="2" t="str">
        <f>"Carteira 21"</f>
        <v>Carteira 21</v>
      </c>
      <c r="H836" s="2">
        <v>22</v>
      </c>
      <c r="I836" s="3">
        <v>293</v>
      </c>
      <c r="J836" s="2" t="str">
        <f>"03/06/2019"</f>
        <v>03/06/2019</v>
      </c>
      <c r="K836" s="2" t="str">
        <f>"25/06/2019"</f>
        <v>25/06/2019</v>
      </c>
      <c r="L836" s="2" t="str">
        <f>"25/06/2019"</f>
        <v>25/06/2019</v>
      </c>
      <c r="M836" s="2" t="str">
        <f>"03/06/2019"</f>
        <v>03/06/2019</v>
      </c>
      <c r="N836" s="2">
        <v>290.25</v>
      </c>
      <c r="O836" s="2">
        <v>290.25</v>
      </c>
      <c r="P836" s="2">
        <v>0</v>
      </c>
    </row>
    <row r="837" spans="1:16" s="2" customFormat="1" x14ac:dyDescent="0.25">
      <c r="A837" s="2">
        <v>48583625</v>
      </c>
      <c r="B837" s="2">
        <v>48583632</v>
      </c>
      <c r="C837" s="2" t="str">
        <f>"UNIMEDSJN"</f>
        <v>UNIMEDSJN</v>
      </c>
      <c r="D837" s="2" t="str">
        <f>"DH"</f>
        <v>DH</v>
      </c>
      <c r="E837" s="2" t="str">
        <f>"Silmara Aparecida dos Reis Barbosa"</f>
        <v>Silmara Aparecida dos Reis Barbosa</v>
      </c>
      <c r="F837" s="2" t="str">
        <f>"48583625-1/1"</f>
        <v>48583625-1/1</v>
      </c>
      <c r="G837" s="2" t="str">
        <f>"Carteira 21"</f>
        <v>Carteira 21</v>
      </c>
      <c r="H837" s="2">
        <v>23</v>
      </c>
      <c r="I837" s="3">
        <v>79</v>
      </c>
      <c r="J837" s="2" t="str">
        <f>"02/01/2020"</f>
        <v>02/01/2020</v>
      </c>
      <c r="K837" s="2" t="str">
        <f>"25/01/2020"</f>
        <v>25/01/2020</v>
      </c>
      <c r="L837" s="2" t="str">
        <f>"05/02/2020"</f>
        <v>05/02/2020</v>
      </c>
      <c r="M837" s="2" t="str">
        <f>"06/02/2020"</f>
        <v>06/02/2020</v>
      </c>
      <c r="N837" s="2">
        <v>132.91</v>
      </c>
      <c r="O837" s="2">
        <v>135.96</v>
      </c>
      <c r="P837" s="2">
        <v>9.9999999999994302E-2</v>
      </c>
    </row>
    <row r="838" spans="1:16" s="2" customFormat="1" x14ac:dyDescent="0.25">
      <c r="A838" s="2">
        <v>45910416</v>
      </c>
      <c r="B838" s="2">
        <v>45910423</v>
      </c>
      <c r="C838" s="2" t="str">
        <f>"UNIMEDSJN"</f>
        <v>UNIMEDSJN</v>
      </c>
      <c r="D838" s="2" t="str">
        <f>"DH"</f>
        <v>DH</v>
      </c>
      <c r="E838" s="2" t="str">
        <f>"Silvia Elena Matos de Almeida"</f>
        <v>Silvia Elena Matos de Almeida</v>
      </c>
      <c r="F838" s="2" t="str">
        <f>"45910416-1/1"</f>
        <v>45910416-1/1</v>
      </c>
      <c r="G838" s="2" t="str">
        <f>"Carteira 21"</f>
        <v>Carteira 21</v>
      </c>
      <c r="H838" s="2">
        <v>24</v>
      </c>
      <c r="I838" s="3">
        <v>140</v>
      </c>
      <c r="J838" s="2" t="str">
        <f>"01/11/2019"</f>
        <v>01/11/2019</v>
      </c>
      <c r="K838" s="2" t="str">
        <f>"25/11/2019"</f>
        <v>25/11/2019</v>
      </c>
      <c r="L838" s="2" t="str">
        <f>"13/02/2020"</f>
        <v>13/02/2020</v>
      </c>
      <c r="M838" s="2" t="str">
        <f>"14/02/2020"</f>
        <v>14/02/2020</v>
      </c>
      <c r="N838" s="2">
        <v>521.35</v>
      </c>
      <c r="O838" s="2">
        <v>545.54999999999995</v>
      </c>
      <c r="P838" s="2">
        <v>0.130000000000109</v>
      </c>
    </row>
    <row r="839" spans="1:16" s="2" customFormat="1" x14ac:dyDescent="0.25">
      <c r="A839" s="2">
        <v>47510423</v>
      </c>
      <c r="B839" s="2">
        <v>47510430</v>
      </c>
      <c r="C839" s="2" t="str">
        <f>"UNIMEDSJN"</f>
        <v>UNIMEDSJN</v>
      </c>
      <c r="D839" s="2" t="str">
        <f>"DH"</f>
        <v>DH</v>
      </c>
      <c r="E839" s="2" t="str">
        <f>"Silvia Elena Matos de Almeida"</f>
        <v>Silvia Elena Matos de Almeida</v>
      </c>
      <c r="F839" s="2" t="str">
        <f>"47510423-1/1"</f>
        <v>47510423-1/1</v>
      </c>
      <c r="G839" s="2" t="str">
        <f>"Carteira 21"</f>
        <v>Carteira 21</v>
      </c>
      <c r="H839" s="2">
        <v>24</v>
      </c>
      <c r="I839" s="3">
        <v>110</v>
      </c>
      <c r="J839" s="2" t="str">
        <f>"01/12/2019"</f>
        <v>01/12/2019</v>
      </c>
      <c r="K839" s="2" t="str">
        <f>"25/12/2019"</f>
        <v>25/12/2019</v>
      </c>
      <c r="L839" s="2" t="str">
        <f>"27/02/2020"</f>
        <v>27/02/2020</v>
      </c>
      <c r="M839" s="2" t="str">
        <f>"28/02/2020"</f>
        <v>28/02/2020</v>
      </c>
      <c r="N839" s="2">
        <v>521.35</v>
      </c>
      <c r="O839" s="2">
        <v>542.79999999999995</v>
      </c>
      <c r="P839" s="2">
        <v>0.100000000000023</v>
      </c>
    </row>
    <row r="840" spans="1:16" s="2" customFormat="1" x14ac:dyDescent="0.25">
      <c r="A840" s="2">
        <v>48583987</v>
      </c>
      <c r="B840" s="2">
        <v>48583994</v>
      </c>
      <c r="C840" s="2" t="str">
        <f>"UNIMEDSJN"</f>
        <v>UNIMEDSJN</v>
      </c>
      <c r="D840" s="2" t="str">
        <f>"DH"</f>
        <v>DH</v>
      </c>
      <c r="E840" s="2" t="str">
        <f>"Silvia Elena Matos de Almeida"</f>
        <v>Silvia Elena Matos de Almeida</v>
      </c>
      <c r="F840" s="2" t="str">
        <f>"48583987-1/1"</f>
        <v>48583987-1/1</v>
      </c>
      <c r="G840" s="2" t="str">
        <f>"Carteira 21"</f>
        <v>Carteira 21</v>
      </c>
      <c r="H840" s="2">
        <v>23</v>
      </c>
      <c r="I840" s="3">
        <v>79</v>
      </c>
      <c r="J840" s="2" t="str">
        <f>"02/01/2020"</f>
        <v>02/01/2020</v>
      </c>
      <c r="K840" s="2" t="str">
        <f>"25/01/2020"</f>
        <v>25/01/2020</v>
      </c>
      <c r="L840" s="2" t="str">
        <f>"27/03/2020"</f>
        <v>27/03/2020</v>
      </c>
      <c r="M840" s="2" t="str">
        <f>"30/03/2020"</f>
        <v>30/03/2020</v>
      </c>
      <c r="N840" s="2">
        <v>521.35</v>
      </c>
      <c r="O840" s="2">
        <v>542.1</v>
      </c>
      <c r="P840" s="2">
        <v>0.45000000000004597</v>
      </c>
    </row>
    <row r="841" spans="1:16" s="2" customFormat="1" x14ac:dyDescent="0.25">
      <c r="A841" s="2">
        <v>48584232</v>
      </c>
      <c r="B841" s="2">
        <v>48584237</v>
      </c>
      <c r="C841" s="2" t="str">
        <f>"UNIMEDSJN"</f>
        <v>UNIMEDSJN</v>
      </c>
      <c r="D841" s="2" t="str">
        <f>"DH"</f>
        <v>DH</v>
      </c>
      <c r="E841" s="2" t="str">
        <f>"SIMONE BARBOSA CAJAIBA"</f>
        <v>SIMONE BARBOSA CAJAIBA</v>
      </c>
      <c r="F841" s="2" t="str">
        <f>"48584232-1/1"</f>
        <v>48584232-1/1</v>
      </c>
      <c r="G841" s="2" t="str">
        <f>"Carteira 21"</f>
        <v>Carteira 21</v>
      </c>
      <c r="H841" s="2">
        <v>23</v>
      </c>
      <c r="I841" s="3">
        <v>79</v>
      </c>
      <c r="J841" s="2" t="str">
        <f>"02/01/2020"</f>
        <v>02/01/2020</v>
      </c>
      <c r="K841" s="2" t="str">
        <f>"25/01/2020"</f>
        <v>25/01/2020</v>
      </c>
      <c r="L841" s="2" t="str">
        <f>"16/03/2020"</f>
        <v>16/03/2020</v>
      </c>
      <c r="M841" s="2" t="str">
        <f>"17/03/2020"</f>
        <v>17/03/2020</v>
      </c>
      <c r="N841" s="2">
        <v>465.17</v>
      </c>
      <c r="O841" s="2">
        <v>481.99</v>
      </c>
      <c r="P841" s="2">
        <v>0.38999999999998602</v>
      </c>
    </row>
    <row r="842" spans="1:16" s="2" customFormat="1" x14ac:dyDescent="0.25">
      <c r="A842" s="2">
        <v>48576737</v>
      </c>
      <c r="B842" s="2">
        <v>48576783</v>
      </c>
      <c r="C842" s="2" t="str">
        <f>"UNIMEDSJN"</f>
        <v>UNIMEDSJN</v>
      </c>
      <c r="D842" s="2" t="str">
        <f>"DH"</f>
        <v>DH</v>
      </c>
      <c r="E842" s="2" t="str">
        <f>"SIMONE BARBOSA DE OLIVEIRA"</f>
        <v>SIMONE BARBOSA DE OLIVEIRA</v>
      </c>
      <c r="F842" s="2" t="str">
        <f>"48576737-1/1"</f>
        <v>48576737-1/1</v>
      </c>
      <c r="G842" s="2" t="str">
        <f>"Carteira 21"</f>
        <v>Carteira 21</v>
      </c>
      <c r="H842" s="2">
        <v>23</v>
      </c>
      <c r="I842" s="3">
        <v>79</v>
      </c>
      <c r="J842" s="2" t="str">
        <f>"02/01/2020"</f>
        <v>02/01/2020</v>
      </c>
      <c r="K842" s="2" t="str">
        <f>"25/01/2020"</f>
        <v>25/01/2020</v>
      </c>
      <c r="L842" s="2" t="str">
        <f>"18/02/2020"</f>
        <v>18/02/2020</v>
      </c>
      <c r="M842" s="2" t="str">
        <f>"19/02/2020"</f>
        <v>19/02/2020</v>
      </c>
      <c r="N842" s="2">
        <v>806.1</v>
      </c>
      <c r="O842" s="2">
        <v>828.08</v>
      </c>
      <c r="P842" s="2">
        <v>0.59000000000003205</v>
      </c>
    </row>
    <row r="843" spans="1:16" s="2" customFormat="1" x14ac:dyDescent="0.25">
      <c r="A843" s="2">
        <v>45914310</v>
      </c>
      <c r="B843" s="2">
        <v>45914333</v>
      </c>
      <c r="C843" s="2" t="str">
        <f>"UNIMEDSJN"</f>
        <v>UNIMEDSJN</v>
      </c>
      <c r="D843" s="2" t="str">
        <f>"DH"</f>
        <v>DH</v>
      </c>
      <c r="E843" s="2" t="str">
        <f>"Simone Carvalho de Rezende Bissoli"</f>
        <v>Simone Carvalho de Rezende Bissoli</v>
      </c>
      <c r="F843" s="2" t="str">
        <f>"45914310-1/1"</f>
        <v>45914310-1/1</v>
      </c>
      <c r="G843" s="2" t="str">
        <f>"Carteira 21"</f>
        <v>Carteira 21</v>
      </c>
      <c r="H843" s="2">
        <v>54</v>
      </c>
      <c r="I843" s="3">
        <v>110</v>
      </c>
      <c r="J843" s="2" t="str">
        <f>"01/11/2019"</f>
        <v>01/11/2019</v>
      </c>
      <c r="K843" s="2" t="str">
        <f>"25/12/2019"</f>
        <v>25/12/2019</v>
      </c>
      <c r="L843" s="2" t="str">
        <f>"21/02/2020"</f>
        <v>21/02/2020</v>
      </c>
      <c r="M843" s="2" t="str">
        <f>"24/02/2020"</f>
        <v>24/02/2020</v>
      </c>
      <c r="N843" s="2">
        <v>198.31</v>
      </c>
      <c r="O843" s="2">
        <v>208.04</v>
      </c>
      <c r="P843" s="2">
        <v>-1.92999999999998</v>
      </c>
    </row>
    <row r="844" spans="1:16" s="2" customFormat="1" x14ac:dyDescent="0.25">
      <c r="A844" s="2">
        <v>47510547</v>
      </c>
      <c r="B844" s="2">
        <v>47510554</v>
      </c>
      <c r="C844" s="2" t="str">
        <f>"UNIMEDSJN"</f>
        <v>UNIMEDSJN</v>
      </c>
      <c r="D844" s="2" t="str">
        <f>"DH"</f>
        <v>DH</v>
      </c>
      <c r="E844" s="2" t="str">
        <f>"Simone Carvalho de Rezende Bissoli"</f>
        <v>Simone Carvalho de Rezende Bissoli</v>
      </c>
      <c r="F844" s="2" t="str">
        <f>"47510547-1/1"</f>
        <v>47510547-1/1</v>
      </c>
      <c r="G844" s="2" t="str">
        <f>"Carteira 21"</f>
        <v>Carteira 21</v>
      </c>
      <c r="H844" s="2">
        <v>54</v>
      </c>
      <c r="I844" s="3">
        <v>80</v>
      </c>
      <c r="J844" s="2" t="str">
        <f>"01/12/2019"</f>
        <v>01/12/2019</v>
      </c>
      <c r="K844" s="2" t="str">
        <f>"24/01/2020"</f>
        <v>24/01/2020</v>
      </c>
      <c r="L844" s="2" t="str">
        <f>"05/03/2020"</f>
        <v>05/03/2020</v>
      </c>
      <c r="M844" s="2" t="str">
        <f>"06/03/2020"</f>
        <v>06/03/2020</v>
      </c>
      <c r="N844" s="2">
        <v>198.31</v>
      </c>
      <c r="O844" s="2">
        <v>206.93</v>
      </c>
      <c r="P844" s="2">
        <v>-1.94</v>
      </c>
    </row>
    <row r="845" spans="1:16" x14ac:dyDescent="0.25">
      <c r="A845">
        <v>48584506</v>
      </c>
      <c r="B845">
        <v>48584513</v>
      </c>
      <c r="C845" t="str">
        <f>"UNIMEDSJN"</f>
        <v>UNIMEDSJN</v>
      </c>
      <c r="D845" t="str">
        <f>"DH"</f>
        <v>DH</v>
      </c>
      <c r="E845" t="str">
        <f>"Simone Carvalho de Rezende Bissoli"</f>
        <v>Simone Carvalho de Rezende Bissoli</v>
      </c>
      <c r="F845" t="str">
        <f>"48584506-1/1"</f>
        <v>48584506-1/1</v>
      </c>
      <c r="G845" t="str">
        <f>"Carteira 21"</f>
        <v>Carteira 21</v>
      </c>
      <c r="H845">
        <v>53</v>
      </c>
      <c r="I845" s="1">
        <v>49</v>
      </c>
      <c r="J845" t="str">
        <f>"02/01/2020"</f>
        <v>02/01/2020</v>
      </c>
      <c r="K845" t="str">
        <f>"24/02/2020"</f>
        <v>24/02/2020</v>
      </c>
      <c r="L845" t="str">
        <f>"07/04/2020"</f>
        <v>07/04/2020</v>
      </c>
      <c r="M845" t="str">
        <f>"08/04/2020"</f>
        <v>08/04/2020</v>
      </c>
      <c r="N845">
        <v>198.31</v>
      </c>
      <c r="O845">
        <v>206.91</v>
      </c>
      <c r="P845">
        <v>-1.78999999999999</v>
      </c>
    </row>
    <row r="846" spans="1:16" s="2" customFormat="1" x14ac:dyDescent="0.25">
      <c r="A846" s="2">
        <v>45649888</v>
      </c>
      <c r="B846" s="2">
        <v>45649920</v>
      </c>
      <c r="C846" s="2" t="str">
        <f>"UNIMEDSJN"</f>
        <v>UNIMEDSJN</v>
      </c>
      <c r="D846" s="2" t="str">
        <f>"DH"</f>
        <v>DH</v>
      </c>
      <c r="E846" s="2" t="str">
        <f>"SIMONE LADEIRA TOSTES CUNHA"</f>
        <v>SIMONE LADEIRA TOSTES CUNHA</v>
      </c>
      <c r="F846" s="2" t="str">
        <f>"45649888-1/1"</f>
        <v>45649888-1/1</v>
      </c>
      <c r="G846" s="2" t="str">
        <f>"Carteira 21"</f>
        <v>Carteira 21</v>
      </c>
      <c r="H846" s="2">
        <v>14</v>
      </c>
      <c r="I846" s="3">
        <v>150</v>
      </c>
      <c r="J846" s="2" t="str">
        <f>"01/11/2019"</f>
        <v>01/11/2019</v>
      </c>
      <c r="K846" s="2" t="str">
        <f>"15/11/2019"</f>
        <v>15/11/2019</v>
      </c>
      <c r="L846" s="2" t="str">
        <f>"28/02/2020"</f>
        <v>28/02/2020</v>
      </c>
      <c r="M846" s="2" t="str">
        <f>"13/03/2020"</f>
        <v>13/03/2020</v>
      </c>
      <c r="N846" s="2">
        <v>577.92999999999995</v>
      </c>
      <c r="O846" s="2">
        <v>609.52</v>
      </c>
      <c r="P846" s="2">
        <v>0.200000000000045</v>
      </c>
    </row>
    <row r="847" spans="1:16" s="2" customFormat="1" x14ac:dyDescent="0.25">
      <c r="A847" s="2">
        <v>47459922</v>
      </c>
      <c r="B847" s="2">
        <v>47459932</v>
      </c>
      <c r="C847" s="2" t="str">
        <f>"UNIMEDSJN"</f>
        <v>UNIMEDSJN</v>
      </c>
      <c r="D847" s="2" t="str">
        <f>"DH"</f>
        <v>DH</v>
      </c>
      <c r="E847" s="2" t="str">
        <f>"SIMONE LADEIRA TOSTES CUNHA"</f>
        <v>SIMONE LADEIRA TOSTES CUNHA</v>
      </c>
      <c r="F847" s="2" t="str">
        <f>"47459922-1/1"</f>
        <v>47459922-1/1</v>
      </c>
      <c r="G847" s="2" t="str">
        <f>"Carteira 21"</f>
        <v>Carteira 21</v>
      </c>
      <c r="H847" s="2">
        <v>14</v>
      </c>
      <c r="I847" s="3">
        <v>120</v>
      </c>
      <c r="J847" s="2" t="str">
        <f>"01/12/2019"</f>
        <v>01/12/2019</v>
      </c>
      <c r="K847" s="2" t="str">
        <f>"15/12/2019"</f>
        <v>15/12/2019</v>
      </c>
      <c r="L847" s="2" t="str">
        <f>"02/03/2020"</f>
        <v>02/03/2020</v>
      </c>
      <c r="M847" s="2" t="str">
        <f>"03/03/2020"</f>
        <v>03/03/2020</v>
      </c>
      <c r="N847" s="2">
        <v>577.92999999999995</v>
      </c>
      <c r="O847" s="2">
        <v>604.16999999999996</v>
      </c>
      <c r="P847" s="2">
        <v>0.35000000000013598</v>
      </c>
    </row>
    <row r="848" spans="1:16" s="2" customFormat="1" x14ac:dyDescent="0.25">
      <c r="A848" s="2">
        <v>47459938</v>
      </c>
      <c r="B848" s="2">
        <v>47459950</v>
      </c>
      <c r="C848" s="2" t="str">
        <f>"UNIMEDSJN"</f>
        <v>UNIMEDSJN</v>
      </c>
      <c r="D848" s="2" t="str">
        <f>"DH"</f>
        <v>DH</v>
      </c>
      <c r="E848" s="2" t="str">
        <f>"SIMONE LADEIRA TOSTES CUNHA"</f>
        <v>SIMONE LADEIRA TOSTES CUNHA</v>
      </c>
      <c r="F848" s="2" t="str">
        <f>"47459938-1/1"</f>
        <v>47459938-1/1</v>
      </c>
      <c r="G848" s="2" t="str">
        <f>"Carteira 21"</f>
        <v>Carteira 21</v>
      </c>
      <c r="H848" s="2">
        <v>24</v>
      </c>
      <c r="I848" s="3">
        <v>110</v>
      </c>
      <c r="J848" s="2" t="str">
        <f>"01/12/2019"</f>
        <v>01/12/2019</v>
      </c>
      <c r="K848" s="2" t="str">
        <f>"25/12/2019"</f>
        <v>25/12/2019</v>
      </c>
      <c r="L848" s="2" t="str">
        <f>"17/03/2020"</f>
        <v>17/03/2020</v>
      </c>
      <c r="M848" s="2" t="str">
        <f>"18/03/2020"</f>
        <v>18/03/2020</v>
      </c>
      <c r="N848" s="2">
        <v>220.02</v>
      </c>
      <c r="O848" s="2">
        <v>230.45</v>
      </c>
      <c r="P848" s="2">
        <v>6.0000000000002301E-2</v>
      </c>
    </row>
    <row r="849" spans="1:16" s="2" customFormat="1" x14ac:dyDescent="0.25">
      <c r="A849" s="2">
        <v>48563912</v>
      </c>
      <c r="B849" s="2">
        <v>48563919</v>
      </c>
      <c r="C849" s="2" t="str">
        <f>"UNIMEDSJN"</f>
        <v>UNIMEDSJN</v>
      </c>
      <c r="D849" s="2" t="str">
        <f>"DH"</f>
        <v>DH</v>
      </c>
      <c r="E849" s="2" t="str">
        <f>"SIMONE LADEIRA TOSTES CUNHA"</f>
        <v>SIMONE LADEIRA TOSTES CUNHA</v>
      </c>
      <c r="F849" s="2" t="str">
        <f>"48563912-1/1"</f>
        <v>48563912-1/1</v>
      </c>
      <c r="G849" s="2" t="str">
        <f>"Carteira 21"</f>
        <v>Carteira 21</v>
      </c>
      <c r="H849" s="2">
        <v>13</v>
      </c>
      <c r="I849" s="3">
        <v>89</v>
      </c>
      <c r="J849" s="2" t="str">
        <f>"02/01/2020"</f>
        <v>02/01/2020</v>
      </c>
      <c r="K849" s="2" t="str">
        <f>"15/01/2020"</f>
        <v>15/01/2020</v>
      </c>
      <c r="L849" s="2" t="str">
        <f>"15/01/2020"</f>
        <v>15/01/2020</v>
      </c>
      <c r="M849" s="2" t="str">
        <f>"27/12/2019"</f>
        <v>27/12/2019</v>
      </c>
      <c r="N849" s="2">
        <v>577.92999999999995</v>
      </c>
      <c r="O849" s="2">
        <v>577.92999999999995</v>
      </c>
      <c r="P849" s="2">
        <v>0</v>
      </c>
    </row>
    <row r="850" spans="1:16" s="2" customFormat="1" x14ac:dyDescent="0.25">
      <c r="A850" s="2">
        <v>48563926</v>
      </c>
      <c r="B850" s="2">
        <v>48563933</v>
      </c>
      <c r="C850" s="2" t="str">
        <f>"UNIMEDSJN"</f>
        <v>UNIMEDSJN</v>
      </c>
      <c r="D850" s="2" t="str">
        <f>"DH"</f>
        <v>DH</v>
      </c>
      <c r="E850" s="2" t="str">
        <f>"SIMONE LADEIRA TOSTES CUNHA"</f>
        <v>SIMONE LADEIRA TOSTES CUNHA</v>
      </c>
      <c r="F850" s="2" t="str">
        <f>"48563926-1/1"</f>
        <v>48563926-1/1</v>
      </c>
      <c r="G850" s="2" t="str">
        <f>"Carteira 21"</f>
        <v>Carteira 21</v>
      </c>
      <c r="H850" s="2">
        <v>23</v>
      </c>
      <c r="I850" s="3">
        <v>79</v>
      </c>
      <c r="J850" s="2" t="str">
        <f>"02/01/2020"</f>
        <v>02/01/2020</v>
      </c>
      <c r="K850" s="2" t="str">
        <f>"25/01/2020"</f>
        <v>25/01/2020</v>
      </c>
      <c r="L850" s="2" t="str">
        <f>"02/03/2020"</f>
        <v>02/03/2020</v>
      </c>
      <c r="M850" s="2" t="str">
        <f>"03/03/2020"</f>
        <v>03/03/2020</v>
      </c>
      <c r="N850" s="2">
        <v>220.02</v>
      </c>
      <c r="O850" s="2">
        <v>226.96</v>
      </c>
      <c r="P850" s="2">
        <v>0.170000000000016</v>
      </c>
    </row>
    <row r="851" spans="1:16" s="2" customFormat="1" x14ac:dyDescent="0.25">
      <c r="A851" s="2">
        <v>48563581</v>
      </c>
      <c r="B851" s="2">
        <v>48563586</v>
      </c>
      <c r="C851" s="2" t="str">
        <f>"UNIMEDSJN"</f>
        <v>UNIMEDSJN</v>
      </c>
      <c r="D851" s="2" t="str">
        <f>"DH"</f>
        <v>DH</v>
      </c>
      <c r="E851" s="2" t="str">
        <f>"SOLANGE APARECIDA DA SILVA"</f>
        <v>SOLANGE APARECIDA DA SILVA</v>
      </c>
      <c r="F851" s="2" t="str">
        <f>"48563581-1/1"</f>
        <v>48563581-1/1</v>
      </c>
      <c r="G851" s="2" t="str">
        <f>"Carteira 21"</f>
        <v>Carteira 21</v>
      </c>
      <c r="H851" s="2">
        <v>23</v>
      </c>
      <c r="I851" s="3">
        <v>79</v>
      </c>
      <c r="J851" s="2" t="str">
        <f>"02/01/2020"</f>
        <v>02/01/2020</v>
      </c>
      <c r="K851" s="2" t="str">
        <f>"25/01/2020"</f>
        <v>25/01/2020</v>
      </c>
      <c r="L851" s="2" t="str">
        <f>"17/02/2020"</f>
        <v>17/02/2020</v>
      </c>
      <c r="M851" s="2" t="str">
        <f>"18/02/2020"</f>
        <v>18/02/2020</v>
      </c>
      <c r="N851" s="2">
        <v>135.44999999999999</v>
      </c>
      <c r="O851" s="2">
        <v>139.1</v>
      </c>
      <c r="P851" s="2">
        <v>9.9999999999994302E-2</v>
      </c>
    </row>
    <row r="852" spans="1:16" s="2" customFormat="1" x14ac:dyDescent="0.25">
      <c r="A852" s="2">
        <v>45918757</v>
      </c>
      <c r="B852" s="2">
        <v>45918770</v>
      </c>
      <c r="C852" s="2" t="str">
        <f>"UNIMEDSJN"</f>
        <v>UNIMEDSJN</v>
      </c>
      <c r="D852" s="2" t="str">
        <f>"DH"</f>
        <v>DH</v>
      </c>
      <c r="E852" s="2" t="str">
        <f>"SONIA MARIA TEIXEIRA GONCALVES"</f>
        <v>SONIA MARIA TEIXEIRA GONCALVES</v>
      </c>
      <c r="F852" s="2" t="str">
        <f>"45918757-1/1"</f>
        <v>45918757-1/1</v>
      </c>
      <c r="G852" s="2" t="str">
        <f>"Carteira 21"</f>
        <v>Carteira 21</v>
      </c>
      <c r="H852" s="2">
        <v>24</v>
      </c>
      <c r="I852" s="3">
        <v>140</v>
      </c>
      <c r="J852" s="2" t="str">
        <f>"01/11/2019"</f>
        <v>01/11/2019</v>
      </c>
      <c r="K852" s="2" t="str">
        <f>"25/11/2019"</f>
        <v>25/11/2019</v>
      </c>
      <c r="L852" s="2" t="str">
        <f>"03/02/2020"</f>
        <v>03/02/2020</v>
      </c>
      <c r="M852" s="2" t="str">
        <f>"04/02/2020"</f>
        <v>04/02/2020</v>
      </c>
      <c r="N852" s="2">
        <v>854.67</v>
      </c>
      <c r="O852" s="2">
        <v>891.5</v>
      </c>
      <c r="P852" s="2">
        <v>0.200000000000045</v>
      </c>
    </row>
    <row r="853" spans="1:16" s="2" customFormat="1" x14ac:dyDescent="0.25">
      <c r="A853" s="2">
        <v>47494571</v>
      </c>
      <c r="B853" s="2">
        <v>47494583</v>
      </c>
      <c r="C853" s="2" t="str">
        <f>"UNIMEDSJN"</f>
        <v>UNIMEDSJN</v>
      </c>
      <c r="D853" s="2" t="str">
        <f>"DH"</f>
        <v>DH</v>
      </c>
      <c r="E853" s="2" t="str">
        <f>"SONIA MARIA TEIXEIRA GONCALVES"</f>
        <v>SONIA MARIA TEIXEIRA GONCALVES</v>
      </c>
      <c r="F853" s="2" t="str">
        <f>"47494571-1/1"</f>
        <v>47494571-1/1</v>
      </c>
      <c r="G853" s="2" t="str">
        <f>"Carteira 21"</f>
        <v>Carteira 21</v>
      </c>
      <c r="H853" s="2">
        <v>24</v>
      </c>
      <c r="I853" s="3">
        <v>110</v>
      </c>
      <c r="J853" s="2" t="str">
        <f>"01/12/2019"</f>
        <v>01/12/2019</v>
      </c>
      <c r="K853" s="2" t="str">
        <f>"25/12/2019"</f>
        <v>25/12/2019</v>
      </c>
      <c r="L853" s="2" t="str">
        <f>"02/03/2020"</f>
        <v>02/03/2020</v>
      </c>
      <c r="M853" s="2" t="str">
        <f>"03/03/2020"</f>
        <v>03/03/2020</v>
      </c>
      <c r="N853" s="2">
        <v>854.67</v>
      </c>
      <c r="O853" s="2">
        <v>890.94</v>
      </c>
      <c r="P853" s="2">
        <v>0.19000000000005501</v>
      </c>
    </row>
    <row r="854" spans="1:16" s="2" customFormat="1" x14ac:dyDescent="0.25">
      <c r="A854" s="2">
        <v>48568930</v>
      </c>
      <c r="B854" s="2">
        <v>48568947</v>
      </c>
      <c r="C854" s="2" t="str">
        <f>"UNIMEDSJN"</f>
        <v>UNIMEDSJN</v>
      </c>
      <c r="D854" s="2" t="str">
        <f>"DH"</f>
        <v>DH</v>
      </c>
      <c r="E854" s="2" t="str">
        <f>"SONIA MARIA TEIXEIRA GONCALVES"</f>
        <v>SONIA MARIA TEIXEIRA GONCALVES</v>
      </c>
      <c r="F854" s="2" t="str">
        <f>"48568930-1/1"</f>
        <v>48568930-1/1</v>
      </c>
      <c r="G854" s="2" t="str">
        <f>"Carteira 21"</f>
        <v>Carteira 21</v>
      </c>
      <c r="H854" s="2">
        <v>23</v>
      </c>
      <c r="I854" s="3">
        <v>79</v>
      </c>
      <c r="J854" s="2" t="str">
        <f>"02/01/2020"</f>
        <v>02/01/2020</v>
      </c>
      <c r="K854" s="2" t="str">
        <f>"25/01/2020"</f>
        <v>25/01/2020</v>
      </c>
      <c r="L854" s="2" t="str">
        <f>"01/04/2020"</f>
        <v>01/04/2020</v>
      </c>
      <c r="M854" s="2" t="str">
        <f>"02/04/2020"</f>
        <v>02/04/2020</v>
      </c>
      <c r="N854" s="2">
        <v>854.67</v>
      </c>
      <c r="O854" s="2">
        <v>890.1</v>
      </c>
      <c r="P854" s="2">
        <v>0.75</v>
      </c>
    </row>
    <row r="855" spans="1:16" s="2" customFormat="1" x14ac:dyDescent="0.25">
      <c r="A855" s="2">
        <v>48582361</v>
      </c>
      <c r="B855" s="2">
        <v>48582368</v>
      </c>
      <c r="C855" s="2" t="str">
        <f>"UNIMEDSJN"</f>
        <v>UNIMEDSJN</v>
      </c>
      <c r="D855" s="2" t="str">
        <f>"DH"</f>
        <v>DH</v>
      </c>
      <c r="E855" s="2" t="str">
        <f>"Sonimar Aparecida Dutra Rabello"</f>
        <v>Sonimar Aparecida Dutra Rabello</v>
      </c>
      <c r="F855" s="2" t="str">
        <f>"48582361-1/1"</f>
        <v>48582361-1/1</v>
      </c>
      <c r="G855" s="2" t="str">
        <f>"Carteira 21"</f>
        <v>Carteira 21</v>
      </c>
      <c r="H855" s="2">
        <v>23</v>
      </c>
      <c r="I855" s="3">
        <v>79</v>
      </c>
      <c r="J855" s="2" t="str">
        <f>"02/01/2020"</f>
        <v>02/01/2020</v>
      </c>
      <c r="K855" s="2" t="str">
        <f>"25/01/2020"</f>
        <v>25/01/2020</v>
      </c>
      <c r="L855" s="2" t="str">
        <f>"10/02/2020"</f>
        <v>10/02/2020</v>
      </c>
      <c r="M855" s="2" t="str">
        <f>"11/02/2020"</f>
        <v>11/02/2020</v>
      </c>
      <c r="N855" s="2">
        <v>173.69</v>
      </c>
      <c r="O855" s="2">
        <v>177.97</v>
      </c>
      <c r="P855" s="2">
        <v>0.12000000000000501</v>
      </c>
    </row>
    <row r="856" spans="1:16" s="2" customFormat="1" x14ac:dyDescent="0.25">
      <c r="A856" s="2">
        <v>45913308</v>
      </c>
      <c r="B856" s="2">
        <v>45913323</v>
      </c>
      <c r="C856" s="2" t="str">
        <f>"UNIMEDSJN"</f>
        <v>UNIMEDSJN</v>
      </c>
      <c r="D856" s="2" t="str">
        <f>"DH"</f>
        <v>DH</v>
      </c>
      <c r="E856" s="2" t="str">
        <f>"SOPHIA MARANGON RODRIGUES"</f>
        <v>SOPHIA MARANGON RODRIGUES</v>
      </c>
      <c r="F856" s="2" t="str">
        <f>"45913308-1/1"</f>
        <v>45913308-1/1</v>
      </c>
      <c r="G856" s="2" t="str">
        <f>"Carteira 21"</f>
        <v>Carteira 21</v>
      </c>
      <c r="H856" s="2">
        <v>21</v>
      </c>
      <c r="I856" s="3">
        <v>143</v>
      </c>
      <c r="J856" s="2" t="str">
        <f>"01/11/2019"</f>
        <v>01/11/2019</v>
      </c>
      <c r="K856" s="2" t="str">
        <f>"22/11/2019"</f>
        <v>22/11/2019</v>
      </c>
      <c r="L856" s="2" t="str">
        <f>"22/11/2019"</f>
        <v>22/11/2019</v>
      </c>
      <c r="M856" s="2" t="str">
        <f>"01/04/2020"</f>
        <v>01/04/2020</v>
      </c>
      <c r="N856" s="2">
        <v>202.15</v>
      </c>
      <c r="O856" s="2">
        <v>202.15</v>
      </c>
      <c r="P856" s="2">
        <v>0</v>
      </c>
    </row>
    <row r="857" spans="1:16" s="2" customFormat="1" x14ac:dyDescent="0.25">
      <c r="A857" s="2">
        <v>47509522</v>
      </c>
      <c r="B857" s="2">
        <v>47509529</v>
      </c>
      <c r="C857" s="2" t="str">
        <f>"UNIMEDSJN"</f>
        <v>UNIMEDSJN</v>
      </c>
      <c r="D857" s="2" t="str">
        <f>"DH"</f>
        <v>DH</v>
      </c>
      <c r="E857" s="2" t="str">
        <f>"SOPHIA MARANGON RODRIGUES"</f>
        <v>SOPHIA MARANGON RODRIGUES</v>
      </c>
      <c r="F857" s="2" t="str">
        <f>"47509522-1/1"</f>
        <v>47509522-1/1</v>
      </c>
      <c r="G857" s="2" t="str">
        <f>"Carteira 21"</f>
        <v>Carteira 21</v>
      </c>
      <c r="H857" s="2">
        <v>21</v>
      </c>
      <c r="I857" s="3">
        <v>113</v>
      </c>
      <c r="J857" s="2" t="str">
        <f>"01/12/2019"</f>
        <v>01/12/2019</v>
      </c>
      <c r="K857" s="2" t="str">
        <f>"22/12/2019"</f>
        <v>22/12/2019</v>
      </c>
      <c r="L857" s="2" t="str">
        <f>"23/12/2019"</f>
        <v>23/12/2019</v>
      </c>
      <c r="M857" s="2" t="str">
        <f>"01/04/2020"</f>
        <v>01/04/2020</v>
      </c>
      <c r="N857" s="2">
        <v>202.15</v>
      </c>
      <c r="O857" s="2">
        <v>202.15</v>
      </c>
      <c r="P857" s="2">
        <v>0</v>
      </c>
    </row>
    <row r="858" spans="1:16" s="2" customFormat="1" x14ac:dyDescent="0.25">
      <c r="A858" s="2">
        <v>48583021</v>
      </c>
      <c r="B858" s="2">
        <v>48583031</v>
      </c>
      <c r="C858" s="2" t="str">
        <f>"UNIMEDSJN"</f>
        <v>UNIMEDSJN</v>
      </c>
      <c r="D858" s="2" t="str">
        <f>"DH"</f>
        <v>DH</v>
      </c>
      <c r="E858" s="2" t="str">
        <f>"SOPHIA MARANGON RODRIGUES"</f>
        <v>SOPHIA MARANGON RODRIGUES</v>
      </c>
      <c r="F858" s="2" t="str">
        <f>"48583021-1/1"</f>
        <v>48583021-1/1</v>
      </c>
      <c r="G858" s="2" t="str">
        <f>"CARTEIRA PERDA"</f>
        <v>CARTEIRA PERDA</v>
      </c>
      <c r="H858" s="2">
        <v>20</v>
      </c>
      <c r="I858" s="3">
        <v>82</v>
      </c>
      <c r="J858" s="2" t="str">
        <f>"02/01/2020"</f>
        <v>02/01/2020</v>
      </c>
      <c r="K858" s="2" t="str">
        <f>"22/01/2020"</f>
        <v>22/01/2020</v>
      </c>
      <c r="L858" s="2" t="str">
        <f>"22/01/2020"</f>
        <v>22/01/2020</v>
      </c>
      <c r="M858" s="2" t="str">
        <f>"03/02/2020"</f>
        <v>03/02/2020</v>
      </c>
      <c r="N858" s="2">
        <v>202.15</v>
      </c>
      <c r="O858" s="2">
        <v>202.15</v>
      </c>
      <c r="P858" s="2">
        <v>0</v>
      </c>
    </row>
    <row r="859" spans="1:16" s="2" customFormat="1" x14ac:dyDescent="0.25">
      <c r="A859" s="2">
        <v>48585347</v>
      </c>
      <c r="B859" s="2">
        <v>48585359</v>
      </c>
      <c r="C859" s="2" t="str">
        <f>"UNIMEDSJN"</f>
        <v>UNIMEDSJN</v>
      </c>
      <c r="D859" s="2" t="str">
        <f>"DH"</f>
        <v>DH</v>
      </c>
      <c r="E859" s="2" t="str">
        <f>"Soraia Poliero Garcia de Souza"</f>
        <v>Soraia Poliero Garcia de Souza</v>
      </c>
      <c r="F859" s="2" t="str">
        <f>"48585347-1/1"</f>
        <v>48585347-1/1</v>
      </c>
      <c r="G859" s="2" t="str">
        <f>"Carteira 21"</f>
        <v>Carteira 21</v>
      </c>
      <c r="H859" s="2">
        <v>20</v>
      </c>
      <c r="I859" s="3">
        <v>82</v>
      </c>
      <c r="J859" s="2" t="str">
        <f>"02/01/2020"</f>
        <v>02/01/2020</v>
      </c>
      <c r="K859" s="2" t="str">
        <f>"22/01/2020"</f>
        <v>22/01/2020</v>
      </c>
      <c r="L859" s="2" t="str">
        <f>"05/02/2020"</f>
        <v>05/02/2020</v>
      </c>
      <c r="M859" s="2" t="str">
        <f>"06/02/2020"</f>
        <v>06/02/2020</v>
      </c>
      <c r="N859" s="2">
        <v>442.07</v>
      </c>
      <c r="O859" s="2">
        <v>452.95</v>
      </c>
      <c r="P859" s="2">
        <v>1.99999999999818E-2</v>
      </c>
    </row>
    <row r="860" spans="1:16" s="2" customFormat="1" x14ac:dyDescent="0.25">
      <c r="A860" s="2">
        <v>48751911</v>
      </c>
      <c r="B860" s="2">
        <v>48751916</v>
      </c>
      <c r="C860" s="2" t="str">
        <f>"UNIMEDSJN"</f>
        <v>UNIMEDSJN</v>
      </c>
      <c r="D860" s="2" t="str">
        <f>"DH"</f>
        <v>DH</v>
      </c>
      <c r="E860" s="2" t="str">
        <f>"Suiane Gomes Quintanilha Passos"</f>
        <v>Suiane Gomes Quintanilha Passos</v>
      </c>
      <c r="F860" s="2" t="str">
        <f>"48751911-1/1"</f>
        <v>48751911-1/1</v>
      </c>
      <c r="G860" s="2" t="str">
        <f>"Carteira 21"</f>
        <v>Carteira 21</v>
      </c>
      <c r="H860" s="2">
        <v>16</v>
      </c>
      <c r="I860" s="3">
        <v>79</v>
      </c>
      <c r="J860" s="2" t="str">
        <f>"09/01/2020"</f>
        <v>09/01/2020</v>
      </c>
      <c r="K860" s="2" t="str">
        <f>"25/01/2020"</f>
        <v>25/01/2020</v>
      </c>
      <c r="L860" s="2" t="str">
        <f>"06/02/2020"</f>
        <v>06/02/2020</v>
      </c>
      <c r="M860" s="2" t="str">
        <f>"07/02/2020"</f>
        <v>07/02/2020</v>
      </c>
      <c r="N860" s="2">
        <v>75.900000000000006</v>
      </c>
      <c r="O860" s="2">
        <v>77.67</v>
      </c>
      <c r="P860" s="2">
        <v>4.9999999999997199E-2</v>
      </c>
    </row>
    <row r="861" spans="1:16" s="2" customFormat="1" x14ac:dyDescent="0.25">
      <c r="A861" s="2">
        <v>48480744</v>
      </c>
      <c r="B861" s="2">
        <v>48480751</v>
      </c>
      <c r="C861" s="2" t="str">
        <f>"UNIMEDSJN"</f>
        <v>UNIMEDSJN</v>
      </c>
      <c r="D861" s="2" t="str">
        <f>"DH"</f>
        <v>DH</v>
      </c>
      <c r="E861" s="2" t="str">
        <f>"Talita da Silva de Souza"</f>
        <v>Talita da Silva de Souza</v>
      </c>
      <c r="F861" s="2" t="str">
        <f>"48480744-1/1"</f>
        <v>48480744-1/1</v>
      </c>
      <c r="G861" s="2" t="str">
        <f>"Carteira 21"</f>
        <v>Carteira 21</v>
      </c>
      <c r="H861" s="2">
        <v>6</v>
      </c>
      <c r="I861" s="3">
        <v>110</v>
      </c>
      <c r="J861" s="2" t="str">
        <f>"19/12/2019"</f>
        <v>19/12/2019</v>
      </c>
      <c r="K861" s="2" t="str">
        <f>"25/12/2019"</f>
        <v>25/12/2019</v>
      </c>
      <c r="L861" s="2" t="str">
        <f>"25/12/2019"</f>
        <v>25/12/2019</v>
      </c>
      <c r="M861" s="2" t="str">
        <f>"19/12/2019"</f>
        <v>19/12/2019</v>
      </c>
      <c r="N861" s="2">
        <v>90.9</v>
      </c>
      <c r="O861" s="2">
        <v>90.9</v>
      </c>
      <c r="P861" s="2">
        <v>0</v>
      </c>
    </row>
    <row r="862" spans="1:16" s="2" customFormat="1" x14ac:dyDescent="0.25">
      <c r="A862" s="2">
        <v>48575390</v>
      </c>
      <c r="B862" s="2">
        <v>48575403</v>
      </c>
      <c r="C862" s="2" t="str">
        <f>"UNIMEDSJN"</f>
        <v>UNIMEDSJN</v>
      </c>
      <c r="D862" s="2" t="str">
        <f>"DH"</f>
        <v>DH</v>
      </c>
      <c r="E862" s="2" t="str">
        <f>"Talita da Silva de Souza"</f>
        <v>Talita da Silva de Souza</v>
      </c>
      <c r="F862" s="2" t="str">
        <f>"48575390-1/1"</f>
        <v>48575390-1/1</v>
      </c>
      <c r="G862" s="2" t="str">
        <f>"Carteira 21"</f>
        <v>Carteira 21</v>
      </c>
      <c r="H862" s="2">
        <v>23</v>
      </c>
      <c r="I862" s="3">
        <v>79</v>
      </c>
      <c r="J862" s="2" t="str">
        <f>"02/01/2020"</f>
        <v>02/01/2020</v>
      </c>
      <c r="K862" s="2" t="str">
        <f>"25/01/2020"</f>
        <v>25/01/2020</v>
      </c>
      <c r="L862" s="2" t="str">
        <f>"27/01/2020"</f>
        <v>27/01/2020</v>
      </c>
      <c r="M862" s="2" t="str">
        <f>"27/12/2019"</f>
        <v>27/12/2019</v>
      </c>
      <c r="N862" s="2">
        <v>75.900000000000006</v>
      </c>
      <c r="O862" s="2">
        <v>75.900000000000006</v>
      </c>
      <c r="P862" s="2">
        <v>0</v>
      </c>
    </row>
    <row r="863" spans="1:16" s="2" customFormat="1" x14ac:dyDescent="0.25">
      <c r="A863" s="2">
        <v>45913393</v>
      </c>
      <c r="B863" s="2">
        <v>45913412</v>
      </c>
      <c r="C863" s="2" t="str">
        <f>"UNIMEDSJN"</f>
        <v>UNIMEDSJN</v>
      </c>
      <c r="D863" s="2" t="str">
        <f>"DH"</f>
        <v>DH</v>
      </c>
      <c r="E863" s="2" t="str">
        <f>"TALITA DE SOUZA MATOS"</f>
        <v>TALITA DE SOUZA MATOS</v>
      </c>
      <c r="F863" s="2" t="str">
        <f>"45913393-1/1"</f>
        <v>45913393-1/1</v>
      </c>
      <c r="G863" s="2" t="str">
        <f>"Carteira 21"</f>
        <v>Carteira 21</v>
      </c>
      <c r="H863" s="2">
        <v>24</v>
      </c>
      <c r="I863" s="3">
        <v>140</v>
      </c>
      <c r="J863" s="2" t="str">
        <f>"01/11/2019"</f>
        <v>01/11/2019</v>
      </c>
      <c r="K863" s="2" t="str">
        <f>"25/11/2019"</f>
        <v>25/11/2019</v>
      </c>
      <c r="L863" s="2" t="str">
        <f>"27/02/2020"</f>
        <v>27/02/2020</v>
      </c>
      <c r="M863" s="2" t="str">
        <f>"28/02/2020"</f>
        <v>28/02/2020</v>
      </c>
      <c r="N863" s="2">
        <v>189.92</v>
      </c>
      <c r="O863" s="2">
        <v>199.61</v>
      </c>
      <c r="P863" s="2">
        <v>6.0000000000002301E-2</v>
      </c>
    </row>
    <row r="864" spans="1:16" s="2" customFormat="1" x14ac:dyDescent="0.25">
      <c r="A864" s="2">
        <v>47506705</v>
      </c>
      <c r="B864" s="2">
        <v>47506710</v>
      </c>
      <c r="C864" s="2" t="str">
        <f>"UNIMEDSJN"</f>
        <v>UNIMEDSJN</v>
      </c>
      <c r="D864" s="2" t="str">
        <f>"DH"</f>
        <v>DH</v>
      </c>
      <c r="E864" s="2" t="str">
        <f>"TALITA DE SOUZA MATOS"</f>
        <v>TALITA DE SOUZA MATOS</v>
      </c>
      <c r="F864" s="2" t="str">
        <f>"47506705-1/1"</f>
        <v>47506705-1/1</v>
      </c>
      <c r="G864" s="2" t="str">
        <f>"Carteira 21"</f>
        <v>Carteira 21</v>
      </c>
      <c r="H864" s="2">
        <v>54</v>
      </c>
      <c r="I864" s="3">
        <v>80</v>
      </c>
      <c r="J864" s="2" t="str">
        <f>"01/12/2019"</f>
        <v>01/12/2019</v>
      </c>
      <c r="K864" s="2" t="str">
        <f>"24/01/2020"</f>
        <v>24/01/2020</v>
      </c>
      <c r="L864" s="2" t="str">
        <f>"05/03/2020"</f>
        <v>05/03/2020</v>
      </c>
      <c r="M864" s="2" t="str">
        <f>"06/03/2020"</f>
        <v>06/03/2020</v>
      </c>
      <c r="N864" s="2">
        <v>189.92</v>
      </c>
      <c r="O864" s="2">
        <v>198.17</v>
      </c>
      <c r="P864" s="2">
        <v>-1.8499999999999901</v>
      </c>
    </row>
    <row r="865" spans="1:16" s="2" customFormat="1" x14ac:dyDescent="0.25">
      <c r="A865" s="2">
        <v>48583822</v>
      </c>
      <c r="B865" s="2">
        <v>48583835</v>
      </c>
      <c r="C865" s="2" t="str">
        <f>"UNIMEDSJN"</f>
        <v>UNIMEDSJN</v>
      </c>
      <c r="D865" s="2" t="str">
        <f>"DH"</f>
        <v>DH</v>
      </c>
      <c r="E865" s="2" t="str">
        <f>"TALITA DE SOUZA MATOS"</f>
        <v>TALITA DE SOUZA MATOS</v>
      </c>
      <c r="F865" s="2" t="str">
        <f>"48583822-1/1"</f>
        <v>48583822-1/1</v>
      </c>
      <c r="G865" s="2" t="str">
        <f>"Carteira 21"</f>
        <v>Carteira 21</v>
      </c>
      <c r="H865" s="2">
        <v>23</v>
      </c>
      <c r="I865" s="3">
        <v>79</v>
      </c>
      <c r="J865" s="2" t="str">
        <f>"02/01/2020"</f>
        <v>02/01/2020</v>
      </c>
      <c r="K865" s="2" t="str">
        <f>"25/01/2020"</f>
        <v>25/01/2020</v>
      </c>
      <c r="L865" s="2" t="str">
        <f>"07/04/2020"</f>
        <v>07/04/2020</v>
      </c>
      <c r="M865" s="2" t="str">
        <f>"08/04/2020"</f>
        <v>08/04/2020</v>
      </c>
      <c r="N865" s="2">
        <v>189.92</v>
      </c>
      <c r="O865" s="2">
        <v>198.17</v>
      </c>
      <c r="P865" s="2">
        <v>0.16999999999998699</v>
      </c>
    </row>
    <row r="866" spans="1:16" s="2" customFormat="1" x14ac:dyDescent="0.25">
      <c r="A866" s="2">
        <v>44969296</v>
      </c>
      <c r="B866" s="2">
        <v>44969309</v>
      </c>
      <c r="C866" s="2" t="str">
        <f>"UNIMEDSJN"</f>
        <v>UNIMEDSJN</v>
      </c>
      <c r="D866" s="2" t="str">
        <f>"DH"</f>
        <v>DH</v>
      </c>
      <c r="E866" s="2" t="str">
        <f>"Tamara Cristina Pereira da Silva"</f>
        <v>Tamara Cristina Pereira da Silva</v>
      </c>
      <c r="F866" s="2" t="str">
        <f>"44969296-1/1"</f>
        <v>44969296-1/1</v>
      </c>
      <c r="G866" s="2" t="str">
        <f>"CARTEIRA PERDA"</f>
        <v>CARTEIRA PERDA</v>
      </c>
      <c r="H866" s="2">
        <v>24</v>
      </c>
      <c r="I866" s="3">
        <v>201</v>
      </c>
      <c r="J866" s="2" t="str">
        <f>"01/09/2019"</f>
        <v>01/09/2019</v>
      </c>
      <c r="K866" s="2" t="str">
        <f>"25/09/2019"</f>
        <v>25/09/2019</v>
      </c>
      <c r="L866" s="2" t="str">
        <f>"25/09/2019"</f>
        <v>25/09/2019</v>
      </c>
      <c r="M866" s="2" t="str">
        <f>"05/03/2020"</f>
        <v>05/03/2020</v>
      </c>
      <c r="N866" s="2">
        <v>150.9</v>
      </c>
      <c r="O866" s="2">
        <v>150.9</v>
      </c>
      <c r="P866" s="2">
        <v>0</v>
      </c>
    </row>
    <row r="867" spans="1:16" s="2" customFormat="1" x14ac:dyDescent="0.25">
      <c r="A867" s="2">
        <v>45454948</v>
      </c>
      <c r="B867" s="2">
        <v>45454973</v>
      </c>
      <c r="C867" s="2" t="str">
        <f>"UNIMEDSJN"</f>
        <v>UNIMEDSJN</v>
      </c>
      <c r="D867" s="2" t="str">
        <f>"DH"</f>
        <v>DH</v>
      </c>
      <c r="E867" s="2" t="str">
        <f>"Tamara Cristina Pereira da Silva"</f>
        <v>Tamara Cristina Pereira da Silva</v>
      </c>
      <c r="F867" s="2" t="str">
        <f>"45454948-1/1"</f>
        <v>45454948-1/1</v>
      </c>
      <c r="G867" s="2" t="str">
        <f>"CARTEIRA PERDA"</f>
        <v>CARTEIRA PERDA</v>
      </c>
      <c r="H867" s="2">
        <v>24</v>
      </c>
      <c r="I867" s="3">
        <v>171</v>
      </c>
      <c r="J867" s="2" t="str">
        <f>"01/10/2019"</f>
        <v>01/10/2019</v>
      </c>
      <c r="K867" s="2" t="str">
        <f>"25/10/2019"</f>
        <v>25/10/2019</v>
      </c>
      <c r="L867" s="2" t="str">
        <f>"25/10/2019"</f>
        <v>25/10/2019</v>
      </c>
      <c r="M867" s="2" t="str">
        <f>"05/03/2020"</f>
        <v>05/03/2020</v>
      </c>
      <c r="N867" s="2">
        <v>150.9</v>
      </c>
      <c r="O867" s="2">
        <v>150.9</v>
      </c>
      <c r="P867" s="2">
        <v>0</v>
      </c>
    </row>
    <row r="868" spans="1:16" s="2" customFormat="1" x14ac:dyDescent="0.25">
      <c r="A868" s="2">
        <v>45909194</v>
      </c>
      <c r="B868" s="2">
        <v>45909199</v>
      </c>
      <c r="C868" s="2" t="str">
        <f>"UNIMEDSJN"</f>
        <v>UNIMEDSJN</v>
      </c>
      <c r="D868" s="2" t="str">
        <f>"DH"</f>
        <v>DH</v>
      </c>
      <c r="E868" s="2" t="str">
        <f>"Tamara Cristina Pereira da Silva"</f>
        <v>Tamara Cristina Pereira da Silva</v>
      </c>
      <c r="F868" s="2" t="str">
        <f>"45909194-1/1"</f>
        <v>45909194-1/1</v>
      </c>
      <c r="G868" s="2" t="str">
        <f>"CARTEIRA PERDA"</f>
        <v>CARTEIRA PERDA</v>
      </c>
      <c r="H868" s="2">
        <v>24</v>
      </c>
      <c r="I868" s="3">
        <v>140</v>
      </c>
      <c r="J868" s="2" t="str">
        <f>"01/11/2019"</f>
        <v>01/11/2019</v>
      </c>
      <c r="K868" s="2" t="str">
        <f>"25/11/2019"</f>
        <v>25/11/2019</v>
      </c>
      <c r="L868" s="2" t="str">
        <f>"25/11/2019"</f>
        <v>25/11/2019</v>
      </c>
      <c r="M868" s="2" t="str">
        <f>"05/03/2020"</f>
        <v>05/03/2020</v>
      </c>
      <c r="N868" s="2">
        <v>150.9</v>
      </c>
      <c r="O868" s="2">
        <v>150.9</v>
      </c>
      <c r="P868" s="2">
        <v>0</v>
      </c>
    </row>
    <row r="869" spans="1:16" s="2" customFormat="1" x14ac:dyDescent="0.25">
      <c r="A869" s="2">
        <v>47505870</v>
      </c>
      <c r="B869" s="2">
        <v>47506125</v>
      </c>
      <c r="C869" s="2" t="str">
        <f>"UNIMEDSJN"</f>
        <v>UNIMEDSJN</v>
      </c>
      <c r="D869" s="2" t="str">
        <f>"DH"</f>
        <v>DH</v>
      </c>
      <c r="E869" s="2" t="str">
        <f>"Tamara Cristina Pereira da Silva"</f>
        <v>Tamara Cristina Pereira da Silva</v>
      </c>
      <c r="F869" s="2" t="str">
        <f>"47505870-1/1"</f>
        <v>47505870-1/1</v>
      </c>
      <c r="G869" s="2" t="str">
        <f>"CARTEIRA PERDA"</f>
        <v>CARTEIRA PERDA</v>
      </c>
      <c r="H869" s="2">
        <v>24</v>
      </c>
      <c r="I869" s="3">
        <v>110</v>
      </c>
      <c r="J869" s="2" t="str">
        <f>"01/12/2019"</f>
        <v>01/12/2019</v>
      </c>
      <c r="K869" s="2" t="str">
        <f>"25/12/2019"</f>
        <v>25/12/2019</v>
      </c>
      <c r="L869" s="2" t="str">
        <f>"25/12/2019"</f>
        <v>25/12/2019</v>
      </c>
      <c r="M869" s="2" t="str">
        <f>"05/03/2020"</f>
        <v>05/03/2020</v>
      </c>
      <c r="N869" s="2">
        <v>150.9</v>
      </c>
      <c r="O869" s="2">
        <v>150.9</v>
      </c>
      <c r="P869" s="2">
        <v>0</v>
      </c>
    </row>
    <row r="870" spans="1:16" s="2" customFormat="1" x14ac:dyDescent="0.25">
      <c r="A870" s="2">
        <v>48581975</v>
      </c>
      <c r="B870" s="2">
        <v>48581985</v>
      </c>
      <c r="C870" s="2" t="str">
        <f>"UNIMEDSJN"</f>
        <v>UNIMEDSJN</v>
      </c>
      <c r="D870" s="2" t="str">
        <f>"DH"</f>
        <v>DH</v>
      </c>
      <c r="E870" s="2" t="str">
        <f>"Tamara Cristina Pereira da Silva"</f>
        <v>Tamara Cristina Pereira da Silva</v>
      </c>
      <c r="F870" s="2" t="str">
        <f>"48581975-1/1"</f>
        <v>48581975-1/1</v>
      </c>
      <c r="G870" s="2" t="str">
        <f>"CARTEIRA PERDA"</f>
        <v>CARTEIRA PERDA</v>
      </c>
      <c r="H870" s="2">
        <v>23</v>
      </c>
      <c r="I870" s="3">
        <v>79</v>
      </c>
      <c r="J870" s="2" t="str">
        <f>"02/01/2020"</f>
        <v>02/01/2020</v>
      </c>
      <c r="K870" s="2" t="str">
        <f>"25/01/2020"</f>
        <v>25/01/2020</v>
      </c>
      <c r="L870" s="2" t="str">
        <f>"27/01/2020"</f>
        <v>27/01/2020</v>
      </c>
      <c r="M870" s="2" t="str">
        <f>"05/03/2020"</f>
        <v>05/03/2020</v>
      </c>
      <c r="N870" s="2">
        <v>150.9</v>
      </c>
      <c r="O870" s="2">
        <v>150.9</v>
      </c>
      <c r="P870" s="2">
        <v>0</v>
      </c>
    </row>
    <row r="871" spans="1:16" s="2" customFormat="1" x14ac:dyDescent="0.25">
      <c r="A871" s="2">
        <v>48570192</v>
      </c>
      <c r="B871" s="2">
        <v>48570200</v>
      </c>
      <c r="C871" s="2" t="str">
        <f>"UNIMEDSJN"</f>
        <v>UNIMEDSJN</v>
      </c>
      <c r="D871" s="2" t="str">
        <f>"DH"</f>
        <v>DH</v>
      </c>
      <c r="E871" s="2" t="str">
        <f>"TAMIRIS BRAGA MENDONCA"</f>
        <v>TAMIRIS BRAGA MENDONCA</v>
      </c>
      <c r="F871" s="2" t="str">
        <f>"48570192-1/1"</f>
        <v>48570192-1/1</v>
      </c>
      <c r="G871" s="2" t="str">
        <f>"Carteira 21"</f>
        <v>Carteira 21</v>
      </c>
      <c r="H871" s="2">
        <v>23</v>
      </c>
      <c r="I871" s="3">
        <v>79</v>
      </c>
      <c r="J871" s="2" t="str">
        <f>"02/01/2020"</f>
        <v>02/01/2020</v>
      </c>
      <c r="K871" s="2" t="str">
        <f>"25/01/2020"</f>
        <v>25/01/2020</v>
      </c>
      <c r="L871" s="2" t="str">
        <f>"10/02/2020"</f>
        <v>10/02/2020</v>
      </c>
      <c r="M871" s="2" t="str">
        <f>"11/02/2020"</f>
        <v>11/02/2020</v>
      </c>
      <c r="N871" s="2">
        <v>179.17</v>
      </c>
      <c r="O871" s="2">
        <v>183.58</v>
      </c>
      <c r="P871" s="2">
        <v>0.12999999999999501</v>
      </c>
    </row>
    <row r="872" spans="1:16" s="2" customFormat="1" x14ac:dyDescent="0.25">
      <c r="A872" s="2">
        <v>45919467</v>
      </c>
      <c r="B872" s="2">
        <v>45919484</v>
      </c>
      <c r="C872" s="2" t="str">
        <f>"UNIMEDSJN"</f>
        <v>UNIMEDSJN</v>
      </c>
      <c r="D872" s="2" t="str">
        <f>"DH"</f>
        <v>DH</v>
      </c>
      <c r="E872" s="2" t="str">
        <f>"TARCILA RIGOLON MENDONCA"</f>
        <v>TARCILA RIGOLON MENDONCA</v>
      </c>
      <c r="F872" s="2" t="str">
        <f>"45919467-1/1"</f>
        <v>45919467-1/1</v>
      </c>
      <c r="G872" s="2" t="str">
        <f>"Carteira 21"</f>
        <v>Carteira 21</v>
      </c>
      <c r="H872" s="2">
        <v>84</v>
      </c>
      <c r="I872" s="3">
        <v>80</v>
      </c>
      <c r="J872" s="2" t="str">
        <f>"01/11/2019"</f>
        <v>01/11/2019</v>
      </c>
      <c r="K872" s="2" t="str">
        <f>"24/01/2020"</f>
        <v>24/01/2020</v>
      </c>
      <c r="L872" s="2" t="str">
        <f>"13/03/2020"</f>
        <v>13/03/2020</v>
      </c>
      <c r="M872" s="2" t="str">
        <f>"16/03/2020"</f>
        <v>16/03/2020</v>
      </c>
      <c r="N872" s="2">
        <v>337.67</v>
      </c>
      <c r="O872" s="2">
        <v>356.57</v>
      </c>
      <c r="P872" s="2">
        <v>-6.6299999999999901</v>
      </c>
    </row>
    <row r="873" spans="1:16" s="2" customFormat="1" x14ac:dyDescent="0.25">
      <c r="A873" s="2">
        <v>47496114</v>
      </c>
      <c r="B873" s="2">
        <v>47496378</v>
      </c>
      <c r="C873" s="2" t="str">
        <f>"UNIMEDSJN"</f>
        <v>UNIMEDSJN</v>
      </c>
      <c r="D873" s="2" t="str">
        <f>"DH"</f>
        <v>DH</v>
      </c>
      <c r="E873" s="2" t="str">
        <f>"TARCILA RIGOLON MENDONCA"</f>
        <v>TARCILA RIGOLON MENDONCA</v>
      </c>
      <c r="F873" s="2" t="str">
        <f>"47496114-1/1"</f>
        <v>47496114-1/1</v>
      </c>
      <c r="G873" s="2" t="str">
        <f>"Carteira 21"</f>
        <v>Carteira 21</v>
      </c>
      <c r="H873" s="2">
        <v>54</v>
      </c>
      <c r="I873" s="3">
        <v>80</v>
      </c>
      <c r="J873" s="2" t="str">
        <f>"01/12/2019"</f>
        <v>01/12/2019</v>
      </c>
      <c r="K873" s="2" t="str">
        <f>"24/01/2020"</f>
        <v>24/01/2020</v>
      </c>
      <c r="L873" s="2" t="str">
        <f>"13/03/2020"</f>
        <v>13/03/2020</v>
      </c>
      <c r="M873" s="2" t="str">
        <f>"16/03/2020"</f>
        <v>16/03/2020</v>
      </c>
      <c r="N873" s="2">
        <v>337.67</v>
      </c>
      <c r="O873" s="2">
        <v>353.23</v>
      </c>
      <c r="P873" s="2">
        <v>-3.29000000000002</v>
      </c>
    </row>
    <row r="874" spans="1:16" s="2" customFormat="1" x14ac:dyDescent="0.25">
      <c r="A874" s="2">
        <v>48570242</v>
      </c>
      <c r="B874" s="2">
        <v>48570247</v>
      </c>
      <c r="C874" s="2" t="str">
        <f>"UNIMEDSJN"</f>
        <v>UNIMEDSJN</v>
      </c>
      <c r="D874" s="2" t="str">
        <f>"DH"</f>
        <v>DH</v>
      </c>
      <c r="E874" s="2" t="str">
        <f>"TARCILA RIGOLON MENDONCA"</f>
        <v>TARCILA RIGOLON MENDONCA</v>
      </c>
      <c r="F874" s="2" t="str">
        <f>"48570242-1/1"</f>
        <v>48570242-1/1</v>
      </c>
      <c r="G874" s="2" t="str">
        <f>"Carteira 21"</f>
        <v>Carteira 21</v>
      </c>
      <c r="H874" s="2">
        <v>23</v>
      </c>
      <c r="I874" s="3">
        <v>79</v>
      </c>
      <c r="J874" s="2" t="str">
        <f>"02/01/2020"</f>
        <v>02/01/2020</v>
      </c>
      <c r="K874" s="2" t="str">
        <f>"25/01/2020"</f>
        <v>25/01/2020</v>
      </c>
      <c r="L874" s="2" t="str">
        <f>"13/03/2020"</f>
        <v>13/03/2020</v>
      </c>
      <c r="M874" s="2" t="str">
        <f>"16/03/2020"</f>
        <v>16/03/2020</v>
      </c>
      <c r="N874" s="2">
        <v>337.67</v>
      </c>
      <c r="O874" s="2">
        <v>349.55</v>
      </c>
      <c r="P874" s="2">
        <v>0.26999999999998198</v>
      </c>
    </row>
    <row r="875" spans="1:16" s="2" customFormat="1" x14ac:dyDescent="0.25">
      <c r="A875" s="2">
        <v>48574335</v>
      </c>
      <c r="B875" s="2">
        <v>48574351</v>
      </c>
      <c r="C875" s="2" t="str">
        <f>"UNIMEDSJN"</f>
        <v>UNIMEDSJN</v>
      </c>
      <c r="D875" s="2" t="str">
        <f>"DH"</f>
        <v>DH</v>
      </c>
      <c r="E875" s="2" t="str">
        <f>"Tarsila Maria Pereira de Mendonca"</f>
        <v>Tarsila Maria Pereira de Mendonca</v>
      </c>
      <c r="F875" s="2" t="str">
        <f>"48574335-1/1"</f>
        <v>48574335-1/1</v>
      </c>
      <c r="G875" s="2" t="str">
        <f>"Carteira 21"</f>
        <v>Carteira 21</v>
      </c>
      <c r="H875" s="2">
        <v>13</v>
      </c>
      <c r="I875" s="3">
        <v>89</v>
      </c>
      <c r="J875" s="2" t="str">
        <f>"02/01/2020"</f>
        <v>02/01/2020</v>
      </c>
      <c r="K875" s="2" t="str">
        <f>"15/01/2020"</f>
        <v>15/01/2020</v>
      </c>
      <c r="L875" s="2" t="str">
        <f>"12/02/2020"</f>
        <v>12/02/2020</v>
      </c>
      <c r="M875" s="2" t="str">
        <f>"13/02/2020"</f>
        <v>13/02/2020</v>
      </c>
      <c r="N875" s="2">
        <v>73.959999999999994</v>
      </c>
      <c r="O875" s="2">
        <v>76.12</v>
      </c>
      <c r="P875" s="2">
        <v>1.00000000000051E-2</v>
      </c>
    </row>
    <row r="876" spans="1:16" s="2" customFormat="1" x14ac:dyDescent="0.25">
      <c r="A876" s="2">
        <v>47493328</v>
      </c>
      <c r="B876" s="2">
        <v>47493347</v>
      </c>
      <c r="C876" s="2" t="str">
        <f>"UNIMEDSJN"</f>
        <v>UNIMEDSJN</v>
      </c>
      <c r="D876" s="2" t="str">
        <f>"DH"</f>
        <v>DH</v>
      </c>
      <c r="E876" s="2" t="str">
        <f>"TARSO DE OLIVEIRA PENHA"</f>
        <v>TARSO DE OLIVEIRA PENHA</v>
      </c>
      <c r="F876" s="2" t="str">
        <f>"47493328-1/1"</f>
        <v>47493328-1/1</v>
      </c>
      <c r="G876" s="2" t="str">
        <f>"Carteira 21"</f>
        <v>Carteira 21</v>
      </c>
      <c r="H876" s="2">
        <v>24</v>
      </c>
      <c r="I876" s="3">
        <v>110</v>
      </c>
      <c r="J876" s="2" t="str">
        <f>"01/12/2019"</f>
        <v>01/12/2019</v>
      </c>
      <c r="K876" s="2" t="str">
        <f>"25/12/2019"</f>
        <v>25/12/2019</v>
      </c>
      <c r="L876" s="2" t="str">
        <f>"13/02/2020"</f>
        <v>13/02/2020</v>
      </c>
      <c r="M876" s="2" t="str">
        <f>"14/02/2020"</f>
        <v>14/02/2020</v>
      </c>
      <c r="N876" s="2">
        <v>346.08</v>
      </c>
      <c r="O876" s="2">
        <v>358.71</v>
      </c>
      <c r="P876" s="2">
        <v>6.0000000000002301E-2</v>
      </c>
    </row>
    <row r="877" spans="1:16" s="2" customFormat="1" x14ac:dyDescent="0.25">
      <c r="A877" s="2">
        <v>48568224</v>
      </c>
      <c r="B877" s="2">
        <v>48568236</v>
      </c>
      <c r="C877" s="2" t="str">
        <f>"UNIMEDSJN"</f>
        <v>UNIMEDSJN</v>
      </c>
      <c r="D877" s="2" t="str">
        <f>"DH"</f>
        <v>DH</v>
      </c>
      <c r="E877" s="2" t="str">
        <f>"TARSO DE OLIVEIRA PENHA"</f>
        <v>TARSO DE OLIVEIRA PENHA</v>
      </c>
      <c r="F877" s="2" t="str">
        <f>"48568224-1/1"</f>
        <v>48568224-1/1</v>
      </c>
      <c r="G877" s="2" t="str">
        <f>"Carteira 21"</f>
        <v>Carteira 21</v>
      </c>
      <c r="H877" s="2">
        <v>23</v>
      </c>
      <c r="I877" s="3">
        <v>79</v>
      </c>
      <c r="J877" s="2" t="str">
        <f>"02/01/2020"</f>
        <v>02/01/2020</v>
      </c>
      <c r="K877" s="2" t="str">
        <f>"25/01/2020"</f>
        <v>25/01/2020</v>
      </c>
      <c r="L877" s="2" t="str">
        <f>"13/03/2020"</f>
        <v>13/03/2020</v>
      </c>
      <c r="M877" s="2" t="str">
        <f>"16/03/2020"</f>
        <v>16/03/2020</v>
      </c>
      <c r="N877" s="2">
        <v>371.52</v>
      </c>
      <c r="O877" s="2">
        <v>384.59</v>
      </c>
      <c r="P877" s="2">
        <v>0.29999999999995403</v>
      </c>
    </row>
    <row r="878" spans="1:16" s="2" customFormat="1" x14ac:dyDescent="0.25">
      <c r="A878" s="2">
        <v>47492645</v>
      </c>
      <c r="B878" s="2">
        <v>47492659</v>
      </c>
      <c r="C878" s="2" t="str">
        <f>"UNIMEDSJN"</f>
        <v>UNIMEDSJN</v>
      </c>
      <c r="D878" s="2" t="str">
        <f>"DH"</f>
        <v>DH</v>
      </c>
      <c r="E878" s="2" t="str">
        <f>"TATIANE DE SOUZA ROCHA"</f>
        <v>TATIANE DE SOUZA ROCHA</v>
      </c>
      <c r="F878" s="2" t="str">
        <f>"47492645-1/1"</f>
        <v>47492645-1/1</v>
      </c>
      <c r="G878" s="2" t="str">
        <f>"Carteira 21"</f>
        <v>Carteira 21</v>
      </c>
      <c r="H878" s="2">
        <v>14</v>
      </c>
      <c r="I878" s="3">
        <v>120</v>
      </c>
      <c r="J878" s="2" t="str">
        <f>"01/12/2019"</f>
        <v>01/12/2019</v>
      </c>
      <c r="K878" s="2" t="str">
        <f>"15/12/2019"</f>
        <v>15/12/2019</v>
      </c>
      <c r="L878" s="2" t="str">
        <f>"17/02/2020"</f>
        <v>17/02/2020</v>
      </c>
      <c r="M878" s="2" t="str">
        <f>"18/02/2020"</f>
        <v>18/02/2020</v>
      </c>
      <c r="N878" s="2">
        <v>221.65</v>
      </c>
      <c r="O878" s="2">
        <v>230.69</v>
      </c>
      <c r="P878" s="2">
        <v>0.12000000000000501</v>
      </c>
    </row>
    <row r="879" spans="1:16" s="2" customFormat="1" x14ac:dyDescent="0.25">
      <c r="A879" s="2">
        <v>48567100</v>
      </c>
      <c r="B879" s="2">
        <v>48567115</v>
      </c>
      <c r="C879" s="2" t="str">
        <f>"UNIMEDSJN"</f>
        <v>UNIMEDSJN</v>
      </c>
      <c r="D879" s="2" t="str">
        <f>"DH"</f>
        <v>DH</v>
      </c>
      <c r="E879" s="2" t="str">
        <f>"TATIANE DE SOUZA ROCHA"</f>
        <v>TATIANE DE SOUZA ROCHA</v>
      </c>
      <c r="F879" s="2" t="str">
        <f>"48567100-1/1"</f>
        <v>48567100-1/1</v>
      </c>
      <c r="G879" s="2" t="str">
        <f>"Carteira 21"</f>
        <v>Carteira 21</v>
      </c>
      <c r="H879" s="2">
        <v>13</v>
      </c>
      <c r="I879" s="3">
        <v>89</v>
      </c>
      <c r="J879" s="2" t="str">
        <f>"02/01/2020"</f>
        <v>02/01/2020</v>
      </c>
      <c r="K879" s="2" t="str">
        <f>"15/01/2020"</f>
        <v>15/01/2020</v>
      </c>
      <c r="L879" s="2" t="str">
        <f>"16/03/2020"</f>
        <v>16/03/2020</v>
      </c>
      <c r="M879" s="2" t="str">
        <f>"17/03/2020"</f>
        <v>17/03/2020</v>
      </c>
      <c r="N879" s="2">
        <v>221.65</v>
      </c>
      <c r="O879" s="2">
        <v>230.54</v>
      </c>
      <c r="P879" s="2">
        <v>5.0000000000011403E-2</v>
      </c>
    </row>
    <row r="880" spans="1:16" s="2" customFormat="1" x14ac:dyDescent="0.25">
      <c r="A880" s="2">
        <v>48579257</v>
      </c>
      <c r="B880" s="2">
        <v>48579262</v>
      </c>
      <c r="C880" s="2" t="str">
        <f>"UNIMEDSJN"</f>
        <v>UNIMEDSJN</v>
      </c>
      <c r="D880" s="2" t="str">
        <f>"DH"</f>
        <v>DH</v>
      </c>
      <c r="E880" s="2" t="str">
        <f>"TATIANE MARTINS DE MENDONCA"</f>
        <v>TATIANE MARTINS DE MENDONCA</v>
      </c>
      <c r="F880" s="2" t="str">
        <f>"48579257-1/1"</f>
        <v>48579257-1/1</v>
      </c>
      <c r="G880" s="2" t="str">
        <f>"Carteira 21"</f>
        <v>Carteira 21</v>
      </c>
      <c r="H880" s="2">
        <v>23</v>
      </c>
      <c r="I880" s="3">
        <v>79</v>
      </c>
      <c r="J880" s="2" t="str">
        <f>"02/01/2020"</f>
        <v>02/01/2020</v>
      </c>
      <c r="K880" s="2" t="str">
        <f>"25/01/2020"</f>
        <v>25/01/2020</v>
      </c>
      <c r="L880" s="2" t="str">
        <f>"17/02/2020"</f>
        <v>17/02/2020</v>
      </c>
      <c r="M880" s="2" t="str">
        <f>"18/02/2020"</f>
        <v>18/02/2020</v>
      </c>
      <c r="N880" s="2">
        <v>250.78</v>
      </c>
      <c r="O880" s="2">
        <v>257.52999999999997</v>
      </c>
      <c r="P880" s="2">
        <v>0.189999999999969</v>
      </c>
    </row>
    <row r="881" spans="1:16" x14ac:dyDescent="0.25">
      <c r="A881">
        <v>48798440</v>
      </c>
      <c r="B881">
        <v>48798447</v>
      </c>
      <c r="C881" t="str">
        <f>"UNIMEDSJN"</f>
        <v>UNIMEDSJN</v>
      </c>
      <c r="D881" t="str">
        <f>"DH"</f>
        <v>DH</v>
      </c>
      <c r="E881" t="str">
        <f>"Teresinha Escaraboto"</f>
        <v>Teresinha Escaraboto</v>
      </c>
      <c r="F881" t="str">
        <f>"48798440-1/1"</f>
        <v>48798440-1/1</v>
      </c>
      <c r="G881" t="str">
        <f>"Carteira 21"</f>
        <v>Carteira 21</v>
      </c>
      <c r="H881">
        <v>27</v>
      </c>
      <c r="I881" s="1">
        <v>57</v>
      </c>
      <c r="J881" t="str">
        <f>"20/01/2020"</f>
        <v>20/01/2020</v>
      </c>
      <c r="K881" t="str">
        <f>"16/02/2020"</f>
        <v>16/02/2020</v>
      </c>
      <c r="L881" t="str">
        <f>"17/02/2020"</f>
        <v>17/02/2020</v>
      </c>
      <c r="M881" t="str">
        <f>"18/02/2020"</f>
        <v>18/02/2020</v>
      </c>
      <c r="N881">
        <v>632.36</v>
      </c>
      <c r="O881">
        <v>632.36</v>
      </c>
      <c r="P881">
        <v>0</v>
      </c>
    </row>
    <row r="882" spans="1:16" s="2" customFormat="1" x14ac:dyDescent="0.25">
      <c r="A882" s="2">
        <v>48564220</v>
      </c>
      <c r="B882" s="2">
        <v>48564230</v>
      </c>
      <c r="C882" s="2" t="str">
        <f>"UNIMEDSJN"</f>
        <v>UNIMEDSJN</v>
      </c>
      <c r="D882" s="2" t="str">
        <f>"DH"</f>
        <v>DH</v>
      </c>
      <c r="E882" s="2" t="str">
        <f>"TEREZA MARIA DE SOUZA REZENDE"</f>
        <v>TEREZA MARIA DE SOUZA REZENDE</v>
      </c>
      <c r="F882" s="2" t="str">
        <f>"48564220-1/1"</f>
        <v>48564220-1/1</v>
      </c>
      <c r="G882" s="2" t="str">
        <f>"Carteira 21"</f>
        <v>Carteira 21</v>
      </c>
      <c r="H882" s="2">
        <v>23</v>
      </c>
      <c r="I882" s="3">
        <v>79</v>
      </c>
      <c r="J882" s="2" t="str">
        <f>"02/01/2020"</f>
        <v>02/01/2020</v>
      </c>
      <c r="K882" s="2" t="str">
        <f>"25/01/2020"</f>
        <v>25/01/2020</v>
      </c>
      <c r="L882" s="2" t="str">
        <f>"27/01/2020"</f>
        <v>27/01/2020</v>
      </c>
      <c r="M882" s="2" t="str">
        <f>"11/02/2020"</f>
        <v>11/02/2020</v>
      </c>
      <c r="N882" s="2">
        <v>851.08</v>
      </c>
      <c r="O882" s="2">
        <v>851.08</v>
      </c>
      <c r="P882" s="2">
        <v>0</v>
      </c>
    </row>
    <row r="883" spans="1:16" s="2" customFormat="1" x14ac:dyDescent="0.25">
      <c r="A883" s="2">
        <v>45462208</v>
      </c>
      <c r="B883" s="2">
        <v>45462215</v>
      </c>
      <c r="C883" s="2" t="str">
        <f>"UNIMEDSJN"</f>
        <v>UNIMEDSJN</v>
      </c>
      <c r="D883" s="2" t="str">
        <f>"DH"</f>
        <v>DH</v>
      </c>
      <c r="E883" s="2" t="str">
        <f>"TEREZINHA DE JESUS PACHECO"</f>
        <v>TEREZINHA DE JESUS PACHECO</v>
      </c>
      <c r="F883" s="2" t="str">
        <f>"45462208-1/1"</f>
        <v>45462208-1/1</v>
      </c>
      <c r="G883" s="2" t="str">
        <f>"Carteira 21"</f>
        <v>Carteira 21</v>
      </c>
      <c r="H883" s="2">
        <v>24</v>
      </c>
      <c r="I883" s="3">
        <v>171</v>
      </c>
      <c r="J883" s="2" t="str">
        <f>"01/10/2019"</f>
        <v>01/10/2019</v>
      </c>
      <c r="K883" s="2" t="str">
        <f>"25/10/2019"</f>
        <v>25/10/2019</v>
      </c>
      <c r="L883" s="2" t="str">
        <f>"06/02/2020"</f>
        <v>06/02/2020</v>
      </c>
      <c r="M883" s="2" t="str">
        <f>"07/02/2020"</f>
        <v>07/02/2020</v>
      </c>
      <c r="N883" s="2">
        <v>1188.5899999999999</v>
      </c>
      <c r="O883" s="2">
        <v>1253.1500000000001</v>
      </c>
      <c r="P883" s="2">
        <v>0.40999999999985398</v>
      </c>
    </row>
    <row r="884" spans="1:16" s="2" customFormat="1" x14ac:dyDescent="0.25">
      <c r="A884" s="2">
        <v>45925682</v>
      </c>
      <c r="B884" s="2">
        <v>45925689</v>
      </c>
      <c r="C884" s="2" t="str">
        <f>"UNIMEDSJN"</f>
        <v>UNIMEDSJN</v>
      </c>
      <c r="D884" s="2" t="str">
        <f>"DH"</f>
        <v>DH</v>
      </c>
      <c r="E884" s="2" t="str">
        <f>"TEREZINHA DE JESUS PACHECO"</f>
        <v>TEREZINHA DE JESUS PACHECO</v>
      </c>
      <c r="F884" s="2" t="str">
        <f>"45925682-1/1"</f>
        <v>45925682-1/1</v>
      </c>
      <c r="G884" s="2" t="str">
        <f>"Carteira 21"</f>
        <v>Carteira 21</v>
      </c>
      <c r="H884" s="2">
        <v>24</v>
      </c>
      <c r="I884" s="3">
        <v>140</v>
      </c>
      <c r="J884" s="2" t="str">
        <f>"01/11/2019"</f>
        <v>01/11/2019</v>
      </c>
      <c r="K884" s="2" t="str">
        <f>"25/11/2019"</f>
        <v>25/11/2019</v>
      </c>
      <c r="L884" s="2" t="str">
        <f>"06/02/2020"</f>
        <v>06/02/2020</v>
      </c>
      <c r="M884" s="2" t="str">
        <f>"07/02/2020"</f>
        <v>07/02/2020</v>
      </c>
      <c r="N884" s="2">
        <v>1188.5899999999999</v>
      </c>
      <c r="O884" s="2">
        <v>1240.99</v>
      </c>
      <c r="P884" s="2">
        <v>0.28999999999996401</v>
      </c>
    </row>
    <row r="885" spans="1:16" s="2" customFormat="1" x14ac:dyDescent="0.25">
      <c r="A885" s="2">
        <v>47508199</v>
      </c>
      <c r="B885" s="2">
        <v>47508206</v>
      </c>
      <c r="C885" s="2" t="str">
        <f>"UNIMEDSJN"</f>
        <v>UNIMEDSJN</v>
      </c>
      <c r="D885" s="2" t="str">
        <f>"DH"</f>
        <v>DH</v>
      </c>
      <c r="E885" s="2" t="str">
        <f>"TEREZINHA DE JESUS PACHECO"</f>
        <v>TEREZINHA DE JESUS PACHECO</v>
      </c>
      <c r="F885" s="2" t="str">
        <f>"47508199-1/1"</f>
        <v>47508199-1/1</v>
      </c>
      <c r="G885" s="2" t="str">
        <f>"Carteira 21"</f>
        <v>Carteira 21</v>
      </c>
      <c r="H885" s="2">
        <v>24</v>
      </c>
      <c r="I885" s="3">
        <v>110</v>
      </c>
      <c r="J885" s="2" t="str">
        <f>"01/12/2019"</f>
        <v>01/12/2019</v>
      </c>
      <c r="K885" s="2" t="str">
        <f>"25/12/2019"</f>
        <v>25/12/2019</v>
      </c>
      <c r="L885" s="2" t="str">
        <f>"03/04/2020"</f>
        <v>03/04/2020</v>
      </c>
      <c r="M885" s="2" t="str">
        <f>"06/04/2020"</f>
        <v>06/04/2020</v>
      </c>
      <c r="N885" s="2">
        <v>1188.5899999999999</v>
      </c>
      <c r="O885" s="2">
        <v>1251.58</v>
      </c>
      <c r="P885" s="2">
        <v>0.400000000000091</v>
      </c>
    </row>
    <row r="886" spans="1:16" s="2" customFormat="1" x14ac:dyDescent="0.25">
      <c r="A886" s="2">
        <v>48584864</v>
      </c>
      <c r="B886" s="2">
        <v>48584871</v>
      </c>
      <c r="C886" s="2" t="str">
        <f>"UNIMEDSJN"</f>
        <v>UNIMEDSJN</v>
      </c>
      <c r="D886" s="2" t="str">
        <f>"DH"</f>
        <v>DH</v>
      </c>
      <c r="E886" s="2" t="str">
        <f>"TEREZINHA DE JESUS PACHECO"</f>
        <v>TEREZINHA DE JESUS PACHECO</v>
      </c>
      <c r="F886" s="2" t="str">
        <f>"48584864-1/1"</f>
        <v>48584864-1/1</v>
      </c>
      <c r="G886" s="2" t="str">
        <f>"Carteira 21"</f>
        <v>Carteira 21</v>
      </c>
      <c r="H886" s="2">
        <v>23</v>
      </c>
      <c r="I886" s="3">
        <v>79</v>
      </c>
      <c r="J886" s="2" t="str">
        <f>"02/01/2020"</f>
        <v>02/01/2020</v>
      </c>
      <c r="K886" s="2" t="str">
        <f>"25/01/2020"</f>
        <v>25/01/2020</v>
      </c>
      <c r="L886" s="2" t="str">
        <f>"03/04/2020"</f>
        <v>03/04/2020</v>
      </c>
      <c r="M886" s="2" t="str">
        <f>"06/04/2020"</f>
        <v>06/04/2020</v>
      </c>
      <c r="N886" s="2">
        <v>1188.5899999999999</v>
      </c>
      <c r="O886" s="2">
        <v>1238.6400000000001</v>
      </c>
      <c r="P886" s="2">
        <v>1.0599999999997201</v>
      </c>
    </row>
    <row r="887" spans="1:16" s="2" customFormat="1" x14ac:dyDescent="0.25">
      <c r="A887" s="2">
        <v>48575290</v>
      </c>
      <c r="B887" s="2">
        <v>48575301</v>
      </c>
      <c r="C887" s="2" t="str">
        <f>"UNIMEDSJN"</f>
        <v>UNIMEDSJN</v>
      </c>
      <c r="D887" s="2" t="str">
        <f>"DH"</f>
        <v>DH</v>
      </c>
      <c r="E887" s="2" t="str">
        <f>"Thais Batitucci Oliveira Guimaraes"</f>
        <v>Thais Batitucci Oliveira Guimaraes</v>
      </c>
      <c r="F887" s="2" t="str">
        <f>"48575290-1/1"</f>
        <v>48575290-1/1</v>
      </c>
      <c r="G887" s="2" t="str">
        <f>"Carteira 21"</f>
        <v>Carteira 21</v>
      </c>
      <c r="H887" s="2">
        <v>23</v>
      </c>
      <c r="I887" s="3">
        <v>79</v>
      </c>
      <c r="J887" s="2" t="str">
        <f>"02/01/2020"</f>
        <v>02/01/2020</v>
      </c>
      <c r="K887" s="2" t="str">
        <f>"25/01/2020"</f>
        <v>25/01/2020</v>
      </c>
      <c r="L887" s="2" t="str">
        <f>"20/02/2020"</f>
        <v>20/02/2020</v>
      </c>
      <c r="M887" s="2" t="str">
        <f>"21/02/2020"</f>
        <v>21/02/2020</v>
      </c>
      <c r="N887" s="2">
        <v>96.89</v>
      </c>
      <c r="O887" s="2">
        <v>99.6</v>
      </c>
      <c r="P887" s="2">
        <v>6.9999999999993207E-2</v>
      </c>
    </row>
    <row r="888" spans="1:16" s="2" customFormat="1" x14ac:dyDescent="0.25">
      <c r="A888" s="2">
        <v>47503274</v>
      </c>
      <c r="B888" s="2">
        <v>47503281</v>
      </c>
      <c r="C888" s="2" t="str">
        <f>"UNIMEDSJN"</f>
        <v>UNIMEDSJN</v>
      </c>
      <c r="D888" s="2" t="str">
        <f>"DH"</f>
        <v>DH</v>
      </c>
      <c r="E888" s="2" t="str">
        <f>"THAIS MENDONCA MAGALHAES"</f>
        <v>THAIS MENDONCA MAGALHAES</v>
      </c>
      <c r="F888" s="2" t="str">
        <f>"47503274-1/1"</f>
        <v>47503274-1/1</v>
      </c>
      <c r="G888" s="2" t="str">
        <f>"Carteira 21"</f>
        <v>Carteira 21</v>
      </c>
      <c r="H888" s="2">
        <v>24</v>
      </c>
      <c r="I888" s="3">
        <v>110</v>
      </c>
      <c r="J888" s="2" t="str">
        <f>"01/12/2019"</f>
        <v>01/12/2019</v>
      </c>
      <c r="K888" s="2" t="str">
        <f>"25/12/2019"</f>
        <v>25/12/2019</v>
      </c>
      <c r="L888" s="2" t="str">
        <f>"21/02/2020"</f>
        <v>21/02/2020</v>
      </c>
      <c r="M888" s="2" t="str">
        <f>"24/02/2020"</f>
        <v>24/02/2020</v>
      </c>
      <c r="N888" s="2">
        <v>150.18</v>
      </c>
      <c r="O888" s="2">
        <v>156.05000000000001</v>
      </c>
      <c r="P888" s="2">
        <v>3.0000000000001099E-2</v>
      </c>
    </row>
    <row r="889" spans="1:16" s="2" customFormat="1" x14ac:dyDescent="0.25">
      <c r="A889" s="2">
        <v>48576823</v>
      </c>
      <c r="B889" s="2">
        <v>48576833</v>
      </c>
      <c r="C889" s="2" t="str">
        <f>"UNIMEDSJN"</f>
        <v>UNIMEDSJN</v>
      </c>
      <c r="D889" s="2" t="str">
        <f>"DH"</f>
        <v>DH</v>
      </c>
      <c r="E889" s="2" t="str">
        <f>"THAIS MENDONCA MAGALHAES"</f>
        <v>THAIS MENDONCA MAGALHAES</v>
      </c>
      <c r="F889" s="2" t="str">
        <f>"48576823-1/1"</f>
        <v>48576823-1/1</v>
      </c>
      <c r="G889" s="2" t="str">
        <f>"Carteira 21"</f>
        <v>Carteira 21</v>
      </c>
      <c r="H889" s="2">
        <v>23</v>
      </c>
      <c r="I889" s="3">
        <v>79</v>
      </c>
      <c r="J889" s="2" t="str">
        <f>"02/01/2020"</f>
        <v>02/01/2020</v>
      </c>
      <c r="K889" s="2" t="str">
        <f>"25/01/2020"</f>
        <v>25/01/2020</v>
      </c>
      <c r="L889" s="2" t="str">
        <f>"05/03/2020"</f>
        <v>05/03/2020</v>
      </c>
      <c r="M889" s="2" t="str">
        <f>"06/03/2020"</f>
        <v>06/03/2020</v>
      </c>
      <c r="N889" s="2">
        <v>150.18</v>
      </c>
      <c r="O889" s="2">
        <v>155.06</v>
      </c>
      <c r="P889" s="2">
        <v>0.12000000000000501</v>
      </c>
    </row>
    <row r="890" spans="1:16" s="2" customFormat="1" x14ac:dyDescent="0.25">
      <c r="A890" s="2">
        <v>45465164</v>
      </c>
      <c r="B890" s="2">
        <v>45465169</v>
      </c>
      <c r="C890" s="2" t="str">
        <f>"UNIMEDSJN"</f>
        <v>UNIMEDSJN</v>
      </c>
      <c r="D890" s="2" t="str">
        <f>"DH"</f>
        <v>DH</v>
      </c>
      <c r="E890" s="2" t="str">
        <f>"Thais Noemia de Souza Ricci"</f>
        <v>Thais Noemia de Souza Ricci</v>
      </c>
      <c r="F890" s="2" t="str">
        <f>"45465164-1/1"</f>
        <v>45465164-1/1</v>
      </c>
      <c r="G890" s="2" t="str">
        <f>"Carteira 21"</f>
        <v>Carteira 21</v>
      </c>
      <c r="H890" s="2">
        <v>24</v>
      </c>
      <c r="I890" s="3">
        <v>171</v>
      </c>
      <c r="J890" s="2" t="str">
        <f>"01/10/2019"</f>
        <v>01/10/2019</v>
      </c>
      <c r="K890" s="2" t="str">
        <f>"25/10/2019"</f>
        <v>25/10/2019</v>
      </c>
      <c r="L890" s="2" t="str">
        <f>"25/10/2019"</f>
        <v>25/10/2019</v>
      </c>
      <c r="M890" s="2" t="str">
        <f>"27/09/2019"</f>
        <v>27/09/2019</v>
      </c>
      <c r="N890" s="2">
        <v>259.66000000000003</v>
      </c>
      <c r="O890" s="2">
        <v>259.66000000000003</v>
      </c>
      <c r="P890" s="2">
        <v>0</v>
      </c>
    </row>
    <row r="891" spans="1:16" s="2" customFormat="1" x14ac:dyDescent="0.25">
      <c r="A891" s="2">
        <v>45929259</v>
      </c>
      <c r="B891" s="2">
        <v>45929264</v>
      </c>
      <c r="C891" s="2" t="str">
        <f>"UNIMEDSJN"</f>
        <v>UNIMEDSJN</v>
      </c>
      <c r="D891" s="2" t="str">
        <f>"DH"</f>
        <v>DH</v>
      </c>
      <c r="E891" s="2" t="str">
        <f>"Thais Noemia de Souza Ricci"</f>
        <v>Thais Noemia de Souza Ricci</v>
      </c>
      <c r="F891" s="2" t="str">
        <f>"45929259-1/1"</f>
        <v>45929259-1/1</v>
      </c>
      <c r="G891" s="2" t="str">
        <f>"Carteira 21"</f>
        <v>Carteira 21</v>
      </c>
      <c r="H891" s="2">
        <v>24</v>
      </c>
      <c r="I891" s="3">
        <v>140</v>
      </c>
      <c r="J891" s="2" t="str">
        <f>"01/11/2019"</f>
        <v>01/11/2019</v>
      </c>
      <c r="K891" s="2" t="str">
        <f>"25/11/2019"</f>
        <v>25/11/2019</v>
      </c>
      <c r="L891" s="2" t="str">
        <f>"25/11/2019"</f>
        <v>25/11/2019</v>
      </c>
      <c r="M891" s="2" t="str">
        <f>"31/10/2019"</f>
        <v>31/10/2019</v>
      </c>
      <c r="N891" s="2">
        <v>259.66000000000003</v>
      </c>
      <c r="O891" s="2">
        <v>259.66000000000003</v>
      </c>
      <c r="P891" s="2">
        <v>0</v>
      </c>
    </row>
    <row r="892" spans="1:16" s="2" customFormat="1" x14ac:dyDescent="0.25">
      <c r="A892" s="2">
        <v>47511241</v>
      </c>
      <c r="B892" s="2">
        <v>47511251</v>
      </c>
      <c r="C892" s="2" t="str">
        <f>"UNIMEDSJN"</f>
        <v>UNIMEDSJN</v>
      </c>
      <c r="D892" s="2" t="str">
        <f>"DH"</f>
        <v>DH</v>
      </c>
      <c r="E892" s="2" t="str">
        <f>"Thais Noemia de Souza Ricci"</f>
        <v>Thais Noemia de Souza Ricci</v>
      </c>
      <c r="F892" s="2" t="str">
        <f>"47511241-1/1"</f>
        <v>47511241-1/1</v>
      </c>
      <c r="G892" s="2" t="str">
        <f>"Carteira 21"</f>
        <v>Carteira 21</v>
      </c>
      <c r="H892" s="2">
        <v>24</v>
      </c>
      <c r="I892" s="3">
        <v>110</v>
      </c>
      <c r="J892" s="2" t="str">
        <f>"01/12/2019"</f>
        <v>01/12/2019</v>
      </c>
      <c r="K892" s="2" t="str">
        <f>"25/12/2019"</f>
        <v>25/12/2019</v>
      </c>
      <c r="L892" s="2" t="str">
        <f>"25/12/2019"</f>
        <v>25/12/2019</v>
      </c>
      <c r="M892" s="2" t="str">
        <f>"28/11/2019"</f>
        <v>28/11/2019</v>
      </c>
      <c r="N892" s="2">
        <v>259.66000000000003</v>
      </c>
      <c r="O892" s="2">
        <v>259.66000000000003</v>
      </c>
      <c r="P892" s="2">
        <v>0</v>
      </c>
    </row>
    <row r="893" spans="1:16" s="2" customFormat="1" x14ac:dyDescent="0.25">
      <c r="A893" s="2">
        <v>48586368</v>
      </c>
      <c r="B893" s="2">
        <v>48586373</v>
      </c>
      <c r="C893" s="2" t="str">
        <f>"UNIMEDSJN"</f>
        <v>UNIMEDSJN</v>
      </c>
      <c r="D893" s="2" t="str">
        <f>"DH"</f>
        <v>DH</v>
      </c>
      <c r="E893" s="2" t="str">
        <f>"Thais Noemia de Souza Ricci"</f>
        <v>Thais Noemia de Souza Ricci</v>
      </c>
      <c r="F893" s="2" t="str">
        <f>"48586368-1/1"</f>
        <v>48586368-1/1</v>
      </c>
      <c r="G893" s="2" t="str">
        <f>"Carteira 21"</f>
        <v>Carteira 21</v>
      </c>
      <c r="H893" s="2">
        <v>23</v>
      </c>
      <c r="I893" s="3">
        <v>79</v>
      </c>
      <c r="J893" s="2" t="str">
        <f>"02/01/2020"</f>
        <v>02/01/2020</v>
      </c>
      <c r="K893" s="2" t="str">
        <f>"25/01/2020"</f>
        <v>25/01/2020</v>
      </c>
      <c r="L893" s="2" t="str">
        <f>"27/01/2020"</f>
        <v>27/01/2020</v>
      </c>
      <c r="M893" s="2" t="str">
        <f>"27/12/2019"</f>
        <v>27/12/2019</v>
      </c>
      <c r="N893" s="2">
        <v>259.66000000000003</v>
      </c>
      <c r="O893" s="2">
        <v>259.66000000000003</v>
      </c>
      <c r="P893" s="2">
        <v>0</v>
      </c>
    </row>
    <row r="894" spans="1:16" s="2" customFormat="1" x14ac:dyDescent="0.25">
      <c r="A894" s="2">
        <v>47497507</v>
      </c>
      <c r="B894" s="2">
        <v>47497533</v>
      </c>
      <c r="C894" s="2" t="str">
        <f>"UNIMEDSJN"</f>
        <v>UNIMEDSJN</v>
      </c>
      <c r="D894" s="2" t="str">
        <f>"DH"</f>
        <v>DH</v>
      </c>
      <c r="E894" s="2" t="str">
        <f>"Thaize Almeida Kaizer Rossignoli"</f>
        <v>Thaize Almeida Kaizer Rossignoli</v>
      </c>
      <c r="F894" s="2" t="str">
        <f>"47497507-1/1"</f>
        <v>47497507-1/1</v>
      </c>
      <c r="G894" s="2" t="str">
        <f>"Carteira 21"</f>
        <v>Carteira 21</v>
      </c>
      <c r="H894" s="2">
        <v>44</v>
      </c>
      <c r="I894" s="3">
        <v>90</v>
      </c>
      <c r="J894" s="2" t="str">
        <f>"01/12/2019"</f>
        <v>01/12/2019</v>
      </c>
      <c r="K894" s="2" t="str">
        <f>"14/01/2020"</f>
        <v>14/01/2020</v>
      </c>
      <c r="L894" s="2" t="str">
        <f>"05/03/2020"</f>
        <v>05/03/2020</v>
      </c>
      <c r="M894" s="2" t="str">
        <f>"06/03/2020"</f>
        <v>06/03/2020</v>
      </c>
      <c r="N894" s="2">
        <v>312.85000000000002</v>
      </c>
      <c r="O894" s="2">
        <v>327.37</v>
      </c>
      <c r="P894" s="2">
        <v>-2.94</v>
      </c>
    </row>
    <row r="895" spans="1:16" s="2" customFormat="1" x14ac:dyDescent="0.25">
      <c r="A895" s="2">
        <v>48571540</v>
      </c>
      <c r="B895" s="2">
        <v>48571552</v>
      </c>
      <c r="C895" s="2" t="str">
        <f>"UNIMEDSJN"</f>
        <v>UNIMEDSJN</v>
      </c>
      <c r="D895" s="2" t="str">
        <f>"DH"</f>
        <v>DH</v>
      </c>
      <c r="E895" s="2" t="str">
        <f>"Thaize Almeida Kaizer Rossignoli"</f>
        <v>Thaize Almeida Kaizer Rossignoli</v>
      </c>
      <c r="F895" s="2" t="str">
        <f>"48571540-1/1"</f>
        <v>48571540-1/1</v>
      </c>
      <c r="G895" s="2" t="str">
        <f>"Carteira 21"</f>
        <v>Carteira 21</v>
      </c>
      <c r="H895" s="2">
        <v>13</v>
      </c>
      <c r="I895" s="3">
        <v>89</v>
      </c>
      <c r="J895" s="2" t="str">
        <f>"02/01/2020"</f>
        <v>02/01/2020</v>
      </c>
      <c r="K895" s="2" t="str">
        <f>"15/01/2020"</f>
        <v>15/01/2020</v>
      </c>
      <c r="L895" s="2" t="str">
        <f>"15/01/2020"</f>
        <v>15/01/2020</v>
      </c>
      <c r="M895" s="2" t="str">
        <f>"27/12/2019"</f>
        <v>27/12/2019</v>
      </c>
      <c r="N895" s="2">
        <v>312.85000000000002</v>
      </c>
      <c r="O895" s="2">
        <v>312.85000000000002</v>
      </c>
      <c r="P895" s="2">
        <v>0</v>
      </c>
    </row>
    <row r="896" spans="1:16" s="2" customFormat="1" x14ac:dyDescent="0.25">
      <c r="A896" s="2">
        <v>48582291</v>
      </c>
      <c r="B896" s="2">
        <v>48582296</v>
      </c>
      <c r="C896" s="2" t="str">
        <f>"UNIMEDSJN"</f>
        <v>UNIMEDSJN</v>
      </c>
      <c r="D896" s="2" t="str">
        <f>"DH"</f>
        <v>DH</v>
      </c>
      <c r="E896" s="2" t="str">
        <f>"Thalita Rocha de Souza"</f>
        <v>Thalita Rocha de Souza</v>
      </c>
      <c r="F896" s="2" t="str">
        <f>"48582291-1/1"</f>
        <v>48582291-1/1</v>
      </c>
      <c r="G896" s="2" t="str">
        <f>"Carteira 21"</f>
        <v>Carteira 21</v>
      </c>
      <c r="H896" s="2">
        <v>23</v>
      </c>
      <c r="I896" s="3">
        <v>79</v>
      </c>
      <c r="J896" s="2" t="str">
        <f>"02/01/2020"</f>
        <v>02/01/2020</v>
      </c>
      <c r="K896" s="2" t="str">
        <f>"25/01/2020"</f>
        <v>25/01/2020</v>
      </c>
      <c r="L896" s="2" t="str">
        <f>"13/02/2020"</f>
        <v>13/02/2020</v>
      </c>
      <c r="M896" s="2" t="str">
        <f>"14/02/2020"</f>
        <v>14/02/2020</v>
      </c>
      <c r="N896" s="2">
        <v>178.59</v>
      </c>
      <c r="O896" s="2">
        <v>183.16</v>
      </c>
      <c r="P896" s="2">
        <v>0.12999999999999501</v>
      </c>
    </row>
    <row r="897" spans="1:16" s="2" customFormat="1" x14ac:dyDescent="0.25">
      <c r="A897" s="2">
        <v>48575153</v>
      </c>
      <c r="B897" s="2">
        <v>48575175</v>
      </c>
      <c r="C897" s="2" t="str">
        <f>"UNIMEDSJN"</f>
        <v>UNIMEDSJN</v>
      </c>
      <c r="D897" s="2" t="str">
        <f>"DH"</f>
        <v>DH</v>
      </c>
      <c r="E897" s="2" t="str">
        <f>"Thamires Andiara Fernandes da Silva"</f>
        <v>Thamires Andiara Fernandes da Silva</v>
      </c>
      <c r="F897" s="2" t="str">
        <f>"48575153-1/1"</f>
        <v>48575153-1/1</v>
      </c>
      <c r="G897" s="2" t="str">
        <f>"Carteira 21"</f>
        <v>Carteira 21</v>
      </c>
      <c r="H897" s="2">
        <v>13</v>
      </c>
      <c r="I897" s="3">
        <v>89</v>
      </c>
      <c r="J897" s="2" t="str">
        <f>"02/01/2020"</f>
        <v>02/01/2020</v>
      </c>
      <c r="K897" s="2" t="str">
        <f>"15/01/2020"</f>
        <v>15/01/2020</v>
      </c>
      <c r="L897" s="2" t="str">
        <f>"10/02/2020"</f>
        <v>10/02/2020</v>
      </c>
      <c r="M897" s="2" t="str">
        <f>"11/02/2020"</f>
        <v>11/02/2020</v>
      </c>
      <c r="N897" s="2">
        <v>75.900000000000006</v>
      </c>
      <c r="O897" s="2">
        <v>78.069999999999993</v>
      </c>
      <c r="P897" s="2">
        <v>1.00000000000051E-2</v>
      </c>
    </row>
    <row r="898" spans="1:16" s="2" customFormat="1" x14ac:dyDescent="0.25">
      <c r="A898" s="2">
        <v>47510188</v>
      </c>
      <c r="B898" s="2">
        <v>47510193</v>
      </c>
      <c r="C898" s="2" t="str">
        <f>"UNIMEDSJN"</f>
        <v>UNIMEDSJN</v>
      </c>
      <c r="D898" s="2" t="str">
        <f>"DH"</f>
        <v>DH</v>
      </c>
      <c r="E898" s="2" t="str">
        <f>"Thayze Cristina Pereira de Morais"</f>
        <v>Thayze Cristina Pereira de Morais</v>
      </c>
      <c r="F898" s="2" t="str">
        <f>"47510188-1/1"</f>
        <v>47510188-1/1</v>
      </c>
      <c r="G898" s="2" t="str">
        <f>"Carteira 21"</f>
        <v>Carteira 21</v>
      </c>
      <c r="H898" s="2">
        <v>24</v>
      </c>
      <c r="I898" s="3">
        <v>110</v>
      </c>
      <c r="J898" s="2" t="str">
        <f>"01/12/2019"</f>
        <v>01/12/2019</v>
      </c>
      <c r="K898" s="2" t="str">
        <f>"25/12/2019"</f>
        <v>25/12/2019</v>
      </c>
      <c r="L898" s="2" t="str">
        <f>"13/03/2020"</f>
        <v>13/03/2020</v>
      </c>
      <c r="M898" s="2" t="str">
        <f>"16/03/2020"</f>
        <v>16/03/2020</v>
      </c>
      <c r="N898" s="2">
        <v>186.9</v>
      </c>
      <c r="O898" s="2">
        <v>195.51</v>
      </c>
      <c r="P898" s="2">
        <v>5.0000000000011403E-2</v>
      </c>
    </row>
    <row r="899" spans="1:16" x14ac:dyDescent="0.25">
      <c r="A899">
        <v>48793942</v>
      </c>
      <c r="B899">
        <v>48793954</v>
      </c>
      <c r="C899" t="str">
        <f>"UNIMEDSJN"</f>
        <v>UNIMEDSJN</v>
      </c>
      <c r="D899" t="str">
        <f>"DH"</f>
        <v>DH</v>
      </c>
      <c r="E899" t="str">
        <f>"Theophilo de Araujo Netto"</f>
        <v>Theophilo de Araujo Netto</v>
      </c>
      <c r="F899" t="str">
        <f>"48793942-1/1"</f>
        <v>48793942-1/1</v>
      </c>
      <c r="G899" t="str">
        <f>"Carteira 21"</f>
        <v>Carteira 21</v>
      </c>
      <c r="H899">
        <v>37</v>
      </c>
      <c r="I899" s="1">
        <v>47</v>
      </c>
      <c r="J899" t="str">
        <f>"20/01/2020"</f>
        <v>20/01/2020</v>
      </c>
      <c r="K899" t="str">
        <f>"26/02/2020"</f>
        <v>26/02/2020</v>
      </c>
      <c r="L899" t="str">
        <f>"26/02/2020"</f>
        <v>26/02/2020</v>
      </c>
      <c r="M899" t="str">
        <f>"07/02/2020"</f>
        <v>07/02/2020</v>
      </c>
      <c r="N899">
        <v>1527.48</v>
      </c>
      <c r="O899">
        <v>1527.48</v>
      </c>
      <c r="P899">
        <v>0</v>
      </c>
    </row>
    <row r="900" spans="1:16" s="2" customFormat="1" x14ac:dyDescent="0.25">
      <c r="A900" s="2">
        <v>48803516</v>
      </c>
      <c r="B900" s="2">
        <v>48803523</v>
      </c>
      <c r="C900" s="2" t="str">
        <f>"UNIMEDSJN"</f>
        <v>UNIMEDSJN</v>
      </c>
      <c r="D900" s="2" t="str">
        <f>"DH"</f>
        <v>DH</v>
      </c>
      <c r="E900" s="2" t="str">
        <f>"Thifany Valente Araujo"</f>
        <v>Thifany Valente Araujo</v>
      </c>
      <c r="F900" s="2" t="str">
        <f>"48803516-1/1"</f>
        <v>48803516-1/1</v>
      </c>
      <c r="G900" s="2" t="str">
        <f>"Carteira 21"</f>
        <v>Carteira 21</v>
      </c>
      <c r="H900" s="2">
        <v>4</v>
      </c>
      <c r="I900" s="3">
        <v>79</v>
      </c>
      <c r="J900" s="2" t="str">
        <f>"21/01/2020"</f>
        <v>21/01/2020</v>
      </c>
      <c r="K900" s="2" t="str">
        <f>"25/01/2020"</f>
        <v>25/01/2020</v>
      </c>
      <c r="L900" s="2" t="str">
        <f>"27/01/2020"</f>
        <v>27/01/2020</v>
      </c>
      <c r="M900" s="2" t="str">
        <f>"21/01/2020"</f>
        <v>21/01/2020</v>
      </c>
      <c r="N900" s="2">
        <v>357.02</v>
      </c>
      <c r="O900" s="2">
        <v>357.02</v>
      </c>
      <c r="P900" s="2">
        <v>0</v>
      </c>
    </row>
    <row r="901" spans="1:16" s="2" customFormat="1" x14ac:dyDescent="0.25">
      <c r="A901" s="2">
        <v>48586604</v>
      </c>
      <c r="B901" s="2">
        <v>48586613</v>
      </c>
      <c r="C901" s="2" t="str">
        <f>"UNIMEDSJN"</f>
        <v>UNIMEDSJN</v>
      </c>
      <c r="D901" s="2" t="str">
        <f>"DH"</f>
        <v>DH</v>
      </c>
      <c r="E901" s="2" t="str">
        <f>"Tiago de Oliveira Pinto"</f>
        <v>Tiago de Oliveira Pinto</v>
      </c>
      <c r="F901" s="2" t="str">
        <f>"48586604-1/1"</f>
        <v>48586604-1/1</v>
      </c>
      <c r="G901" s="2" t="str">
        <f>"Carteira 21"</f>
        <v>Carteira 21</v>
      </c>
      <c r="H901" s="2">
        <v>37</v>
      </c>
      <c r="I901" s="3">
        <v>65</v>
      </c>
      <c r="J901" s="2" t="str">
        <f>"02/01/2020"</f>
        <v>02/01/2020</v>
      </c>
      <c r="K901" s="2" t="str">
        <f>"08/02/2020"</f>
        <v>08/02/2020</v>
      </c>
      <c r="L901" s="2" t="str">
        <f>"10/02/2020"</f>
        <v>10/02/2020</v>
      </c>
      <c r="M901" s="2" t="str">
        <f>"11/02/2020"</f>
        <v>11/02/2020</v>
      </c>
      <c r="N901" s="2">
        <v>173.03</v>
      </c>
      <c r="O901" s="2">
        <v>173.03</v>
      </c>
      <c r="P901" s="2">
        <v>0</v>
      </c>
    </row>
    <row r="902" spans="1:16" s="2" customFormat="1" x14ac:dyDescent="0.25">
      <c r="A902" s="2">
        <v>48581874</v>
      </c>
      <c r="B902" s="2">
        <v>48582138</v>
      </c>
      <c r="C902" s="2" t="str">
        <f>"UNIMEDSJN"</f>
        <v>UNIMEDSJN</v>
      </c>
      <c r="D902" s="2" t="str">
        <f>"DH"</f>
        <v>DH</v>
      </c>
      <c r="E902" s="2" t="str">
        <f>"Valdecir Alves Costa"</f>
        <v>Valdecir Alves Costa</v>
      </c>
      <c r="F902" s="2" t="str">
        <f>"48581874-1/1"</f>
        <v>48581874-1/1</v>
      </c>
      <c r="G902" s="2" t="str">
        <f>"Carteira 21"</f>
        <v>Carteira 21</v>
      </c>
      <c r="H902" s="2">
        <v>23</v>
      </c>
      <c r="I902" s="3">
        <v>79</v>
      </c>
      <c r="J902" s="2" t="str">
        <f>"02/01/2020"</f>
        <v>02/01/2020</v>
      </c>
      <c r="K902" s="2" t="str">
        <f>"25/01/2020"</f>
        <v>25/01/2020</v>
      </c>
      <c r="L902" s="2" t="str">
        <f>"28/02/2020"</f>
        <v>28/02/2020</v>
      </c>
      <c r="M902" s="2" t="str">
        <f>"13/03/2020"</f>
        <v>13/03/2020</v>
      </c>
      <c r="N902" s="2">
        <v>187.59</v>
      </c>
      <c r="O902" s="2">
        <v>193.32</v>
      </c>
      <c r="P902" s="2">
        <v>0.15000000000000599</v>
      </c>
    </row>
    <row r="903" spans="1:16" s="2" customFormat="1" x14ac:dyDescent="0.25">
      <c r="A903" s="2">
        <v>48586425</v>
      </c>
      <c r="B903" s="2">
        <v>48586430</v>
      </c>
      <c r="C903" s="2" t="str">
        <f>"UNIMEDSJN"</f>
        <v>UNIMEDSJN</v>
      </c>
      <c r="D903" s="2" t="str">
        <f>"DH"</f>
        <v>DH</v>
      </c>
      <c r="E903" s="2" t="str">
        <f>"Vanessa Cacador dos Santos"</f>
        <v>Vanessa Cacador dos Santos</v>
      </c>
      <c r="F903" s="2" t="str">
        <f>"48586425-1/1"</f>
        <v>48586425-1/1</v>
      </c>
      <c r="G903" s="2" t="str">
        <f>"Carteira 21"</f>
        <v>Carteira 21</v>
      </c>
      <c r="H903" s="2">
        <v>23</v>
      </c>
      <c r="I903" s="3">
        <v>79</v>
      </c>
      <c r="J903" s="2" t="str">
        <f>"02/01/2020"</f>
        <v>02/01/2020</v>
      </c>
      <c r="K903" s="2" t="str">
        <f>"25/01/2020"</f>
        <v>25/01/2020</v>
      </c>
      <c r="L903" s="2" t="str">
        <f>"27/01/2020"</f>
        <v>27/01/2020</v>
      </c>
      <c r="M903" s="2" t="str">
        <f>"27/12/2019"</f>
        <v>27/12/2019</v>
      </c>
      <c r="N903" s="2">
        <v>241.88</v>
      </c>
      <c r="O903" s="2">
        <v>241.88</v>
      </c>
      <c r="P903" s="2">
        <v>0</v>
      </c>
    </row>
    <row r="904" spans="1:16" s="2" customFormat="1" x14ac:dyDescent="0.25">
      <c r="A904" s="2">
        <v>47490389</v>
      </c>
      <c r="B904" s="2">
        <v>47490398</v>
      </c>
      <c r="C904" s="2" t="str">
        <f>"UNIMEDSJN"</f>
        <v>UNIMEDSJN</v>
      </c>
      <c r="D904" s="2" t="str">
        <f>"DH"</f>
        <v>DH</v>
      </c>
      <c r="E904" s="2" t="str">
        <f>"VICENTE DE PAULA DESSUPOIO"</f>
        <v>VICENTE DE PAULA DESSUPOIO</v>
      </c>
      <c r="F904" s="2" t="str">
        <f>"47490389-1/1"</f>
        <v>47490389-1/1</v>
      </c>
      <c r="G904" s="2" t="str">
        <f>"Carteira 21"</f>
        <v>Carteira 21</v>
      </c>
      <c r="H904" s="2">
        <v>17</v>
      </c>
      <c r="I904" s="3">
        <v>117</v>
      </c>
      <c r="J904" s="2" t="str">
        <f>"01/12/2019"</f>
        <v>01/12/2019</v>
      </c>
      <c r="K904" s="2" t="str">
        <f>"18/12/2019"</f>
        <v>18/12/2019</v>
      </c>
      <c r="L904" s="2" t="str">
        <f>"18/02/2020"</f>
        <v>18/02/2020</v>
      </c>
      <c r="M904" s="2" t="str">
        <f>"19/02/2020"</f>
        <v>19/02/2020</v>
      </c>
      <c r="N904" s="2">
        <v>694.9</v>
      </c>
      <c r="O904" s="2">
        <v>723.02</v>
      </c>
      <c r="P904" s="2">
        <v>0.139999999999986</v>
      </c>
    </row>
    <row r="905" spans="1:16" s="2" customFormat="1" x14ac:dyDescent="0.25">
      <c r="A905" s="2">
        <v>48564259</v>
      </c>
      <c r="B905" s="2">
        <v>48564264</v>
      </c>
      <c r="C905" s="2" t="str">
        <f>"UNIMEDSJN"</f>
        <v>UNIMEDSJN</v>
      </c>
      <c r="D905" s="2" t="str">
        <f>"DH"</f>
        <v>DH</v>
      </c>
      <c r="E905" s="2" t="str">
        <f>"VICENTE DE PAULA DESSUPOIO"</f>
        <v>VICENTE DE PAULA DESSUPOIO</v>
      </c>
      <c r="F905" s="2" t="str">
        <f>"48564259-1/1"</f>
        <v>48564259-1/1</v>
      </c>
      <c r="G905" s="2" t="str">
        <f>"Carteira 21"</f>
        <v>Carteira 21</v>
      </c>
      <c r="H905" s="2">
        <v>16</v>
      </c>
      <c r="I905" s="3">
        <v>86</v>
      </c>
      <c r="J905" s="2" t="str">
        <f>"02/01/2020"</f>
        <v>02/01/2020</v>
      </c>
      <c r="K905" s="2" t="str">
        <f>"18/01/2020"</f>
        <v>18/01/2020</v>
      </c>
      <c r="L905" s="2" t="str">
        <f>"19/03/2020"</f>
        <v>19/03/2020</v>
      </c>
      <c r="M905" s="2" t="str">
        <f>"20/03/2020"</f>
        <v>20/03/2020</v>
      </c>
      <c r="N905" s="2">
        <v>694.9</v>
      </c>
      <c r="O905" s="2">
        <v>722.32</v>
      </c>
      <c r="P905" s="2">
        <v>0.60999999999989996</v>
      </c>
    </row>
    <row r="906" spans="1:16" s="2" customFormat="1" x14ac:dyDescent="0.25">
      <c r="A906" s="2">
        <v>48579366</v>
      </c>
      <c r="B906" s="2">
        <v>48579371</v>
      </c>
      <c r="C906" s="2" t="str">
        <f>"UNIMEDSJN"</f>
        <v>UNIMEDSJN</v>
      </c>
      <c r="D906" s="2" t="str">
        <f>"DH"</f>
        <v>DH</v>
      </c>
      <c r="E906" s="2" t="str">
        <f>"VILMARA LOPES MATEUS"</f>
        <v>VILMARA LOPES MATEUS</v>
      </c>
      <c r="F906" s="2" t="str">
        <f>"48579366-1/1"</f>
        <v>48579366-1/1</v>
      </c>
      <c r="G906" s="2" t="str">
        <f>"Carteira 21"</f>
        <v>Carteira 21</v>
      </c>
      <c r="H906" s="2">
        <v>23</v>
      </c>
      <c r="I906" s="3">
        <v>79</v>
      </c>
      <c r="J906" s="2" t="str">
        <f>"02/01/2020"</f>
        <v>02/01/2020</v>
      </c>
      <c r="K906" s="2" t="str">
        <f>"25/01/2020"</f>
        <v>25/01/2020</v>
      </c>
      <c r="L906" s="2" t="str">
        <f>"12/02/2020"</f>
        <v>12/02/2020</v>
      </c>
      <c r="M906" s="2" t="str">
        <f>"13/02/2020"</f>
        <v>13/02/2020</v>
      </c>
      <c r="N906" s="2">
        <v>155.44</v>
      </c>
      <c r="O906" s="2">
        <v>159.37</v>
      </c>
      <c r="P906" s="2">
        <v>0.109999999999985</v>
      </c>
    </row>
    <row r="907" spans="1:16" s="2" customFormat="1" x14ac:dyDescent="0.25">
      <c r="A907" s="2">
        <v>45458548</v>
      </c>
      <c r="B907" s="2">
        <v>45458558</v>
      </c>
      <c r="C907" s="2" t="str">
        <f>"UNIMEDSJN"</f>
        <v>UNIMEDSJN</v>
      </c>
      <c r="D907" s="2" t="str">
        <f>"DH"</f>
        <v>DH</v>
      </c>
      <c r="E907" s="2" t="str">
        <f>"Virginia Eulalia da Silva Delarotta"</f>
        <v>Virginia Eulalia da Silva Delarotta</v>
      </c>
      <c r="F907" s="2" t="str">
        <f>"45458548-1/1"</f>
        <v>45458548-1/1</v>
      </c>
      <c r="G907" s="2" t="str">
        <f>"Carteira 21"</f>
        <v>Carteira 21</v>
      </c>
      <c r="H907" s="2">
        <v>24</v>
      </c>
      <c r="I907" s="3">
        <v>171</v>
      </c>
      <c r="J907" s="2" t="str">
        <f>"01/10/2019"</f>
        <v>01/10/2019</v>
      </c>
      <c r="K907" s="2" t="str">
        <f>"25/10/2019"</f>
        <v>25/10/2019</v>
      </c>
      <c r="L907" s="2" t="str">
        <f>"25/10/2019"</f>
        <v>25/10/2019</v>
      </c>
      <c r="M907" s="2" t="str">
        <f>"27/09/2019"</f>
        <v>27/09/2019</v>
      </c>
      <c r="N907" s="2">
        <v>139.9</v>
      </c>
      <c r="O907" s="2">
        <v>139.9</v>
      </c>
      <c r="P907" s="2">
        <v>0</v>
      </c>
    </row>
    <row r="908" spans="1:16" s="2" customFormat="1" x14ac:dyDescent="0.25">
      <c r="A908" s="2">
        <v>45911995</v>
      </c>
      <c r="B908" s="2">
        <v>45912007</v>
      </c>
      <c r="C908" s="2" t="str">
        <f>"UNIMEDSJN"</f>
        <v>UNIMEDSJN</v>
      </c>
      <c r="D908" s="2" t="str">
        <f>"DH"</f>
        <v>DH</v>
      </c>
      <c r="E908" s="2" t="str">
        <f>"Virginia Eulalia da Silva Delarotta"</f>
        <v>Virginia Eulalia da Silva Delarotta</v>
      </c>
      <c r="F908" s="2" t="str">
        <f>"45911995-1/1"</f>
        <v>45911995-1/1</v>
      </c>
      <c r="G908" s="2" t="str">
        <f>"Carteira 21"</f>
        <v>Carteira 21</v>
      </c>
      <c r="H908" s="2">
        <v>24</v>
      </c>
      <c r="I908" s="3">
        <v>140</v>
      </c>
      <c r="J908" s="2" t="str">
        <f>"01/11/2019"</f>
        <v>01/11/2019</v>
      </c>
      <c r="K908" s="2" t="str">
        <f>"25/11/2019"</f>
        <v>25/11/2019</v>
      </c>
      <c r="L908" s="2" t="str">
        <f>"25/11/2019"</f>
        <v>25/11/2019</v>
      </c>
      <c r="M908" s="2" t="str">
        <f>"31/10/2019"</f>
        <v>31/10/2019</v>
      </c>
      <c r="N908" s="2">
        <v>139.9</v>
      </c>
      <c r="O908" s="2">
        <v>139.9</v>
      </c>
      <c r="P908" s="2">
        <v>0</v>
      </c>
    </row>
    <row r="909" spans="1:16" s="2" customFormat="1" x14ac:dyDescent="0.25">
      <c r="A909" s="2">
        <v>47505968</v>
      </c>
      <c r="B909" s="2">
        <v>47505977</v>
      </c>
      <c r="C909" s="2" t="str">
        <f>"UNIMEDSJN"</f>
        <v>UNIMEDSJN</v>
      </c>
      <c r="D909" s="2" t="str">
        <f>"DH"</f>
        <v>DH</v>
      </c>
      <c r="E909" s="2" t="str">
        <f>"Virginia Eulalia da Silva Delarotta"</f>
        <v>Virginia Eulalia da Silva Delarotta</v>
      </c>
      <c r="F909" s="2" t="str">
        <f>"47505968-1/1"</f>
        <v>47505968-1/1</v>
      </c>
      <c r="G909" s="2" t="str">
        <f>"Carteira 21"</f>
        <v>Carteira 21</v>
      </c>
      <c r="H909" s="2">
        <v>24</v>
      </c>
      <c r="I909" s="3">
        <v>110</v>
      </c>
      <c r="J909" s="2" t="str">
        <f>"01/12/2019"</f>
        <v>01/12/2019</v>
      </c>
      <c r="K909" s="2" t="str">
        <f>"25/12/2019"</f>
        <v>25/12/2019</v>
      </c>
      <c r="L909" s="2" t="str">
        <f>"25/12/2019"</f>
        <v>25/12/2019</v>
      </c>
      <c r="M909" s="2" t="str">
        <f>"28/11/2019"</f>
        <v>28/11/2019</v>
      </c>
      <c r="N909" s="2">
        <v>150.18</v>
      </c>
      <c r="O909" s="2">
        <v>150.18</v>
      </c>
      <c r="P909" s="2">
        <v>0</v>
      </c>
    </row>
    <row r="910" spans="1:16" s="2" customFormat="1" x14ac:dyDescent="0.25">
      <c r="A910" s="2">
        <v>48579970</v>
      </c>
      <c r="B910" s="2">
        <v>48579979</v>
      </c>
      <c r="C910" s="2" t="str">
        <f>"UNIMEDSJN"</f>
        <v>UNIMEDSJN</v>
      </c>
      <c r="D910" s="2" t="str">
        <f>"DH"</f>
        <v>DH</v>
      </c>
      <c r="E910" s="2" t="str">
        <f>"Virginia Eulalia da Silva Delarotta"</f>
        <v>Virginia Eulalia da Silva Delarotta</v>
      </c>
      <c r="F910" s="2" t="str">
        <f>"48579970-1/1"</f>
        <v>48579970-1/1</v>
      </c>
      <c r="G910" s="2" t="str">
        <f>"Carteira 21"</f>
        <v>Carteira 21</v>
      </c>
      <c r="H910" s="2">
        <v>23</v>
      </c>
      <c r="I910" s="3">
        <v>79</v>
      </c>
      <c r="J910" s="2" t="str">
        <f>"02/01/2020"</f>
        <v>02/01/2020</v>
      </c>
      <c r="K910" s="2" t="str">
        <f>"25/01/2020"</f>
        <v>25/01/2020</v>
      </c>
      <c r="L910" s="2" t="str">
        <f>"27/01/2020"</f>
        <v>27/01/2020</v>
      </c>
      <c r="M910" s="2" t="str">
        <f>"27/12/2019"</f>
        <v>27/12/2019</v>
      </c>
      <c r="N910" s="2">
        <v>150.18</v>
      </c>
      <c r="O910" s="2">
        <v>150.18</v>
      </c>
      <c r="P910" s="2">
        <v>0</v>
      </c>
    </row>
    <row r="911" spans="1:16" s="2" customFormat="1" x14ac:dyDescent="0.25">
      <c r="A911" s="2">
        <v>47511306</v>
      </c>
      <c r="B911" s="2">
        <v>47511313</v>
      </c>
      <c r="C911" s="2" t="str">
        <f>"UNIMEDSJN"</f>
        <v>UNIMEDSJN</v>
      </c>
      <c r="D911" s="2" t="str">
        <f>"DH"</f>
        <v>DH</v>
      </c>
      <c r="E911" s="2" t="str">
        <f>"Viviane Martins Silverio"</f>
        <v>Viviane Martins Silverio</v>
      </c>
      <c r="F911" s="2" t="str">
        <f>"47511306-1/1"</f>
        <v>47511306-1/1</v>
      </c>
      <c r="G911" s="2" t="str">
        <f>"Carteira 21"</f>
        <v>Carteira 21</v>
      </c>
      <c r="H911" s="2">
        <v>24</v>
      </c>
      <c r="I911" s="3">
        <v>110</v>
      </c>
      <c r="J911" s="2" t="str">
        <f>"01/12/2019"</f>
        <v>01/12/2019</v>
      </c>
      <c r="K911" s="2" t="str">
        <f>"25/12/2019"</f>
        <v>25/12/2019</v>
      </c>
      <c r="L911" s="2" t="str">
        <f>"04/02/2020"</f>
        <v>04/02/2020</v>
      </c>
      <c r="M911" s="2" t="str">
        <f>"05/02/2020"</f>
        <v>05/02/2020</v>
      </c>
      <c r="N911" s="2">
        <v>173.9</v>
      </c>
      <c r="O911" s="2">
        <v>179.72</v>
      </c>
      <c r="P911" s="2">
        <v>3.9999999999992E-2</v>
      </c>
    </row>
    <row r="912" spans="1:16" s="2" customFormat="1" x14ac:dyDescent="0.25">
      <c r="A912" s="2">
        <v>48585116</v>
      </c>
      <c r="B912" s="2">
        <v>48585376</v>
      </c>
      <c r="C912" s="2" t="str">
        <f>"UNIMEDSJN"</f>
        <v>UNIMEDSJN</v>
      </c>
      <c r="D912" s="2" t="str">
        <f>"DH"</f>
        <v>DH</v>
      </c>
      <c r="E912" s="2" t="str">
        <f>"Viviane Martins Silverio"</f>
        <v>Viviane Martins Silverio</v>
      </c>
      <c r="F912" s="2" t="str">
        <f>"48585116-1/1"</f>
        <v>48585116-1/1</v>
      </c>
      <c r="G912" s="2" t="str">
        <f>"Carteira 21"</f>
        <v>Carteira 21</v>
      </c>
      <c r="H912" s="2">
        <v>23</v>
      </c>
      <c r="I912" s="3">
        <v>79</v>
      </c>
      <c r="J912" s="2" t="str">
        <f>"02/01/2020"</f>
        <v>02/01/2020</v>
      </c>
      <c r="K912" s="2" t="str">
        <f>"25/01/2020"</f>
        <v>25/01/2020</v>
      </c>
      <c r="L912" s="2" t="str">
        <f>"11/02/2020"</f>
        <v>11/02/2020</v>
      </c>
      <c r="M912" s="2" t="str">
        <f>"12/02/2020"</f>
        <v>12/02/2020</v>
      </c>
      <c r="N912" s="2">
        <v>173.9</v>
      </c>
      <c r="O912" s="2">
        <v>178.24</v>
      </c>
      <c r="P912" s="2">
        <v>0.12999999999999501</v>
      </c>
    </row>
    <row r="913" spans="1:16" s="2" customFormat="1" x14ac:dyDescent="0.25">
      <c r="A913" s="2">
        <v>45925343</v>
      </c>
      <c r="B913" s="2">
        <v>45925353</v>
      </c>
      <c r="C913" s="2" t="str">
        <f>"UNIMEDSJN"</f>
        <v>UNIMEDSJN</v>
      </c>
      <c r="D913" s="2" t="str">
        <f>"DH"</f>
        <v>DH</v>
      </c>
      <c r="E913" s="2" t="str">
        <f>"Waldeck Rabello Henriques Junior"</f>
        <v>Waldeck Rabello Henriques Junior</v>
      </c>
      <c r="F913" s="2" t="str">
        <f>"45925343-1/1"</f>
        <v>45925343-1/1</v>
      </c>
      <c r="G913" s="2" t="str">
        <f>"Carteira 21"</f>
        <v>Carteira 21</v>
      </c>
      <c r="H913" s="2">
        <v>24</v>
      </c>
      <c r="I913" s="3">
        <v>140</v>
      </c>
      <c r="J913" s="2" t="str">
        <f>"01/11/2019"</f>
        <v>01/11/2019</v>
      </c>
      <c r="K913" s="2" t="str">
        <f>"25/11/2019"</f>
        <v>25/11/2019</v>
      </c>
      <c r="L913" s="2" t="str">
        <f>"25/11/2019"</f>
        <v>25/11/2019</v>
      </c>
      <c r="M913" s="2" t="str">
        <f>"31/10/2019"</f>
        <v>31/10/2019</v>
      </c>
      <c r="N913" s="2">
        <v>300.22000000000003</v>
      </c>
      <c r="O913" s="2">
        <v>300.22000000000003</v>
      </c>
      <c r="P913" s="2">
        <v>0</v>
      </c>
    </row>
    <row r="914" spans="1:16" s="2" customFormat="1" x14ac:dyDescent="0.25">
      <c r="A914" s="2">
        <v>47506442</v>
      </c>
      <c r="B914" s="2">
        <v>47506451</v>
      </c>
      <c r="C914" s="2" t="str">
        <f>"UNIMEDSJN"</f>
        <v>UNIMEDSJN</v>
      </c>
      <c r="D914" s="2" t="str">
        <f>"DH"</f>
        <v>DH</v>
      </c>
      <c r="E914" s="2" t="str">
        <f>"Waldeck Rabello Henriques Junior"</f>
        <v>Waldeck Rabello Henriques Junior</v>
      </c>
      <c r="F914" s="2" t="str">
        <f>"47506442-1/1"</f>
        <v>47506442-1/1</v>
      </c>
      <c r="G914" s="2" t="str">
        <f>"Carteira 21"</f>
        <v>Carteira 21</v>
      </c>
      <c r="H914" s="2">
        <v>24</v>
      </c>
      <c r="I914" s="3">
        <v>110</v>
      </c>
      <c r="J914" s="2" t="str">
        <f>"01/12/2019"</f>
        <v>01/12/2019</v>
      </c>
      <c r="K914" s="2" t="str">
        <f>"25/12/2019"</f>
        <v>25/12/2019</v>
      </c>
      <c r="L914" s="2" t="str">
        <f>"25/12/2019"</f>
        <v>25/12/2019</v>
      </c>
      <c r="M914" s="2" t="str">
        <f>"28/11/2019"</f>
        <v>28/11/2019</v>
      </c>
      <c r="N914" s="2">
        <v>300.22000000000003</v>
      </c>
      <c r="O914" s="2">
        <v>300.22000000000003</v>
      </c>
      <c r="P914" s="2">
        <v>0</v>
      </c>
    </row>
    <row r="915" spans="1:16" s="2" customFormat="1" x14ac:dyDescent="0.25">
      <c r="A915" s="2">
        <v>48580460</v>
      </c>
      <c r="B915" s="2">
        <v>48580467</v>
      </c>
      <c r="C915" s="2" t="str">
        <f>"UNIMEDSJN"</f>
        <v>UNIMEDSJN</v>
      </c>
      <c r="D915" s="2" t="str">
        <f>"DH"</f>
        <v>DH</v>
      </c>
      <c r="E915" s="2" t="str">
        <f>"Waldeck Rabello Henriques Junior"</f>
        <v>Waldeck Rabello Henriques Junior</v>
      </c>
      <c r="F915" s="2" t="str">
        <f>"48580460-1/1"</f>
        <v>48580460-1/1</v>
      </c>
      <c r="G915" s="2" t="str">
        <f>"Carteira 21"</f>
        <v>Carteira 21</v>
      </c>
      <c r="H915" s="2">
        <v>23</v>
      </c>
      <c r="I915" s="3">
        <v>79</v>
      </c>
      <c r="J915" s="2" t="str">
        <f>"02/01/2020"</f>
        <v>02/01/2020</v>
      </c>
      <c r="K915" s="2" t="str">
        <f>"25/01/2020"</f>
        <v>25/01/2020</v>
      </c>
      <c r="L915" s="2" t="str">
        <f>"27/01/2020"</f>
        <v>27/01/2020</v>
      </c>
      <c r="M915" s="2" t="str">
        <f>"27/12/2019"</f>
        <v>27/12/2019</v>
      </c>
      <c r="N915" s="2">
        <v>300.22000000000003</v>
      </c>
      <c r="O915" s="2">
        <v>300.22000000000003</v>
      </c>
      <c r="P915" s="2">
        <v>0</v>
      </c>
    </row>
    <row r="916" spans="1:16" s="2" customFormat="1" x14ac:dyDescent="0.25">
      <c r="A916" s="2">
        <v>47494345</v>
      </c>
      <c r="B916" s="2">
        <v>47494356</v>
      </c>
      <c r="C916" s="2" t="str">
        <f>"UNIMEDSJN"</f>
        <v>UNIMEDSJN</v>
      </c>
      <c r="D916" s="2" t="str">
        <f>"DH"</f>
        <v>DH</v>
      </c>
      <c r="E916" s="2" t="str">
        <f>"WALESKA VARGAS SANABIO KATTAH"</f>
        <v>WALESKA VARGAS SANABIO KATTAH</v>
      </c>
      <c r="F916" s="2" t="str">
        <f>"47494345-1/1"</f>
        <v>47494345-1/1</v>
      </c>
      <c r="G916" s="2" t="str">
        <f>"Carteira 21"</f>
        <v>Carteira 21</v>
      </c>
      <c r="H916" s="2">
        <v>17</v>
      </c>
      <c r="I916" s="3">
        <v>117</v>
      </c>
      <c r="J916" s="2" t="str">
        <f>"01/12/2019"</f>
        <v>01/12/2019</v>
      </c>
      <c r="K916" s="2" t="str">
        <f>"18/12/2019"</f>
        <v>18/12/2019</v>
      </c>
      <c r="L916" s="2" t="str">
        <f>"21/02/2020"</f>
        <v>21/02/2020</v>
      </c>
      <c r="M916" s="2" t="str">
        <f>"24/02/2020"</f>
        <v>24/02/2020</v>
      </c>
      <c r="N916" s="2">
        <v>303.20999999999998</v>
      </c>
      <c r="O916" s="2">
        <v>315.77</v>
      </c>
      <c r="P916" s="2">
        <v>6.9999999999993207E-2</v>
      </c>
    </row>
    <row r="917" spans="1:16" s="2" customFormat="1" x14ac:dyDescent="0.25">
      <c r="A917" s="2">
        <v>48569716</v>
      </c>
      <c r="B917" s="2">
        <v>48569732</v>
      </c>
      <c r="C917" s="2" t="str">
        <f>"UNIMEDSJN"</f>
        <v>UNIMEDSJN</v>
      </c>
      <c r="D917" s="2" t="str">
        <f>"DH"</f>
        <v>DH</v>
      </c>
      <c r="E917" s="2" t="str">
        <f>"WALESKA VARGAS SANABIO KATTAH"</f>
        <v>WALESKA VARGAS SANABIO KATTAH</v>
      </c>
      <c r="F917" s="2" t="str">
        <f>"48569716-1/1"</f>
        <v>48569716-1/1</v>
      </c>
      <c r="G917" s="2" t="str">
        <f>"Carteira 21"</f>
        <v>Carteira 21</v>
      </c>
      <c r="H917" s="2">
        <v>16</v>
      </c>
      <c r="I917" s="3">
        <v>86</v>
      </c>
      <c r="J917" s="2" t="str">
        <f>"02/01/2020"</f>
        <v>02/01/2020</v>
      </c>
      <c r="K917" s="2" t="str">
        <f>"18/01/2020"</f>
        <v>18/01/2020</v>
      </c>
      <c r="L917" s="2" t="str">
        <f>"11/03/2020"</f>
        <v>11/03/2020</v>
      </c>
      <c r="M917" s="2" t="str">
        <f>"12/03/2020"</f>
        <v>12/03/2020</v>
      </c>
      <c r="N917" s="2">
        <v>325.5</v>
      </c>
      <c r="O917" s="2">
        <v>337.49</v>
      </c>
      <c r="P917" s="2">
        <v>0.26999999999998198</v>
      </c>
    </row>
    <row r="918" spans="1:16" s="2" customFormat="1" x14ac:dyDescent="0.25">
      <c r="A918" s="2">
        <v>48576730</v>
      </c>
      <c r="B918" s="2">
        <v>48576748</v>
      </c>
      <c r="C918" s="2" t="str">
        <f>"UNIMEDSJN"</f>
        <v>UNIMEDSJN</v>
      </c>
      <c r="D918" s="2" t="str">
        <f>"DH"</f>
        <v>DH</v>
      </c>
      <c r="E918" s="2" t="str">
        <f>"WALTER BADARO JUNIOR"</f>
        <v>WALTER BADARO JUNIOR</v>
      </c>
      <c r="F918" s="2" t="str">
        <f>"48576730-1/1"</f>
        <v>48576730-1/1</v>
      </c>
      <c r="G918" s="2" t="str">
        <f>"Carteira 21"</f>
        <v>Carteira 21</v>
      </c>
      <c r="H918" s="2">
        <v>23</v>
      </c>
      <c r="I918" s="3">
        <v>79</v>
      </c>
      <c r="J918" s="2" t="str">
        <f>"02/01/2020"</f>
        <v>02/01/2020</v>
      </c>
      <c r="K918" s="2" t="str">
        <f>"25/01/2020"</f>
        <v>25/01/2020</v>
      </c>
      <c r="L918" s="2" t="str">
        <f>"11/03/2020"</f>
        <v>11/03/2020</v>
      </c>
      <c r="M918" s="2" t="str">
        <f>"12/03/2020"</f>
        <v>12/03/2020</v>
      </c>
      <c r="N918" s="2">
        <v>143.18</v>
      </c>
      <c r="O918" s="2">
        <v>148.12</v>
      </c>
      <c r="P918" s="2">
        <v>0.12000000000000501</v>
      </c>
    </row>
    <row r="919" spans="1:16" s="2" customFormat="1" x14ac:dyDescent="0.25">
      <c r="A919" s="2">
        <v>48576763</v>
      </c>
      <c r="B919" s="2">
        <v>48576781</v>
      </c>
      <c r="C919" s="2" t="str">
        <f>"UNIMEDSJN"</f>
        <v>UNIMEDSJN</v>
      </c>
      <c r="D919" s="2" t="str">
        <f>"DH"</f>
        <v>DH</v>
      </c>
      <c r="E919" s="2" t="str">
        <f>"WALTER BADARO JUNIOR"</f>
        <v>WALTER BADARO JUNIOR</v>
      </c>
      <c r="F919" s="2" t="str">
        <f>"48576763-1/1"</f>
        <v>48576763-1/1</v>
      </c>
      <c r="G919" s="2" t="str">
        <f>"Carteira 21"</f>
        <v>Carteira 21</v>
      </c>
      <c r="H919" s="2">
        <v>23</v>
      </c>
      <c r="I919" s="3">
        <v>79</v>
      </c>
      <c r="J919" s="2" t="str">
        <f>"02/01/2020"</f>
        <v>02/01/2020</v>
      </c>
      <c r="K919" s="2" t="str">
        <f>"25/01/2020"</f>
        <v>25/01/2020</v>
      </c>
      <c r="L919" s="2" t="str">
        <f>"11/03/2020"</f>
        <v>11/03/2020</v>
      </c>
      <c r="M919" s="2" t="str">
        <f>"12/03/2020"</f>
        <v>12/03/2020</v>
      </c>
      <c r="N919" s="2">
        <v>143.18</v>
      </c>
      <c r="O919" s="2">
        <v>148.12</v>
      </c>
      <c r="P919" s="2">
        <v>0.12000000000000501</v>
      </c>
    </row>
    <row r="920" spans="1:16" s="2" customFormat="1" x14ac:dyDescent="0.25">
      <c r="A920" s="2">
        <v>45919402</v>
      </c>
      <c r="B920" s="2">
        <v>45919412</v>
      </c>
      <c r="C920" s="2" t="str">
        <f>"UNIMEDSJN"</f>
        <v>UNIMEDSJN</v>
      </c>
      <c r="D920" s="2" t="str">
        <f>"DH"</f>
        <v>DH</v>
      </c>
      <c r="E920" s="2" t="str">
        <f>"WALTER GUARNIERI NETTO"</f>
        <v>WALTER GUARNIERI NETTO</v>
      </c>
      <c r="F920" s="2" t="str">
        <f>"45919402-1/1"</f>
        <v>45919402-1/1</v>
      </c>
      <c r="G920" s="2" t="str">
        <f>"Carteira 21"</f>
        <v>Carteira 21</v>
      </c>
      <c r="H920" s="2">
        <v>24</v>
      </c>
      <c r="I920" s="3">
        <v>140</v>
      </c>
      <c r="J920" s="2" t="str">
        <f>"01/11/2019"</f>
        <v>01/11/2019</v>
      </c>
      <c r="K920" s="2" t="str">
        <f>"25/11/2019"</f>
        <v>25/11/2019</v>
      </c>
      <c r="L920" s="2" t="str">
        <f>"05/02/2020"</f>
        <v>05/02/2020</v>
      </c>
      <c r="M920" s="2" t="str">
        <f>"06/02/2020"</f>
        <v>06/02/2020</v>
      </c>
      <c r="N920" s="2">
        <v>259.66000000000003</v>
      </c>
      <c r="O920" s="2">
        <v>271.02</v>
      </c>
      <c r="P920" s="2">
        <v>6.0000000000059103E-2</v>
      </c>
    </row>
    <row r="921" spans="1:16" s="2" customFormat="1" x14ac:dyDescent="0.25">
      <c r="A921" s="2">
        <v>47494680</v>
      </c>
      <c r="B921" s="2">
        <v>47494692</v>
      </c>
      <c r="C921" s="2" t="str">
        <f>"UNIMEDSJN"</f>
        <v>UNIMEDSJN</v>
      </c>
      <c r="D921" s="2" t="str">
        <f>"DH"</f>
        <v>DH</v>
      </c>
      <c r="E921" s="2" t="str">
        <f>"WALTER GUARNIERI NETTO"</f>
        <v>WALTER GUARNIERI NETTO</v>
      </c>
      <c r="F921" s="2" t="str">
        <f>"47494680-1/1"</f>
        <v>47494680-1/1</v>
      </c>
      <c r="G921" s="2" t="str">
        <f>"Carteira 21"</f>
        <v>Carteira 21</v>
      </c>
      <c r="H921" s="2">
        <v>24</v>
      </c>
      <c r="I921" s="3">
        <v>110</v>
      </c>
      <c r="J921" s="2" t="str">
        <f>"01/12/2019"</f>
        <v>01/12/2019</v>
      </c>
      <c r="K921" s="2" t="str">
        <f>"25/12/2019"</f>
        <v>25/12/2019</v>
      </c>
      <c r="L921" s="2" t="str">
        <f>"05/03/2020"</f>
        <v>05/03/2020</v>
      </c>
      <c r="M921" s="2" t="str">
        <f>"06/03/2020"</f>
        <v>06/03/2020</v>
      </c>
      <c r="N921" s="2">
        <v>259.66000000000003</v>
      </c>
      <c r="O921" s="2">
        <v>270.93</v>
      </c>
      <c r="P921" s="2">
        <v>6.9999999999993207E-2</v>
      </c>
    </row>
    <row r="922" spans="1:16" s="2" customFormat="1" x14ac:dyDescent="0.25">
      <c r="A922" s="2">
        <v>48570120</v>
      </c>
      <c r="B922" s="2">
        <v>48570378</v>
      </c>
      <c r="C922" s="2" t="str">
        <f>"UNIMEDSJN"</f>
        <v>UNIMEDSJN</v>
      </c>
      <c r="D922" s="2" t="str">
        <f>"DH"</f>
        <v>DH</v>
      </c>
      <c r="E922" s="2" t="str">
        <f>"WALTER GUARNIERI NETTO"</f>
        <v>WALTER GUARNIERI NETTO</v>
      </c>
      <c r="F922" s="2" t="str">
        <f>"48570120-1/1"</f>
        <v>48570120-1/1</v>
      </c>
      <c r="G922" s="2" t="str">
        <f>"Carteira 21"</f>
        <v>Carteira 21</v>
      </c>
      <c r="H922" s="2">
        <v>23</v>
      </c>
      <c r="I922" s="3">
        <v>79</v>
      </c>
      <c r="J922" s="2" t="str">
        <f>"02/01/2020"</f>
        <v>02/01/2020</v>
      </c>
      <c r="K922" s="2" t="str">
        <f>"25/01/2020"</f>
        <v>25/01/2020</v>
      </c>
      <c r="L922" s="2" t="str">
        <f>"06/04/2020"</f>
        <v>06/04/2020</v>
      </c>
      <c r="M922" s="2" t="str">
        <f>"07/04/2020"</f>
        <v>07/04/2020</v>
      </c>
      <c r="N922" s="2">
        <v>278.75</v>
      </c>
      <c r="O922" s="2">
        <v>290.77</v>
      </c>
      <c r="P922" s="2">
        <v>0.25</v>
      </c>
    </row>
    <row r="923" spans="1:16" s="2" customFormat="1" x14ac:dyDescent="0.25">
      <c r="A923" s="2">
        <v>48818349</v>
      </c>
      <c r="B923" s="2">
        <v>48818354</v>
      </c>
      <c r="C923" s="2" t="str">
        <f>"UNIMEDSJN"</f>
        <v>UNIMEDSJN</v>
      </c>
      <c r="D923" s="2" t="str">
        <f>"DH"</f>
        <v>DH</v>
      </c>
      <c r="E923" s="2" t="str">
        <f>"WANESSA ANNE RAMIRO DE OLIVEIRA"</f>
        <v>WANESSA ANNE RAMIRO DE OLIVEIRA</v>
      </c>
      <c r="F923" s="2" t="str">
        <f>"48818349-1/1"</f>
        <v>48818349-1/1</v>
      </c>
      <c r="G923" s="2" t="str">
        <f>"CARTEIRA PERDA"</f>
        <v>CARTEIRA PERDA</v>
      </c>
      <c r="H923" s="2">
        <v>8</v>
      </c>
      <c r="I923" s="3">
        <v>73</v>
      </c>
      <c r="J923" s="2" t="str">
        <f>"23/01/2020"</f>
        <v>23/01/2020</v>
      </c>
      <c r="K923" s="2" t="str">
        <f>"31/01/2020"</f>
        <v>31/01/2020</v>
      </c>
      <c r="L923" s="2" t="str">
        <f>"31/01/2020"</f>
        <v>31/01/2020</v>
      </c>
      <c r="M923" s="2" t="str">
        <f>"03/02/2020"</f>
        <v>03/02/2020</v>
      </c>
      <c r="N923" s="2">
        <v>150.9</v>
      </c>
      <c r="O923" s="2">
        <v>150.9</v>
      </c>
      <c r="P923" s="2">
        <v>0</v>
      </c>
    </row>
    <row r="924" spans="1:16" s="2" customFormat="1" x14ac:dyDescent="0.25">
      <c r="A924" s="2">
        <v>47498999</v>
      </c>
      <c r="B924" s="2">
        <v>47499015</v>
      </c>
      <c r="C924" s="2" t="str">
        <f>"UNIMEDSJN"</f>
        <v>UNIMEDSJN</v>
      </c>
      <c r="D924" s="2" t="str">
        <f>"DH"</f>
        <v>DH</v>
      </c>
      <c r="E924" s="2" t="str">
        <f>"Washington de Morais Xavier"</f>
        <v>Washington de Morais Xavier</v>
      </c>
      <c r="F924" s="2" t="str">
        <f>"47498999-1/1"</f>
        <v>47498999-1/1</v>
      </c>
      <c r="G924" s="2" t="str">
        <f>"Carteira 21"</f>
        <v>Carteira 21</v>
      </c>
      <c r="H924" s="2">
        <v>24</v>
      </c>
      <c r="I924" s="3">
        <v>110</v>
      </c>
      <c r="J924" s="2" t="str">
        <f>"01/12/2019"</f>
        <v>01/12/2019</v>
      </c>
      <c r="K924" s="2" t="str">
        <f>"25/12/2019"</f>
        <v>25/12/2019</v>
      </c>
      <c r="L924" s="2" t="str">
        <f>"17/03/2020"</f>
        <v>17/03/2020</v>
      </c>
      <c r="M924" s="2" t="str">
        <f>"18/03/2020"</f>
        <v>18/03/2020</v>
      </c>
      <c r="N924" s="2">
        <v>73.959999999999994</v>
      </c>
      <c r="O924" s="2">
        <v>77.47</v>
      </c>
      <c r="P924" s="2">
        <v>2.0000000000010201E-2</v>
      </c>
    </row>
    <row r="925" spans="1:16" s="2" customFormat="1" x14ac:dyDescent="0.25">
      <c r="A925" s="2">
        <v>47505298</v>
      </c>
      <c r="B925" s="2">
        <v>47505303</v>
      </c>
      <c r="C925" s="2" t="str">
        <f>"UNIMEDSJN"</f>
        <v>UNIMEDSJN</v>
      </c>
      <c r="D925" s="2" t="str">
        <f>"DH"</f>
        <v>DH</v>
      </c>
      <c r="E925" s="2" t="str">
        <f>"Washington de Morais Xavier"</f>
        <v>Washington de Morais Xavier</v>
      </c>
      <c r="F925" s="2" t="str">
        <f>"47505298-1/1"</f>
        <v>47505298-1/1</v>
      </c>
      <c r="G925" s="2" t="str">
        <f>"Carteira 21"</f>
        <v>Carteira 21</v>
      </c>
      <c r="H925" s="2">
        <v>24</v>
      </c>
      <c r="I925" s="3">
        <v>110</v>
      </c>
      <c r="J925" s="2" t="str">
        <f>"01/12/2019"</f>
        <v>01/12/2019</v>
      </c>
      <c r="K925" s="2" t="str">
        <f>"25/12/2019"</f>
        <v>25/12/2019</v>
      </c>
      <c r="L925" s="2" t="str">
        <f>"17/03/2020"</f>
        <v>17/03/2020</v>
      </c>
      <c r="M925" s="2" t="str">
        <f>"18/03/2020"</f>
        <v>18/03/2020</v>
      </c>
      <c r="N925" s="2">
        <v>155.44</v>
      </c>
      <c r="O925" s="2">
        <v>162.81</v>
      </c>
      <c r="P925" s="2">
        <v>3.9999999999992E-2</v>
      </c>
    </row>
    <row r="926" spans="1:16" s="2" customFormat="1" x14ac:dyDescent="0.25">
      <c r="A926" s="2">
        <v>48580436</v>
      </c>
      <c r="B926" s="2">
        <v>48580458</v>
      </c>
      <c r="C926" s="2" t="str">
        <f>"UNIMEDSJN"</f>
        <v>UNIMEDSJN</v>
      </c>
      <c r="D926" s="2" t="str">
        <f>"DH"</f>
        <v>DH</v>
      </c>
      <c r="E926" s="2" t="str">
        <f>"Welerson Braga"</f>
        <v>Welerson Braga</v>
      </c>
      <c r="F926" s="2" t="str">
        <f>"48580436-1/1"</f>
        <v>48580436-1/1</v>
      </c>
      <c r="G926" s="2" t="str">
        <f>"Carteira 21"</f>
        <v>Carteira 21</v>
      </c>
      <c r="H926" s="2">
        <v>23</v>
      </c>
      <c r="I926" s="3">
        <v>79</v>
      </c>
      <c r="J926" s="2" t="str">
        <f>"02/01/2020"</f>
        <v>02/01/2020</v>
      </c>
      <c r="K926" s="2" t="str">
        <f>"25/01/2020"</f>
        <v>25/01/2020</v>
      </c>
      <c r="L926" s="2" t="str">
        <f>"10/02/2020"</f>
        <v>10/02/2020</v>
      </c>
      <c r="M926" s="2" t="str">
        <f>"11/02/2020"</f>
        <v>11/02/2020</v>
      </c>
      <c r="N926" s="2">
        <v>754.62</v>
      </c>
      <c r="O926" s="2">
        <v>773.2</v>
      </c>
      <c r="P926" s="2">
        <v>0.52999999999997305</v>
      </c>
    </row>
    <row r="927" spans="1:16" s="2" customFormat="1" x14ac:dyDescent="0.25">
      <c r="A927" s="2">
        <v>48563169</v>
      </c>
      <c r="B927" s="2">
        <v>48563183</v>
      </c>
      <c r="C927" s="2" t="str">
        <f>"UNIMEDSJN"</f>
        <v>UNIMEDSJN</v>
      </c>
      <c r="D927" s="2" t="str">
        <f>"DH"</f>
        <v>DH</v>
      </c>
      <c r="E927" s="2" t="str">
        <f>"WILLIAM ALVES DOLAVALE"</f>
        <v>WILLIAM ALVES DOLAVALE</v>
      </c>
      <c r="F927" s="2" t="str">
        <f>"48563169-1/1"</f>
        <v>48563169-1/1</v>
      </c>
      <c r="G927" s="2" t="str">
        <f>"Carteira 21"</f>
        <v>Carteira 21</v>
      </c>
      <c r="H927" s="2">
        <v>23</v>
      </c>
      <c r="I927" s="3">
        <v>79</v>
      </c>
      <c r="J927" s="2" t="str">
        <f>"02/01/2020"</f>
        <v>02/01/2020</v>
      </c>
      <c r="K927" s="2" t="str">
        <f>"25/01/2020"</f>
        <v>25/01/2020</v>
      </c>
      <c r="L927" s="2" t="str">
        <f>"06/02/2020"</f>
        <v>06/02/2020</v>
      </c>
      <c r="M927" s="2" t="str">
        <f>"07/02/2020"</f>
        <v>07/02/2020</v>
      </c>
      <c r="N927" s="2">
        <v>643.63</v>
      </c>
      <c r="O927" s="2">
        <v>658.63</v>
      </c>
      <c r="P927" s="2">
        <v>0.44000000000005501</v>
      </c>
    </row>
    <row r="928" spans="1:16" s="2" customFormat="1" x14ac:dyDescent="0.25">
      <c r="A928" s="2">
        <v>48573898</v>
      </c>
      <c r="B928" s="2">
        <v>48573915</v>
      </c>
      <c r="C928" s="2" t="str">
        <f>"UNIMEDSJN"</f>
        <v>UNIMEDSJN</v>
      </c>
      <c r="D928" s="2" t="str">
        <f>"DH"</f>
        <v>DH</v>
      </c>
      <c r="E928" s="2" t="str">
        <f>"Wilson Ribeiro Junior"</f>
        <v>Wilson Ribeiro Junior</v>
      </c>
      <c r="F928" s="2" t="str">
        <f>"48573898-1/1"</f>
        <v>48573898-1/1</v>
      </c>
      <c r="G928" s="2" t="str">
        <f>"Carteira 21"</f>
        <v>Carteira 21</v>
      </c>
      <c r="H928" s="2">
        <v>13</v>
      </c>
      <c r="I928" s="3">
        <v>89</v>
      </c>
      <c r="J928" s="2" t="str">
        <f>"02/01/2020"</f>
        <v>02/01/2020</v>
      </c>
      <c r="K928" s="2" t="str">
        <f>"15/01/2020"</f>
        <v>15/01/2020</v>
      </c>
      <c r="L928" s="2" t="str">
        <f>"17/02/2020"</f>
        <v>17/02/2020</v>
      </c>
      <c r="M928" s="2" t="str">
        <f>"18/02/2020"</f>
        <v>18/02/2020</v>
      </c>
      <c r="N928" s="2">
        <v>93.73</v>
      </c>
      <c r="O928" s="2">
        <v>96.62</v>
      </c>
      <c r="P928" s="2">
        <v>1.00000000000051E-2</v>
      </c>
    </row>
    <row r="929" spans="1:16" s="2" customFormat="1" x14ac:dyDescent="0.25">
      <c r="A929" s="2">
        <v>47511138</v>
      </c>
      <c r="B929" s="2">
        <v>47511148</v>
      </c>
      <c r="C929" s="2" t="str">
        <f>"UNIMEDSJN"</f>
        <v>UNIMEDSJN</v>
      </c>
      <c r="D929" s="2" t="str">
        <f>"DH"</f>
        <v>DH</v>
      </c>
      <c r="E929" s="2" t="str">
        <f>"Yagor Matos Ferreira"</f>
        <v>Yagor Matos Ferreira</v>
      </c>
      <c r="F929" s="2" t="str">
        <f>"47511138-1/1"</f>
        <v>47511138-1/1</v>
      </c>
      <c r="G929" s="2" t="str">
        <f>"Carteira 21"</f>
        <v>Carteira 21</v>
      </c>
      <c r="H929" s="2">
        <v>24</v>
      </c>
      <c r="I929" s="3">
        <v>110</v>
      </c>
      <c r="J929" s="2" t="str">
        <f>"01/12/2019"</f>
        <v>01/12/2019</v>
      </c>
      <c r="K929" s="2" t="str">
        <f>"25/12/2019"</f>
        <v>25/12/2019</v>
      </c>
      <c r="L929" s="2" t="str">
        <f>"07/02/2020"</f>
        <v>07/02/2020</v>
      </c>
      <c r="M929" s="2" t="str">
        <f>"10/02/2020"</f>
        <v>10/02/2020</v>
      </c>
      <c r="N929" s="2">
        <v>257.83</v>
      </c>
      <c r="O929" s="2">
        <v>266.72000000000003</v>
      </c>
      <c r="P929" s="2">
        <v>4.9999999999954498E-2</v>
      </c>
    </row>
    <row r="930" spans="1:16" x14ac:dyDescent="0.25">
      <c r="A930">
        <v>48585031</v>
      </c>
      <c r="B930">
        <v>48585036</v>
      </c>
      <c r="C930" t="str">
        <f>"UNIMEDSJN"</f>
        <v>UNIMEDSJN</v>
      </c>
      <c r="D930" t="str">
        <f>"DH"</f>
        <v>DH</v>
      </c>
      <c r="E930" t="str">
        <f>"Yagor Matos Ferreira"</f>
        <v>Yagor Matos Ferreira</v>
      </c>
      <c r="F930" t="str">
        <f>"48585031-1/1"</f>
        <v>48585031-1/1</v>
      </c>
      <c r="G930" t="str">
        <f>"Carteira 21"</f>
        <v>Carteira 21</v>
      </c>
      <c r="H930">
        <v>53</v>
      </c>
      <c r="I930" s="1">
        <v>49</v>
      </c>
      <c r="J930" t="str">
        <f>"02/01/2020"</f>
        <v>02/01/2020</v>
      </c>
      <c r="K930" t="str">
        <f>"24/02/2020"</f>
        <v>24/02/2020</v>
      </c>
      <c r="L930" t="str">
        <f>"24/02/2020"</f>
        <v>24/02/2020</v>
      </c>
      <c r="M930" t="str">
        <f>"27/03/2020"</f>
        <v>27/03/2020</v>
      </c>
      <c r="N930">
        <v>257.83</v>
      </c>
      <c r="O930">
        <v>267.58</v>
      </c>
      <c r="P930">
        <v>-9.75</v>
      </c>
    </row>
    <row r="931" spans="1:16" s="2" customFormat="1" x14ac:dyDescent="0.25">
      <c r="A931" s="2">
        <v>45921473</v>
      </c>
      <c r="B931" s="2">
        <v>45921487</v>
      </c>
      <c r="C931" s="2" t="str">
        <f>"UNIMEDSJN"</f>
        <v>UNIMEDSJN</v>
      </c>
      <c r="D931" s="2" t="str">
        <f>"DH"</f>
        <v>DH</v>
      </c>
      <c r="E931" s="2" t="str">
        <f>"YURI MIRANDA MARTINS DE REZENDE"</f>
        <v>YURI MIRANDA MARTINS DE REZENDE</v>
      </c>
      <c r="F931" s="2" t="str">
        <f>"45921473-1/1"</f>
        <v>45921473-1/1</v>
      </c>
      <c r="G931" s="2" t="str">
        <f>"Carteira 21"</f>
        <v>Carteira 21</v>
      </c>
      <c r="H931" s="2">
        <v>24</v>
      </c>
      <c r="I931" s="3">
        <v>140</v>
      </c>
      <c r="J931" s="2" t="str">
        <f>"01/11/2019"</f>
        <v>01/11/2019</v>
      </c>
      <c r="K931" s="2" t="str">
        <f>"25/11/2019"</f>
        <v>25/11/2019</v>
      </c>
      <c r="L931" s="2" t="str">
        <f>"17/02/2020"</f>
        <v>17/02/2020</v>
      </c>
      <c r="M931" s="2" t="str">
        <f>"18/02/2020"</f>
        <v>18/02/2020</v>
      </c>
      <c r="N931" s="2">
        <v>153.85</v>
      </c>
      <c r="O931" s="2">
        <v>161.19</v>
      </c>
      <c r="P931" s="2">
        <v>4.9999999999982898E-2</v>
      </c>
    </row>
    <row r="932" spans="1:16" s="2" customFormat="1" x14ac:dyDescent="0.25">
      <c r="A932" s="2">
        <v>47493614</v>
      </c>
      <c r="B932" s="2">
        <v>47493619</v>
      </c>
      <c r="C932" s="2" t="str">
        <f>"UNIMEDSJN"</f>
        <v>UNIMEDSJN</v>
      </c>
      <c r="D932" s="2" t="str">
        <f>"DH"</f>
        <v>DH</v>
      </c>
      <c r="E932" s="2" t="str">
        <f>"YURI MIRANDA MARTINS DE REZENDE"</f>
        <v>YURI MIRANDA MARTINS DE REZENDE</v>
      </c>
      <c r="F932" s="2" t="str">
        <f>"47493614-1/1"</f>
        <v>47493614-1/1</v>
      </c>
      <c r="G932" s="2" t="str">
        <f>"Carteira 21"</f>
        <v>Carteira 21</v>
      </c>
      <c r="H932" s="2">
        <v>24</v>
      </c>
      <c r="I932" s="3">
        <v>110</v>
      </c>
      <c r="J932" s="2" t="str">
        <f>"01/12/2019"</f>
        <v>01/12/2019</v>
      </c>
      <c r="K932" s="2" t="str">
        <f>"25/12/2019"</f>
        <v>25/12/2019</v>
      </c>
      <c r="L932" s="2" t="str">
        <f>"26/02/2020"</f>
        <v>26/02/2020</v>
      </c>
      <c r="M932" s="2" t="str">
        <f>"27/02/2020"</f>
        <v>27/02/2020</v>
      </c>
      <c r="N932" s="2">
        <v>153.85</v>
      </c>
      <c r="O932" s="2">
        <v>160.13</v>
      </c>
      <c r="P932" s="2">
        <v>3.0000000000001099E-2</v>
      </c>
    </row>
    <row r="933" spans="1:16" s="2" customFormat="1" x14ac:dyDescent="0.25">
      <c r="A933" s="2">
        <v>48568340</v>
      </c>
      <c r="B933" s="2">
        <v>48568360</v>
      </c>
      <c r="C933" s="2" t="str">
        <f>"UNIMEDSJN"</f>
        <v>UNIMEDSJN</v>
      </c>
      <c r="D933" s="2" t="str">
        <f>"DH"</f>
        <v>DH</v>
      </c>
      <c r="E933" s="2" t="str">
        <f>"YURI MIRANDA MARTINS DE REZENDE"</f>
        <v>YURI MIRANDA MARTINS DE REZENDE</v>
      </c>
      <c r="F933" s="2" t="str">
        <f>"48568340-1/1"</f>
        <v>48568340-1/1</v>
      </c>
      <c r="G933" s="2" t="str">
        <f>"Carteira 21"</f>
        <v>Carteira 21</v>
      </c>
      <c r="H933" s="2">
        <v>23</v>
      </c>
      <c r="I933" s="3">
        <v>79</v>
      </c>
      <c r="J933" s="2" t="str">
        <f>"02/01/2020"</f>
        <v>02/01/2020</v>
      </c>
      <c r="K933" s="2" t="str">
        <f>"25/01/2020"</f>
        <v>25/01/2020</v>
      </c>
      <c r="L933" s="2" t="str">
        <f>"02/04/2020"</f>
        <v>02/04/2020</v>
      </c>
      <c r="M933" s="2" t="str">
        <f>"03/04/2020"</f>
        <v>03/04/2020</v>
      </c>
      <c r="N933" s="2">
        <v>153.85</v>
      </c>
      <c r="O933" s="2">
        <v>160.28</v>
      </c>
      <c r="P933" s="2">
        <v>0.139999999999986</v>
      </c>
    </row>
  </sheetData>
  <autoFilter ref="I1:I934"/>
  <sortState ref="A1:P933">
    <sortCondition ref="E1"/>
  </sortState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Titulos por Data Base - Mensali</vt:lpstr>
      <vt:lpstr>- 60 dias</vt:lpstr>
      <vt:lpstr>+ 60 dias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modified xsi:type="dcterms:W3CDTF">2020-04-14T14:05:34Z</dcterms:modified>
</cp:coreProperties>
</file>