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Titulos por Data Base - Mensali" sheetId="1" r:id="rId1"/>
    <sheet name="- 90 dias" sheetId="2" r:id="rId2"/>
    <sheet name="+ 90 dias" sheetId="3" r:id="rId3"/>
  </sheets>
  <definedNames>
    <definedName name="_xlnm._FilterDatabase" localSheetId="0" hidden="1">'Titulos por Data Base - Mensali'!$I$1:$I$112</definedName>
  </definedNames>
  <calcPr calcId="0"/>
</workbook>
</file>

<file path=xl/calcChain.xml><?xml version="1.0" encoding="utf-8"?>
<calcChain xmlns="http://schemas.openxmlformats.org/spreadsheetml/2006/main">
  <c r="C81" i="1" l="1"/>
  <c r="D81" i="1"/>
  <c r="E81" i="1"/>
  <c r="F81" i="1"/>
  <c r="G81" i="1"/>
  <c r="J81" i="1"/>
  <c r="K81" i="1"/>
  <c r="L81" i="1"/>
  <c r="M81" i="1"/>
  <c r="C95" i="1"/>
  <c r="D95" i="1"/>
  <c r="E95" i="1"/>
  <c r="F95" i="1"/>
  <c r="G95" i="1"/>
  <c r="J95" i="1"/>
  <c r="K95" i="1"/>
  <c r="L95" i="1"/>
  <c r="M95" i="1"/>
  <c r="C82" i="1"/>
  <c r="D82" i="1"/>
  <c r="E82" i="1"/>
  <c r="F82" i="1"/>
  <c r="G82" i="1"/>
  <c r="J82" i="1"/>
  <c r="K82" i="1"/>
  <c r="L82" i="1"/>
  <c r="M82" i="1"/>
  <c r="C96" i="1"/>
  <c r="D96" i="1"/>
  <c r="E96" i="1"/>
  <c r="F96" i="1"/>
  <c r="G96" i="1"/>
  <c r="J96" i="1"/>
  <c r="K96" i="1"/>
  <c r="L96" i="1"/>
  <c r="M96" i="1"/>
  <c r="C83" i="1"/>
  <c r="D83" i="1"/>
  <c r="E83" i="1"/>
  <c r="F83" i="1"/>
  <c r="G83" i="1"/>
  <c r="J83" i="1"/>
  <c r="K83" i="1"/>
  <c r="L83" i="1"/>
  <c r="M83" i="1"/>
  <c r="C48" i="1"/>
  <c r="D48" i="1"/>
  <c r="E48" i="1"/>
  <c r="F48" i="1"/>
  <c r="G48" i="1"/>
  <c r="J48" i="1"/>
  <c r="K48" i="1"/>
  <c r="L48" i="1"/>
  <c r="M48" i="1"/>
  <c r="C49" i="1"/>
  <c r="D49" i="1"/>
  <c r="E49" i="1"/>
  <c r="F49" i="1"/>
  <c r="G49" i="1"/>
  <c r="J49" i="1"/>
  <c r="K49" i="1"/>
  <c r="L49" i="1"/>
  <c r="M49" i="1"/>
  <c r="C3" i="1"/>
  <c r="D3" i="1"/>
  <c r="E3" i="1"/>
  <c r="F3" i="1"/>
  <c r="G3" i="1"/>
  <c r="J3" i="1"/>
  <c r="K3" i="1"/>
  <c r="L3" i="1"/>
  <c r="M3" i="1"/>
  <c r="C24" i="1"/>
  <c r="D24" i="1"/>
  <c r="E24" i="1"/>
  <c r="F24" i="1"/>
  <c r="G24" i="1"/>
  <c r="J24" i="1"/>
  <c r="K24" i="1"/>
  <c r="L24" i="1"/>
  <c r="M24" i="1"/>
  <c r="C50" i="1"/>
  <c r="D50" i="1"/>
  <c r="E50" i="1"/>
  <c r="F50" i="1"/>
  <c r="G50" i="1"/>
  <c r="J50" i="1"/>
  <c r="K50" i="1"/>
  <c r="L50" i="1"/>
  <c r="M50" i="1"/>
  <c r="C12" i="1"/>
  <c r="D12" i="1"/>
  <c r="E12" i="1"/>
  <c r="F12" i="1"/>
  <c r="G12" i="1"/>
  <c r="J12" i="1"/>
  <c r="K12" i="1"/>
  <c r="L12" i="1"/>
  <c r="M12" i="1"/>
  <c r="C71" i="1"/>
  <c r="D71" i="1"/>
  <c r="E71" i="1"/>
  <c r="F71" i="1"/>
  <c r="G71" i="1"/>
  <c r="J71" i="1"/>
  <c r="K71" i="1"/>
  <c r="L71" i="1"/>
  <c r="M71" i="1"/>
  <c r="C4" i="1"/>
  <c r="D4" i="1"/>
  <c r="E4" i="1"/>
  <c r="F4" i="1"/>
  <c r="G4" i="1"/>
  <c r="J4" i="1"/>
  <c r="K4" i="1"/>
  <c r="L4" i="1"/>
  <c r="M4" i="1"/>
  <c r="C25" i="1"/>
  <c r="D25" i="1"/>
  <c r="E25" i="1"/>
  <c r="F25" i="1"/>
  <c r="G25" i="1"/>
  <c r="J25" i="1"/>
  <c r="K25" i="1"/>
  <c r="L25" i="1"/>
  <c r="M25" i="1"/>
  <c r="C51" i="1"/>
  <c r="D51" i="1"/>
  <c r="E51" i="1"/>
  <c r="F51" i="1"/>
  <c r="G51" i="1"/>
  <c r="J51" i="1"/>
  <c r="K51" i="1"/>
  <c r="L51" i="1"/>
  <c r="M51" i="1"/>
  <c r="C13" i="1"/>
  <c r="D13" i="1"/>
  <c r="E13" i="1"/>
  <c r="F13" i="1"/>
  <c r="G13" i="1"/>
  <c r="J13" i="1"/>
  <c r="K13" i="1"/>
  <c r="L13" i="1"/>
  <c r="M13" i="1"/>
  <c r="C53" i="1"/>
  <c r="D53" i="1"/>
  <c r="E53" i="1"/>
  <c r="F53" i="1"/>
  <c r="G53" i="1"/>
  <c r="J53" i="1"/>
  <c r="K53" i="1"/>
  <c r="L53" i="1"/>
  <c r="M53" i="1"/>
  <c r="C39" i="1"/>
  <c r="D39" i="1"/>
  <c r="E39" i="1"/>
  <c r="F39" i="1"/>
  <c r="G39" i="1"/>
  <c r="J39" i="1"/>
  <c r="K39" i="1"/>
  <c r="L39" i="1"/>
  <c r="M39" i="1"/>
  <c r="C107" i="1"/>
  <c r="D107" i="1"/>
  <c r="E107" i="1"/>
  <c r="F107" i="1"/>
  <c r="G107" i="1"/>
  <c r="J107" i="1"/>
  <c r="K107" i="1"/>
  <c r="L107" i="1"/>
  <c r="M107" i="1"/>
  <c r="C100" i="1"/>
  <c r="D100" i="1"/>
  <c r="E100" i="1"/>
  <c r="F100" i="1"/>
  <c r="G100" i="1"/>
  <c r="J100" i="1"/>
  <c r="K100" i="1"/>
  <c r="L100" i="1"/>
  <c r="M100" i="1"/>
  <c r="C9" i="1"/>
  <c r="D9" i="1"/>
  <c r="E9" i="1"/>
  <c r="F9" i="1"/>
  <c r="G9" i="1"/>
  <c r="J9" i="1"/>
  <c r="K9" i="1"/>
  <c r="L9" i="1"/>
  <c r="M9" i="1"/>
  <c r="C5" i="1"/>
  <c r="D5" i="1"/>
  <c r="E5" i="1"/>
  <c r="F5" i="1"/>
  <c r="G5" i="1"/>
  <c r="J5" i="1"/>
  <c r="K5" i="1"/>
  <c r="L5" i="1"/>
  <c r="M5" i="1"/>
  <c r="C101" i="1"/>
  <c r="D101" i="1"/>
  <c r="E101" i="1"/>
  <c r="F101" i="1"/>
  <c r="G101" i="1"/>
  <c r="J101" i="1"/>
  <c r="K101" i="1"/>
  <c r="L101" i="1"/>
  <c r="M101" i="1"/>
  <c r="C52" i="1"/>
  <c r="D52" i="1"/>
  <c r="E52" i="1"/>
  <c r="F52" i="1"/>
  <c r="G52" i="1"/>
  <c r="J52" i="1"/>
  <c r="K52" i="1"/>
  <c r="L52" i="1"/>
  <c r="M52" i="1"/>
  <c r="C26" i="1"/>
  <c r="D26" i="1"/>
  <c r="E26" i="1"/>
  <c r="F26" i="1"/>
  <c r="G26" i="1"/>
  <c r="J26" i="1"/>
  <c r="K26" i="1"/>
  <c r="L26" i="1"/>
  <c r="M26" i="1"/>
  <c r="C67" i="1"/>
  <c r="D67" i="1"/>
  <c r="E67" i="1"/>
  <c r="F67" i="1"/>
  <c r="G67" i="1"/>
  <c r="J67" i="1"/>
  <c r="K67" i="1"/>
  <c r="L67" i="1"/>
  <c r="M67" i="1"/>
  <c r="C72" i="1"/>
  <c r="D72" i="1"/>
  <c r="E72" i="1"/>
  <c r="F72" i="1"/>
  <c r="G72" i="1"/>
  <c r="J72" i="1"/>
  <c r="K72" i="1"/>
  <c r="L72" i="1"/>
  <c r="M72" i="1"/>
  <c r="C14" i="1"/>
  <c r="D14" i="1"/>
  <c r="E14" i="1"/>
  <c r="F14" i="1"/>
  <c r="G14" i="1"/>
  <c r="J14" i="1"/>
  <c r="K14" i="1"/>
  <c r="L14" i="1"/>
  <c r="M14" i="1"/>
  <c r="C98" i="1"/>
  <c r="D98" i="1"/>
  <c r="E98" i="1"/>
  <c r="F98" i="1"/>
  <c r="G98" i="1"/>
  <c r="J98" i="1"/>
  <c r="K98" i="1"/>
  <c r="L98" i="1"/>
  <c r="M98" i="1"/>
  <c r="C61" i="1"/>
  <c r="D61" i="1"/>
  <c r="E61" i="1"/>
  <c r="F61" i="1"/>
  <c r="G61" i="1"/>
  <c r="J61" i="1"/>
  <c r="K61" i="1"/>
  <c r="L61" i="1"/>
  <c r="M61" i="1"/>
  <c r="C84" i="1"/>
  <c r="D84" i="1"/>
  <c r="E84" i="1"/>
  <c r="F84" i="1"/>
  <c r="G84" i="1"/>
  <c r="J84" i="1"/>
  <c r="K84" i="1"/>
  <c r="L84" i="1"/>
  <c r="M84" i="1"/>
  <c r="C79" i="1"/>
  <c r="D79" i="1"/>
  <c r="E79" i="1"/>
  <c r="F79" i="1"/>
  <c r="G79" i="1"/>
  <c r="J79" i="1"/>
  <c r="K79" i="1"/>
  <c r="L79" i="1"/>
  <c r="M79" i="1"/>
  <c r="C110" i="1"/>
  <c r="D110" i="1"/>
  <c r="E110" i="1"/>
  <c r="F110" i="1"/>
  <c r="G110" i="1"/>
  <c r="J110" i="1"/>
  <c r="K110" i="1"/>
  <c r="L110" i="1"/>
  <c r="M110" i="1"/>
  <c r="C69" i="1"/>
  <c r="D69" i="1"/>
  <c r="E69" i="1"/>
  <c r="F69" i="1"/>
  <c r="G69" i="1"/>
  <c r="J69" i="1"/>
  <c r="K69" i="1"/>
  <c r="L69" i="1"/>
  <c r="M69" i="1"/>
  <c r="C46" i="1"/>
  <c r="D46" i="1"/>
  <c r="E46" i="1"/>
  <c r="F46" i="1"/>
  <c r="G46" i="1"/>
  <c r="J46" i="1"/>
  <c r="K46" i="1"/>
  <c r="L46" i="1"/>
  <c r="M46" i="1"/>
  <c r="C40" i="1"/>
  <c r="D40" i="1"/>
  <c r="E40" i="1"/>
  <c r="F40" i="1"/>
  <c r="G40" i="1"/>
  <c r="J40" i="1"/>
  <c r="K40" i="1"/>
  <c r="L40" i="1"/>
  <c r="M40" i="1"/>
  <c r="C54" i="1"/>
  <c r="D54" i="1"/>
  <c r="E54" i="1"/>
  <c r="F54" i="1"/>
  <c r="G54" i="1"/>
  <c r="J54" i="1"/>
  <c r="K54" i="1"/>
  <c r="L54" i="1"/>
  <c r="M54" i="1"/>
  <c r="C10" i="1"/>
  <c r="D10" i="1"/>
  <c r="E10" i="1"/>
  <c r="F10" i="1"/>
  <c r="G10" i="1"/>
  <c r="J10" i="1"/>
  <c r="K10" i="1"/>
  <c r="L10" i="1"/>
  <c r="M10" i="1"/>
  <c r="C102" i="1"/>
  <c r="D102" i="1"/>
  <c r="E102" i="1"/>
  <c r="F102" i="1"/>
  <c r="G102" i="1"/>
  <c r="J102" i="1"/>
  <c r="K102" i="1"/>
  <c r="L102" i="1"/>
  <c r="M102" i="1"/>
  <c r="C92" i="1"/>
  <c r="D92" i="1"/>
  <c r="E92" i="1"/>
  <c r="F92" i="1"/>
  <c r="G92" i="1"/>
  <c r="J92" i="1"/>
  <c r="K92" i="1"/>
  <c r="L92" i="1"/>
  <c r="M92" i="1"/>
  <c r="C21" i="1"/>
  <c r="D21" i="1"/>
  <c r="E21" i="1"/>
  <c r="F21" i="1"/>
  <c r="G21" i="1"/>
  <c r="J21" i="1"/>
  <c r="K21" i="1"/>
  <c r="L21" i="1"/>
  <c r="M21" i="1"/>
  <c r="C43" i="1"/>
  <c r="D43" i="1"/>
  <c r="E43" i="1"/>
  <c r="F43" i="1"/>
  <c r="G43" i="1"/>
  <c r="J43" i="1"/>
  <c r="K43" i="1"/>
  <c r="L43" i="1"/>
  <c r="M43" i="1"/>
  <c r="C59" i="1"/>
  <c r="D59" i="1"/>
  <c r="E59" i="1"/>
  <c r="F59" i="1"/>
  <c r="G59" i="1"/>
  <c r="J59" i="1"/>
  <c r="K59" i="1"/>
  <c r="L59" i="1"/>
  <c r="M59" i="1"/>
  <c r="C88" i="1"/>
  <c r="D88" i="1"/>
  <c r="E88" i="1"/>
  <c r="F88" i="1"/>
  <c r="G88" i="1"/>
  <c r="J88" i="1"/>
  <c r="K88" i="1"/>
  <c r="L88" i="1"/>
  <c r="M88" i="1"/>
  <c r="C6" i="1"/>
  <c r="D6" i="1"/>
  <c r="E6" i="1"/>
  <c r="F6" i="1"/>
  <c r="G6" i="1"/>
  <c r="J6" i="1"/>
  <c r="K6" i="1"/>
  <c r="L6" i="1"/>
  <c r="M6" i="1"/>
  <c r="C103" i="1"/>
  <c r="D103" i="1"/>
  <c r="E103" i="1"/>
  <c r="F103" i="1"/>
  <c r="G103" i="1"/>
  <c r="J103" i="1"/>
  <c r="K103" i="1"/>
  <c r="L103" i="1"/>
  <c r="M103" i="1"/>
  <c r="C57" i="1"/>
  <c r="D57" i="1"/>
  <c r="E57" i="1"/>
  <c r="F57" i="1"/>
  <c r="G57" i="1"/>
  <c r="J57" i="1"/>
  <c r="K57" i="1"/>
  <c r="L57" i="1"/>
  <c r="M57" i="1"/>
  <c r="C27" i="1"/>
  <c r="D27" i="1"/>
  <c r="E27" i="1"/>
  <c r="F27" i="1"/>
  <c r="G27" i="1"/>
  <c r="J27" i="1"/>
  <c r="K27" i="1"/>
  <c r="L27" i="1"/>
  <c r="M27" i="1"/>
  <c r="C17" i="1"/>
  <c r="D17" i="1"/>
  <c r="E17" i="1"/>
  <c r="F17" i="1"/>
  <c r="G17" i="1"/>
  <c r="J17" i="1"/>
  <c r="K17" i="1"/>
  <c r="L17" i="1"/>
  <c r="M17" i="1"/>
  <c r="C73" i="1"/>
  <c r="D73" i="1"/>
  <c r="E73" i="1"/>
  <c r="F73" i="1"/>
  <c r="G73" i="1"/>
  <c r="J73" i="1"/>
  <c r="K73" i="1"/>
  <c r="L73" i="1"/>
  <c r="M73" i="1"/>
  <c r="C99" i="1"/>
  <c r="D99" i="1"/>
  <c r="E99" i="1"/>
  <c r="F99" i="1"/>
  <c r="G99" i="1"/>
  <c r="J99" i="1"/>
  <c r="K99" i="1"/>
  <c r="L99" i="1"/>
  <c r="M99" i="1"/>
  <c r="C78" i="1"/>
  <c r="D78" i="1"/>
  <c r="E78" i="1"/>
  <c r="F78" i="1"/>
  <c r="G78" i="1"/>
  <c r="J78" i="1"/>
  <c r="K78" i="1"/>
  <c r="L78" i="1"/>
  <c r="M78" i="1"/>
  <c r="C68" i="1"/>
  <c r="D68" i="1"/>
  <c r="E68" i="1"/>
  <c r="F68" i="1"/>
  <c r="G68" i="1"/>
  <c r="J68" i="1"/>
  <c r="K68" i="1"/>
  <c r="L68" i="1"/>
  <c r="M68" i="1"/>
  <c r="C37" i="1"/>
  <c r="D37" i="1"/>
  <c r="E37" i="1"/>
  <c r="F37" i="1"/>
  <c r="G37" i="1"/>
  <c r="J37" i="1"/>
  <c r="K37" i="1"/>
  <c r="L37" i="1"/>
  <c r="M37" i="1"/>
  <c r="C75" i="1"/>
  <c r="D75" i="1"/>
  <c r="E75" i="1"/>
  <c r="F75" i="1"/>
  <c r="G75" i="1"/>
  <c r="J75" i="1"/>
  <c r="K75" i="1"/>
  <c r="L75" i="1"/>
  <c r="M75" i="1"/>
  <c r="C16" i="1"/>
  <c r="D16" i="1"/>
  <c r="E16" i="1"/>
  <c r="F16" i="1"/>
  <c r="G16" i="1"/>
  <c r="J16" i="1"/>
  <c r="K16" i="1"/>
  <c r="L16" i="1"/>
  <c r="M16" i="1"/>
  <c r="C80" i="1"/>
  <c r="D80" i="1"/>
  <c r="E80" i="1"/>
  <c r="F80" i="1"/>
  <c r="G80" i="1"/>
  <c r="J80" i="1"/>
  <c r="K80" i="1"/>
  <c r="L80" i="1"/>
  <c r="M80" i="1"/>
  <c r="C15" i="1"/>
  <c r="D15" i="1"/>
  <c r="E15" i="1"/>
  <c r="F15" i="1"/>
  <c r="G15" i="1"/>
  <c r="J15" i="1"/>
  <c r="K15" i="1"/>
  <c r="L15" i="1"/>
  <c r="M15" i="1"/>
  <c r="C19" i="1"/>
  <c r="D19" i="1"/>
  <c r="E19" i="1"/>
  <c r="F19" i="1"/>
  <c r="G19" i="1"/>
  <c r="J19" i="1"/>
  <c r="K19" i="1"/>
  <c r="L19" i="1"/>
  <c r="M19" i="1"/>
  <c r="C108" i="1"/>
  <c r="D108" i="1"/>
  <c r="E108" i="1"/>
  <c r="F108" i="1"/>
  <c r="G108" i="1"/>
  <c r="J108" i="1"/>
  <c r="K108" i="1"/>
  <c r="L108" i="1"/>
  <c r="M108" i="1"/>
  <c r="C70" i="1"/>
  <c r="D70" i="1"/>
  <c r="E70" i="1"/>
  <c r="F70" i="1"/>
  <c r="G70" i="1"/>
  <c r="J70" i="1"/>
  <c r="K70" i="1"/>
  <c r="L70" i="1"/>
  <c r="M70" i="1"/>
  <c r="C62" i="1"/>
  <c r="D62" i="1"/>
  <c r="E62" i="1"/>
  <c r="F62" i="1"/>
  <c r="G62" i="1"/>
  <c r="J62" i="1"/>
  <c r="K62" i="1"/>
  <c r="L62" i="1"/>
  <c r="M62" i="1"/>
  <c r="C85" i="1"/>
  <c r="D85" i="1"/>
  <c r="E85" i="1"/>
  <c r="F85" i="1"/>
  <c r="G85" i="1"/>
  <c r="J85" i="1"/>
  <c r="K85" i="1"/>
  <c r="L85" i="1"/>
  <c r="M85" i="1"/>
  <c r="C47" i="1"/>
  <c r="D47" i="1"/>
  <c r="E47" i="1"/>
  <c r="F47" i="1"/>
  <c r="G47" i="1"/>
  <c r="J47" i="1"/>
  <c r="K47" i="1"/>
  <c r="L47" i="1"/>
  <c r="M47" i="1"/>
  <c r="C90" i="1"/>
  <c r="D90" i="1"/>
  <c r="E90" i="1"/>
  <c r="F90" i="1"/>
  <c r="G90" i="1"/>
  <c r="J90" i="1"/>
  <c r="K90" i="1"/>
  <c r="L90" i="1"/>
  <c r="M90" i="1"/>
  <c r="C23" i="1"/>
  <c r="D23" i="1"/>
  <c r="E23" i="1"/>
  <c r="F23" i="1"/>
  <c r="G23" i="1"/>
  <c r="J23" i="1"/>
  <c r="K23" i="1"/>
  <c r="L23" i="1"/>
  <c r="M23" i="1"/>
  <c r="C111" i="1"/>
  <c r="D111" i="1"/>
  <c r="E111" i="1"/>
  <c r="F111" i="1"/>
  <c r="G111" i="1"/>
  <c r="J111" i="1"/>
  <c r="K111" i="1"/>
  <c r="L111" i="1"/>
  <c r="M111" i="1"/>
  <c r="C41" i="1"/>
  <c r="D41" i="1"/>
  <c r="E41" i="1"/>
  <c r="F41" i="1"/>
  <c r="G41" i="1"/>
  <c r="J41" i="1"/>
  <c r="K41" i="1"/>
  <c r="L41" i="1"/>
  <c r="M41" i="1"/>
  <c r="C91" i="1"/>
  <c r="D91" i="1"/>
  <c r="E91" i="1"/>
  <c r="F91" i="1"/>
  <c r="G91" i="1"/>
  <c r="J91" i="1"/>
  <c r="K91" i="1"/>
  <c r="L91" i="1"/>
  <c r="M91" i="1"/>
  <c r="C97" i="1"/>
  <c r="D97" i="1"/>
  <c r="E97" i="1"/>
  <c r="F97" i="1"/>
  <c r="G97" i="1"/>
  <c r="J97" i="1"/>
  <c r="K97" i="1"/>
  <c r="L97" i="1"/>
  <c r="M97" i="1"/>
  <c r="C55" i="1"/>
  <c r="D55" i="1"/>
  <c r="E55" i="1"/>
  <c r="F55" i="1"/>
  <c r="G55" i="1"/>
  <c r="J55" i="1"/>
  <c r="K55" i="1"/>
  <c r="L55" i="1"/>
  <c r="M55" i="1"/>
  <c r="C18" i="1"/>
  <c r="D18" i="1"/>
  <c r="E18" i="1"/>
  <c r="F18" i="1"/>
  <c r="G18" i="1"/>
  <c r="J18" i="1"/>
  <c r="K18" i="1"/>
  <c r="L18" i="1"/>
  <c r="M18" i="1"/>
  <c r="C42" i="1"/>
  <c r="D42" i="1"/>
  <c r="E42" i="1"/>
  <c r="F42" i="1"/>
  <c r="G42" i="1"/>
  <c r="J42" i="1"/>
  <c r="K42" i="1"/>
  <c r="L42" i="1"/>
  <c r="M42" i="1"/>
  <c r="C106" i="1"/>
  <c r="D106" i="1"/>
  <c r="E106" i="1"/>
  <c r="F106" i="1"/>
  <c r="G106" i="1"/>
  <c r="J106" i="1"/>
  <c r="K106" i="1"/>
  <c r="L106" i="1"/>
  <c r="M106" i="1"/>
  <c r="C33" i="1"/>
  <c r="D33" i="1"/>
  <c r="E33" i="1"/>
  <c r="F33" i="1"/>
  <c r="G33" i="1"/>
  <c r="J33" i="1"/>
  <c r="K33" i="1"/>
  <c r="L33" i="1"/>
  <c r="M33" i="1"/>
  <c r="C28" i="1"/>
  <c r="D28" i="1"/>
  <c r="E28" i="1"/>
  <c r="F28" i="1"/>
  <c r="G28" i="1"/>
  <c r="J28" i="1"/>
  <c r="K28" i="1"/>
  <c r="L28" i="1"/>
  <c r="M28" i="1"/>
  <c r="C87" i="1"/>
  <c r="D87" i="1"/>
  <c r="E87" i="1"/>
  <c r="F87" i="1"/>
  <c r="G87" i="1"/>
  <c r="J87" i="1"/>
  <c r="K87" i="1"/>
  <c r="L87" i="1"/>
  <c r="M87" i="1"/>
  <c r="C11" i="1"/>
  <c r="D11" i="1"/>
  <c r="E11" i="1"/>
  <c r="F11" i="1"/>
  <c r="G11" i="1"/>
  <c r="J11" i="1"/>
  <c r="K11" i="1"/>
  <c r="L11" i="1"/>
  <c r="M11" i="1"/>
  <c r="C66" i="1"/>
  <c r="D66" i="1"/>
  <c r="E66" i="1"/>
  <c r="F66" i="1"/>
  <c r="G66" i="1"/>
  <c r="J66" i="1"/>
  <c r="K66" i="1"/>
  <c r="L66" i="1"/>
  <c r="M66" i="1"/>
  <c r="C63" i="1"/>
  <c r="D63" i="1"/>
  <c r="E63" i="1"/>
  <c r="F63" i="1"/>
  <c r="G63" i="1"/>
  <c r="J63" i="1"/>
  <c r="K63" i="1"/>
  <c r="L63" i="1"/>
  <c r="M63" i="1"/>
  <c r="C31" i="1"/>
  <c r="D31" i="1"/>
  <c r="E31" i="1"/>
  <c r="F31" i="1"/>
  <c r="G31" i="1"/>
  <c r="J31" i="1"/>
  <c r="K31" i="1"/>
  <c r="L31" i="1"/>
  <c r="M31" i="1"/>
  <c r="C93" i="1"/>
  <c r="D93" i="1"/>
  <c r="E93" i="1"/>
  <c r="F93" i="1"/>
  <c r="G93" i="1"/>
  <c r="J93" i="1"/>
  <c r="K93" i="1"/>
  <c r="L93" i="1"/>
  <c r="M93" i="1"/>
  <c r="C22" i="1"/>
  <c r="D22" i="1"/>
  <c r="E22" i="1"/>
  <c r="F22" i="1"/>
  <c r="G22" i="1"/>
  <c r="J22" i="1"/>
  <c r="K22" i="1"/>
  <c r="L22" i="1"/>
  <c r="M22" i="1"/>
  <c r="C44" i="1"/>
  <c r="D44" i="1"/>
  <c r="E44" i="1"/>
  <c r="F44" i="1"/>
  <c r="G44" i="1"/>
  <c r="J44" i="1"/>
  <c r="K44" i="1"/>
  <c r="L44" i="1"/>
  <c r="M44" i="1"/>
  <c r="C60" i="1"/>
  <c r="D60" i="1"/>
  <c r="E60" i="1"/>
  <c r="F60" i="1"/>
  <c r="G60" i="1"/>
  <c r="J60" i="1"/>
  <c r="K60" i="1"/>
  <c r="L60" i="1"/>
  <c r="M60" i="1"/>
  <c r="C7" i="1"/>
  <c r="D7" i="1"/>
  <c r="E7" i="1"/>
  <c r="F7" i="1"/>
  <c r="G7" i="1"/>
  <c r="J7" i="1"/>
  <c r="K7" i="1"/>
  <c r="L7" i="1"/>
  <c r="M7" i="1"/>
  <c r="C104" i="1"/>
  <c r="D104" i="1"/>
  <c r="E104" i="1"/>
  <c r="F104" i="1"/>
  <c r="G104" i="1"/>
  <c r="J104" i="1"/>
  <c r="K104" i="1"/>
  <c r="L104" i="1"/>
  <c r="M104" i="1"/>
  <c r="C64" i="1"/>
  <c r="D64" i="1"/>
  <c r="E64" i="1"/>
  <c r="F64" i="1"/>
  <c r="G64" i="1"/>
  <c r="J64" i="1"/>
  <c r="K64" i="1"/>
  <c r="L64" i="1"/>
  <c r="M64" i="1"/>
  <c r="C109" i="1"/>
  <c r="D109" i="1"/>
  <c r="E109" i="1"/>
  <c r="F109" i="1"/>
  <c r="G109" i="1"/>
  <c r="J109" i="1"/>
  <c r="K109" i="1"/>
  <c r="L109" i="1"/>
  <c r="M109" i="1"/>
  <c r="C20" i="1"/>
  <c r="D20" i="1"/>
  <c r="E20" i="1"/>
  <c r="F20" i="1"/>
  <c r="G20" i="1"/>
  <c r="J20" i="1"/>
  <c r="K20" i="1"/>
  <c r="L20" i="1"/>
  <c r="M20" i="1"/>
  <c r="C34" i="1"/>
  <c r="D34" i="1"/>
  <c r="E34" i="1"/>
  <c r="F34" i="1"/>
  <c r="G34" i="1"/>
  <c r="J34" i="1"/>
  <c r="K34" i="1"/>
  <c r="L34" i="1"/>
  <c r="M34" i="1"/>
  <c r="C35" i="1"/>
  <c r="D35" i="1"/>
  <c r="E35" i="1"/>
  <c r="F35" i="1"/>
  <c r="G35" i="1"/>
  <c r="J35" i="1"/>
  <c r="K35" i="1"/>
  <c r="L35" i="1"/>
  <c r="M35" i="1"/>
  <c r="C30" i="1"/>
  <c r="D30" i="1"/>
  <c r="E30" i="1"/>
  <c r="F30" i="1"/>
  <c r="G30" i="1"/>
  <c r="J30" i="1"/>
  <c r="K30" i="1"/>
  <c r="L30" i="1"/>
  <c r="M30" i="1"/>
  <c r="C36" i="1"/>
  <c r="D36" i="1"/>
  <c r="E36" i="1"/>
  <c r="F36" i="1"/>
  <c r="G36" i="1"/>
  <c r="J36" i="1"/>
  <c r="K36" i="1"/>
  <c r="L36" i="1"/>
  <c r="M36" i="1"/>
  <c r="C32" i="1"/>
  <c r="D32" i="1"/>
  <c r="E32" i="1"/>
  <c r="F32" i="1"/>
  <c r="G32" i="1"/>
  <c r="J32" i="1"/>
  <c r="K32" i="1"/>
  <c r="L32" i="1"/>
  <c r="M32" i="1"/>
  <c r="C8" i="1"/>
  <c r="D8" i="1"/>
  <c r="E8" i="1"/>
  <c r="F8" i="1"/>
  <c r="G8" i="1"/>
  <c r="J8" i="1"/>
  <c r="K8" i="1"/>
  <c r="L8" i="1"/>
  <c r="M8" i="1"/>
  <c r="C94" i="1"/>
  <c r="D94" i="1"/>
  <c r="E94" i="1"/>
  <c r="F94" i="1"/>
  <c r="G94" i="1"/>
  <c r="J94" i="1"/>
  <c r="K94" i="1"/>
  <c r="L94" i="1"/>
  <c r="M94" i="1"/>
  <c r="C86" i="1"/>
  <c r="D86" i="1"/>
  <c r="E86" i="1"/>
  <c r="F86" i="1"/>
  <c r="G86" i="1"/>
  <c r="J86" i="1"/>
  <c r="K86" i="1"/>
  <c r="L86" i="1"/>
  <c r="M86" i="1"/>
  <c r="C65" i="1"/>
  <c r="D65" i="1"/>
  <c r="E65" i="1"/>
  <c r="F65" i="1"/>
  <c r="G65" i="1"/>
  <c r="J65" i="1"/>
  <c r="K65" i="1"/>
  <c r="L65" i="1"/>
  <c r="M65" i="1"/>
  <c r="C77" i="1"/>
  <c r="D77" i="1"/>
  <c r="E77" i="1"/>
  <c r="F77" i="1"/>
  <c r="G77" i="1"/>
  <c r="J77" i="1"/>
  <c r="K77" i="1"/>
  <c r="L77" i="1"/>
  <c r="M77" i="1"/>
  <c r="C105" i="1"/>
  <c r="D105" i="1"/>
  <c r="E105" i="1"/>
  <c r="F105" i="1"/>
  <c r="G105" i="1"/>
  <c r="J105" i="1"/>
  <c r="K105" i="1"/>
  <c r="L105" i="1"/>
  <c r="M105" i="1"/>
  <c r="C29" i="1"/>
  <c r="D29" i="1"/>
  <c r="E29" i="1"/>
  <c r="F29" i="1"/>
  <c r="G29" i="1"/>
  <c r="J29" i="1"/>
  <c r="K29" i="1"/>
  <c r="L29" i="1"/>
  <c r="M29" i="1"/>
  <c r="C76" i="1"/>
  <c r="D76" i="1"/>
  <c r="E76" i="1"/>
  <c r="F76" i="1"/>
  <c r="G76" i="1"/>
  <c r="J76" i="1"/>
  <c r="K76" i="1"/>
  <c r="L76" i="1"/>
  <c r="M76" i="1"/>
  <c r="C56" i="1"/>
  <c r="D56" i="1"/>
  <c r="E56" i="1"/>
  <c r="F56" i="1"/>
  <c r="G56" i="1"/>
  <c r="J56" i="1"/>
  <c r="K56" i="1"/>
  <c r="L56" i="1"/>
  <c r="M56" i="1"/>
  <c r="C2" i="1"/>
  <c r="D2" i="1"/>
  <c r="E2" i="1"/>
  <c r="F2" i="1"/>
  <c r="G2" i="1"/>
  <c r="J2" i="1"/>
  <c r="K2" i="1"/>
  <c r="L2" i="1"/>
  <c r="M2" i="1"/>
  <c r="C58" i="1"/>
  <c r="D58" i="1"/>
  <c r="E58" i="1"/>
  <c r="F58" i="1"/>
  <c r="G58" i="1"/>
  <c r="J58" i="1"/>
  <c r="K58" i="1"/>
  <c r="L58" i="1"/>
  <c r="M58" i="1"/>
  <c r="C89" i="1"/>
  <c r="D89" i="1"/>
  <c r="E89" i="1"/>
  <c r="F89" i="1"/>
  <c r="G89" i="1"/>
  <c r="J89" i="1"/>
  <c r="K89" i="1"/>
  <c r="L89" i="1"/>
  <c r="M89" i="1"/>
  <c r="C38" i="1"/>
  <c r="D38" i="1"/>
  <c r="E38" i="1"/>
  <c r="F38" i="1"/>
  <c r="G38" i="1"/>
  <c r="J38" i="1"/>
  <c r="K38" i="1"/>
  <c r="L38" i="1"/>
  <c r="M38" i="1"/>
  <c r="C74" i="1"/>
  <c r="D74" i="1"/>
  <c r="E74" i="1"/>
  <c r="F74" i="1"/>
  <c r="G74" i="1"/>
  <c r="J74" i="1"/>
  <c r="K74" i="1"/>
  <c r="L74" i="1"/>
  <c r="M74" i="1"/>
  <c r="C45" i="1"/>
  <c r="D45" i="1"/>
  <c r="E45" i="1"/>
  <c r="F45" i="1"/>
  <c r="G45" i="1"/>
  <c r="J45" i="1"/>
  <c r="K45" i="1"/>
  <c r="L45" i="1"/>
  <c r="M45" i="1"/>
</calcChain>
</file>

<file path=xl/sharedStrings.xml><?xml version="1.0" encoding="utf-8"?>
<sst xmlns="http://schemas.openxmlformats.org/spreadsheetml/2006/main" count="5" uniqueCount="5">
  <si>
    <t>Nome</t>
  </si>
  <si>
    <t>Prazo</t>
  </si>
  <si>
    <t>Atraso</t>
  </si>
  <si>
    <t>Emissão</t>
  </si>
  <si>
    <t>Vencimento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</si>
</sst>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workbookViewId="0">
      <selection activeCell="E9" sqref="E9"/>
    </sheetView>
  </sheetViews>
  <sheetFormatPr defaultRowHeight="15" x14ac:dyDescent="0.25"/>
  <cols>
    <col min="5" max="5" width="58" bestFit="1" customWidth="1"/>
    <col min="8" max="8" width="5.85546875" bestFit="1" customWidth="1"/>
    <col min="9" max="9" width="6.7109375" style="1" bestFit="1" customWidth="1"/>
    <col min="10" max="10" width="10.7109375" bestFit="1" customWidth="1"/>
    <col min="11" max="11" width="11.85546875" bestFit="1" customWidth="1"/>
  </cols>
  <sheetData>
    <row r="1" spans="1:16" s="1" customFormat="1" x14ac:dyDescent="0.25">
      <c r="E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6" x14ac:dyDescent="0.25">
      <c r="A2">
        <v>48625225</v>
      </c>
      <c r="B2">
        <v>48625246</v>
      </c>
      <c r="C2" t="str">
        <f>"UNIMEDSJN"</f>
        <v>UNIMEDSJN</v>
      </c>
      <c r="D2" t="str">
        <f>"DH"</f>
        <v>DH</v>
      </c>
      <c r="E2" t="str">
        <f>"A M de Matos E Cia Ltda"</f>
        <v>A M de Matos E Cia Ltda</v>
      </c>
      <c r="F2" t="str">
        <f>"48625225-1/1"</f>
        <v>48625225-1/1</v>
      </c>
      <c r="G2" t="str">
        <f>"Carteira 21"</f>
        <v>Carteira 21</v>
      </c>
      <c r="H2">
        <v>39</v>
      </c>
      <c r="I2" s="1">
        <v>63</v>
      </c>
      <c r="J2" t="str">
        <f>"02/01/2020"</f>
        <v>02/01/2020</v>
      </c>
      <c r="K2" t="str">
        <f>"10/02/2020"</f>
        <v>10/02/2020</v>
      </c>
      <c r="L2" t="str">
        <f>"10/02/2020"</f>
        <v>10/02/2020</v>
      </c>
      <c r="M2" t="str">
        <f>"11/02/2020"</f>
        <v>11/02/2020</v>
      </c>
      <c r="N2">
        <v>54</v>
      </c>
      <c r="O2">
        <v>54</v>
      </c>
      <c r="P2">
        <v>0</v>
      </c>
    </row>
    <row r="3" spans="1:16" s="2" customFormat="1" x14ac:dyDescent="0.25">
      <c r="A3" s="2">
        <v>45035471</v>
      </c>
      <c r="B3" s="2">
        <v>45035484</v>
      </c>
      <c r="C3" s="2" t="str">
        <f>"UNIMEDSJN"</f>
        <v>UNIMEDSJN</v>
      </c>
      <c r="D3" s="2" t="str">
        <f>"DH"</f>
        <v>DH</v>
      </c>
      <c r="E3" s="2" t="str">
        <f>"Acougue da Estacao Js Ltda"</f>
        <v>Acougue da Estacao Js Ltda</v>
      </c>
      <c r="F3" s="2" t="str">
        <f>"45035471-1/1"</f>
        <v>45035471-1/1</v>
      </c>
      <c r="G3" s="2" t="str">
        <f>"CARTEIRA PERDA"</f>
        <v>CARTEIRA PERDA</v>
      </c>
      <c r="H3" s="2">
        <v>29</v>
      </c>
      <c r="I3" s="3">
        <v>196</v>
      </c>
      <c r="J3" s="2" t="str">
        <f>"01/09/2019"</f>
        <v>01/09/2019</v>
      </c>
      <c r="K3" s="2" t="str">
        <f>"30/09/2019"</f>
        <v>30/09/2019</v>
      </c>
      <c r="L3" s="2" t="str">
        <f>"30/09/2019"</f>
        <v>30/09/2019</v>
      </c>
      <c r="M3" s="2" t="str">
        <f>"05/03/2020"</f>
        <v>05/03/2020</v>
      </c>
      <c r="N3" s="2">
        <v>30</v>
      </c>
      <c r="O3" s="2">
        <v>30</v>
      </c>
      <c r="P3" s="2">
        <v>0</v>
      </c>
    </row>
    <row r="4" spans="1:16" s="2" customFormat="1" x14ac:dyDescent="0.25">
      <c r="A4" s="2">
        <v>45656247</v>
      </c>
      <c r="B4" s="2">
        <v>45656260</v>
      </c>
      <c r="C4" s="2" t="str">
        <f>"UNIMEDSJN"</f>
        <v>UNIMEDSJN</v>
      </c>
      <c r="D4" s="2" t="str">
        <f>"DH"</f>
        <v>DH</v>
      </c>
      <c r="E4" s="2" t="str">
        <f>"Acougue da Estacao Js Ltda"</f>
        <v>Acougue da Estacao Js Ltda</v>
      </c>
      <c r="F4" s="2" t="str">
        <f>"45656247-1/1"</f>
        <v>45656247-1/1</v>
      </c>
      <c r="G4" s="2" t="str">
        <f>"CARTEIRA PERDA"</f>
        <v>CARTEIRA PERDA</v>
      </c>
      <c r="H4" s="2">
        <v>29</v>
      </c>
      <c r="I4" s="3">
        <v>166</v>
      </c>
      <c r="J4" s="2" t="str">
        <f>"01/10/2019"</f>
        <v>01/10/2019</v>
      </c>
      <c r="K4" s="2" t="str">
        <f>"30/10/2019"</f>
        <v>30/10/2019</v>
      </c>
      <c r="L4" s="2" t="str">
        <f>"30/10/2019"</f>
        <v>30/10/2019</v>
      </c>
      <c r="M4" s="2" t="str">
        <f>"05/03/2020"</f>
        <v>05/03/2020</v>
      </c>
      <c r="N4" s="2">
        <v>30</v>
      </c>
      <c r="O4" s="2">
        <v>30</v>
      </c>
      <c r="P4" s="2">
        <v>0</v>
      </c>
    </row>
    <row r="5" spans="1:16" s="2" customFormat="1" x14ac:dyDescent="0.25">
      <c r="A5" s="2">
        <v>45980259</v>
      </c>
      <c r="B5" s="2">
        <v>45980272</v>
      </c>
      <c r="C5" s="2" t="str">
        <f>"UNIMEDSJN"</f>
        <v>UNIMEDSJN</v>
      </c>
      <c r="D5" s="2" t="str">
        <f>"DH"</f>
        <v>DH</v>
      </c>
      <c r="E5" s="2" t="str">
        <f>"Acougue da Estacao Js Ltda"</f>
        <v>Acougue da Estacao Js Ltda</v>
      </c>
      <c r="F5" s="2" t="str">
        <f>"45980259-1/1"</f>
        <v>45980259-1/1</v>
      </c>
      <c r="G5" s="2" t="str">
        <f>"CARTEIRA PERDA"</f>
        <v>CARTEIRA PERDA</v>
      </c>
      <c r="H5" s="2">
        <v>29</v>
      </c>
      <c r="I5" s="3">
        <v>135</v>
      </c>
      <c r="J5" s="2" t="str">
        <f>"01/11/2019"</f>
        <v>01/11/2019</v>
      </c>
      <c r="K5" s="2" t="str">
        <f>"30/11/2019"</f>
        <v>30/11/2019</v>
      </c>
      <c r="L5" s="2" t="str">
        <f>"02/12/2019"</f>
        <v>02/12/2019</v>
      </c>
      <c r="M5" s="2" t="str">
        <f>"05/03/2020"</f>
        <v>05/03/2020</v>
      </c>
      <c r="N5" s="2">
        <v>30</v>
      </c>
      <c r="O5" s="2">
        <v>30</v>
      </c>
      <c r="P5" s="2">
        <v>0</v>
      </c>
    </row>
    <row r="6" spans="1:16" s="2" customFormat="1" x14ac:dyDescent="0.25">
      <c r="A6" s="2">
        <v>47547911</v>
      </c>
      <c r="B6" s="2">
        <v>47547924</v>
      </c>
      <c r="C6" s="2" t="str">
        <f>"UNIMEDSJN"</f>
        <v>UNIMEDSJN</v>
      </c>
      <c r="D6" s="2" t="str">
        <f>"DH"</f>
        <v>DH</v>
      </c>
      <c r="E6" s="2" t="str">
        <f>"Acougue da Estacao Js Ltda"</f>
        <v>Acougue da Estacao Js Ltda</v>
      </c>
      <c r="F6" s="2" t="str">
        <f>"47547911-1/1"</f>
        <v>47547911-1/1</v>
      </c>
      <c r="G6" s="2" t="str">
        <f>"CARTEIRA PERDA"</f>
        <v>CARTEIRA PERDA</v>
      </c>
      <c r="H6" s="2">
        <v>28</v>
      </c>
      <c r="I6" s="3">
        <v>105</v>
      </c>
      <c r="J6" s="2" t="str">
        <f>"02/12/2019"</f>
        <v>02/12/2019</v>
      </c>
      <c r="K6" s="2" t="str">
        <f>"30/12/2019"</f>
        <v>30/12/2019</v>
      </c>
      <c r="L6" s="2" t="str">
        <f>"30/12/2019"</f>
        <v>30/12/2019</v>
      </c>
      <c r="M6" s="2" t="str">
        <f>"05/03/2020"</f>
        <v>05/03/2020</v>
      </c>
      <c r="N6" s="2">
        <v>30</v>
      </c>
      <c r="O6" s="2">
        <v>30</v>
      </c>
      <c r="P6" s="2">
        <v>0</v>
      </c>
    </row>
    <row r="7" spans="1:16" x14ac:dyDescent="0.25">
      <c r="A7">
        <v>48620733</v>
      </c>
      <c r="B7">
        <v>48620746</v>
      </c>
      <c r="C7" t="str">
        <f>"UNIMEDSJN"</f>
        <v>UNIMEDSJN</v>
      </c>
      <c r="D7" t="str">
        <f>"DH"</f>
        <v>DH</v>
      </c>
      <c r="E7" t="str">
        <f>"Acougue da Estacao Js Ltda"</f>
        <v>Acougue da Estacao Js Ltda</v>
      </c>
      <c r="F7" t="str">
        <f>"48620733-1/1"</f>
        <v>48620733-1/1</v>
      </c>
      <c r="G7" t="str">
        <f>"CARTEIRA PERDA"</f>
        <v>CARTEIRA PERDA</v>
      </c>
      <c r="H7">
        <v>28</v>
      </c>
      <c r="I7" s="1">
        <v>74</v>
      </c>
      <c r="J7" t="str">
        <f>"02/01/2020"</f>
        <v>02/01/2020</v>
      </c>
      <c r="K7" t="str">
        <f>"30/01/2020"</f>
        <v>30/01/2020</v>
      </c>
      <c r="L7" t="str">
        <f>"30/01/2020"</f>
        <v>30/01/2020</v>
      </c>
      <c r="M7" t="str">
        <f>"05/03/2020"</f>
        <v>05/03/2020</v>
      </c>
      <c r="N7">
        <v>30</v>
      </c>
      <c r="O7">
        <v>30</v>
      </c>
      <c r="P7">
        <v>0</v>
      </c>
    </row>
    <row r="8" spans="1:16" x14ac:dyDescent="0.25">
      <c r="A8">
        <v>48622846</v>
      </c>
      <c r="B8">
        <v>48622853</v>
      </c>
      <c r="C8" t="str">
        <f>"UNIMEDSJN"</f>
        <v>UNIMEDSJN</v>
      </c>
      <c r="D8" t="str">
        <f>"DH"</f>
        <v>DH</v>
      </c>
      <c r="E8" t="str">
        <f>"Admilia Aparecida Simone"</f>
        <v>Admilia Aparecida Simone</v>
      </c>
      <c r="F8" t="str">
        <f>"48622846-1/1"</f>
        <v>48622846-1/1</v>
      </c>
      <c r="G8" t="str">
        <f>"Carteira 21"</f>
        <v>Carteira 21</v>
      </c>
      <c r="H8">
        <v>28</v>
      </c>
      <c r="I8" s="1">
        <v>74</v>
      </c>
      <c r="J8" t="str">
        <f>"02/01/2020"</f>
        <v>02/01/2020</v>
      </c>
      <c r="K8" t="str">
        <f>"30/01/2020"</f>
        <v>30/01/2020</v>
      </c>
      <c r="L8" t="str">
        <f>"04/02/2020"</f>
        <v>04/02/2020</v>
      </c>
      <c r="M8" t="str">
        <f>"05/02/2020"</f>
        <v>05/02/2020</v>
      </c>
      <c r="N8">
        <v>23.8</v>
      </c>
      <c r="O8">
        <v>24.32</v>
      </c>
      <c r="P8">
        <v>0</v>
      </c>
    </row>
    <row r="9" spans="1:16" s="2" customFormat="1" x14ac:dyDescent="0.25">
      <c r="A9" s="2">
        <v>45976469</v>
      </c>
      <c r="B9" s="2">
        <v>45976496</v>
      </c>
      <c r="C9" s="2" t="str">
        <f>"UNIMEDSJN"</f>
        <v>UNIMEDSJN</v>
      </c>
      <c r="D9" s="2" t="str">
        <f>"DH"</f>
        <v>DH</v>
      </c>
      <c r="E9" s="2" t="str">
        <f>"Alcione Aparecida da Rocha"</f>
        <v>Alcione Aparecida da Rocha</v>
      </c>
      <c r="F9" s="2" t="str">
        <f>"45976469-1/1"</f>
        <v>45976469-1/1</v>
      </c>
      <c r="G9" s="2" t="str">
        <f>"Carteira 21"</f>
        <v>Carteira 21</v>
      </c>
      <c r="H9" s="2">
        <v>29</v>
      </c>
      <c r="I9" s="3">
        <v>135</v>
      </c>
      <c r="J9" s="2" t="str">
        <f>"01/11/2019"</f>
        <v>01/11/2019</v>
      </c>
      <c r="K9" s="2" t="str">
        <f>"30/11/2019"</f>
        <v>30/11/2019</v>
      </c>
      <c r="L9" s="2" t="str">
        <f>"07/02/2020"</f>
        <v>07/02/2020</v>
      </c>
      <c r="M9" s="2" t="str">
        <f>"10/02/2020"</f>
        <v>10/02/2020</v>
      </c>
      <c r="N9" s="2">
        <v>72</v>
      </c>
      <c r="O9" s="2">
        <v>75.03</v>
      </c>
      <c r="P9" s="2">
        <v>6.9999999999993207E-2</v>
      </c>
    </row>
    <row r="10" spans="1:16" s="2" customFormat="1" x14ac:dyDescent="0.25">
      <c r="A10" s="2">
        <v>47544997</v>
      </c>
      <c r="B10" s="2">
        <v>47545026</v>
      </c>
      <c r="C10" s="2" t="str">
        <f>"UNIMEDSJN"</f>
        <v>UNIMEDSJN</v>
      </c>
      <c r="D10" s="2" t="str">
        <f>"DH"</f>
        <v>DH</v>
      </c>
      <c r="E10" s="2" t="str">
        <f>"Alcione Aparecida da Rocha"</f>
        <v>Alcione Aparecida da Rocha</v>
      </c>
      <c r="F10" s="2" t="str">
        <f>"47544997-1/1"</f>
        <v>47544997-1/1</v>
      </c>
      <c r="G10" s="2" t="str">
        <f>"Carteira 21"</f>
        <v>Carteira 21</v>
      </c>
      <c r="H10" s="2">
        <v>28</v>
      </c>
      <c r="I10" s="3">
        <v>105</v>
      </c>
      <c r="J10" s="2" t="str">
        <f>"02/12/2019"</f>
        <v>02/12/2019</v>
      </c>
      <c r="K10" s="2" t="str">
        <f>"30/12/2019"</f>
        <v>30/12/2019</v>
      </c>
      <c r="L10" s="2" t="str">
        <f>"06/03/2020"</f>
        <v>06/03/2020</v>
      </c>
      <c r="M10" s="2" t="str">
        <f>"09/03/2020"</f>
        <v>09/03/2020</v>
      </c>
      <c r="N10" s="2">
        <v>72</v>
      </c>
      <c r="O10" s="2">
        <v>75.03</v>
      </c>
      <c r="P10" s="2">
        <v>1.9999999999996E-2</v>
      </c>
    </row>
    <row r="11" spans="1:16" x14ac:dyDescent="0.25">
      <c r="A11">
        <v>48617923</v>
      </c>
      <c r="B11">
        <v>48617950</v>
      </c>
      <c r="C11" t="str">
        <f>"UNIMEDSJN"</f>
        <v>UNIMEDSJN</v>
      </c>
      <c r="D11" t="str">
        <f>"DH"</f>
        <v>DH</v>
      </c>
      <c r="E11" t="str">
        <f>"Alcione Aparecida da Rocha"</f>
        <v>Alcione Aparecida da Rocha</v>
      </c>
      <c r="F11" t="str">
        <f>"48617923-1/1"</f>
        <v>48617923-1/1</v>
      </c>
      <c r="G11" t="str">
        <f>"Carteira 21"</f>
        <v>Carteira 21</v>
      </c>
      <c r="H11">
        <v>28</v>
      </c>
      <c r="I11" s="1">
        <v>74</v>
      </c>
      <c r="J11" t="str">
        <f>"02/01/2020"</f>
        <v>02/01/2020</v>
      </c>
      <c r="K11" t="str">
        <f>"30/01/2020"</f>
        <v>30/01/2020</v>
      </c>
      <c r="L11" t="str">
        <f>"06/04/2020"</f>
        <v>06/04/2020</v>
      </c>
      <c r="M11" t="str">
        <f>"07/04/2020"</f>
        <v>07/04/2020</v>
      </c>
      <c r="N11">
        <v>72</v>
      </c>
      <c r="O11">
        <v>75.03</v>
      </c>
      <c r="P11">
        <v>1.9999999999996E-2</v>
      </c>
    </row>
    <row r="12" spans="1:16" s="2" customFormat="1" x14ac:dyDescent="0.25">
      <c r="A12" s="2">
        <v>45539254</v>
      </c>
      <c r="B12" s="2">
        <v>45539276</v>
      </c>
      <c r="C12" s="2" t="str">
        <f>"UNIMEDSJN"</f>
        <v>UNIMEDSJN</v>
      </c>
      <c r="D12" s="2" t="str">
        <f>"DH"</f>
        <v>DH</v>
      </c>
      <c r="E12" s="2" t="str">
        <f>"Alessandra Nascimento do Amaral"</f>
        <v>Alessandra Nascimento do Amaral</v>
      </c>
      <c r="F12" s="2" t="str">
        <f>"45539254-1/1"</f>
        <v>45539254-1/1</v>
      </c>
      <c r="G12" s="2" t="str">
        <f>"Carteira 21"</f>
        <v>Carteira 21</v>
      </c>
      <c r="H12" s="2">
        <v>29</v>
      </c>
      <c r="I12" s="3">
        <v>166</v>
      </c>
      <c r="J12" s="2" t="str">
        <f>"01/10/2019"</f>
        <v>01/10/2019</v>
      </c>
      <c r="K12" s="2" t="str">
        <f>"30/10/2019"</f>
        <v>30/10/2019</v>
      </c>
      <c r="L12" s="2" t="str">
        <f>"12/02/2020"</f>
        <v>12/02/2020</v>
      </c>
      <c r="M12" s="2" t="str">
        <f>"13/02/2020"</f>
        <v>13/02/2020</v>
      </c>
      <c r="N12" s="2">
        <v>372.58</v>
      </c>
      <c r="O12" s="2">
        <v>392.94</v>
      </c>
      <c r="P12" s="2">
        <v>0.12999999999999501</v>
      </c>
    </row>
    <row r="13" spans="1:16" s="2" customFormat="1" x14ac:dyDescent="0.25">
      <c r="A13" s="2">
        <v>45931584</v>
      </c>
      <c r="B13" s="2">
        <v>45931598</v>
      </c>
      <c r="C13" s="2" t="str">
        <f>"UNIMEDSJN"</f>
        <v>UNIMEDSJN</v>
      </c>
      <c r="D13" s="2" t="str">
        <f>"DH"</f>
        <v>DH</v>
      </c>
      <c r="E13" s="2" t="str">
        <f>"Alessandra Nascimento do Amaral"</f>
        <v>Alessandra Nascimento do Amaral</v>
      </c>
      <c r="F13" s="2" t="str">
        <f>"45931584-1/1"</f>
        <v>45931584-1/1</v>
      </c>
      <c r="G13" s="2" t="str">
        <f>"Carteira 21"</f>
        <v>Carteira 21</v>
      </c>
      <c r="H13" s="2">
        <v>59</v>
      </c>
      <c r="I13" s="3">
        <v>105</v>
      </c>
      <c r="J13" s="2" t="str">
        <f>"01/11/2019"</f>
        <v>01/11/2019</v>
      </c>
      <c r="K13" s="2" t="str">
        <f>"30/12/2019"</f>
        <v>30/12/2019</v>
      </c>
      <c r="L13" s="2" t="str">
        <f>"28/02/2020"</f>
        <v>28/02/2020</v>
      </c>
      <c r="M13" s="2" t="str">
        <f>"13/03/2020"</f>
        <v>13/03/2020</v>
      </c>
      <c r="N13" s="2">
        <v>372.58</v>
      </c>
      <c r="O13" s="2">
        <v>390.85</v>
      </c>
      <c r="P13" s="2">
        <v>-3.3700000000000601</v>
      </c>
    </row>
    <row r="14" spans="1:16" x14ac:dyDescent="0.25">
      <c r="A14">
        <v>47541306</v>
      </c>
      <c r="B14">
        <v>47541326</v>
      </c>
      <c r="C14" t="str">
        <f>"UNIMEDSJN"</f>
        <v>UNIMEDSJN</v>
      </c>
      <c r="D14" t="str">
        <f>"DH"</f>
        <v>DH</v>
      </c>
      <c r="E14" t="str">
        <f>"Alessandra Nascimento do Amaral"</f>
        <v>Alessandra Nascimento do Amaral</v>
      </c>
      <c r="F14" t="str">
        <f>"47541306-1/1"</f>
        <v>47541306-1/1</v>
      </c>
      <c r="G14" t="str">
        <f>"Carteira 21"</f>
        <v>Carteira 21</v>
      </c>
      <c r="H14">
        <v>58</v>
      </c>
      <c r="I14" s="1">
        <v>75</v>
      </c>
      <c r="J14" t="str">
        <f>"02/12/2019"</f>
        <v>02/12/2019</v>
      </c>
      <c r="K14" t="str">
        <f>"29/01/2020"</f>
        <v>29/01/2020</v>
      </c>
      <c r="L14" t="str">
        <f>"11/03/2020"</f>
        <v>11/03/2020</v>
      </c>
      <c r="M14" t="str">
        <f>"12/03/2020"</f>
        <v>12/03/2020</v>
      </c>
      <c r="N14">
        <v>372.58</v>
      </c>
      <c r="O14">
        <v>388.89</v>
      </c>
      <c r="P14">
        <v>-3.6399999999999899</v>
      </c>
    </row>
    <row r="15" spans="1:16" x14ac:dyDescent="0.25">
      <c r="A15">
        <v>48613947</v>
      </c>
      <c r="B15">
        <v>48613958</v>
      </c>
      <c r="C15" t="str">
        <f>"UNIMEDSJN"</f>
        <v>UNIMEDSJN</v>
      </c>
      <c r="D15" t="str">
        <f>"DH"</f>
        <v>DH</v>
      </c>
      <c r="E15" t="str">
        <f>"Alessandra Nascimento do Amaral"</f>
        <v>Alessandra Nascimento do Amaral</v>
      </c>
      <c r="F15" t="str">
        <f>"48613947-1/1"</f>
        <v>48613947-1/1</v>
      </c>
      <c r="G15" t="str">
        <f>"Carteira 21"</f>
        <v>Carteira 21</v>
      </c>
      <c r="H15">
        <v>28</v>
      </c>
      <c r="I15" s="1">
        <v>74</v>
      </c>
      <c r="J15" t="str">
        <f>"02/01/2020"</f>
        <v>02/01/2020</v>
      </c>
      <c r="K15" t="str">
        <f>"30/01/2020"</f>
        <v>30/01/2020</v>
      </c>
      <c r="L15" t="str">
        <f>"30/01/2020"</f>
        <v>30/01/2020</v>
      </c>
      <c r="M15" t="str">
        <f>"02/01/2020"</f>
        <v>02/01/2020</v>
      </c>
      <c r="N15">
        <v>372.58</v>
      </c>
      <c r="O15">
        <v>372.58</v>
      </c>
      <c r="P15">
        <v>0</v>
      </c>
    </row>
    <row r="16" spans="1:16" x14ac:dyDescent="0.25">
      <c r="A16">
        <v>48613881</v>
      </c>
      <c r="B16">
        <v>48613894</v>
      </c>
      <c r="C16" t="str">
        <f>"UNIMEDSJN"</f>
        <v>UNIMEDSJN</v>
      </c>
      <c r="D16" t="str">
        <f>"DH"</f>
        <v>DH</v>
      </c>
      <c r="E16" t="str">
        <f>"Aline Priscila Silva de Paiva"</f>
        <v>Aline Priscila Silva de Paiva</v>
      </c>
      <c r="F16" t="str">
        <f>"48613881-1/1"</f>
        <v>48613881-1/1</v>
      </c>
      <c r="G16" t="str">
        <f>"Carteira 21"</f>
        <v>Carteira 21</v>
      </c>
      <c r="H16">
        <v>28</v>
      </c>
      <c r="I16" s="1">
        <v>74</v>
      </c>
      <c r="J16" t="str">
        <f>"02/01/2020"</f>
        <v>02/01/2020</v>
      </c>
      <c r="K16" t="str">
        <f>"30/01/2020"</f>
        <v>30/01/2020</v>
      </c>
      <c r="L16" t="str">
        <f>"05/02/2020"</f>
        <v>05/02/2020</v>
      </c>
      <c r="M16" t="str">
        <f>"06/02/2020"</f>
        <v>06/02/2020</v>
      </c>
      <c r="N16">
        <v>465.26</v>
      </c>
      <c r="O16">
        <v>475.48</v>
      </c>
      <c r="P16">
        <v>1.99999999999818E-2</v>
      </c>
    </row>
    <row r="17" spans="1:16" x14ac:dyDescent="0.25">
      <c r="A17">
        <v>48599427</v>
      </c>
      <c r="B17">
        <v>48599449</v>
      </c>
      <c r="C17" t="str">
        <f>"UNIMEDSJN"</f>
        <v>UNIMEDSJN</v>
      </c>
      <c r="D17" t="str">
        <f>"DH"</f>
        <v>DH</v>
      </c>
      <c r="E17" t="str">
        <f>"Antonio Filhos Transportes Ltda"</f>
        <v>Antonio Filhos Transportes Ltda</v>
      </c>
      <c r="F17" t="str">
        <f>"48599427-1/1"</f>
        <v>48599427-1/1</v>
      </c>
      <c r="G17" t="str">
        <f>"Carteira 21"</f>
        <v>Carteira 21</v>
      </c>
      <c r="H17">
        <v>28</v>
      </c>
      <c r="I17" s="1">
        <v>74</v>
      </c>
      <c r="J17" t="str">
        <f>"02/01/2020"</f>
        <v>02/01/2020</v>
      </c>
      <c r="K17" t="str">
        <f>"30/01/2020"</f>
        <v>30/01/2020</v>
      </c>
      <c r="L17" t="str">
        <f>"18/03/2020"</f>
        <v>18/03/2020</v>
      </c>
      <c r="M17" t="str">
        <f>"19/03/2020"</f>
        <v>19/03/2020</v>
      </c>
      <c r="N17">
        <v>2628.44</v>
      </c>
      <c r="O17">
        <v>2722.64</v>
      </c>
      <c r="P17">
        <v>0.43000000000029098</v>
      </c>
    </row>
    <row r="18" spans="1:16" x14ac:dyDescent="0.25">
      <c r="A18">
        <v>48615214</v>
      </c>
      <c r="B18">
        <v>48615230</v>
      </c>
      <c r="C18" t="str">
        <f>"UNIMEDSJN"</f>
        <v>UNIMEDSJN</v>
      </c>
      <c r="D18" t="str">
        <f>"DH"</f>
        <v>DH</v>
      </c>
      <c r="E18" t="str">
        <f>"Arlete Aparecida Ribeiro Barrigio Lamarca"</f>
        <v>Arlete Aparecida Ribeiro Barrigio Lamarca</v>
      </c>
      <c r="F18" t="str">
        <f>"48615214-1/1"</f>
        <v>48615214-1/1</v>
      </c>
      <c r="G18" t="str">
        <f>"Carteira 21"</f>
        <v>Carteira 21</v>
      </c>
      <c r="H18">
        <v>28</v>
      </c>
      <c r="I18" s="1">
        <v>74</v>
      </c>
      <c r="J18" t="str">
        <f>"02/01/2020"</f>
        <v>02/01/2020</v>
      </c>
      <c r="K18" t="str">
        <f>"30/01/2020"</f>
        <v>30/01/2020</v>
      </c>
      <c r="L18" t="str">
        <f>"17/03/2020"</f>
        <v>17/03/2020</v>
      </c>
      <c r="M18" t="str">
        <f>"18/03/2020"</f>
        <v>18/03/2020</v>
      </c>
      <c r="N18">
        <v>610.30999999999995</v>
      </c>
      <c r="O18">
        <v>631.98</v>
      </c>
      <c r="P18">
        <v>0.100000000000023</v>
      </c>
    </row>
    <row r="19" spans="1:16" x14ac:dyDescent="0.25">
      <c r="A19">
        <v>48613993</v>
      </c>
      <c r="B19">
        <v>48614011</v>
      </c>
      <c r="C19" t="str">
        <f>"UNIMEDSJN"</f>
        <v>UNIMEDSJN</v>
      </c>
      <c r="D19" t="str">
        <f>"DH"</f>
        <v>DH</v>
      </c>
      <c r="E19" t="str">
        <f>"Bysystem Ltda"</f>
        <v>Bysystem Ltda</v>
      </c>
      <c r="F19" t="str">
        <f>"48613993-1/1"</f>
        <v>48613993-1/1</v>
      </c>
      <c r="G19" t="str">
        <f>"Carteira 21"</f>
        <v>Carteira 21</v>
      </c>
      <c r="H19">
        <v>28</v>
      </c>
      <c r="I19" s="1">
        <v>74</v>
      </c>
      <c r="J19" t="str">
        <f>"02/01/2020"</f>
        <v>02/01/2020</v>
      </c>
      <c r="K19" t="str">
        <f>"30/01/2020"</f>
        <v>30/01/2020</v>
      </c>
      <c r="L19" t="str">
        <f>"14/02/2020"</f>
        <v>14/02/2020</v>
      </c>
      <c r="M19" t="str">
        <f>"17/02/2020"</f>
        <v>17/02/2020</v>
      </c>
      <c r="N19">
        <v>704.05</v>
      </c>
      <c r="O19">
        <v>721.61</v>
      </c>
      <c r="P19">
        <v>4.00000000000773E-2</v>
      </c>
    </row>
    <row r="20" spans="1:16" x14ac:dyDescent="0.25">
      <c r="A20">
        <v>48622173</v>
      </c>
      <c r="B20">
        <v>48622182</v>
      </c>
      <c r="C20" t="str">
        <f>"UNIMEDSJN"</f>
        <v>UNIMEDSJN</v>
      </c>
      <c r="D20" t="str">
        <f>"DH"</f>
        <v>DH</v>
      </c>
      <c r="E20" t="str">
        <f>"C E S da Silva - Me"</f>
        <v>C E S da Silva - Me</v>
      </c>
      <c r="F20" t="str">
        <f>"48622173-1/1"</f>
        <v>48622173-1/1</v>
      </c>
      <c r="G20" t="str">
        <f>"Carteira 21"</f>
        <v>Carteira 21</v>
      </c>
      <c r="H20">
        <v>28</v>
      </c>
      <c r="I20" s="1">
        <v>74</v>
      </c>
      <c r="J20" t="str">
        <f>"02/01/2020"</f>
        <v>02/01/2020</v>
      </c>
      <c r="K20" t="str">
        <f>"30/01/2020"</f>
        <v>30/01/2020</v>
      </c>
      <c r="L20" t="str">
        <f>"14/02/2020"</f>
        <v>14/02/2020</v>
      </c>
      <c r="M20" t="str">
        <f>"17/02/2020"</f>
        <v>17/02/2020</v>
      </c>
      <c r="N20">
        <v>15</v>
      </c>
      <c r="O20">
        <v>15.37</v>
      </c>
      <c r="P20">
        <v>9.9999999999997903E-3</v>
      </c>
    </row>
    <row r="21" spans="1:16" s="2" customFormat="1" x14ac:dyDescent="0.25">
      <c r="A21" s="2">
        <v>47547251</v>
      </c>
      <c r="B21" s="2">
        <v>47547274</v>
      </c>
      <c r="C21" s="2" t="str">
        <f>"UNIMEDSJN"</f>
        <v>UNIMEDSJN</v>
      </c>
      <c r="D21" s="2" t="str">
        <f>"DH"</f>
        <v>DH</v>
      </c>
      <c r="E21" s="2" t="str">
        <f>"Cantina Arrichete Ltda"</f>
        <v>Cantina Arrichete Ltda</v>
      </c>
      <c r="F21" s="2" t="str">
        <f>"47547251-1/1"</f>
        <v>47547251-1/1</v>
      </c>
      <c r="G21" s="2" t="str">
        <f>"Carteira 21"</f>
        <v>Carteira 21</v>
      </c>
      <c r="H21" s="2">
        <v>23</v>
      </c>
      <c r="I21" s="3">
        <v>110</v>
      </c>
      <c r="J21" s="2" t="str">
        <f>"02/12/2019"</f>
        <v>02/12/2019</v>
      </c>
      <c r="K21" s="2" t="str">
        <f>"25/12/2019"</f>
        <v>25/12/2019</v>
      </c>
      <c r="L21" s="2" t="str">
        <f>"11/02/2020"</f>
        <v>11/02/2020</v>
      </c>
      <c r="M21" s="2" t="str">
        <f>"12/02/2020"</f>
        <v>12/02/2020</v>
      </c>
      <c r="N21" s="2">
        <v>60</v>
      </c>
      <c r="O21" s="2">
        <v>62.15</v>
      </c>
      <c r="P21" s="2">
        <v>1.00000000000051E-2</v>
      </c>
    </row>
    <row r="22" spans="1:16" x14ac:dyDescent="0.25">
      <c r="A22">
        <v>48620081</v>
      </c>
      <c r="B22">
        <v>48620104</v>
      </c>
      <c r="C22" t="str">
        <f>"UNIMEDSJN"</f>
        <v>UNIMEDSJN</v>
      </c>
      <c r="D22" t="str">
        <f>"DH"</f>
        <v>DH</v>
      </c>
      <c r="E22" t="str">
        <f>"Cantina Arrichete Ltda"</f>
        <v>Cantina Arrichete Ltda</v>
      </c>
      <c r="F22" t="str">
        <f>"48620081-1/1"</f>
        <v>48620081-1/1</v>
      </c>
      <c r="G22" t="str">
        <f>"Carteira 21"</f>
        <v>Carteira 21</v>
      </c>
      <c r="H22">
        <v>23</v>
      </c>
      <c r="I22" s="1">
        <v>79</v>
      </c>
      <c r="J22" t="str">
        <f>"02/01/2020"</f>
        <v>02/01/2020</v>
      </c>
      <c r="K22" t="str">
        <f>"25/01/2020"</f>
        <v>25/01/2020</v>
      </c>
      <c r="L22" t="str">
        <f>"19/02/2020"</f>
        <v>19/02/2020</v>
      </c>
      <c r="M22" t="str">
        <f>"20/02/2020"</f>
        <v>20/02/2020</v>
      </c>
      <c r="N22">
        <v>60</v>
      </c>
      <c r="O22">
        <v>61.66</v>
      </c>
      <c r="P22">
        <v>3.9999999999999099E-2</v>
      </c>
    </row>
    <row r="23" spans="1:16" x14ac:dyDescent="0.25">
      <c r="A23">
        <v>48614587</v>
      </c>
      <c r="B23">
        <v>48614612</v>
      </c>
      <c r="C23" t="str">
        <f>"UNIMEDSJN"</f>
        <v>UNIMEDSJN</v>
      </c>
      <c r="D23" t="str">
        <f>"DH"</f>
        <v>DH</v>
      </c>
      <c r="E23" t="str">
        <f>"Carlos Vinicius Bretas Candido"</f>
        <v>Carlos Vinicius Bretas Candido</v>
      </c>
      <c r="F23" t="str">
        <f>"48614587-1/1"</f>
        <v>48614587-1/1</v>
      </c>
      <c r="G23" t="str">
        <f>"Carteira 21"</f>
        <v>Carteira 21</v>
      </c>
      <c r="H23">
        <v>28</v>
      </c>
      <c r="I23" s="1">
        <v>74</v>
      </c>
      <c r="J23" t="str">
        <f>"02/01/2020"</f>
        <v>02/01/2020</v>
      </c>
      <c r="K23" t="str">
        <f>"30/01/2020"</f>
        <v>30/01/2020</v>
      </c>
      <c r="L23" t="str">
        <f>"30/01/2020"</f>
        <v>30/01/2020</v>
      </c>
      <c r="M23" t="str">
        <f>"02/01/2020"</f>
        <v>02/01/2020</v>
      </c>
      <c r="N23">
        <v>324.51</v>
      </c>
      <c r="O23">
        <v>324.51</v>
      </c>
      <c r="P23">
        <v>0</v>
      </c>
    </row>
    <row r="24" spans="1:16" s="2" customFormat="1" x14ac:dyDescent="0.25">
      <c r="A24" s="2">
        <v>45496572</v>
      </c>
      <c r="B24" s="2">
        <v>45496581</v>
      </c>
      <c r="C24" s="2" t="str">
        <f>"UNIMEDSJN"</f>
        <v>UNIMEDSJN</v>
      </c>
      <c r="D24" s="2" t="str">
        <f>"DH"</f>
        <v>DH</v>
      </c>
      <c r="E24" s="2" t="str">
        <f>"Cfc Por do Sol"</f>
        <v>Cfc Por do Sol</v>
      </c>
      <c r="F24" s="2" t="str">
        <f>"45496572-1/1"</f>
        <v>45496572-1/1</v>
      </c>
      <c r="G24" s="2" t="str">
        <f>"Carteira 21"</f>
        <v>Carteira 21</v>
      </c>
      <c r="H24" s="2">
        <v>29</v>
      </c>
      <c r="I24" s="3">
        <v>166</v>
      </c>
      <c r="J24" s="2" t="str">
        <f>"01/10/2019"</f>
        <v>01/10/2019</v>
      </c>
      <c r="K24" s="2" t="str">
        <f>"30/10/2019"</f>
        <v>30/10/2019</v>
      </c>
      <c r="L24" s="2" t="str">
        <f>"18/03/2020"</f>
        <v>18/03/2020</v>
      </c>
      <c r="M24" s="2" t="str">
        <f>"19/03/2020"</f>
        <v>19/03/2020</v>
      </c>
      <c r="N24" s="2">
        <v>1072.0899999999999</v>
      </c>
      <c r="O24" s="2">
        <v>1143.06</v>
      </c>
      <c r="P24" s="2">
        <v>0.5</v>
      </c>
    </row>
    <row r="25" spans="1:16" s="2" customFormat="1" x14ac:dyDescent="0.25">
      <c r="A25" s="2">
        <v>45930335</v>
      </c>
      <c r="B25" s="2">
        <v>45930342</v>
      </c>
      <c r="C25" s="2" t="str">
        <f>"UNIMEDSJN"</f>
        <v>UNIMEDSJN</v>
      </c>
      <c r="D25" s="2" t="str">
        <f>"DH"</f>
        <v>DH</v>
      </c>
      <c r="E25" s="2" t="str">
        <f>"Cfc Por do Sol"</f>
        <v>Cfc Por do Sol</v>
      </c>
      <c r="F25" s="2" t="str">
        <f>"45930335-1/1"</f>
        <v>45930335-1/1</v>
      </c>
      <c r="G25" s="2" t="str">
        <f>"Carteira 21"</f>
        <v>Carteira 21</v>
      </c>
      <c r="H25" s="2">
        <v>29</v>
      </c>
      <c r="I25" s="3">
        <v>135</v>
      </c>
      <c r="J25" s="2" t="str">
        <f>"01/11/2019"</f>
        <v>01/11/2019</v>
      </c>
      <c r="K25" s="2" t="str">
        <f>"30/11/2019"</f>
        <v>30/11/2019</v>
      </c>
      <c r="L25" s="2" t="str">
        <f>"18/03/2020"</f>
        <v>18/03/2020</v>
      </c>
      <c r="M25" s="2" t="str">
        <f>"19/03/2020"</f>
        <v>19/03/2020</v>
      </c>
      <c r="N25" s="2">
        <v>1072.0899999999999</v>
      </c>
      <c r="O25" s="2">
        <v>1131.3900000000001</v>
      </c>
      <c r="P25" s="2">
        <v>1.0899999999999199</v>
      </c>
    </row>
    <row r="26" spans="1:16" s="2" customFormat="1" x14ac:dyDescent="0.25">
      <c r="A26" s="2">
        <v>47514275</v>
      </c>
      <c r="B26" s="2">
        <v>47514284</v>
      </c>
      <c r="C26" s="2" t="str">
        <f>"UNIMEDSJN"</f>
        <v>UNIMEDSJN</v>
      </c>
      <c r="D26" s="2" t="str">
        <f>"DH"</f>
        <v>DH</v>
      </c>
      <c r="E26" s="2" t="str">
        <f>"Cfc Por do Sol"</f>
        <v>Cfc Por do Sol</v>
      </c>
      <c r="F26" s="2" t="str">
        <f>"47514275-1/1"</f>
        <v>47514275-1/1</v>
      </c>
      <c r="G26" s="2" t="str">
        <f>"Carteira 21"</f>
        <v>Carteira 21</v>
      </c>
      <c r="H26" s="2">
        <v>28</v>
      </c>
      <c r="I26" s="3">
        <v>105</v>
      </c>
      <c r="J26" s="2" t="str">
        <f>"02/12/2019"</f>
        <v>02/12/2019</v>
      </c>
      <c r="K26" s="2" t="str">
        <f>"30/12/2019"</f>
        <v>30/12/2019</v>
      </c>
      <c r="L26" s="2" t="str">
        <f>"18/03/2020"</f>
        <v>18/03/2020</v>
      </c>
      <c r="M26" s="2" t="str">
        <f>"19/03/2020"</f>
        <v>19/03/2020</v>
      </c>
      <c r="N26" s="2">
        <v>1072.0899999999999</v>
      </c>
      <c r="O26" s="2">
        <v>1121.48</v>
      </c>
      <c r="P26" s="2">
        <v>0.27999999999997299</v>
      </c>
    </row>
    <row r="27" spans="1:16" x14ac:dyDescent="0.25">
      <c r="A27">
        <v>48586058</v>
      </c>
      <c r="B27">
        <v>48586083</v>
      </c>
      <c r="C27" t="str">
        <f>"UNIMEDSJN"</f>
        <v>UNIMEDSJN</v>
      </c>
      <c r="D27" t="str">
        <f>"DH"</f>
        <v>DH</v>
      </c>
      <c r="E27" t="str">
        <f>"Cleto Jose Varoto - Me"</f>
        <v>Cleto Jose Varoto - Me</v>
      </c>
      <c r="F27" t="str">
        <f>"48586058-1/1"</f>
        <v>48586058-1/1</v>
      </c>
      <c r="G27" t="str">
        <f>"Carteira 21"</f>
        <v>Carteira 21</v>
      </c>
      <c r="H27">
        <v>28</v>
      </c>
      <c r="I27" s="1">
        <v>74</v>
      </c>
      <c r="J27" t="str">
        <f>"02/01/2020"</f>
        <v>02/01/2020</v>
      </c>
      <c r="K27" t="str">
        <f>"30/01/2020"</f>
        <v>30/01/2020</v>
      </c>
      <c r="L27" t="str">
        <f>"11/03/2020"</f>
        <v>11/03/2020</v>
      </c>
      <c r="M27" t="str">
        <f>"12/03/2020"</f>
        <v>12/03/2020</v>
      </c>
      <c r="N27">
        <v>2397.7199999999998</v>
      </c>
      <c r="O27">
        <v>2478.11</v>
      </c>
      <c r="P27">
        <v>0.32999999999992702</v>
      </c>
    </row>
    <row r="28" spans="1:16" x14ac:dyDescent="0.25">
      <c r="A28">
        <v>48615683</v>
      </c>
      <c r="B28">
        <v>48616206</v>
      </c>
      <c r="C28" t="str">
        <f>"UNIMEDSJN"</f>
        <v>UNIMEDSJN</v>
      </c>
      <c r="D28" t="str">
        <f>"DH"</f>
        <v>DH</v>
      </c>
      <c r="E28" t="str">
        <f>"Confeccoes Children"</f>
        <v>Confeccoes Children</v>
      </c>
      <c r="F28" t="str">
        <f>"48615683-1/1"</f>
        <v>48615683-1/1</v>
      </c>
      <c r="G28" t="str">
        <f>"Carteira 21"</f>
        <v>Carteira 21</v>
      </c>
      <c r="H28">
        <v>34</v>
      </c>
      <c r="I28" s="1">
        <v>68</v>
      </c>
      <c r="J28" t="str">
        <f>"02/01/2020"</f>
        <v>02/01/2020</v>
      </c>
      <c r="K28" t="str">
        <f>"05/02/2020"</f>
        <v>05/02/2020</v>
      </c>
      <c r="L28" t="str">
        <f>"05/02/2020"</f>
        <v>05/02/2020</v>
      </c>
      <c r="M28" t="str">
        <f>"04/02/2020"</f>
        <v>04/02/2020</v>
      </c>
      <c r="N28">
        <v>7590.9</v>
      </c>
      <c r="O28">
        <v>7590.9</v>
      </c>
      <c r="P28">
        <v>0</v>
      </c>
    </row>
    <row r="29" spans="1:16" x14ac:dyDescent="0.25">
      <c r="A29">
        <v>48624728</v>
      </c>
      <c r="B29">
        <v>48756392</v>
      </c>
      <c r="C29" t="str">
        <f>"UNIMEDSJN"</f>
        <v>UNIMEDSJN</v>
      </c>
      <c r="D29" t="str">
        <f>"DH"</f>
        <v>DH</v>
      </c>
      <c r="E29" t="str">
        <f>"Confeccoes Vape"</f>
        <v>Confeccoes Vape</v>
      </c>
      <c r="F29" t="str">
        <f>"48624728-1/1"</f>
        <v>48624728-1/1</v>
      </c>
      <c r="G29" t="str">
        <f>"Carteira 21"</f>
        <v>Carteira 21</v>
      </c>
      <c r="H29">
        <v>44</v>
      </c>
      <c r="I29" s="1">
        <v>58</v>
      </c>
      <c r="J29" t="str">
        <f>"02/01/2020"</f>
        <v>02/01/2020</v>
      </c>
      <c r="K29" t="str">
        <f>"15/02/2020"</f>
        <v>15/02/2020</v>
      </c>
      <c r="L29" t="str">
        <f>"17/02/2020"</f>
        <v>17/02/2020</v>
      </c>
      <c r="M29" t="str">
        <f>"18/02/2020"</f>
        <v>18/02/2020</v>
      </c>
      <c r="N29">
        <v>155</v>
      </c>
      <c r="O29">
        <v>155</v>
      </c>
      <c r="P29">
        <v>0</v>
      </c>
    </row>
    <row r="30" spans="1:16" x14ac:dyDescent="0.25">
      <c r="A30">
        <v>48622658</v>
      </c>
      <c r="B30">
        <v>48622763</v>
      </c>
      <c r="C30" t="str">
        <f>"UNIMEDSJN"</f>
        <v>UNIMEDSJN</v>
      </c>
      <c r="D30" t="str">
        <f>"DH"</f>
        <v>DH</v>
      </c>
      <c r="E30" t="str">
        <f>"Conselho Municipal do Bem Estar do Menor Cmbem"</f>
        <v>Conselho Municipal do Bem Estar do Menor Cmbem</v>
      </c>
      <c r="F30" t="str">
        <f>"48622658-1/1"</f>
        <v>48622658-1/1</v>
      </c>
      <c r="G30" t="str">
        <f>"Carteira 21"</f>
        <v>Carteira 21</v>
      </c>
      <c r="H30">
        <v>28</v>
      </c>
      <c r="I30" s="1">
        <v>74</v>
      </c>
      <c r="J30" t="str">
        <f>"02/01/2020"</f>
        <v>02/01/2020</v>
      </c>
      <c r="K30" t="str">
        <f>"30/01/2020"</f>
        <v>30/01/2020</v>
      </c>
      <c r="L30" t="str">
        <f>"03/02/2020"</f>
        <v>03/02/2020</v>
      </c>
      <c r="M30" t="str">
        <f>"04/02/2020"</f>
        <v>04/02/2020</v>
      </c>
      <c r="N30">
        <v>357</v>
      </c>
      <c r="O30">
        <v>357</v>
      </c>
      <c r="P30">
        <v>7.6200000000000099</v>
      </c>
    </row>
    <row r="31" spans="1:16" x14ac:dyDescent="0.25">
      <c r="A31">
        <v>48619266</v>
      </c>
      <c r="B31">
        <v>48619293</v>
      </c>
      <c r="C31" t="str">
        <f>"UNIMEDSJN"</f>
        <v>UNIMEDSJN</v>
      </c>
      <c r="D31" t="str">
        <f>"DH"</f>
        <v>DH</v>
      </c>
      <c r="E31" t="str">
        <f>"Dalton Filhos Loterias Ltda"</f>
        <v>Dalton Filhos Loterias Ltda</v>
      </c>
      <c r="F31" t="str">
        <f>"48619266-1/1"</f>
        <v>48619266-1/1</v>
      </c>
      <c r="G31" t="str">
        <f>"Carteira 21"</f>
        <v>Carteira 21</v>
      </c>
      <c r="H31">
        <v>28</v>
      </c>
      <c r="I31" s="1">
        <v>74</v>
      </c>
      <c r="J31" t="str">
        <f>"02/01/2020"</f>
        <v>02/01/2020</v>
      </c>
      <c r="K31" t="str">
        <f>"30/01/2020"</f>
        <v>30/01/2020</v>
      </c>
      <c r="L31" t="str">
        <f>"03/02/2020"</f>
        <v>03/02/2020</v>
      </c>
      <c r="M31" t="str">
        <f>"04/02/2020"</f>
        <v>04/02/2020</v>
      </c>
      <c r="N31">
        <v>72</v>
      </c>
      <c r="O31">
        <v>73.540000000000006</v>
      </c>
      <c r="P31">
        <v>0</v>
      </c>
    </row>
    <row r="32" spans="1:16" x14ac:dyDescent="0.25">
      <c r="A32">
        <v>48622837</v>
      </c>
      <c r="B32">
        <v>48622844</v>
      </c>
      <c r="C32" t="str">
        <f>"UNIMEDSJN"</f>
        <v>UNIMEDSJN</v>
      </c>
      <c r="D32" t="str">
        <f>"DH"</f>
        <v>DH</v>
      </c>
      <c r="E32" t="str">
        <f>"David de Souza Lima Moreira"</f>
        <v>David de Souza Lima Moreira</v>
      </c>
      <c r="F32" t="str">
        <f>"48622837-1/1"</f>
        <v>48622837-1/1</v>
      </c>
      <c r="G32" t="str">
        <f>"Carteira 21"</f>
        <v>Carteira 21</v>
      </c>
      <c r="H32">
        <v>28</v>
      </c>
      <c r="I32" s="1">
        <v>74</v>
      </c>
      <c r="J32" t="str">
        <f>"02/01/2020"</f>
        <v>02/01/2020</v>
      </c>
      <c r="K32" t="str">
        <f>"30/01/2020"</f>
        <v>30/01/2020</v>
      </c>
      <c r="L32" t="str">
        <f>"03/02/2020"</f>
        <v>03/02/2020</v>
      </c>
      <c r="M32" t="str">
        <f>"04/02/2020"</f>
        <v>04/02/2020</v>
      </c>
      <c r="N32">
        <v>23.8</v>
      </c>
      <c r="O32">
        <v>24.31</v>
      </c>
      <c r="P32">
        <v>0</v>
      </c>
    </row>
    <row r="33" spans="1:16" x14ac:dyDescent="0.25">
      <c r="A33">
        <v>48615430</v>
      </c>
      <c r="B33">
        <v>48615439</v>
      </c>
      <c r="C33" t="str">
        <f>"UNIMEDSJN"</f>
        <v>UNIMEDSJN</v>
      </c>
      <c r="D33" t="str">
        <f>"DH"</f>
        <v>DH</v>
      </c>
      <c r="E33" t="str">
        <f>"Di Palet Representacoes Ltda"</f>
        <v>Di Palet Representacoes Ltda</v>
      </c>
      <c r="F33" t="str">
        <f>"48615430-1/1"</f>
        <v>48615430-1/1</v>
      </c>
      <c r="G33" t="str">
        <f>"Carteira 21"</f>
        <v>Carteira 21</v>
      </c>
      <c r="H33">
        <v>34</v>
      </c>
      <c r="I33" s="1">
        <v>68</v>
      </c>
      <c r="J33" t="str">
        <f>"02/01/2020"</f>
        <v>02/01/2020</v>
      </c>
      <c r="K33" t="str">
        <f>"05/02/2020"</f>
        <v>05/02/2020</v>
      </c>
      <c r="L33" t="str">
        <f>"05/02/2020"</f>
        <v>05/02/2020</v>
      </c>
      <c r="M33" t="str">
        <f>"02/01/2020"</f>
        <v>02/01/2020</v>
      </c>
      <c r="N33">
        <v>1544.04</v>
      </c>
      <c r="O33">
        <v>1544.04</v>
      </c>
      <c r="P33">
        <v>0</v>
      </c>
    </row>
    <row r="34" spans="1:16" x14ac:dyDescent="0.25">
      <c r="A34">
        <v>48622288</v>
      </c>
      <c r="B34">
        <v>48622327</v>
      </c>
      <c r="C34" t="str">
        <f>"UNIMEDSJN"</f>
        <v>UNIMEDSJN</v>
      </c>
      <c r="D34" t="str">
        <f>"DH"</f>
        <v>DH</v>
      </c>
      <c r="E34" t="str">
        <f>"Dias Moveis Ltda"</f>
        <v>Dias Moveis Ltda</v>
      </c>
      <c r="F34" t="str">
        <f>"48622288-1/1"</f>
        <v>48622288-1/1</v>
      </c>
      <c r="G34" t="str">
        <f>"Carteira 21"</f>
        <v>Carteira 21</v>
      </c>
      <c r="H34">
        <v>28</v>
      </c>
      <c r="I34" s="1">
        <v>74</v>
      </c>
      <c r="J34" t="str">
        <f>"02/01/2020"</f>
        <v>02/01/2020</v>
      </c>
      <c r="K34" t="str">
        <f>"30/01/2020"</f>
        <v>30/01/2020</v>
      </c>
      <c r="L34" t="str">
        <f>"04/02/2020"</f>
        <v>04/02/2020</v>
      </c>
      <c r="M34" t="str">
        <f>"05/02/2020"</f>
        <v>05/02/2020</v>
      </c>
      <c r="N34">
        <v>108</v>
      </c>
      <c r="O34">
        <v>108</v>
      </c>
      <c r="P34">
        <v>2.34</v>
      </c>
    </row>
    <row r="35" spans="1:16" x14ac:dyDescent="0.25">
      <c r="A35">
        <v>48622329</v>
      </c>
      <c r="B35">
        <v>48622348</v>
      </c>
      <c r="C35" t="str">
        <f>"UNIMEDSJN"</f>
        <v>UNIMEDSJN</v>
      </c>
      <c r="D35" t="str">
        <f>"DH"</f>
        <v>DH</v>
      </c>
      <c r="E35" t="str">
        <f>"Dias Moveis Ltda"</f>
        <v>Dias Moveis Ltda</v>
      </c>
      <c r="F35" t="str">
        <f>"48622329-1/1"</f>
        <v>48622329-1/1</v>
      </c>
      <c r="G35" t="str">
        <f>"Carteira 21"</f>
        <v>Carteira 21</v>
      </c>
      <c r="H35">
        <v>28</v>
      </c>
      <c r="I35" s="1">
        <v>74</v>
      </c>
      <c r="J35" t="str">
        <f>"02/01/2020"</f>
        <v>02/01/2020</v>
      </c>
      <c r="K35" t="str">
        <f>"30/01/2020"</f>
        <v>30/01/2020</v>
      </c>
      <c r="L35" t="str">
        <f>"04/02/2020"</f>
        <v>04/02/2020</v>
      </c>
      <c r="M35" t="str">
        <f>"05/02/2020"</f>
        <v>05/02/2020</v>
      </c>
      <c r="N35">
        <v>48</v>
      </c>
      <c r="O35">
        <v>48</v>
      </c>
      <c r="P35">
        <v>1.04</v>
      </c>
    </row>
    <row r="36" spans="1:16" x14ac:dyDescent="0.25">
      <c r="A36">
        <v>48622814</v>
      </c>
      <c r="B36">
        <v>48622835</v>
      </c>
      <c r="C36" t="str">
        <f>"UNIMEDSJN"</f>
        <v>UNIMEDSJN</v>
      </c>
      <c r="D36" t="str">
        <f>"DH"</f>
        <v>DH</v>
      </c>
      <c r="E36" t="str">
        <f>"Dias Moveis Ltda"</f>
        <v>Dias Moveis Ltda</v>
      </c>
      <c r="F36" t="str">
        <f>"48622814-1/1"</f>
        <v>48622814-1/1</v>
      </c>
      <c r="G36" t="str">
        <f>"Carteira 21"</f>
        <v>Carteira 21</v>
      </c>
      <c r="H36">
        <v>28</v>
      </c>
      <c r="I36" s="1">
        <v>74</v>
      </c>
      <c r="J36" t="str">
        <f>"02/01/2020"</f>
        <v>02/01/2020</v>
      </c>
      <c r="K36" t="str">
        <f>"30/01/2020"</f>
        <v>30/01/2020</v>
      </c>
      <c r="L36" t="str">
        <f>"04/02/2020"</f>
        <v>04/02/2020</v>
      </c>
      <c r="M36" t="str">
        <f>"05/02/2020"</f>
        <v>05/02/2020</v>
      </c>
      <c r="N36">
        <v>54</v>
      </c>
      <c r="O36">
        <v>54</v>
      </c>
      <c r="P36">
        <v>1.17</v>
      </c>
    </row>
    <row r="37" spans="1:16" x14ac:dyDescent="0.25">
      <c r="A37">
        <v>48613841</v>
      </c>
      <c r="B37">
        <v>48613856</v>
      </c>
      <c r="C37" t="str">
        <f>"UNIMEDSJN"</f>
        <v>UNIMEDSJN</v>
      </c>
      <c r="D37" t="str">
        <f>"DH"</f>
        <v>DH</v>
      </c>
      <c r="E37" t="str">
        <f>"Distribuidora de Roupas Omega Eireli"</f>
        <v>Distribuidora de Roupas Omega Eireli</v>
      </c>
      <c r="F37" t="str">
        <f>"48613841-1/1"</f>
        <v>48613841-1/1</v>
      </c>
      <c r="G37" t="str">
        <f>"Carteira 21"</f>
        <v>Carteira 21</v>
      </c>
      <c r="H37">
        <v>28</v>
      </c>
      <c r="I37" s="1">
        <v>74</v>
      </c>
      <c r="J37" t="str">
        <f>"02/01/2020"</f>
        <v>02/01/2020</v>
      </c>
      <c r="K37" t="str">
        <f>"30/01/2020"</f>
        <v>30/01/2020</v>
      </c>
      <c r="L37" t="str">
        <f>"26/02/2020"</f>
        <v>26/02/2020</v>
      </c>
      <c r="M37" t="str">
        <f>"27/02/2020"</f>
        <v>27/02/2020</v>
      </c>
      <c r="N37">
        <v>600.04</v>
      </c>
      <c r="O37">
        <v>617.39</v>
      </c>
      <c r="P37">
        <v>4.9999999999954498E-2</v>
      </c>
    </row>
    <row r="38" spans="1:16" x14ac:dyDescent="0.25">
      <c r="A38">
        <v>48809214</v>
      </c>
      <c r="B38">
        <v>48809221</v>
      </c>
      <c r="C38" t="str">
        <f>"UNIMEDSJN"</f>
        <v>UNIMEDSJN</v>
      </c>
      <c r="D38" t="str">
        <f>"DH"</f>
        <v>DH</v>
      </c>
      <c r="E38" t="str">
        <f>"Drogaria Descontao de Mar de Espanha Ltda"</f>
        <v>Drogaria Descontao de Mar de Espanha Ltda</v>
      </c>
      <c r="F38" t="str">
        <f>"48809214-1/1"</f>
        <v>48809214-1/1</v>
      </c>
      <c r="G38" t="str">
        <f>"Carteira 21"</f>
        <v>Carteira 21</v>
      </c>
      <c r="H38">
        <v>8</v>
      </c>
      <c r="I38" s="1">
        <v>74</v>
      </c>
      <c r="J38" t="str">
        <f>"22/01/2020"</f>
        <v>22/01/2020</v>
      </c>
      <c r="K38" t="str">
        <f>"30/01/2020"</f>
        <v>30/01/2020</v>
      </c>
      <c r="L38" t="str">
        <f>"03/02/2020"</f>
        <v>03/02/2020</v>
      </c>
      <c r="M38" t="str">
        <f>"04/02/2020"</f>
        <v>04/02/2020</v>
      </c>
      <c r="N38">
        <v>182.17</v>
      </c>
      <c r="O38">
        <v>186.05</v>
      </c>
      <c r="P38">
        <v>0</v>
      </c>
    </row>
    <row r="39" spans="1:16" s="2" customFormat="1" x14ac:dyDescent="0.25">
      <c r="A39" s="2">
        <v>45932943</v>
      </c>
      <c r="B39" s="2">
        <v>45932954</v>
      </c>
      <c r="C39" s="2" t="str">
        <f>"UNIMEDSJN"</f>
        <v>UNIMEDSJN</v>
      </c>
      <c r="D39" s="2" t="str">
        <f>"DH"</f>
        <v>DH</v>
      </c>
      <c r="E39" s="2" t="str">
        <f>"Drogaria Saude Saojoanense Ltda"</f>
        <v>Drogaria Saude Saojoanense Ltda</v>
      </c>
      <c r="F39" s="2" t="str">
        <f>"45932943-1/1"</f>
        <v>45932943-1/1</v>
      </c>
      <c r="G39" s="2" t="str">
        <f>"Carteira 21"</f>
        <v>Carteira 21</v>
      </c>
      <c r="H39" s="2">
        <v>29</v>
      </c>
      <c r="I39" s="3">
        <v>135</v>
      </c>
      <c r="J39" s="2" t="str">
        <f>"01/11/2019"</f>
        <v>01/11/2019</v>
      </c>
      <c r="K39" s="2" t="str">
        <f>"30/11/2019"</f>
        <v>30/11/2019</v>
      </c>
      <c r="L39" s="2" t="str">
        <f>"03/02/2020"</f>
        <v>03/02/2020</v>
      </c>
      <c r="M39" s="2" t="str">
        <f>"04/02/2020"</f>
        <v>04/02/2020</v>
      </c>
      <c r="N39" s="2">
        <v>588.86</v>
      </c>
      <c r="O39" s="2">
        <v>612.88</v>
      </c>
      <c r="P39" s="2">
        <v>0.51999999999998203</v>
      </c>
    </row>
    <row r="40" spans="1:16" s="2" customFormat="1" x14ac:dyDescent="0.25">
      <c r="A40" s="2">
        <v>47542149</v>
      </c>
      <c r="B40" s="2">
        <v>47542182</v>
      </c>
      <c r="C40" s="2" t="str">
        <f>"UNIMEDSJN"</f>
        <v>UNIMEDSJN</v>
      </c>
      <c r="D40" s="2" t="str">
        <f>"DH"</f>
        <v>DH</v>
      </c>
      <c r="E40" s="2" t="str">
        <f>"Drogaria Saude Saojoanense Ltda"</f>
        <v>Drogaria Saude Saojoanense Ltda</v>
      </c>
      <c r="F40" s="2" t="str">
        <f>"47542149-1/1"</f>
        <v>47542149-1/1</v>
      </c>
      <c r="G40" s="2" t="str">
        <f>"Carteira 21"</f>
        <v>Carteira 21</v>
      </c>
      <c r="H40" s="2">
        <v>28</v>
      </c>
      <c r="I40" s="3">
        <v>105</v>
      </c>
      <c r="J40" s="2" t="str">
        <f>"02/12/2019"</f>
        <v>02/12/2019</v>
      </c>
      <c r="K40" s="2" t="str">
        <f>"30/12/2019"</f>
        <v>30/12/2019</v>
      </c>
      <c r="L40" s="2" t="str">
        <f>"17/03/2020"</f>
        <v>17/03/2020</v>
      </c>
      <c r="M40" s="2" t="str">
        <f>"18/03/2020"</f>
        <v>18/03/2020</v>
      </c>
      <c r="N40" s="2">
        <v>588.86</v>
      </c>
      <c r="O40" s="2">
        <v>615.79999999999995</v>
      </c>
      <c r="P40" s="2">
        <v>0.14999999999997701</v>
      </c>
    </row>
    <row r="41" spans="1:16" x14ac:dyDescent="0.25">
      <c r="A41">
        <v>48614938</v>
      </c>
      <c r="B41">
        <v>48614964</v>
      </c>
      <c r="C41" t="str">
        <f>"UNIMEDSJN"</f>
        <v>UNIMEDSJN</v>
      </c>
      <c r="D41" t="str">
        <f>"DH"</f>
        <v>DH</v>
      </c>
      <c r="E41" t="str">
        <f>"Drogaria Saude Saojoanense Ltda"</f>
        <v>Drogaria Saude Saojoanense Ltda</v>
      </c>
      <c r="F41" t="str">
        <f>"48614938-1/1"</f>
        <v>48614938-1/1</v>
      </c>
      <c r="G41" t="str">
        <f>"Carteira 21"</f>
        <v>Carteira 21</v>
      </c>
      <c r="H41">
        <v>28</v>
      </c>
      <c r="I41" s="1">
        <v>74</v>
      </c>
      <c r="J41" t="str">
        <f>"02/01/2020"</f>
        <v>02/01/2020</v>
      </c>
      <c r="K41" t="str">
        <f>"30/01/2020"</f>
        <v>30/01/2020</v>
      </c>
      <c r="L41" t="str">
        <f>"06/04/2020"</f>
        <v>06/04/2020</v>
      </c>
      <c r="M41" t="str">
        <f>"07/04/2020"</f>
        <v>07/04/2020</v>
      </c>
      <c r="N41">
        <v>588.86</v>
      </c>
      <c r="O41">
        <v>613.66</v>
      </c>
      <c r="P41">
        <v>0.12999999999999501</v>
      </c>
    </row>
    <row r="42" spans="1:16" x14ac:dyDescent="0.25">
      <c r="A42">
        <v>48615232</v>
      </c>
      <c r="B42">
        <v>48615241</v>
      </c>
      <c r="C42" t="str">
        <f>"UNIMEDSJN"</f>
        <v>UNIMEDSJN</v>
      </c>
      <c r="D42" t="str">
        <f>"DH"</f>
        <v>DH</v>
      </c>
      <c r="E42" t="str">
        <f>"E S da Costa Junior Me"</f>
        <v>E S da Costa Junior Me</v>
      </c>
      <c r="F42" t="str">
        <f>"48615232-1/1"</f>
        <v>48615232-1/1</v>
      </c>
      <c r="G42" t="str">
        <f>"Carteira 21"</f>
        <v>Carteira 21</v>
      </c>
      <c r="H42">
        <v>28</v>
      </c>
      <c r="I42" s="1">
        <v>74</v>
      </c>
      <c r="J42" t="str">
        <f>"02/01/2020"</f>
        <v>02/01/2020</v>
      </c>
      <c r="K42" t="str">
        <f>"30/01/2020"</f>
        <v>30/01/2020</v>
      </c>
      <c r="L42" t="str">
        <f>"10/02/2020"</f>
        <v>10/02/2020</v>
      </c>
      <c r="M42" t="str">
        <f>"11/02/2020"</f>
        <v>11/02/2020</v>
      </c>
      <c r="N42">
        <v>538.1</v>
      </c>
      <c r="O42">
        <v>550.82000000000005</v>
      </c>
      <c r="P42">
        <v>9.9999999999909103E-3</v>
      </c>
    </row>
    <row r="43" spans="1:16" s="2" customFormat="1" x14ac:dyDescent="0.25">
      <c r="A43" s="2">
        <v>47547327</v>
      </c>
      <c r="B43" s="2">
        <v>47547422</v>
      </c>
      <c r="C43" s="2" t="str">
        <f>"UNIMEDSJN"</f>
        <v>UNIMEDSJN</v>
      </c>
      <c r="D43" s="2" t="str">
        <f>"DH"</f>
        <v>DH</v>
      </c>
      <c r="E43" s="2" t="str">
        <f>"Ecojeans Lavanderia E Tinturaria Ltda"</f>
        <v>Ecojeans Lavanderia E Tinturaria Ltda</v>
      </c>
      <c r="F43" s="2" t="str">
        <f>"47547327-1/1"</f>
        <v>47547327-1/1</v>
      </c>
      <c r="G43" s="2" t="str">
        <f>"Carteira 21"</f>
        <v>Carteira 21</v>
      </c>
      <c r="H43" s="2">
        <v>13</v>
      </c>
      <c r="I43" s="3">
        <v>120</v>
      </c>
      <c r="J43" s="2" t="str">
        <f>"02/12/2019"</f>
        <v>02/12/2019</v>
      </c>
      <c r="K43" s="2" t="str">
        <f>"15/12/2019"</f>
        <v>15/12/2019</v>
      </c>
      <c r="L43" s="2" t="str">
        <f>"12/02/2020"</f>
        <v>12/02/2020</v>
      </c>
      <c r="M43" s="2" t="str">
        <f>"13/02/2020"</f>
        <v>13/02/2020</v>
      </c>
      <c r="N43" s="2">
        <v>276</v>
      </c>
      <c r="O43" s="2">
        <v>286.8</v>
      </c>
      <c r="P43" s="2">
        <v>0.14999999999997701</v>
      </c>
    </row>
    <row r="44" spans="1:16" x14ac:dyDescent="0.25">
      <c r="A44">
        <v>48620157</v>
      </c>
      <c r="B44">
        <v>48620252</v>
      </c>
      <c r="C44" t="str">
        <f>"UNIMEDSJN"</f>
        <v>UNIMEDSJN</v>
      </c>
      <c r="D44" t="str">
        <f>"DH"</f>
        <v>DH</v>
      </c>
      <c r="E44" t="str">
        <f>"Ecojeans Lavanderia E Tinturaria Ltda"</f>
        <v>Ecojeans Lavanderia E Tinturaria Ltda</v>
      </c>
      <c r="F44" t="str">
        <f>"48620157-1/1"</f>
        <v>48620157-1/1</v>
      </c>
      <c r="G44" t="str">
        <f>"Carteira 21"</f>
        <v>Carteira 21</v>
      </c>
      <c r="H44">
        <v>13</v>
      </c>
      <c r="I44" s="1">
        <v>89</v>
      </c>
      <c r="J44" t="str">
        <f>"02/01/2020"</f>
        <v>02/01/2020</v>
      </c>
      <c r="K44" t="str">
        <f>"15/01/2020"</f>
        <v>15/01/2020</v>
      </c>
      <c r="L44" t="str">
        <f>"21/02/2020"</f>
        <v>21/02/2020</v>
      </c>
      <c r="M44" t="str">
        <f>"24/02/2020"</f>
        <v>24/02/2020</v>
      </c>
      <c r="N44">
        <v>276</v>
      </c>
      <c r="O44">
        <v>284.89</v>
      </c>
      <c r="P44">
        <v>3.00000000000296E-2</v>
      </c>
    </row>
    <row r="45" spans="1:16" x14ac:dyDescent="0.25">
      <c r="A45">
        <v>48870784</v>
      </c>
      <c r="B45">
        <v>48870793</v>
      </c>
      <c r="C45" t="str">
        <f>"UNIMEDSJN"</f>
        <v>UNIMEDSJN</v>
      </c>
      <c r="D45" t="str">
        <f>"DH"</f>
        <v>DH</v>
      </c>
      <c r="E45" t="str">
        <f>"Ecojeans Lavanderia E Tinturaria Ltda"</f>
        <v>Ecojeans Lavanderia E Tinturaria Ltda</v>
      </c>
      <c r="F45" t="str">
        <f>"48870784-1/1"</f>
        <v>48870784-1/1</v>
      </c>
      <c r="G45" t="str">
        <f>"Carteira 21"</f>
        <v>Carteira 21</v>
      </c>
      <c r="H45">
        <v>1</v>
      </c>
      <c r="I45" s="1">
        <v>73</v>
      </c>
      <c r="J45" t="str">
        <f>"30/01/2020"</f>
        <v>30/01/2020</v>
      </c>
      <c r="K45" t="str">
        <f>"31/01/2020"</f>
        <v>31/01/2020</v>
      </c>
      <c r="L45" t="str">
        <f>"13/02/2020"</f>
        <v>13/02/2020</v>
      </c>
      <c r="M45" t="str">
        <f>"14/02/2020"</f>
        <v>14/02/2020</v>
      </c>
      <c r="N45">
        <v>724.46</v>
      </c>
      <c r="O45">
        <v>742.06</v>
      </c>
      <c r="P45">
        <v>2.9999999999972701E-2</v>
      </c>
    </row>
    <row r="46" spans="1:16" s="2" customFormat="1" x14ac:dyDescent="0.25">
      <c r="A46" s="2">
        <v>47541902</v>
      </c>
      <c r="B46" s="2">
        <v>47541929</v>
      </c>
      <c r="C46" s="2" t="str">
        <f>"UNIMEDSJN"</f>
        <v>UNIMEDSJN</v>
      </c>
      <c r="D46" s="2" t="str">
        <f>"DH"</f>
        <v>DH</v>
      </c>
      <c r="E46" s="2" t="str">
        <f>"Edna Aparecida Silva Feitosa de Melo"</f>
        <v>Edna Aparecida Silva Feitosa de Melo</v>
      </c>
      <c r="F46" s="2" t="str">
        <f>"47541902-1/1"</f>
        <v>47541902-1/1</v>
      </c>
      <c r="G46" s="2" t="str">
        <f>"Carteira 21"</f>
        <v>Carteira 21</v>
      </c>
      <c r="H46" s="2">
        <v>28</v>
      </c>
      <c r="I46" s="3">
        <v>105</v>
      </c>
      <c r="J46" s="2" t="str">
        <f>"02/12/2019"</f>
        <v>02/12/2019</v>
      </c>
      <c r="K46" s="2" t="str">
        <f>"30/12/2019"</f>
        <v>30/12/2019</v>
      </c>
      <c r="L46" s="2" t="str">
        <f>"30/12/2019"</f>
        <v>30/12/2019</v>
      </c>
      <c r="M46" s="2" t="str">
        <f>"02/12/2019"</f>
        <v>02/12/2019</v>
      </c>
      <c r="N46" s="2">
        <v>740.44</v>
      </c>
      <c r="O46" s="2">
        <v>740.44</v>
      </c>
      <c r="P46" s="2">
        <v>0</v>
      </c>
    </row>
    <row r="47" spans="1:16" x14ac:dyDescent="0.25">
      <c r="A47">
        <v>48614427</v>
      </c>
      <c r="B47">
        <v>48614447</v>
      </c>
      <c r="C47" t="str">
        <f>"UNIMEDSJN"</f>
        <v>UNIMEDSJN</v>
      </c>
      <c r="D47" t="str">
        <f>"DH"</f>
        <v>DH</v>
      </c>
      <c r="E47" t="str">
        <f>"Edna Aparecida Silva Feitosa de Melo"</f>
        <v>Edna Aparecida Silva Feitosa de Melo</v>
      </c>
      <c r="F47" t="str">
        <f>"48614427-1/1"</f>
        <v>48614427-1/1</v>
      </c>
      <c r="G47" t="str">
        <f>"Carteira 21"</f>
        <v>Carteira 21</v>
      </c>
      <c r="H47">
        <v>28</v>
      </c>
      <c r="I47" s="1">
        <v>74</v>
      </c>
      <c r="J47" t="str">
        <f>"02/01/2020"</f>
        <v>02/01/2020</v>
      </c>
      <c r="K47" t="str">
        <f>"30/01/2020"</f>
        <v>30/01/2020</v>
      </c>
      <c r="L47" t="str">
        <f>"30/01/2020"</f>
        <v>30/01/2020</v>
      </c>
      <c r="M47" t="str">
        <f>"02/01/2020"</f>
        <v>02/01/2020</v>
      </c>
      <c r="N47">
        <v>740.44</v>
      </c>
      <c r="O47">
        <v>740.44</v>
      </c>
      <c r="P47">
        <v>0</v>
      </c>
    </row>
    <row r="48" spans="1:16" s="2" customFormat="1" x14ac:dyDescent="0.25">
      <c r="A48" s="2">
        <v>44339186</v>
      </c>
      <c r="B48" s="2">
        <v>44339191</v>
      </c>
      <c r="C48" s="2" t="str">
        <f>"UNIMEDSJN"</f>
        <v>UNIMEDSJN</v>
      </c>
      <c r="D48" s="2" t="str">
        <f>"DH"</f>
        <v>DH</v>
      </c>
      <c r="E48" s="2" t="str">
        <f>"Enterline Informatica Ltda Me"</f>
        <v>Enterline Informatica Ltda Me</v>
      </c>
      <c r="F48" s="2" t="str">
        <f>"44339186-1/1"</f>
        <v>44339186-1/1</v>
      </c>
      <c r="G48" s="2" t="str">
        <f>"CARTEIRA PERDA"</f>
        <v>CARTEIRA PERDA</v>
      </c>
      <c r="H48" s="2">
        <v>21</v>
      </c>
      <c r="I48" s="3">
        <v>235</v>
      </c>
      <c r="J48" s="2" t="str">
        <f>"01/08/2019"</f>
        <v>01/08/2019</v>
      </c>
      <c r="K48" s="2" t="str">
        <f>"22/08/2019"</f>
        <v>22/08/2019</v>
      </c>
      <c r="L48" s="2" t="str">
        <f>"22/08/2019"</f>
        <v>22/08/2019</v>
      </c>
      <c r="M48" s="2" t="str">
        <f>"05/03/2020"</f>
        <v>05/03/2020</v>
      </c>
      <c r="N48" s="2">
        <v>100.26</v>
      </c>
      <c r="O48" s="2">
        <v>100.26</v>
      </c>
      <c r="P48" s="2">
        <v>0</v>
      </c>
    </row>
    <row r="49" spans="1:16" s="2" customFormat="1" x14ac:dyDescent="0.25">
      <c r="A49" s="2">
        <v>45010865</v>
      </c>
      <c r="B49" s="2">
        <v>45010874</v>
      </c>
      <c r="C49" s="2" t="str">
        <f>"UNIMEDSJN"</f>
        <v>UNIMEDSJN</v>
      </c>
      <c r="D49" s="2" t="str">
        <f>"DH"</f>
        <v>DH</v>
      </c>
      <c r="E49" s="2" t="str">
        <f>"Enterline Informatica Ltda Me"</f>
        <v>Enterline Informatica Ltda Me</v>
      </c>
      <c r="F49" s="2" t="str">
        <f>"45010865-1/1"</f>
        <v>45010865-1/1</v>
      </c>
      <c r="G49" s="2" t="str">
        <f>"CARTEIRA PERDA"</f>
        <v>CARTEIRA PERDA</v>
      </c>
      <c r="H49" s="2">
        <v>20</v>
      </c>
      <c r="I49" s="3">
        <v>204</v>
      </c>
      <c r="J49" s="2" t="str">
        <f>"02/09/2019"</f>
        <v>02/09/2019</v>
      </c>
      <c r="K49" s="2" t="str">
        <f>"22/09/2019"</f>
        <v>22/09/2019</v>
      </c>
      <c r="L49" s="2" t="str">
        <f>"23/09/2019"</f>
        <v>23/09/2019</v>
      </c>
      <c r="M49" s="2" t="str">
        <f>"05/03/2020"</f>
        <v>05/03/2020</v>
      </c>
      <c r="N49" s="2">
        <v>100.26</v>
      </c>
      <c r="O49" s="2">
        <v>100.26</v>
      </c>
      <c r="P49" s="2">
        <v>0</v>
      </c>
    </row>
    <row r="50" spans="1:16" s="2" customFormat="1" x14ac:dyDescent="0.25">
      <c r="A50" s="2">
        <v>45497298</v>
      </c>
      <c r="B50" s="2">
        <v>45497307</v>
      </c>
      <c r="C50" s="2" t="str">
        <f>"UNIMEDSJN"</f>
        <v>UNIMEDSJN</v>
      </c>
      <c r="D50" s="2" t="str">
        <f>"DH"</f>
        <v>DH</v>
      </c>
      <c r="E50" s="2" t="str">
        <f>"Enterline Informatica Ltda Me"</f>
        <v>Enterline Informatica Ltda Me</v>
      </c>
      <c r="F50" s="2" t="str">
        <f>"45497298-1/1"</f>
        <v>45497298-1/1</v>
      </c>
      <c r="G50" s="2" t="str">
        <f>"CARTEIRA PERDA"</f>
        <v>CARTEIRA PERDA</v>
      </c>
      <c r="H50" s="2">
        <v>21</v>
      </c>
      <c r="I50" s="3">
        <v>174</v>
      </c>
      <c r="J50" s="2" t="str">
        <f>"01/10/2019"</f>
        <v>01/10/2019</v>
      </c>
      <c r="K50" s="2" t="str">
        <f>"22/10/2019"</f>
        <v>22/10/2019</v>
      </c>
      <c r="L50" s="2" t="str">
        <f>"22/10/2019"</f>
        <v>22/10/2019</v>
      </c>
      <c r="M50" s="2" t="str">
        <f>"05/03/2020"</f>
        <v>05/03/2020</v>
      </c>
      <c r="N50" s="2">
        <v>100.26</v>
      </c>
      <c r="O50" s="2">
        <v>100.26</v>
      </c>
      <c r="P50" s="2">
        <v>0</v>
      </c>
    </row>
    <row r="51" spans="1:16" s="2" customFormat="1" x14ac:dyDescent="0.25">
      <c r="A51" s="2">
        <v>45931535</v>
      </c>
      <c r="B51" s="2">
        <v>45931540</v>
      </c>
      <c r="C51" s="2" t="str">
        <f>"UNIMEDSJN"</f>
        <v>UNIMEDSJN</v>
      </c>
      <c r="D51" s="2" t="str">
        <f>"DH"</f>
        <v>DH</v>
      </c>
      <c r="E51" s="2" t="str">
        <f>"Enterline Informatica Ltda Me"</f>
        <v>Enterline Informatica Ltda Me</v>
      </c>
      <c r="F51" s="2" t="str">
        <f>"45931535-1/1"</f>
        <v>45931535-1/1</v>
      </c>
      <c r="G51" s="2" t="str">
        <f>"CARTEIRA PERDA"</f>
        <v>CARTEIRA PERDA</v>
      </c>
      <c r="H51" s="2">
        <v>21</v>
      </c>
      <c r="I51" s="3">
        <v>143</v>
      </c>
      <c r="J51" s="2" t="str">
        <f>"01/11/2019"</f>
        <v>01/11/2019</v>
      </c>
      <c r="K51" s="2" t="str">
        <f>"22/11/2019"</f>
        <v>22/11/2019</v>
      </c>
      <c r="L51" s="2" t="str">
        <f>"22/11/2019"</f>
        <v>22/11/2019</v>
      </c>
      <c r="M51" s="2" t="str">
        <f>"05/03/2020"</f>
        <v>05/03/2020</v>
      </c>
      <c r="N51" s="2">
        <v>100.26</v>
      </c>
      <c r="O51" s="2">
        <v>100.26</v>
      </c>
      <c r="P51" s="2">
        <v>0</v>
      </c>
    </row>
    <row r="52" spans="1:16" s="2" customFormat="1" x14ac:dyDescent="0.25">
      <c r="A52" s="2">
        <v>47514257</v>
      </c>
      <c r="B52" s="2">
        <v>47514262</v>
      </c>
      <c r="C52" s="2" t="str">
        <f>"UNIMEDSJN"</f>
        <v>UNIMEDSJN</v>
      </c>
      <c r="D52" s="2" t="str">
        <f>"DH"</f>
        <v>DH</v>
      </c>
      <c r="E52" s="2" t="str">
        <f>"Enterline Informatica Ltda Me"</f>
        <v>Enterline Informatica Ltda Me</v>
      </c>
      <c r="F52" s="2" t="str">
        <f>"47514257-1/1"</f>
        <v>47514257-1/1</v>
      </c>
      <c r="G52" s="2" t="str">
        <f>"CARTEIRA PERDA"</f>
        <v>CARTEIRA PERDA</v>
      </c>
      <c r="H52" s="2">
        <v>20</v>
      </c>
      <c r="I52" s="3">
        <v>113</v>
      </c>
      <c r="J52" s="2" t="str">
        <f>"02/12/2019"</f>
        <v>02/12/2019</v>
      </c>
      <c r="K52" s="2" t="str">
        <f>"22/12/2019"</f>
        <v>22/12/2019</v>
      </c>
      <c r="L52" s="2" t="str">
        <f>"23/12/2019"</f>
        <v>23/12/2019</v>
      </c>
      <c r="M52" s="2" t="str">
        <f>"05/03/2020"</f>
        <v>05/03/2020</v>
      </c>
      <c r="N52" s="2">
        <v>100.26</v>
      </c>
      <c r="O52" s="2">
        <v>100.26</v>
      </c>
      <c r="P52" s="2">
        <v>0</v>
      </c>
    </row>
    <row r="53" spans="1:16" s="2" customFormat="1" x14ac:dyDescent="0.25">
      <c r="A53" s="2">
        <v>45932549</v>
      </c>
      <c r="B53" s="2">
        <v>45932564</v>
      </c>
      <c r="C53" s="2" t="str">
        <f>"UNIMEDSJN"</f>
        <v>UNIMEDSJN</v>
      </c>
      <c r="D53" s="2" t="str">
        <f>"DH"</f>
        <v>DH</v>
      </c>
      <c r="E53" s="2" t="str">
        <f>"Fernanda dos Reis Quinelato"</f>
        <v>Fernanda dos Reis Quinelato</v>
      </c>
      <c r="F53" s="2" t="str">
        <f>"45932549-1/1"</f>
        <v>45932549-1/1</v>
      </c>
      <c r="G53" s="2" t="str">
        <f>"Carteira 21"</f>
        <v>Carteira 21</v>
      </c>
      <c r="H53" s="2">
        <v>29</v>
      </c>
      <c r="I53" s="3">
        <v>135</v>
      </c>
      <c r="J53" s="2" t="str">
        <f>"01/11/2019"</f>
        <v>01/11/2019</v>
      </c>
      <c r="K53" s="2" t="str">
        <f>"30/11/2019"</f>
        <v>30/11/2019</v>
      </c>
      <c r="L53" s="2" t="str">
        <f>"03/02/2020"</f>
        <v>03/02/2020</v>
      </c>
      <c r="M53" s="2" t="str">
        <f>"04/02/2020"</f>
        <v>04/02/2020</v>
      </c>
      <c r="N53" s="2">
        <v>925.34</v>
      </c>
      <c r="O53" s="2">
        <v>963.08</v>
      </c>
      <c r="P53" s="2">
        <v>0.82000000000005002</v>
      </c>
    </row>
    <row r="54" spans="1:16" s="2" customFormat="1" x14ac:dyDescent="0.25">
      <c r="A54" s="2">
        <v>47542330</v>
      </c>
      <c r="B54" s="2">
        <v>47542354</v>
      </c>
      <c r="C54" s="2" t="str">
        <f>"UNIMEDSJN"</f>
        <v>UNIMEDSJN</v>
      </c>
      <c r="D54" s="2" t="str">
        <f>"DH"</f>
        <v>DH</v>
      </c>
      <c r="E54" s="2" t="str">
        <f>"Fernanda dos Reis Quinelato"</f>
        <v>Fernanda dos Reis Quinelato</v>
      </c>
      <c r="F54" s="2" t="str">
        <f>"47542330-1/1"</f>
        <v>47542330-1/1</v>
      </c>
      <c r="G54" s="2" t="str">
        <f>"Carteira 21"</f>
        <v>Carteira 21</v>
      </c>
      <c r="H54" s="2">
        <v>28</v>
      </c>
      <c r="I54" s="3">
        <v>105</v>
      </c>
      <c r="J54" s="2" t="str">
        <f>"02/12/2019"</f>
        <v>02/12/2019</v>
      </c>
      <c r="K54" s="2" t="str">
        <f>"30/12/2019"</f>
        <v>30/12/2019</v>
      </c>
      <c r="L54" s="2" t="str">
        <f>"07/02/2020"</f>
        <v>07/02/2020</v>
      </c>
      <c r="M54" s="2" t="str">
        <f>"10/02/2020"</f>
        <v>10/02/2020</v>
      </c>
      <c r="N54" s="2">
        <v>925.34</v>
      </c>
      <c r="O54" s="2">
        <v>955.75</v>
      </c>
      <c r="P54" s="2">
        <v>0.12999999999999501</v>
      </c>
    </row>
    <row r="55" spans="1:16" x14ac:dyDescent="0.25">
      <c r="A55">
        <v>48615126</v>
      </c>
      <c r="B55">
        <v>48615155</v>
      </c>
      <c r="C55" t="str">
        <f>"UNIMEDSJN"</f>
        <v>UNIMEDSJN</v>
      </c>
      <c r="D55" t="str">
        <f>"DH"</f>
        <v>DH</v>
      </c>
      <c r="E55" t="str">
        <f>"Fernanda dos Reis Quinelato"</f>
        <v>Fernanda dos Reis Quinelato</v>
      </c>
      <c r="F55" t="str">
        <f>"48615126-1/1"</f>
        <v>48615126-1/1</v>
      </c>
      <c r="G55" t="str">
        <f>"Carteira 21"</f>
        <v>Carteira 21</v>
      </c>
      <c r="H55">
        <v>28</v>
      </c>
      <c r="I55" s="1">
        <v>74</v>
      </c>
      <c r="J55" t="str">
        <f>"02/01/2020"</f>
        <v>02/01/2020</v>
      </c>
      <c r="K55" t="str">
        <f>"30/01/2020"</f>
        <v>30/01/2020</v>
      </c>
      <c r="L55" t="str">
        <f>"30/01/2020"</f>
        <v>30/01/2020</v>
      </c>
      <c r="M55" t="str">
        <f>"02/01/2020"</f>
        <v>02/01/2020</v>
      </c>
      <c r="N55">
        <v>925.34</v>
      </c>
      <c r="O55">
        <v>925.34</v>
      </c>
      <c r="P55">
        <v>0</v>
      </c>
    </row>
    <row r="56" spans="1:16" x14ac:dyDescent="0.25">
      <c r="A56">
        <v>48625134</v>
      </c>
      <c r="B56">
        <v>48625149</v>
      </c>
      <c r="C56" t="str">
        <f>"UNIMEDSJN"</f>
        <v>UNIMEDSJN</v>
      </c>
      <c r="D56" t="str">
        <f>"DH"</f>
        <v>DH</v>
      </c>
      <c r="E56" t="str">
        <f>"Fernanda Varoto Pereira - Me"</f>
        <v>Fernanda Varoto Pereira - Me</v>
      </c>
      <c r="F56" t="str">
        <f>"48625134-1/1"</f>
        <v>48625134-1/1</v>
      </c>
      <c r="G56" t="str">
        <f>"Carteira 21"</f>
        <v>Carteira 21</v>
      </c>
      <c r="H56">
        <v>44</v>
      </c>
      <c r="I56" s="1">
        <v>58</v>
      </c>
      <c r="J56" t="str">
        <f>"02/01/2020"</f>
        <v>02/01/2020</v>
      </c>
      <c r="K56" t="str">
        <f>"15/02/2020"</f>
        <v>15/02/2020</v>
      </c>
      <c r="L56" t="str">
        <f>"17/02/2020"</f>
        <v>17/02/2020</v>
      </c>
      <c r="M56" t="str">
        <f>"18/02/2020"</f>
        <v>18/02/2020</v>
      </c>
      <c r="N56">
        <v>36</v>
      </c>
      <c r="O56">
        <v>36</v>
      </c>
      <c r="P56">
        <v>0</v>
      </c>
    </row>
    <row r="57" spans="1:16" s="2" customFormat="1" x14ac:dyDescent="0.25">
      <c r="A57" s="2">
        <v>47571794</v>
      </c>
      <c r="B57" s="2">
        <v>47572409</v>
      </c>
      <c r="C57" s="2" t="str">
        <f>"UNIMEDSJN"</f>
        <v>UNIMEDSJN</v>
      </c>
      <c r="D57" s="2" t="str">
        <f>"DH"</f>
        <v>DH</v>
      </c>
      <c r="E57" s="2" t="str">
        <f>"Formas E Detalhes Ltda"</f>
        <v>Formas E Detalhes Ltda</v>
      </c>
      <c r="F57" s="2" t="str">
        <f>"47571794-1/1"</f>
        <v>47571794-1/1</v>
      </c>
      <c r="G57" s="2" t="str">
        <f>"Carteira 21"</f>
        <v>Carteira 21</v>
      </c>
      <c r="H57" s="2">
        <v>39</v>
      </c>
      <c r="I57" s="3">
        <v>94</v>
      </c>
      <c r="J57" s="2" t="str">
        <f>"02/12/2019"</f>
        <v>02/12/2019</v>
      </c>
      <c r="K57" s="2" t="str">
        <f>"10/01/2020"</f>
        <v>10/01/2020</v>
      </c>
      <c r="L57" s="2" t="str">
        <f>"09/03/2020"</f>
        <v>09/03/2020</v>
      </c>
      <c r="M57" s="2" t="str">
        <f>"10/03/2020"</f>
        <v>10/03/2020</v>
      </c>
      <c r="N57" s="2">
        <v>336</v>
      </c>
      <c r="O57" s="2">
        <v>349.26</v>
      </c>
      <c r="P57" s="2">
        <v>6.9999999999993207E-2</v>
      </c>
    </row>
    <row r="58" spans="1:16" x14ac:dyDescent="0.25">
      <c r="A58">
        <v>48625248</v>
      </c>
      <c r="B58">
        <v>48625363</v>
      </c>
      <c r="C58" t="str">
        <f>"UNIMEDSJN"</f>
        <v>UNIMEDSJN</v>
      </c>
      <c r="D58" t="str">
        <f>"DH"</f>
        <v>DH</v>
      </c>
      <c r="E58" t="str">
        <f>"Formas E Detalhes Ltda"</f>
        <v>Formas E Detalhes Ltda</v>
      </c>
      <c r="F58" t="str">
        <f>"48625248-1/1"</f>
        <v>48625248-1/1</v>
      </c>
      <c r="G58" t="str">
        <f>"Carteira 21"</f>
        <v>Carteira 21</v>
      </c>
      <c r="H58">
        <v>39</v>
      </c>
      <c r="I58" s="1">
        <v>63</v>
      </c>
      <c r="J58" t="str">
        <f>"02/01/2020"</f>
        <v>02/01/2020</v>
      </c>
      <c r="K58" t="str">
        <f>"10/02/2020"</f>
        <v>10/02/2020</v>
      </c>
      <c r="L58" t="str">
        <f>"10/02/2020"</f>
        <v>10/02/2020</v>
      </c>
      <c r="M58" t="str">
        <f>"02/01/2020"</f>
        <v>02/01/2020</v>
      </c>
      <c r="N58">
        <v>336</v>
      </c>
      <c r="O58">
        <v>336</v>
      </c>
      <c r="P58">
        <v>0</v>
      </c>
    </row>
    <row r="59" spans="1:16" s="2" customFormat="1" x14ac:dyDescent="0.25">
      <c r="A59" s="2">
        <v>47547424</v>
      </c>
      <c r="B59" s="2">
        <v>47547433</v>
      </c>
      <c r="C59" s="2" t="str">
        <f>"UNIMEDSJN"</f>
        <v>UNIMEDSJN</v>
      </c>
      <c r="D59" s="2" t="str">
        <f>"DH"</f>
        <v>DH</v>
      </c>
      <c r="E59" s="2" t="str">
        <f>"Geraldo Magela Goncalves Nascimento"</f>
        <v>Geraldo Magela Goncalves Nascimento</v>
      </c>
      <c r="F59" s="2" t="str">
        <f>"47547424-1/1"</f>
        <v>47547424-1/1</v>
      </c>
      <c r="G59" s="2" t="str">
        <f>"Carteira 21"</f>
        <v>Carteira 21</v>
      </c>
      <c r="H59" s="2">
        <v>13</v>
      </c>
      <c r="I59" s="3">
        <v>120</v>
      </c>
      <c r="J59" s="2" t="str">
        <f>"02/12/2019"</f>
        <v>02/12/2019</v>
      </c>
      <c r="K59" s="2" t="str">
        <f>"15/12/2019"</f>
        <v>15/12/2019</v>
      </c>
      <c r="L59" s="2" t="str">
        <f>"14/02/2020"</f>
        <v>14/02/2020</v>
      </c>
      <c r="M59" s="2" t="str">
        <f>"17/02/2020"</f>
        <v>17/02/2020</v>
      </c>
      <c r="N59" s="2">
        <v>18</v>
      </c>
      <c r="O59" s="2">
        <v>18.72</v>
      </c>
      <c r="P59" s="2">
        <v>1.00000000000016E-2</v>
      </c>
    </row>
    <row r="60" spans="1:16" x14ac:dyDescent="0.25">
      <c r="A60">
        <v>48620254</v>
      </c>
      <c r="B60">
        <v>48620263</v>
      </c>
      <c r="C60" t="str">
        <f>"UNIMEDSJN"</f>
        <v>UNIMEDSJN</v>
      </c>
      <c r="D60" t="str">
        <f>"DH"</f>
        <v>DH</v>
      </c>
      <c r="E60" t="str">
        <f>"Geraldo Magela Goncalves Nascimento"</f>
        <v>Geraldo Magela Goncalves Nascimento</v>
      </c>
      <c r="F60" t="str">
        <f>"48620254-1/1"</f>
        <v>48620254-1/1</v>
      </c>
      <c r="G60" t="str">
        <f>"Carteira 21"</f>
        <v>Carteira 21</v>
      </c>
      <c r="H60">
        <v>13</v>
      </c>
      <c r="I60" s="1">
        <v>89</v>
      </c>
      <c r="J60" t="str">
        <f>"02/01/2020"</f>
        <v>02/01/2020</v>
      </c>
      <c r="K60" t="str">
        <f>"15/01/2020"</f>
        <v>15/01/2020</v>
      </c>
      <c r="L60" t="str">
        <f>"18/02/2020"</f>
        <v>18/02/2020</v>
      </c>
      <c r="M60" t="str">
        <f>"19/02/2020"</f>
        <v>19/02/2020</v>
      </c>
      <c r="N60">
        <v>18</v>
      </c>
      <c r="O60">
        <v>18.559999999999999</v>
      </c>
      <c r="P60">
        <v>0</v>
      </c>
    </row>
    <row r="61" spans="1:16" s="2" customFormat="1" x14ac:dyDescent="0.25">
      <c r="A61" s="2">
        <v>47541523</v>
      </c>
      <c r="B61" s="2">
        <v>47541537</v>
      </c>
      <c r="C61" s="2" t="str">
        <f>"UNIMEDSJN"</f>
        <v>UNIMEDSJN</v>
      </c>
      <c r="D61" s="2" t="str">
        <f>"DH"</f>
        <v>DH</v>
      </c>
      <c r="E61" s="2" t="str">
        <f>"Giselle de Oliveira Reis Ferreira"</f>
        <v>Giselle de Oliveira Reis Ferreira</v>
      </c>
      <c r="F61" s="2" t="str">
        <f>"47541523-1/1"</f>
        <v>47541523-1/1</v>
      </c>
      <c r="G61" s="2" t="str">
        <f>"Carteira 21"</f>
        <v>Carteira 21</v>
      </c>
      <c r="H61" s="2">
        <v>28</v>
      </c>
      <c r="I61" s="3">
        <v>105</v>
      </c>
      <c r="J61" s="2" t="str">
        <f>"02/12/2019"</f>
        <v>02/12/2019</v>
      </c>
      <c r="K61" s="2" t="str">
        <f>"30/12/2019"</f>
        <v>30/12/2019</v>
      </c>
      <c r="L61" s="2" t="str">
        <f>"06/03/2020"</f>
        <v>06/03/2020</v>
      </c>
      <c r="M61" s="2" t="str">
        <f>"09/03/2020"</f>
        <v>09/03/2020</v>
      </c>
      <c r="N61" s="2">
        <v>448.54</v>
      </c>
      <c r="O61" s="2">
        <v>467.42</v>
      </c>
      <c r="P61" s="2">
        <v>0.110000000000014</v>
      </c>
    </row>
    <row r="62" spans="1:16" x14ac:dyDescent="0.25">
      <c r="A62">
        <v>48614206</v>
      </c>
      <c r="B62">
        <v>48614221</v>
      </c>
      <c r="C62" t="str">
        <f>"UNIMEDSJN"</f>
        <v>UNIMEDSJN</v>
      </c>
      <c r="D62" t="str">
        <f>"DH"</f>
        <v>DH</v>
      </c>
      <c r="E62" t="str">
        <f>"Giselle de Oliveira Reis Ferreira"</f>
        <v>Giselle de Oliveira Reis Ferreira</v>
      </c>
      <c r="F62" t="str">
        <f>"48614206-1/1"</f>
        <v>48614206-1/1</v>
      </c>
      <c r="G62" t="str">
        <f>"Carteira 21"</f>
        <v>Carteira 21</v>
      </c>
      <c r="H62">
        <v>28</v>
      </c>
      <c r="I62" s="1">
        <v>74</v>
      </c>
      <c r="J62" t="str">
        <f>"02/01/2020"</f>
        <v>02/01/2020</v>
      </c>
      <c r="K62" t="str">
        <f>"30/01/2020"</f>
        <v>30/01/2020</v>
      </c>
      <c r="L62" t="str">
        <f>"31/03/2020"</f>
        <v>31/03/2020</v>
      </c>
      <c r="M62" t="str">
        <f>"03/04/2020"</f>
        <v>03/04/2020</v>
      </c>
      <c r="N62">
        <v>448.54</v>
      </c>
      <c r="O62">
        <v>466.54</v>
      </c>
      <c r="P62">
        <v>8.9999999999975003E-2</v>
      </c>
    </row>
    <row r="63" spans="1:16" x14ac:dyDescent="0.25">
      <c r="A63">
        <v>48619185</v>
      </c>
      <c r="B63">
        <v>48619210</v>
      </c>
      <c r="C63" t="str">
        <f>"UNIMEDSJN"</f>
        <v>UNIMEDSJN</v>
      </c>
      <c r="D63" t="str">
        <f>"DH"</f>
        <v>DH</v>
      </c>
      <c r="E63" t="str">
        <f>"H G S Ind E Com de Cintos Sanjoanense"</f>
        <v>H G S Ind E Com de Cintos Sanjoanense</v>
      </c>
      <c r="F63" t="str">
        <f>"48619185-1/1"</f>
        <v>48619185-1/1</v>
      </c>
      <c r="G63" t="str">
        <f>"Carteira 21"</f>
        <v>Carteira 21</v>
      </c>
      <c r="H63">
        <v>28</v>
      </c>
      <c r="I63" s="1">
        <v>74</v>
      </c>
      <c r="J63" t="str">
        <f>"02/01/2020"</f>
        <v>02/01/2020</v>
      </c>
      <c r="K63" t="str">
        <f>"30/01/2020"</f>
        <v>30/01/2020</v>
      </c>
      <c r="L63" t="str">
        <f>"03/02/2020"</f>
        <v>03/02/2020</v>
      </c>
      <c r="M63" t="str">
        <f>"04/02/2020"</f>
        <v>04/02/2020</v>
      </c>
      <c r="N63">
        <v>66</v>
      </c>
      <c r="O63">
        <v>67.41</v>
      </c>
      <c r="P63">
        <v>0</v>
      </c>
    </row>
    <row r="64" spans="1:16" x14ac:dyDescent="0.25">
      <c r="A64">
        <v>48621901</v>
      </c>
      <c r="B64">
        <v>48621918</v>
      </c>
      <c r="C64" t="str">
        <f>"UNIMEDSJN"</f>
        <v>UNIMEDSJN</v>
      </c>
      <c r="D64" t="str">
        <f>"DH"</f>
        <v>DH</v>
      </c>
      <c r="E64" t="str">
        <f>"Henriques E Detoni Comercio Ltda-me"</f>
        <v>Henriques E Detoni Comercio Ltda-me</v>
      </c>
      <c r="F64" t="str">
        <f>"48621901-1/1"</f>
        <v>48621901-1/1</v>
      </c>
      <c r="G64" t="str">
        <f>"Carteira 21"</f>
        <v>Carteira 21</v>
      </c>
      <c r="H64">
        <v>13</v>
      </c>
      <c r="I64" s="1">
        <v>89</v>
      </c>
      <c r="J64" t="str">
        <f>"02/01/2020"</f>
        <v>02/01/2020</v>
      </c>
      <c r="K64" t="str">
        <f>"15/01/2020"</f>
        <v>15/01/2020</v>
      </c>
      <c r="L64" t="str">
        <f>"15/01/2020"</f>
        <v>15/01/2020</v>
      </c>
      <c r="M64" t="str">
        <f>"02/01/2020"</f>
        <v>02/01/2020</v>
      </c>
      <c r="N64">
        <v>42</v>
      </c>
      <c r="O64">
        <v>42</v>
      </c>
      <c r="P64">
        <v>0</v>
      </c>
    </row>
    <row r="65" spans="1:16" x14ac:dyDescent="0.25">
      <c r="A65">
        <v>48622898</v>
      </c>
      <c r="B65">
        <v>48622911</v>
      </c>
      <c r="C65" t="str">
        <f>"UNIMEDSJN"</f>
        <v>UNIMEDSJN</v>
      </c>
      <c r="D65" t="str">
        <f>"DH"</f>
        <v>DH</v>
      </c>
      <c r="E65" t="str">
        <f>"Hmp Empreendimentos Imobiliarios Ltda"</f>
        <v>Hmp Empreendimentos Imobiliarios Ltda</v>
      </c>
      <c r="F65" t="str">
        <f>"48622898-1/1"</f>
        <v>48622898-1/1</v>
      </c>
      <c r="G65" t="str">
        <f>"Carteira 21"</f>
        <v>Carteira 21</v>
      </c>
      <c r="H65">
        <v>28</v>
      </c>
      <c r="I65" s="1">
        <v>74</v>
      </c>
      <c r="J65" t="str">
        <f>"02/01/2020"</f>
        <v>02/01/2020</v>
      </c>
      <c r="K65" t="str">
        <f>"30/01/2020"</f>
        <v>30/01/2020</v>
      </c>
      <c r="L65" t="str">
        <f>"11/02/2020"</f>
        <v>11/02/2020</v>
      </c>
      <c r="M65" t="str">
        <f>"12/02/2020"</f>
        <v>12/02/2020</v>
      </c>
      <c r="N65">
        <v>59.5</v>
      </c>
      <c r="O65">
        <v>60.93</v>
      </c>
      <c r="P65">
        <v>0</v>
      </c>
    </row>
    <row r="66" spans="1:16" x14ac:dyDescent="0.25">
      <c r="A66">
        <v>48618167</v>
      </c>
      <c r="B66">
        <v>48618192</v>
      </c>
      <c r="C66" t="str">
        <f>"UNIMEDSJN"</f>
        <v>UNIMEDSJN</v>
      </c>
      <c r="D66" t="str">
        <f>"DH"</f>
        <v>DH</v>
      </c>
      <c r="E66" t="str">
        <f>"Informe Prestacao de Servicos Ltda"</f>
        <v>Informe Prestacao de Servicos Ltda</v>
      </c>
      <c r="F66" t="str">
        <f>"48618167-1/1"</f>
        <v>48618167-1/1</v>
      </c>
      <c r="G66" t="str">
        <f>"Carteira 21"</f>
        <v>Carteira 21</v>
      </c>
      <c r="H66">
        <v>20</v>
      </c>
      <c r="I66" s="1">
        <v>82</v>
      </c>
      <c r="J66" t="str">
        <f>"02/01/2020"</f>
        <v>02/01/2020</v>
      </c>
      <c r="K66" t="str">
        <f>"22/01/2020"</f>
        <v>22/01/2020</v>
      </c>
      <c r="L66" t="str">
        <f>"11/03/2020"</f>
        <v>11/03/2020</v>
      </c>
      <c r="M66" t="str">
        <f>"12/03/2020"</f>
        <v>12/03/2020</v>
      </c>
      <c r="N66">
        <v>66</v>
      </c>
      <c r="O66">
        <v>68.39</v>
      </c>
      <c r="P66">
        <v>1.00000000000051E-2</v>
      </c>
    </row>
    <row r="67" spans="1:16" s="2" customFormat="1" x14ac:dyDescent="0.25">
      <c r="A67" s="2">
        <v>47540394</v>
      </c>
      <c r="B67" s="2">
        <v>47540403</v>
      </c>
      <c r="C67" s="2" t="str">
        <f>"UNIMEDSJN"</f>
        <v>UNIMEDSJN</v>
      </c>
      <c r="D67" s="2" t="str">
        <f>"DH"</f>
        <v>DH</v>
      </c>
      <c r="E67" s="2" t="str">
        <f>"Irmaos Amino Ltda"</f>
        <v>Irmaos Amino Ltda</v>
      </c>
      <c r="F67" s="2" t="str">
        <f>"47540394-1/1"</f>
        <v>47540394-1/1</v>
      </c>
      <c r="G67" s="2" t="str">
        <f>"Carteira 21"</f>
        <v>Carteira 21</v>
      </c>
      <c r="H67" s="2">
        <v>28</v>
      </c>
      <c r="I67" s="3">
        <v>105</v>
      </c>
      <c r="J67" s="2" t="str">
        <f>"02/12/2019"</f>
        <v>02/12/2019</v>
      </c>
      <c r="K67" s="2" t="str">
        <f>"30/12/2019"</f>
        <v>30/12/2019</v>
      </c>
      <c r="L67" s="2" t="str">
        <f>"12/02/2020"</f>
        <v>12/02/2020</v>
      </c>
      <c r="M67" s="2" t="str">
        <f>"13/02/2020"</f>
        <v>13/02/2020</v>
      </c>
      <c r="N67" s="2">
        <v>1401.23</v>
      </c>
      <c r="O67" s="2">
        <v>1449.6</v>
      </c>
      <c r="P67" s="2">
        <v>0.19999999999981799</v>
      </c>
    </row>
    <row r="68" spans="1:16" x14ac:dyDescent="0.25">
      <c r="A68">
        <v>48613005</v>
      </c>
      <c r="B68">
        <v>48613019</v>
      </c>
      <c r="C68" t="str">
        <f>"UNIMEDSJN"</f>
        <v>UNIMEDSJN</v>
      </c>
      <c r="D68" t="str">
        <f>"DH"</f>
        <v>DH</v>
      </c>
      <c r="E68" t="str">
        <f>"Irmaos Amino Ltda"</f>
        <v>Irmaos Amino Ltda</v>
      </c>
      <c r="F68" t="str">
        <f>"48613005-1/1"</f>
        <v>48613005-1/1</v>
      </c>
      <c r="G68" t="str">
        <f>"Carteira 21"</f>
        <v>Carteira 21</v>
      </c>
      <c r="H68">
        <v>28</v>
      </c>
      <c r="I68" s="1">
        <v>74</v>
      </c>
      <c r="J68" t="str">
        <f>"02/01/2020"</f>
        <v>02/01/2020</v>
      </c>
      <c r="K68" t="str">
        <f>"30/01/2020"</f>
        <v>30/01/2020</v>
      </c>
      <c r="L68" t="str">
        <f>"06/02/2020"</f>
        <v>06/02/2020</v>
      </c>
      <c r="M68" t="str">
        <f>"07/02/2020"</f>
        <v>07/02/2020</v>
      </c>
      <c r="N68">
        <v>1401.23</v>
      </c>
      <c r="O68">
        <v>1432.49</v>
      </c>
      <c r="P68">
        <v>2.9999999999972701E-2</v>
      </c>
    </row>
    <row r="69" spans="1:16" s="2" customFormat="1" x14ac:dyDescent="0.25">
      <c r="A69" s="2">
        <v>47541733</v>
      </c>
      <c r="B69" s="2">
        <v>47541752</v>
      </c>
      <c r="C69" s="2" t="str">
        <f>"UNIMEDSJN"</f>
        <v>UNIMEDSJN</v>
      </c>
      <c r="D69" s="2" t="str">
        <f>"DH"</f>
        <v>DH</v>
      </c>
      <c r="E69" s="2" t="str">
        <f>"Isabelle Athouguia Pimentel Girardi - Me"</f>
        <v>Isabelle Athouguia Pimentel Girardi - Me</v>
      </c>
      <c r="F69" s="2" t="str">
        <f>"47541733-1/1"</f>
        <v>47541733-1/1</v>
      </c>
      <c r="G69" s="2" t="str">
        <f>"Carteira 21"</f>
        <v>Carteira 21</v>
      </c>
      <c r="H69" s="2">
        <v>39</v>
      </c>
      <c r="I69" s="3">
        <v>94</v>
      </c>
      <c r="J69" s="2" t="str">
        <f>"02/12/2019"</f>
        <v>02/12/2019</v>
      </c>
      <c r="K69" s="2" t="str">
        <f>"10/01/2020"</f>
        <v>10/01/2020</v>
      </c>
      <c r="L69" s="2" t="str">
        <f>"28/02/2020"</f>
        <v>28/02/2020</v>
      </c>
      <c r="M69" s="2" t="str">
        <f>"13/03/2020"</f>
        <v>13/03/2020</v>
      </c>
      <c r="N69" s="2">
        <v>542.91999999999996</v>
      </c>
      <c r="O69" s="2">
        <v>564.53</v>
      </c>
      <c r="P69" s="2">
        <v>-1.88</v>
      </c>
    </row>
    <row r="70" spans="1:16" x14ac:dyDescent="0.25">
      <c r="A70">
        <v>48614081</v>
      </c>
      <c r="B70">
        <v>48614100</v>
      </c>
      <c r="C70" t="str">
        <f>"UNIMEDSJN"</f>
        <v>UNIMEDSJN</v>
      </c>
      <c r="D70" t="str">
        <f>"DH"</f>
        <v>DH</v>
      </c>
      <c r="E70" t="str">
        <f>"Isabelle Athouguia Pimentel Girardi - Me"</f>
        <v>Isabelle Athouguia Pimentel Girardi - Me</v>
      </c>
      <c r="F70" t="str">
        <f>"48614081-1/1"</f>
        <v>48614081-1/1</v>
      </c>
      <c r="G70" t="str">
        <f>"Carteira 21"</f>
        <v>Carteira 21</v>
      </c>
      <c r="H70">
        <v>58</v>
      </c>
      <c r="I70" s="1">
        <v>44</v>
      </c>
      <c r="J70" t="str">
        <f>"02/01/2020"</f>
        <v>02/01/2020</v>
      </c>
      <c r="K70" t="str">
        <f>"29/02/2020"</f>
        <v>29/02/2020</v>
      </c>
      <c r="L70" t="str">
        <f>"30/03/2020"</f>
        <v>30/03/2020</v>
      </c>
      <c r="M70" t="str">
        <f>"31/03/2020"</f>
        <v>31/03/2020</v>
      </c>
      <c r="N70">
        <v>542.91999999999996</v>
      </c>
      <c r="O70">
        <v>564.53</v>
      </c>
      <c r="P70">
        <v>-5.32000000000005</v>
      </c>
    </row>
    <row r="71" spans="1:16" s="2" customFormat="1" x14ac:dyDescent="0.25">
      <c r="A71" s="2">
        <v>45654883</v>
      </c>
      <c r="B71" s="2">
        <v>45654910</v>
      </c>
      <c r="C71" s="2" t="str">
        <f>"UNIMEDSJN"</f>
        <v>UNIMEDSJN</v>
      </c>
      <c r="D71" s="2" t="str">
        <f>"DH"</f>
        <v>DH</v>
      </c>
      <c r="E71" s="2" t="str">
        <f>"Jaqueline Rabello"</f>
        <v>Jaqueline Rabello</v>
      </c>
      <c r="F71" s="2" t="str">
        <f>"45654883-1/1"</f>
        <v>45654883-1/1</v>
      </c>
      <c r="G71" s="2" t="str">
        <f>"Carteira 21"</f>
        <v>Carteira 21</v>
      </c>
      <c r="H71" s="2">
        <v>29</v>
      </c>
      <c r="I71" s="3">
        <v>166</v>
      </c>
      <c r="J71" s="2" t="str">
        <f>"01/10/2019"</f>
        <v>01/10/2019</v>
      </c>
      <c r="K71" s="2" t="str">
        <f>"30/10/2019"</f>
        <v>30/10/2019</v>
      </c>
      <c r="L71" s="2" t="str">
        <f>"30/10/2019"</f>
        <v>30/10/2019</v>
      </c>
      <c r="M71" s="2" t="str">
        <f>"01/10/2019"</f>
        <v>01/10/2019</v>
      </c>
      <c r="N71" s="2">
        <v>72</v>
      </c>
      <c r="O71" s="2">
        <v>72</v>
      </c>
      <c r="P71" s="2">
        <v>0</v>
      </c>
    </row>
    <row r="72" spans="1:16" s="2" customFormat="1" x14ac:dyDescent="0.25">
      <c r="A72" s="2">
        <v>47541130</v>
      </c>
      <c r="B72" s="2">
        <v>47541142</v>
      </c>
      <c r="C72" s="2" t="str">
        <f>"UNIMEDSJN"</f>
        <v>UNIMEDSJN</v>
      </c>
      <c r="D72" s="2" t="str">
        <f>"DH"</f>
        <v>DH</v>
      </c>
      <c r="E72" s="2" t="str">
        <f>"Jaqueline Rabello"</f>
        <v>Jaqueline Rabello</v>
      </c>
      <c r="F72" s="2" t="str">
        <f>"47541130-1/1"</f>
        <v>47541130-1/1</v>
      </c>
      <c r="G72" s="2" t="str">
        <f>"Carteira 21"</f>
        <v>Carteira 21</v>
      </c>
      <c r="H72" s="2">
        <v>23</v>
      </c>
      <c r="I72" s="3">
        <v>110</v>
      </c>
      <c r="J72" s="2" t="str">
        <f>"02/12/2019"</f>
        <v>02/12/2019</v>
      </c>
      <c r="K72" s="2" t="str">
        <f>"25/12/2019"</f>
        <v>25/12/2019</v>
      </c>
      <c r="L72" s="2" t="str">
        <f>"25/12/2019"</f>
        <v>25/12/2019</v>
      </c>
      <c r="M72" s="2" t="str">
        <f>"02/12/2019"</f>
        <v>02/12/2019</v>
      </c>
      <c r="N72" s="2">
        <v>611.39</v>
      </c>
      <c r="O72" s="2">
        <v>611.39</v>
      </c>
      <c r="P72" s="2">
        <v>0</v>
      </c>
    </row>
    <row r="73" spans="1:16" x14ac:dyDescent="0.25">
      <c r="A73">
        <v>48599538</v>
      </c>
      <c r="B73">
        <v>48599558</v>
      </c>
      <c r="C73" t="str">
        <f>"UNIMEDSJN"</f>
        <v>UNIMEDSJN</v>
      </c>
      <c r="D73" t="str">
        <f>"DH"</f>
        <v>DH</v>
      </c>
      <c r="E73" t="str">
        <f>"Jaqueline Rabello"</f>
        <v>Jaqueline Rabello</v>
      </c>
      <c r="F73" t="str">
        <f>"48599538-1/1"</f>
        <v>48599538-1/1</v>
      </c>
      <c r="G73" t="str">
        <f>"Carteira 21"</f>
        <v>Carteira 21</v>
      </c>
      <c r="H73">
        <v>23</v>
      </c>
      <c r="I73" s="1">
        <v>79</v>
      </c>
      <c r="J73" t="str">
        <f>"02/01/2020"</f>
        <v>02/01/2020</v>
      </c>
      <c r="K73" t="str">
        <f>"25/01/2020"</f>
        <v>25/01/2020</v>
      </c>
      <c r="L73" t="str">
        <f>"27/01/2020"</f>
        <v>27/01/2020</v>
      </c>
      <c r="M73" t="str">
        <f>"02/01/2020"</f>
        <v>02/01/2020</v>
      </c>
      <c r="N73">
        <v>611.39</v>
      </c>
      <c r="O73">
        <v>611.39</v>
      </c>
      <c r="P73">
        <v>0</v>
      </c>
    </row>
    <row r="74" spans="1:16" x14ac:dyDescent="0.25">
      <c r="A74">
        <v>48850496</v>
      </c>
      <c r="B74">
        <v>48850503</v>
      </c>
      <c r="C74" t="str">
        <f>"UNIMEDSJN"</f>
        <v>UNIMEDSJN</v>
      </c>
      <c r="D74" t="str">
        <f>"DH"</f>
        <v>DH</v>
      </c>
      <c r="E74" t="str">
        <f>"Joana Darc Rigolon"</f>
        <v>Joana Darc Rigolon</v>
      </c>
      <c r="F74" t="str">
        <f>"48850496-1/1"</f>
        <v>48850496-1/1</v>
      </c>
      <c r="G74" t="str">
        <f>"Carteira 21"</f>
        <v>Carteira 21</v>
      </c>
      <c r="H74">
        <v>3</v>
      </c>
      <c r="I74" s="1">
        <v>73</v>
      </c>
      <c r="J74" t="str">
        <f>"28/01/2020"</f>
        <v>28/01/2020</v>
      </c>
      <c r="K74" t="str">
        <f>"31/01/2020"</f>
        <v>31/01/2020</v>
      </c>
      <c r="L74" t="str">
        <f>"31/01/2020"</f>
        <v>31/01/2020</v>
      </c>
      <c r="M74" t="str">
        <f>"04/02/2020"</f>
        <v>04/02/2020</v>
      </c>
      <c r="N74">
        <v>659.29</v>
      </c>
      <c r="O74">
        <v>659.29</v>
      </c>
      <c r="P74">
        <v>0</v>
      </c>
    </row>
    <row r="75" spans="1:16" x14ac:dyDescent="0.25">
      <c r="A75">
        <v>48613868</v>
      </c>
      <c r="B75">
        <v>48614142</v>
      </c>
      <c r="C75" t="str">
        <f>"UNIMEDSJN"</f>
        <v>UNIMEDSJN</v>
      </c>
      <c r="D75" t="str">
        <f>"DH"</f>
        <v>DH</v>
      </c>
      <c r="E75" t="str">
        <f>"Karoline Rocha Alhadas Furtado"</f>
        <v>Karoline Rocha Alhadas Furtado</v>
      </c>
      <c r="F75" t="str">
        <f>"48613868-1/1"</f>
        <v>48613868-1/1</v>
      </c>
      <c r="G75" t="str">
        <f>"Carteira 21"</f>
        <v>Carteira 21</v>
      </c>
      <c r="H75">
        <v>28</v>
      </c>
      <c r="I75" s="1">
        <v>74</v>
      </c>
      <c r="J75" t="str">
        <f>"02/01/2020"</f>
        <v>02/01/2020</v>
      </c>
      <c r="K75" t="str">
        <f>"30/01/2020"</f>
        <v>30/01/2020</v>
      </c>
      <c r="L75" t="str">
        <f>"14/02/2020"</f>
        <v>14/02/2020</v>
      </c>
      <c r="M75" t="str">
        <f>"17/02/2020"</f>
        <v>17/02/2020</v>
      </c>
      <c r="N75">
        <v>631.36</v>
      </c>
      <c r="O75">
        <v>647.11</v>
      </c>
      <c r="P75">
        <v>3.9999999999963599E-2</v>
      </c>
    </row>
    <row r="76" spans="1:16" x14ac:dyDescent="0.25">
      <c r="A76">
        <v>48624795</v>
      </c>
      <c r="B76">
        <v>48625132</v>
      </c>
      <c r="C76" t="str">
        <f>"UNIMEDSJN"</f>
        <v>UNIMEDSJN</v>
      </c>
      <c r="D76" t="str">
        <f>"DH"</f>
        <v>DH</v>
      </c>
      <c r="E76" t="str">
        <f>"L F V Pereira Eireli Me"</f>
        <v>L F V Pereira Eireli Me</v>
      </c>
      <c r="F76" t="str">
        <f>"48624795-1/1"</f>
        <v>48624795-1/1</v>
      </c>
      <c r="G76" t="str">
        <f>"Carteira 21"</f>
        <v>Carteira 21</v>
      </c>
      <c r="H76">
        <v>44</v>
      </c>
      <c r="I76" s="1">
        <v>58</v>
      </c>
      <c r="J76" t="str">
        <f>"02/01/2020"</f>
        <v>02/01/2020</v>
      </c>
      <c r="K76" t="str">
        <f>"15/02/2020"</f>
        <v>15/02/2020</v>
      </c>
      <c r="L76" t="str">
        <f>"17/02/2020"</f>
        <v>17/02/2020</v>
      </c>
      <c r="M76" t="str">
        <f>"18/02/2020"</f>
        <v>18/02/2020</v>
      </c>
      <c r="N76">
        <v>210</v>
      </c>
      <c r="O76">
        <v>210</v>
      </c>
      <c r="P76">
        <v>0</v>
      </c>
    </row>
    <row r="77" spans="1:16" x14ac:dyDescent="0.25">
      <c r="A77">
        <v>48622979</v>
      </c>
      <c r="B77">
        <v>48622984</v>
      </c>
      <c r="C77" t="str">
        <f>"UNIMEDSJN"</f>
        <v>UNIMEDSJN</v>
      </c>
      <c r="D77" t="str">
        <f>"DH"</f>
        <v>DH</v>
      </c>
      <c r="E77" t="str">
        <f>"Maio Moveis Ltda"</f>
        <v>Maio Moveis Ltda</v>
      </c>
      <c r="F77" t="str">
        <f>"48622979-1/1"</f>
        <v>48622979-1/1</v>
      </c>
      <c r="G77" t="str">
        <f>"Carteira 21"</f>
        <v>Carteira 21</v>
      </c>
      <c r="H77">
        <v>28</v>
      </c>
      <c r="I77" s="1">
        <v>74</v>
      </c>
      <c r="J77" t="str">
        <f>"02/01/2020"</f>
        <v>02/01/2020</v>
      </c>
      <c r="K77" t="str">
        <f>"30/01/2020"</f>
        <v>30/01/2020</v>
      </c>
      <c r="L77" t="str">
        <f>"04/02/2020"</f>
        <v>04/02/2020</v>
      </c>
      <c r="M77" t="str">
        <f>"05/02/2020"</f>
        <v>05/02/2020</v>
      </c>
      <c r="N77">
        <v>6</v>
      </c>
      <c r="O77">
        <v>6</v>
      </c>
      <c r="P77">
        <v>0.13</v>
      </c>
    </row>
    <row r="78" spans="1:16" x14ac:dyDescent="0.25">
      <c r="A78">
        <v>48612939</v>
      </c>
      <c r="B78">
        <v>48612972</v>
      </c>
      <c r="C78" t="str">
        <f>"UNIMEDSJN"</f>
        <v>UNIMEDSJN</v>
      </c>
      <c r="D78" t="str">
        <f>"DH"</f>
        <v>DH</v>
      </c>
      <c r="E78" t="str">
        <f>"Maju Materiais de Construcao"</f>
        <v>Maju Materiais de Construcao</v>
      </c>
      <c r="F78" t="str">
        <f>"48612939-1/1"</f>
        <v>48612939-1/1</v>
      </c>
      <c r="G78" t="str">
        <f>"Carteira 21"</f>
        <v>Carteira 21</v>
      </c>
      <c r="H78">
        <v>27</v>
      </c>
      <c r="I78" s="1">
        <v>75</v>
      </c>
      <c r="J78" t="str">
        <f>"02/01/2020"</f>
        <v>02/01/2020</v>
      </c>
      <c r="K78" t="str">
        <f>"29/01/2020"</f>
        <v>29/01/2020</v>
      </c>
      <c r="L78" t="str">
        <f>"10/02/2020"</f>
        <v>10/02/2020</v>
      </c>
      <c r="M78" t="str">
        <f>"11/02/2020"</f>
        <v>11/02/2020</v>
      </c>
      <c r="N78">
        <v>734.85</v>
      </c>
      <c r="O78">
        <v>752.46</v>
      </c>
      <c r="P78">
        <v>2.9999999999972701E-2</v>
      </c>
    </row>
    <row r="79" spans="1:16" s="2" customFormat="1" x14ac:dyDescent="0.25">
      <c r="A79" s="2">
        <v>47541643</v>
      </c>
      <c r="B79" s="2">
        <v>47541667</v>
      </c>
      <c r="C79" s="2" t="str">
        <f>"UNIMEDSJN"</f>
        <v>UNIMEDSJN</v>
      </c>
      <c r="D79" s="2" t="str">
        <f>"DH"</f>
        <v>DH</v>
      </c>
      <c r="E79" s="2" t="str">
        <f>"Marchiori Consultoria Eireli"</f>
        <v>Marchiori Consultoria Eireli</v>
      </c>
      <c r="F79" s="2" t="str">
        <f>"47541643-1/1"</f>
        <v>47541643-1/1</v>
      </c>
      <c r="G79" s="2" t="str">
        <f>"Carteira 21"</f>
        <v>Carteira 21</v>
      </c>
      <c r="H79" s="2">
        <v>28</v>
      </c>
      <c r="I79" s="3">
        <v>105</v>
      </c>
      <c r="J79" s="2" t="str">
        <f>"02/12/2019"</f>
        <v>02/12/2019</v>
      </c>
      <c r="K79" s="2" t="str">
        <f>"30/12/2019"</f>
        <v>30/12/2019</v>
      </c>
      <c r="L79" s="2" t="str">
        <f>"14/02/2020"</f>
        <v>14/02/2020</v>
      </c>
      <c r="M79" s="2" t="str">
        <f>"17/02/2020"</f>
        <v>17/02/2020</v>
      </c>
      <c r="N79" s="2">
        <v>1162.5899999999999</v>
      </c>
      <c r="O79" s="2">
        <v>1203.49</v>
      </c>
      <c r="P79" s="2">
        <v>0.17999999999983601</v>
      </c>
    </row>
    <row r="80" spans="1:16" x14ac:dyDescent="0.25">
      <c r="A80">
        <v>48613919</v>
      </c>
      <c r="B80">
        <v>48613943</v>
      </c>
      <c r="C80" t="str">
        <f>"UNIMEDSJN"</f>
        <v>UNIMEDSJN</v>
      </c>
      <c r="D80" t="str">
        <f>"DH"</f>
        <v>DH</v>
      </c>
      <c r="E80" t="str">
        <f>"Marchiori Consultoria Eireli"</f>
        <v>Marchiori Consultoria Eireli</v>
      </c>
      <c r="F80" t="str">
        <f>"48613919-1/1"</f>
        <v>48613919-1/1</v>
      </c>
      <c r="G80" t="str">
        <f>"Carteira 21"</f>
        <v>Carteira 21</v>
      </c>
      <c r="H80">
        <v>28</v>
      </c>
      <c r="I80" s="1">
        <v>74</v>
      </c>
      <c r="J80" t="str">
        <f>"02/01/2020"</f>
        <v>02/01/2020</v>
      </c>
      <c r="K80" t="str">
        <f>"30/01/2020"</f>
        <v>30/01/2020</v>
      </c>
      <c r="L80" t="str">
        <f>"10/03/2020"</f>
        <v>10/03/2020</v>
      </c>
      <c r="M80" t="str">
        <f>"11/03/2020"</f>
        <v>11/03/2020</v>
      </c>
      <c r="N80">
        <v>1162.5899999999999</v>
      </c>
      <c r="O80">
        <v>1201.19</v>
      </c>
      <c r="P80">
        <v>0.14999999999986399</v>
      </c>
    </row>
    <row r="81" spans="1:16" s="2" customFormat="1" x14ac:dyDescent="0.25">
      <c r="A81" s="2">
        <v>43270062</v>
      </c>
      <c r="B81" s="2">
        <v>43270097</v>
      </c>
      <c r="C81" s="2" t="str">
        <f>"UNIMEDSJN"</f>
        <v>UNIMEDSJN</v>
      </c>
      <c r="D81" s="2" t="str">
        <f>"DH"</f>
        <v>DH</v>
      </c>
      <c r="E81" s="2" t="str">
        <f>"Mecanica Nascimento Cabetti Ltda Me"</f>
        <v>Mecanica Nascimento Cabetti Ltda Me</v>
      </c>
      <c r="F81" s="2" t="str">
        <f>"43270062-1/1"</f>
        <v>43270062-1/1</v>
      </c>
      <c r="G81" s="2" t="str">
        <f>"Carteira 21"</f>
        <v>Carteira 21</v>
      </c>
      <c r="H81" s="2">
        <v>28</v>
      </c>
      <c r="I81" s="3">
        <v>319</v>
      </c>
      <c r="J81" s="2" t="str">
        <f>"02/05/2019"</f>
        <v>02/05/2019</v>
      </c>
      <c r="K81" s="2" t="str">
        <f>"30/05/2019"</f>
        <v>30/05/2019</v>
      </c>
      <c r="L81" s="2" t="str">
        <f>"30/05/2019"</f>
        <v>30/05/2019</v>
      </c>
      <c r="M81" s="2" t="str">
        <f>"02/05/2019"</f>
        <v>02/05/2019</v>
      </c>
      <c r="N81" s="2">
        <v>96</v>
      </c>
      <c r="O81" s="2">
        <v>96</v>
      </c>
      <c r="P81" s="2">
        <v>0</v>
      </c>
    </row>
    <row r="82" spans="1:16" s="2" customFormat="1" x14ac:dyDescent="0.25">
      <c r="A82" s="2">
        <v>43562098</v>
      </c>
      <c r="B82" s="2">
        <v>43562206</v>
      </c>
      <c r="C82" s="2" t="str">
        <f>"UNIMEDSJN"</f>
        <v>UNIMEDSJN</v>
      </c>
      <c r="D82" s="2" t="str">
        <f>"DH"</f>
        <v>DH</v>
      </c>
      <c r="E82" s="2" t="str">
        <f>"Mecanica Nascimento Cabetti Ltda Me"</f>
        <v>Mecanica Nascimento Cabetti Ltda Me</v>
      </c>
      <c r="F82" s="2" t="str">
        <f>"43562098-1/1"</f>
        <v>43562098-1/1</v>
      </c>
      <c r="G82" s="2" t="str">
        <f>"Carteira 21"</f>
        <v>Carteira 21</v>
      </c>
      <c r="H82" s="2">
        <v>27</v>
      </c>
      <c r="I82" s="3">
        <v>288</v>
      </c>
      <c r="J82" s="2" t="str">
        <f>"03/06/2019"</f>
        <v>03/06/2019</v>
      </c>
      <c r="K82" s="2" t="str">
        <f>"30/06/2019"</f>
        <v>30/06/2019</v>
      </c>
      <c r="L82" s="2" t="str">
        <f>"01/07/2019"</f>
        <v>01/07/2019</v>
      </c>
      <c r="M82" s="2" t="str">
        <f>"03/06/2019"</f>
        <v>03/06/2019</v>
      </c>
      <c r="N82" s="2">
        <v>96</v>
      </c>
      <c r="O82" s="2">
        <v>96</v>
      </c>
      <c r="P82" s="2">
        <v>0</v>
      </c>
    </row>
    <row r="83" spans="1:16" s="2" customFormat="1" x14ac:dyDescent="0.25">
      <c r="A83" s="2">
        <v>44006022</v>
      </c>
      <c r="B83" s="2">
        <v>44006057</v>
      </c>
      <c r="C83" s="2" t="str">
        <f>"UNIMEDSJN"</f>
        <v>UNIMEDSJN</v>
      </c>
      <c r="D83" s="2" t="str">
        <f>"DH"</f>
        <v>DH</v>
      </c>
      <c r="E83" s="2" t="str">
        <f>"Mecanica Nascimento Cabetti Ltda Me"</f>
        <v>Mecanica Nascimento Cabetti Ltda Me</v>
      </c>
      <c r="F83" s="2" t="str">
        <f>"44006022-1/1"</f>
        <v>44006022-1/1</v>
      </c>
      <c r="G83" s="2" t="str">
        <f>"Carteira 21"</f>
        <v>Carteira 21</v>
      </c>
      <c r="H83" s="2">
        <v>29</v>
      </c>
      <c r="I83" s="3">
        <v>258</v>
      </c>
      <c r="J83" s="2" t="str">
        <f>"01/07/2019"</f>
        <v>01/07/2019</v>
      </c>
      <c r="K83" s="2" t="str">
        <f>"30/07/2019"</f>
        <v>30/07/2019</v>
      </c>
      <c r="L83" s="2" t="str">
        <f>"30/07/2019"</f>
        <v>30/07/2019</v>
      </c>
      <c r="M83" s="2" t="str">
        <f>"01/07/2019"</f>
        <v>01/07/2019</v>
      </c>
      <c r="N83" s="2">
        <v>96</v>
      </c>
      <c r="O83" s="2">
        <v>96</v>
      </c>
      <c r="P83" s="2">
        <v>0</v>
      </c>
    </row>
    <row r="84" spans="1:16" x14ac:dyDescent="0.25">
      <c r="A84">
        <v>47541593</v>
      </c>
      <c r="B84">
        <v>47541620</v>
      </c>
      <c r="C84" t="str">
        <f>"UNIMEDSJN"</f>
        <v>UNIMEDSJN</v>
      </c>
      <c r="D84" t="str">
        <f>"DH"</f>
        <v>DH</v>
      </c>
      <c r="E84" t="str">
        <f>"Micheli Soares Alves"</f>
        <v>Micheli Soares Alves</v>
      </c>
      <c r="F84" t="str">
        <f>"47541593-1/1"</f>
        <v>47541593-1/1</v>
      </c>
      <c r="G84" t="str">
        <f>"Carteira 21"</f>
        <v>Carteira 21</v>
      </c>
      <c r="H84">
        <v>50</v>
      </c>
      <c r="I84" s="1">
        <v>83</v>
      </c>
      <c r="J84" t="str">
        <f>"02/12/2019"</f>
        <v>02/12/2019</v>
      </c>
      <c r="K84" t="str">
        <f>"21/01/2020"</f>
        <v>21/01/2020</v>
      </c>
      <c r="L84" t="str">
        <f>"21/02/2020"</f>
        <v>21/02/2020</v>
      </c>
      <c r="M84" t="str">
        <f>"24/02/2020"</f>
        <v>24/02/2020</v>
      </c>
      <c r="N84">
        <v>558.82000000000005</v>
      </c>
      <c r="O84">
        <v>579.77</v>
      </c>
      <c r="P84">
        <v>-3.9999999999998899</v>
      </c>
    </row>
    <row r="85" spans="1:16" x14ac:dyDescent="0.25">
      <c r="A85">
        <v>48614277</v>
      </c>
      <c r="B85">
        <v>48614295</v>
      </c>
      <c r="C85" t="str">
        <f>"UNIMEDSJN"</f>
        <v>UNIMEDSJN</v>
      </c>
      <c r="D85" t="str">
        <f>"DH"</f>
        <v>DH</v>
      </c>
      <c r="E85" t="str">
        <f>"Micheli Soares Alves"</f>
        <v>Micheli Soares Alves</v>
      </c>
      <c r="F85" t="str">
        <f>"48614277-1/1"</f>
        <v>48614277-1/1</v>
      </c>
      <c r="G85" t="str">
        <f>"Carteira 21"</f>
        <v>Carteira 21</v>
      </c>
      <c r="H85">
        <v>28</v>
      </c>
      <c r="I85" s="1">
        <v>74</v>
      </c>
      <c r="J85" t="str">
        <f>"02/01/2020"</f>
        <v>02/01/2020</v>
      </c>
      <c r="K85" t="str">
        <f>"30/01/2020"</f>
        <v>30/01/2020</v>
      </c>
      <c r="L85" t="str">
        <f>"30/01/2020"</f>
        <v>30/01/2020</v>
      </c>
      <c r="M85" t="str">
        <f>"02/01/2020"</f>
        <v>02/01/2020</v>
      </c>
      <c r="N85">
        <v>558.82000000000005</v>
      </c>
      <c r="O85">
        <v>558.82000000000005</v>
      </c>
      <c r="P85">
        <v>0</v>
      </c>
    </row>
    <row r="86" spans="1:16" x14ac:dyDescent="0.25">
      <c r="A86">
        <v>48622889</v>
      </c>
      <c r="B86">
        <v>48622896</v>
      </c>
      <c r="C86" t="str">
        <f>"UNIMEDSJN"</f>
        <v>UNIMEDSJN</v>
      </c>
      <c r="D86" t="str">
        <f>"DH"</f>
        <v>DH</v>
      </c>
      <c r="E86" t="str">
        <f>"Nova Descoberto Empreendimentos Imobiliarios Ltda"</f>
        <v>Nova Descoberto Empreendimentos Imobiliarios Ltda</v>
      </c>
      <c r="F86" t="str">
        <f>"48622889-1/1"</f>
        <v>48622889-1/1</v>
      </c>
      <c r="G86" t="str">
        <f>"Carteira 21"</f>
        <v>Carteira 21</v>
      </c>
      <c r="H86">
        <v>28</v>
      </c>
      <c r="I86" s="1">
        <v>74</v>
      </c>
      <c r="J86" t="str">
        <f>"02/01/2020"</f>
        <v>02/01/2020</v>
      </c>
      <c r="K86" t="str">
        <f>"30/01/2020"</f>
        <v>30/01/2020</v>
      </c>
      <c r="L86" t="str">
        <f>"11/02/2020"</f>
        <v>11/02/2020</v>
      </c>
      <c r="M86" t="str">
        <f>"12/02/2020"</f>
        <v>12/02/2020</v>
      </c>
      <c r="N86">
        <v>23.8</v>
      </c>
      <c r="O86">
        <v>24.37</v>
      </c>
      <c r="P86">
        <v>9.9999999999980105E-3</v>
      </c>
    </row>
    <row r="87" spans="1:16" x14ac:dyDescent="0.25">
      <c r="A87">
        <v>48615702</v>
      </c>
      <c r="B87">
        <v>48616275</v>
      </c>
      <c r="C87" t="str">
        <f>"UNIMEDSJN"</f>
        <v>UNIMEDSJN</v>
      </c>
      <c r="D87" t="str">
        <f>"DH"</f>
        <v>DH</v>
      </c>
      <c r="E87" t="str">
        <f>"Nsa Supermercado Ltda"</f>
        <v>Nsa Supermercado Ltda</v>
      </c>
      <c r="F87" t="str">
        <f>"48615702-1/1"</f>
        <v>48615702-1/1</v>
      </c>
      <c r="G87" t="str">
        <f>"Carteira 21"</f>
        <v>Carteira 21</v>
      </c>
      <c r="H87">
        <v>34</v>
      </c>
      <c r="I87" s="1">
        <v>68</v>
      </c>
      <c r="J87" t="str">
        <f>"02/01/2020"</f>
        <v>02/01/2020</v>
      </c>
      <c r="K87" t="str">
        <f>"05/02/2020"</f>
        <v>05/02/2020</v>
      </c>
      <c r="L87" t="str">
        <f>"05/02/2020"</f>
        <v>05/02/2020</v>
      </c>
      <c r="M87" t="str">
        <f>"06/02/2020"</f>
        <v>06/02/2020</v>
      </c>
      <c r="N87">
        <v>14751.85</v>
      </c>
      <c r="O87">
        <v>14751.85</v>
      </c>
      <c r="P87">
        <v>0</v>
      </c>
    </row>
    <row r="88" spans="1:16" s="2" customFormat="1" x14ac:dyDescent="0.25">
      <c r="A88" s="2">
        <v>47547719</v>
      </c>
      <c r="B88" s="2">
        <v>47547726</v>
      </c>
      <c r="C88" s="2" t="str">
        <f>"UNIMEDSJN"</f>
        <v>UNIMEDSJN</v>
      </c>
      <c r="D88" s="2" t="str">
        <f>"DH"</f>
        <v>DH</v>
      </c>
      <c r="E88" s="2" t="str">
        <f>"Oms Lacerda Ltda"</f>
        <v>Oms Lacerda Ltda</v>
      </c>
      <c r="F88" s="2" t="str">
        <f>"47547719-1/1"</f>
        <v>47547719-1/1</v>
      </c>
      <c r="G88" s="2" t="str">
        <f>"Carteira 21"</f>
        <v>Carteira 21</v>
      </c>
      <c r="H88" s="2">
        <v>28</v>
      </c>
      <c r="I88" s="3">
        <v>105</v>
      </c>
      <c r="J88" s="2" t="str">
        <f>"02/12/2019"</f>
        <v>02/12/2019</v>
      </c>
      <c r="K88" s="2" t="str">
        <f>"30/12/2019"</f>
        <v>30/12/2019</v>
      </c>
      <c r="L88" s="2" t="str">
        <f>"30/12/2019"</f>
        <v>30/12/2019</v>
      </c>
      <c r="M88" s="2" t="str">
        <f>"02/12/2019"</f>
        <v>02/12/2019</v>
      </c>
      <c r="N88" s="2">
        <v>12</v>
      </c>
      <c r="O88" s="2">
        <v>12</v>
      </c>
      <c r="P88" s="2">
        <v>0</v>
      </c>
    </row>
    <row r="89" spans="1:16" x14ac:dyDescent="0.25">
      <c r="A89">
        <v>48625365</v>
      </c>
      <c r="B89">
        <v>48625768</v>
      </c>
      <c r="C89" t="str">
        <f>"UNIMEDSJN"</f>
        <v>UNIMEDSJN</v>
      </c>
      <c r="D89" t="str">
        <f>"DH"</f>
        <v>DH</v>
      </c>
      <c r="E89" t="str">
        <f>"Oxford Confeccoes Ltda Me"</f>
        <v>Oxford Confeccoes Ltda Me</v>
      </c>
      <c r="F89" t="str">
        <f>"48625365-1/1"</f>
        <v>48625365-1/1</v>
      </c>
      <c r="G89" t="str">
        <f>"Carteira 21"</f>
        <v>Carteira 21</v>
      </c>
      <c r="H89">
        <v>39</v>
      </c>
      <c r="I89" s="1">
        <v>63</v>
      </c>
      <c r="J89" t="str">
        <f>"02/01/2020"</f>
        <v>02/01/2020</v>
      </c>
      <c r="K89" t="str">
        <f>"10/02/2020"</f>
        <v>10/02/2020</v>
      </c>
      <c r="L89" t="str">
        <f>"10/02/2020"</f>
        <v>10/02/2020</v>
      </c>
      <c r="M89" t="str">
        <f>"06/02/2020"</f>
        <v>06/02/2020</v>
      </c>
      <c r="N89">
        <v>450</v>
      </c>
      <c r="O89">
        <v>450</v>
      </c>
      <c r="P89">
        <v>0</v>
      </c>
    </row>
    <row r="90" spans="1:16" x14ac:dyDescent="0.25">
      <c r="A90">
        <v>48614552</v>
      </c>
      <c r="B90">
        <v>48614881</v>
      </c>
      <c r="C90" t="str">
        <f>"UNIMEDSJN"</f>
        <v>UNIMEDSJN</v>
      </c>
      <c r="D90" t="str">
        <f>"DH"</f>
        <v>DH</v>
      </c>
      <c r="E90" t="str">
        <f>"Planning Arquitetura Eireli"</f>
        <v>Planning Arquitetura Eireli</v>
      </c>
      <c r="F90" t="str">
        <f>"48614552-1/1"</f>
        <v>48614552-1/1</v>
      </c>
      <c r="G90" t="str">
        <f>"Carteira 21"</f>
        <v>Carteira 21</v>
      </c>
      <c r="H90">
        <v>54</v>
      </c>
      <c r="I90" s="1">
        <v>48</v>
      </c>
      <c r="J90" t="str">
        <f>"02/01/2020"</f>
        <v>02/01/2020</v>
      </c>
      <c r="K90" t="str">
        <f>"25/02/2020"</f>
        <v>25/02/2020</v>
      </c>
      <c r="L90" t="str">
        <f>"07/04/2020"</f>
        <v>07/04/2020</v>
      </c>
      <c r="M90" t="str">
        <f>"08/04/2020"</f>
        <v>08/04/2020</v>
      </c>
      <c r="N90">
        <v>2957.63</v>
      </c>
      <c r="O90">
        <v>3020.68</v>
      </c>
      <c r="P90">
        <v>37.510000000000197</v>
      </c>
    </row>
    <row r="91" spans="1:16" x14ac:dyDescent="0.25">
      <c r="A91">
        <v>48615011</v>
      </c>
      <c r="B91">
        <v>48615084</v>
      </c>
      <c r="C91" t="str">
        <f>"UNIMEDSJN"</f>
        <v>UNIMEDSJN</v>
      </c>
      <c r="D91" t="str">
        <f>"DH"</f>
        <v>DH</v>
      </c>
      <c r="E91" t="str">
        <f>"Posto Santa Terezinha Mar de Espanha Ltda"</f>
        <v>Posto Santa Terezinha Mar de Espanha Ltda</v>
      </c>
      <c r="F91" t="str">
        <f>"48615011-1/1"</f>
        <v>48615011-1/1</v>
      </c>
      <c r="G91" t="str">
        <f>"Carteira 21"</f>
        <v>Carteira 21</v>
      </c>
      <c r="H91">
        <v>28</v>
      </c>
      <c r="I91" s="1">
        <v>74</v>
      </c>
      <c r="J91" t="str">
        <f>"02/01/2020"</f>
        <v>02/01/2020</v>
      </c>
      <c r="K91" t="str">
        <f>"30/01/2020"</f>
        <v>30/01/2020</v>
      </c>
      <c r="L91" t="str">
        <f>"11/02/2020"</f>
        <v>11/02/2020</v>
      </c>
      <c r="M91" t="str">
        <f>"12/02/2020"</f>
        <v>12/02/2020</v>
      </c>
      <c r="N91">
        <v>3349.19</v>
      </c>
      <c r="O91">
        <v>3429.43</v>
      </c>
      <c r="P91">
        <v>0.139999999999873</v>
      </c>
    </row>
    <row r="92" spans="1:16" s="2" customFormat="1" x14ac:dyDescent="0.25">
      <c r="A92" s="2">
        <v>47547067</v>
      </c>
      <c r="B92" s="2">
        <v>47547092</v>
      </c>
      <c r="C92" s="2" t="str">
        <f>"UNIMEDSJN"</f>
        <v>UNIMEDSJN</v>
      </c>
      <c r="D92" s="2" t="str">
        <f>"DH"</f>
        <v>DH</v>
      </c>
      <c r="E92" s="2" t="str">
        <f>"Radio Garbosa Ltda"</f>
        <v>Radio Garbosa Ltda</v>
      </c>
      <c r="F92" s="2" t="str">
        <f>"47547067-1/1"</f>
        <v>47547067-1/1</v>
      </c>
      <c r="G92" s="2" t="str">
        <f>"Carteira 21"</f>
        <v>Carteira 21</v>
      </c>
      <c r="H92" s="2">
        <v>28</v>
      </c>
      <c r="I92" s="3">
        <v>105</v>
      </c>
      <c r="J92" s="2" t="str">
        <f>"02/12/2019"</f>
        <v>02/12/2019</v>
      </c>
      <c r="K92" s="2" t="str">
        <f>"30/12/2019"</f>
        <v>30/12/2019</v>
      </c>
      <c r="L92" s="2" t="str">
        <f>"11/02/2020"</f>
        <v>11/02/2020</v>
      </c>
      <c r="M92" s="2" t="str">
        <f>"12/02/2020"</f>
        <v>12/02/2020</v>
      </c>
      <c r="N92" s="2">
        <v>66</v>
      </c>
      <c r="O92" s="2">
        <v>68.260000000000005</v>
      </c>
      <c r="P92" s="2">
        <v>9.9999999999909103E-3</v>
      </c>
    </row>
    <row r="93" spans="1:16" x14ac:dyDescent="0.25">
      <c r="A93">
        <v>48619897</v>
      </c>
      <c r="B93">
        <v>48619922</v>
      </c>
      <c r="C93" t="str">
        <f>"UNIMEDSJN"</f>
        <v>UNIMEDSJN</v>
      </c>
      <c r="D93" t="str">
        <f>"DH"</f>
        <v>DH</v>
      </c>
      <c r="E93" t="str">
        <f>"Radio Garbosa Ltda"</f>
        <v>Radio Garbosa Ltda</v>
      </c>
      <c r="F93" t="str">
        <f>"48619897-1/1"</f>
        <v>48619897-1/1</v>
      </c>
      <c r="G93" t="str">
        <f>"Carteira 21"</f>
        <v>Carteira 21</v>
      </c>
      <c r="H93">
        <v>28</v>
      </c>
      <c r="I93" s="1">
        <v>74</v>
      </c>
      <c r="J93" t="str">
        <f>"02/01/2020"</f>
        <v>02/01/2020</v>
      </c>
      <c r="K93" t="str">
        <f>"30/01/2020"</f>
        <v>30/01/2020</v>
      </c>
      <c r="L93" t="str">
        <f>"30/01/2020"</f>
        <v>30/01/2020</v>
      </c>
      <c r="M93" t="str">
        <f>"02/01/2020"</f>
        <v>02/01/2020</v>
      </c>
      <c r="N93">
        <v>66</v>
      </c>
      <c r="O93">
        <v>66</v>
      </c>
      <c r="P93">
        <v>0</v>
      </c>
    </row>
    <row r="94" spans="1:16" x14ac:dyDescent="0.25">
      <c r="A94">
        <v>48622855</v>
      </c>
      <c r="B94">
        <v>48622876</v>
      </c>
      <c r="C94" t="str">
        <f>"UNIMEDSJN"</f>
        <v>UNIMEDSJN</v>
      </c>
      <c r="D94" t="str">
        <f>"DH"</f>
        <v>DH</v>
      </c>
      <c r="E94" t="str">
        <f>"Ramak Moveis Ltda"</f>
        <v>Ramak Moveis Ltda</v>
      </c>
      <c r="F94" t="str">
        <f>"48622855-1/1"</f>
        <v>48622855-1/1</v>
      </c>
      <c r="G94" t="str">
        <f>"Carteira 21"</f>
        <v>Carteira 21</v>
      </c>
      <c r="H94">
        <v>28</v>
      </c>
      <c r="I94" s="1">
        <v>74</v>
      </c>
      <c r="J94" t="str">
        <f>"02/01/2020"</f>
        <v>02/01/2020</v>
      </c>
      <c r="K94" t="str">
        <f>"30/01/2020"</f>
        <v>30/01/2020</v>
      </c>
      <c r="L94" t="str">
        <f>"04/02/2020"</f>
        <v>04/02/2020</v>
      </c>
      <c r="M94" t="str">
        <f>"05/02/2020"</f>
        <v>05/02/2020</v>
      </c>
      <c r="N94">
        <v>54</v>
      </c>
      <c r="O94">
        <v>54</v>
      </c>
      <c r="P94">
        <v>1.17</v>
      </c>
    </row>
    <row r="95" spans="1:16" s="2" customFormat="1" x14ac:dyDescent="0.25">
      <c r="A95" s="2">
        <v>43555880</v>
      </c>
      <c r="B95" s="2">
        <v>43555925</v>
      </c>
      <c r="C95" s="2" t="str">
        <f>"UNIMEDSJN"</f>
        <v>UNIMEDSJN</v>
      </c>
      <c r="D95" s="2" t="str">
        <f>"DH"</f>
        <v>DH</v>
      </c>
      <c r="E95" s="2" t="str">
        <f>"Rocha E Ferreira de Bicas Ltda Me"</f>
        <v>Rocha E Ferreira de Bicas Ltda Me</v>
      </c>
      <c r="F95" s="2" t="str">
        <f>"43555880-1/1"</f>
        <v>43555880-1/1</v>
      </c>
      <c r="G95" s="2" t="str">
        <f>"Carteira 21"</f>
        <v>Carteira 21</v>
      </c>
      <c r="H95" s="2">
        <v>15</v>
      </c>
      <c r="I95" s="3">
        <v>300</v>
      </c>
      <c r="J95" s="2" t="str">
        <f>"03/06/2019"</f>
        <v>03/06/2019</v>
      </c>
      <c r="K95" s="2" t="str">
        <f>"18/06/2019"</f>
        <v>18/06/2019</v>
      </c>
      <c r="L95" s="2" t="str">
        <f>"18/06/2019"</f>
        <v>18/06/2019</v>
      </c>
      <c r="M95" s="2" t="str">
        <f>"03/06/2019"</f>
        <v>03/06/2019</v>
      </c>
      <c r="N95" s="2">
        <v>24</v>
      </c>
      <c r="O95" s="2">
        <v>24</v>
      </c>
      <c r="P95" s="2">
        <v>0</v>
      </c>
    </row>
    <row r="96" spans="1:16" s="2" customFormat="1" x14ac:dyDescent="0.25">
      <c r="A96" s="2">
        <v>44005632</v>
      </c>
      <c r="B96" s="2">
        <v>44005643</v>
      </c>
      <c r="C96" s="2" t="str">
        <f>"UNIMEDSJN"</f>
        <v>UNIMEDSJN</v>
      </c>
      <c r="D96" s="2" t="str">
        <f>"DH"</f>
        <v>DH</v>
      </c>
      <c r="E96" s="2" t="str">
        <f>"Rocha E Ferreira de Bicas Ltda Me"</f>
        <v>Rocha E Ferreira de Bicas Ltda Me</v>
      </c>
      <c r="F96" s="2" t="str">
        <f>"44005632-1/1"</f>
        <v>44005632-1/1</v>
      </c>
      <c r="G96" s="2" t="str">
        <f>"Carteira 21"</f>
        <v>Carteira 21</v>
      </c>
      <c r="H96" s="2">
        <v>17</v>
      </c>
      <c r="I96" s="3">
        <v>270</v>
      </c>
      <c r="J96" s="2" t="str">
        <f>"01/07/2019"</f>
        <v>01/07/2019</v>
      </c>
      <c r="K96" s="2" t="str">
        <f>"18/07/2019"</f>
        <v>18/07/2019</v>
      </c>
      <c r="L96" s="2" t="str">
        <f>"18/07/2019"</f>
        <v>18/07/2019</v>
      </c>
      <c r="M96" s="2" t="str">
        <f>"01/07/2019"</f>
        <v>01/07/2019</v>
      </c>
      <c r="N96" s="2">
        <v>24</v>
      </c>
      <c r="O96" s="2">
        <v>24</v>
      </c>
      <c r="P96" s="2">
        <v>0</v>
      </c>
    </row>
    <row r="97" spans="1:16" x14ac:dyDescent="0.25">
      <c r="A97">
        <v>48615100</v>
      </c>
      <c r="B97">
        <v>48615123</v>
      </c>
      <c r="C97" t="str">
        <f>"UNIMEDSJN"</f>
        <v>UNIMEDSJN</v>
      </c>
      <c r="D97" t="str">
        <f>"DH"</f>
        <v>DH</v>
      </c>
      <c r="E97" t="str">
        <f>"Rossi E Moura Servicos Medicos E Engenharia Ltda"</f>
        <v>Rossi E Moura Servicos Medicos E Engenharia Ltda</v>
      </c>
      <c r="F97" t="str">
        <f>"48615100-1/1"</f>
        <v>48615100-1/1</v>
      </c>
      <c r="G97" t="str">
        <f>"Carteira 21"</f>
        <v>Carteira 21</v>
      </c>
      <c r="H97">
        <v>28</v>
      </c>
      <c r="I97" s="1">
        <v>74</v>
      </c>
      <c r="J97" t="str">
        <f>"02/01/2020"</f>
        <v>02/01/2020</v>
      </c>
      <c r="K97" t="str">
        <f>"30/01/2020"</f>
        <v>30/01/2020</v>
      </c>
      <c r="L97" t="str">
        <f>"28/02/2020"</f>
        <v>28/02/2020</v>
      </c>
      <c r="M97" t="str">
        <f>"13/03/2020"</f>
        <v>13/03/2020</v>
      </c>
      <c r="N97">
        <v>1604.57</v>
      </c>
      <c r="O97">
        <v>1652.02</v>
      </c>
      <c r="P97">
        <v>0.14999999999986399</v>
      </c>
    </row>
    <row r="98" spans="1:16" s="2" customFormat="1" x14ac:dyDescent="0.25">
      <c r="A98" s="2">
        <v>47541319</v>
      </c>
      <c r="B98" s="2">
        <v>47541328</v>
      </c>
      <c r="C98" s="2" t="str">
        <f>"UNIMEDSJN"</f>
        <v>UNIMEDSJN</v>
      </c>
      <c r="D98" s="2" t="str">
        <f>"DH"</f>
        <v>DH</v>
      </c>
      <c r="E98" s="2" t="str">
        <f>"Silene de Oliveira Medeiros Sociedade Individual de Advocacia"</f>
        <v>Silene de Oliveira Medeiros Sociedade Individual de Advocacia</v>
      </c>
      <c r="F98" s="2" t="str">
        <f>"47541319-1/1"</f>
        <v>47541319-1/1</v>
      </c>
      <c r="G98" s="2" t="str">
        <f>"Carteira 21"</f>
        <v>Carteira 21</v>
      </c>
      <c r="H98" s="2">
        <v>28</v>
      </c>
      <c r="I98" s="3">
        <v>105</v>
      </c>
      <c r="J98" s="2" t="str">
        <f>"02/12/2019"</f>
        <v>02/12/2019</v>
      </c>
      <c r="K98" s="2" t="str">
        <f>"30/12/2019"</f>
        <v>30/12/2019</v>
      </c>
      <c r="L98" s="2" t="str">
        <f>"27/02/2020"</f>
        <v>27/02/2020</v>
      </c>
      <c r="M98" s="2" t="str">
        <f>"28/02/2020"</f>
        <v>28/02/2020</v>
      </c>
      <c r="N98" s="2">
        <v>413.53</v>
      </c>
      <c r="O98" s="2">
        <v>429.85</v>
      </c>
      <c r="P98" s="2">
        <v>7.9999999999984098E-2</v>
      </c>
    </row>
    <row r="99" spans="1:16" x14ac:dyDescent="0.25">
      <c r="A99">
        <v>48599600</v>
      </c>
      <c r="B99">
        <v>48599607</v>
      </c>
      <c r="C99" t="str">
        <f>"UNIMEDSJN"</f>
        <v>UNIMEDSJN</v>
      </c>
      <c r="D99" t="str">
        <f>"DH"</f>
        <v>DH</v>
      </c>
      <c r="E99" t="str">
        <f>"Silene de Oliveira Medeiros Sociedade Individual de Advocacia"</f>
        <v>Silene de Oliveira Medeiros Sociedade Individual de Advocacia</v>
      </c>
      <c r="F99" t="str">
        <f>"48599600-1/1"</f>
        <v>48599600-1/1</v>
      </c>
      <c r="G99" t="str">
        <f>"Carteira 21"</f>
        <v>Carteira 21</v>
      </c>
      <c r="H99">
        <v>28</v>
      </c>
      <c r="I99" s="1">
        <v>74</v>
      </c>
      <c r="J99" t="str">
        <f>"02/01/2020"</f>
        <v>02/01/2020</v>
      </c>
      <c r="K99" t="str">
        <f>"30/01/2020"</f>
        <v>30/01/2020</v>
      </c>
      <c r="L99" t="str">
        <f>"27/02/2020"</f>
        <v>27/02/2020</v>
      </c>
      <c r="M99" t="str">
        <f>"28/02/2020"</f>
        <v>28/02/2020</v>
      </c>
      <c r="N99">
        <v>413.53</v>
      </c>
      <c r="O99">
        <v>425.62</v>
      </c>
      <c r="P99">
        <v>4.0000000000020498E-2</v>
      </c>
    </row>
    <row r="100" spans="1:16" s="2" customFormat="1" x14ac:dyDescent="0.25">
      <c r="A100" s="2">
        <v>45956724</v>
      </c>
      <c r="B100" s="2">
        <v>45956800</v>
      </c>
      <c r="C100" s="2" t="str">
        <f>"UNIMEDSJN"</f>
        <v>UNIMEDSJN</v>
      </c>
      <c r="D100" s="2" t="str">
        <f>"DH"</f>
        <v>DH</v>
      </c>
      <c r="E100" s="2" t="str">
        <f>"Sindicato dos Servidores Publico - Sisep"</f>
        <v>Sindicato dos Servidores Publico - Sisep</v>
      </c>
      <c r="F100" s="2" t="str">
        <f>"45956724-1/1"</f>
        <v>45956724-1/1</v>
      </c>
      <c r="G100" s="2" t="str">
        <f>"Carteira 21"</f>
        <v>Carteira 21</v>
      </c>
      <c r="H100" s="2">
        <v>48</v>
      </c>
      <c r="I100" s="3">
        <v>116</v>
      </c>
      <c r="J100" s="2" t="str">
        <f>"01/11/2019"</f>
        <v>01/11/2019</v>
      </c>
      <c r="K100" s="2" t="str">
        <f>"19/12/2019"</f>
        <v>19/12/2019</v>
      </c>
      <c r="L100" s="2" t="str">
        <f>"19/12/2019"</f>
        <v>19/12/2019</v>
      </c>
      <c r="M100" s="2" t="str">
        <f>"19/02/2020"</f>
        <v>19/02/2020</v>
      </c>
      <c r="N100" s="2">
        <v>6651.1</v>
      </c>
      <c r="O100" s="2">
        <v>6651.1</v>
      </c>
      <c r="P100" s="2">
        <v>0</v>
      </c>
    </row>
    <row r="101" spans="1:16" s="2" customFormat="1" x14ac:dyDescent="0.25">
      <c r="A101" s="2">
        <v>45985066</v>
      </c>
      <c r="B101" s="2">
        <v>47474358</v>
      </c>
      <c r="C101" s="2" t="str">
        <f>"UNIMEDSJN"</f>
        <v>UNIMEDSJN</v>
      </c>
      <c r="D101" s="2" t="str">
        <f>"DH"</f>
        <v>DH</v>
      </c>
      <c r="E101" s="2" t="str">
        <f>"Sindicato dos Servidores Publico - Sisep"</f>
        <v>Sindicato dos Servidores Publico - Sisep</v>
      </c>
      <c r="F101" s="2" t="str">
        <f>"45985066-1/1"</f>
        <v>45985066-1/1</v>
      </c>
      <c r="G101" s="2" t="str">
        <f>"Carteira 21"</f>
        <v>Carteira 21</v>
      </c>
      <c r="H101" s="2">
        <v>48</v>
      </c>
      <c r="I101" s="3">
        <v>116</v>
      </c>
      <c r="J101" s="2" t="str">
        <f>"01/11/2019"</f>
        <v>01/11/2019</v>
      </c>
      <c r="K101" s="2" t="str">
        <f>"19/12/2019"</f>
        <v>19/12/2019</v>
      </c>
      <c r="L101" s="2" t="str">
        <f>"19/12/2019"</f>
        <v>19/12/2019</v>
      </c>
      <c r="M101" s="2" t="str">
        <f>"19/02/2020"</f>
        <v>19/02/2020</v>
      </c>
      <c r="N101" s="2">
        <v>3047</v>
      </c>
      <c r="O101" s="2">
        <v>3159.37</v>
      </c>
      <c r="P101" s="2">
        <v>-112.37</v>
      </c>
    </row>
    <row r="102" spans="1:16" x14ac:dyDescent="0.25">
      <c r="A102">
        <v>47546339</v>
      </c>
      <c r="B102">
        <v>47546446</v>
      </c>
      <c r="C102" t="str">
        <f>"UNIMEDSJN"</f>
        <v>UNIMEDSJN</v>
      </c>
      <c r="D102" t="str">
        <f>"DH"</f>
        <v>DH</v>
      </c>
      <c r="E102" t="str">
        <f>"Sindicato dos Servidores Publico - Sisep"</f>
        <v>Sindicato dos Servidores Publico - Sisep</v>
      </c>
      <c r="F102" t="str">
        <f>"47546339-1/1"</f>
        <v>47546339-1/1</v>
      </c>
      <c r="G102" t="str">
        <f>"Carteira 21"</f>
        <v>Carteira 21</v>
      </c>
      <c r="H102">
        <v>54</v>
      </c>
      <c r="I102" s="1">
        <v>79</v>
      </c>
      <c r="J102" t="str">
        <f>"02/12/2019"</f>
        <v>02/12/2019</v>
      </c>
      <c r="K102" t="str">
        <f>"25/01/2020"</f>
        <v>25/01/2020</v>
      </c>
      <c r="L102" t="str">
        <f>"27/01/2020"</f>
        <v>27/01/2020</v>
      </c>
      <c r="M102" t="str">
        <f>"13/03/2020"</f>
        <v>13/03/2020</v>
      </c>
      <c r="N102">
        <v>6651.1</v>
      </c>
      <c r="O102">
        <v>6651.1</v>
      </c>
      <c r="P102">
        <v>0</v>
      </c>
    </row>
    <row r="103" spans="1:16" x14ac:dyDescent="0.25">
      <c r="A103">
        <v>47562289</v>
      </c>
      <c r="B103">
        <v>47571154</v>
      </c>
      <c r="C103" t="str">
        <f>"UNIMEDSJN"</f>
        <v>UNIMEDSJN</v>
      </c>
      <c r="D103" t="str">
        <f>"DH"</f>
        <v>DH</v>
      </c>
      <c r="E103" t="str">
        <f>"Sindicato dos Servidores Publico - Sisep"</f>
        <v>Sindicato dos Servidores Publico - Sisep</v>
      </c>
      <c r="F103" t="str">
        <f>"47562289-1/1"</f>
        <v>47562289-1/1</v>
      </c>
      <c r="G103" t="str">
        <f>"Carteira 21"</f>
        <v>Carteira 21</v>
      </c>
      <c r="H103">
        <v>54</v>
      </c>
      <c r="I103" s="1">
        <v>79</v>
      </c>
      <c r="J103" t="str">
        <f>"02/12/2019"</f>
        <v>02/12/2019</v>
      </c>
      <c r="K103" t="str">
        <f>"25/01/2020"</f>
        <v>25/01/2020</v>
      </c>
      <c r="L103" t="str">
        <f>"27/01/2020"</f>
        <v>27/01/2020</v>
      </c>
      <c r="M103" t="str">
        <f>"13/03/2020"</f>
        <v>13/03/2020</v>
      </c>
      <c r="N103">
        <v>3014</v>
      </c>
      <c r="O103">
        <v>3014</v>
      </c>
      <c r="P103">
        <v>0</v>
      </c>
    </row>
    <row r="104" spans="1:16" x14ac:dyDescent="0.25">
      <c r="A104">
        <v>48621259</v>
      </c>
      <c r="B104">
        <v>48621347</v>
      </c>
      <c r="C104" t="str">
        <f>"UNIMEDSJN"</f>
        <v>UNIMEDSJN</v>
      </c>
      <c r="D104" t="str">
        <f>"DH"</f>
        <v>DH</v>
      </c>
      <c r="E104" t="str">
        <f>"Sindicato dos Servidores Publico - Sisep"</f>
        <v>Sindicato dos Servidores Publico - Sisep</v>
      </c>
      <c r="F104" t="str">
        <f>"48621259-1/1"</f>
        <v>48621259-1/1</v>
      </c>
      <c r="G104" t="str">
        <f>"Carteira 21"</f>
        <v>Carteira 21</v>
      </c>
      <c r="H104">
        <v>44</v>
      </c>
      <c r="I104" s="1">
        <v>58</v>
      </c>
      <c r="J104" t="str">
        <f>"02/01/2020"</f>
        <v>02/01/2020</v>
      </c>
      <c r="K104" t="str">
        <f>"15/02/2020"</f>
        <v>15/02/2020</v>
      </c>
      <c r="L104" t="str">
        <f>"17/02/2020"</f>
        <v>17/02/2020</v>
      </c>
      <c r="M104" t="str">
        <f>"02/01/2020"</f>
        <v>02/01/2020</v>
      </c>
      <c r="N104">
        <v>6651.1</v>
      </c>
      <c r="O104">
        <v>6651.1</v>
      </c>
      <c r="P104">
        <v>0</v>
      </c>
    </row>
    <row r="105" spans="1:16" x14ac:dyDescent="0.25">
      <c r="A105">
        <v>48623277</v>
      </c>
      <c r="B105">
        <v>48624651</v>
      </c>
      <c r="C105" t="str">
        <f>"UNIMEDSJN"</f>
        <v>UNIMEDSJN</v>
      </c>
      <c r="D105" t="str">
        <f>"DH"</f>
        <v>DH</v>
      </c>
      <c r="E105" t="str">
        <f>"Sindicato dos Servidores Publico - Sisep"</f>
        <v>Sindicato dos Servidores Publico - Sisep</v>
      </c>
      <c r="F105" t="str">
        <f>"48623277-1/1"</f>
        <v>48623277-1/1</v>
      </c>
      <c r="G105" t="str">
        <f>"Carteira 21"</f>
        <v>Carteira 21</v>
      </c>
      <c r="H105">
        <v>44</v>
      </c>
      <c r="I105" s="1">
        <v>58</v>
      </c>
      <c r="J105" t="str">
        <f>"02/01/2020"</f>
        <v>02/01/2020</v>
      </c>
      <c r="K105" t="str">
        <f>"15/02/2020"</f>
        <v>15/02/2020</v>
      </c>
      <c r="L105" t="str">
        <f>"17/02/2020"</f>
        <v>17/02/2020</v>
      </c>
      <c r="M105" t="str">
        <f>"02/01/2020"</f>
        <v>02/01/2020</v>
      </c>
      <c r="N105">
        <v>3019.5</v>
      </c>
      <c r="O105">
        <v>3019.5</v>
      </c>
      <c r="P105">
        <v>0</v>
      </c>
    </row>
    <row r="106" spans="1:16" x14ac:dyDescent="0.25">
      <c r="A106">
        <v>48615245</v>
      </c>
      <c r="B106">
        <v>48615255</v>
      </c>
      <c r="C106" t="str">
        <f>"UNIMEDSJN"</f>
        <v>UNIMEDSJN</v>
      </c>
      <c r="D106" t="str">
        <f>"DH"</f>
        <v>DH</v>
      </c>
      <c r="E106" t="str">
        <f>"Ta Na Moda Ltda"</f>
        <v>Ta Na Moda Ltda</v>
      </c>
      <c r="F106" t="str">
        <f>"48615245-1/1"</f>
        <v>48615245-1/1</v>
      </c>
      <c r="G106" t="str">
        <f>"Carteira 21"</f>
        <v>Carteira 21</v>
      </c>
      <c r="H106">
        <v>28</v>
      </c>
      <c r="I106" s="1">
        <v>74</v>
      </c>
      <c r="J106" t="str">
        <f>"02/01/2020"</f>
        <v>02/01/2020</v>
      </c>
      <c r="K106" t="str">
        <f>"30/01/2020"</f>
        <v>30/01/2020</v>
      </c>
      <c r="L106" t="str">
        <f>"11/02/2020"</f>
        <v>11/02/2020</v>
      </c>
      <c r="M106" t="str">
        <f>"12/02/2020"</f>
        <v>12/02/2020</v>
      </c>
      <c r="N106">
        <v>193.03</v>
      </c>
      <c r="O106">
        <v>197.65</v>
      </c>
      <c r="P106">
        <v>9.9999999999909103E-3</v>
      </c>
    </row>
    <row r="107" spans="1:16" s="2" customFormat="1" x14ac:dyDescent="0.25">
      <c r="A107" s="2">
        <v>45950809</v>
      </c>
      <c r="B107" s="2">
        <v>45950814</v>
      </c>
      <c r="C107" s="2" t="str">
        <f>"UNIMEDSJN"</f>
        <v>UNIMEDSJN</v>
      </c>
      <c r="D107" s="2" t="str">
        <f>"DH"</f>
        <v>DH</v>
      </c>
      <c r="E107" s="2" t="str">
        <f>"Tatiana Dessupoio Detoni"</f>
        <v>Tatiana Dessupoio Detoni</v>
      </c>
      <c r="F107" s="2" t="str">
        <f>"45950809-1/1"</f>
        <v>45950809-1/1</v>
      </c>
      <c r="G107" s="2" t="str">
        <f>"Carteira 21"</f>
        <v>Carteira 21</v>
      </c>
      <c r="H107" s="2">
        <v>58</v>
      </c>
      <c r="I107" s="3">
        <v>106</v>
      </c>
      <c r="J107" s="2" t="str">
        <f>"01/11/2019"</f>
        <v>01/11/2019</v>
      </c>
      <c r="K107" s="2" t="str">
        <f>"29/12/2019"</f>
        <v>29/12/2019</v>
      </c>
      <c r="L107" s="2" t="str">
        <f>"06/02/2020"</f>
        <v>06/02/2020</v>
      </c>
      <c r="M107" s="2" t="str">
        <f>"07/02/2020"</f>
        <v>07/02/2020</v>
      </c>
      <c r="N107" s="2">
        <v>170.16</v>
      </c>
      <c r="O107" s="2">
        <v>177.27</v>
      </c>
      <c r="P107" s="2">
        <v>-1.5</v>
      </c>
    </row>
    <row r="108" spans="1:16" x14ac:dyDescent="0.25">
      <c r="A108">
        <v>48614028</v>
      </c>
      <c r="B108">
        <v>48614044</v>
      </c>
      <c r="C108" t="str">
        <f>"UNIMEDSJN"</f>
        <v>UNIMEDSJN</v>
      </c>
      <c r="D108" t="str">
        <f>"DH"</f>
        <v>DH</v>
      </c>
      <c r="E108" t="str">
        <f>"V R Bellizzi"</f>
        <v>V R Bellizzi</v>
      </c>
      <c r="F108" t="str">
        <f>"48614028-1/1"</f>
        <v>48614028-1/1</v>
      </c>
      <c r="G108" t="str">
        <f>"Carteira 21"</f>
        <v>Carteira 21</v>
      </c>
      <c r="H108">
        <v>28</v>
      </c>
      <c r="I108" s="1">
        <v>74</v>
      </c>
      <c r="J108" t="str">
        <f>"02/01/2020"</f>
        <v>02/01/2020</v>
      </c>
      <c r="K108" t="str">
        <f>"30/01/2020"</f>
        <v>30/01/2020</v>
      </c>
      <c r="L108" t="str">
        <f>"03/02/2020"</f>
        <v>03/02/2020</v>
      </c>
      <c r="M108" t="str">
        <f>"04/02/2020"</f>
        <v>04/02/2020</v>
      </c>
      <c r="N108">
        <v>880.8</v>
      </c>
      <c r="O108">
        <v>899.58</v>
      </c>
      <c r="P108">
        <v>9.9999999999909103E-3</v>
      </c>
    </row>
    <row r="109" spans="1:16" x14ac:dyDescent="0.25">
      <c r="A109">
        <v>48622047</v>
      </c>
      <c r="B109">
        <v>48622054</v>
      </c>
      <c r="C109" t="str">
        <f>"UNIMEDSJN"</f>
        <v>UNIMEDSJN</v>
      </c>
      <c r="D109" t="str">
        <f>"DH"</f>
        <v>DH</v>
      </c>
      <c r="E109" t="str">
        <f>"Valeria Furtado - Me"</f>
        <v>Valeria Furtado - Me</v>
      </c>
      <c r="F109" t="str">
        <f>"48622047-1/1"</f>
        <v>48622047-1/1</v>
      </c>
      <c r="G109" t="str">
        <f>"Carteira 21"</f>
        <v>Carteira 21</v>
      </c>
      <c r="H109">
        <v>28</v>
      </c>
      <c r="I109" s="1">
        <v>74</v>
      </c>
      <c r="J109" t="str">
        <f>"02/01/2020"</f>
        <v>02/01/2020</v>
      </c>
      <c r="K109" t="str">
        <f>"30/01/2020"</f>
        <v>30/01/2020</v>
      </c>
      <c r="L109" t="str">
        <f>"17/02/2020"</f>
        <v>17/02/2020</v>
      </c>
      <c r="M109" t="str">
        <f>"18/02/2020"</f>
        <v>18/02/2020</v>
      </c>
      <c r="N109">
        <v>12</v>
      </c>
      <c r="O109">
        <v>12.31</v>
      </c>
      <c r="P109">
        <v>0</v>
      </c>
    </row>
    <row r="110" spans="1:16" s="2" customFormat="1" x14ac:dyDescent="0.25">
      <c r="A110" s="2">
        <v>47541691</v>
      </c>
      <c r="B110" s="2">
        <v>47541705</v>
      </c>
      <c r="C110" s="2" t="str">
        <f>"UNIMEDSJN"</f>
        <v>UNIMEDSJN</v>
      </c>
      <c r="D110" s="2" t="str">
        <f>"DH"</f>
        <v>DH</v>
      </c>
      <c r="E110" s="2" t="str">
        <f>"Wellington Decolo Machado"</f>
        <v>Wellington Decolo Machado</v>
      </c>
      <c r="F110" s="2" t="str">
        <f>"47541691-1/1"</f>
        <v>47541691-1/1</v>
      </c>
      <c r="G110" s="2" t="str">
        <f>"Carteira 21"</f>
        <v>Carteira 21</v>
      </c>
      <c r="H110" s="2">
        <v>28</v>
      </c>
      <c r="I110" s="3">
        <v>105</v>
      </c>
      <c r="J110" s="2" t="str">
        <f>"02/12/2019"</f>
        <v>02/12/2019</v>
      </c>
      <c r="K110" s="2" t="str">
        <f>"30/12/2019"</f>
        <v>30/12/2019</v>
      </c>
      <c r="L110" s="2" t="str">
        <f>"10/02/2020"</f>
        <v>10/02/2020</v>
      </c>
      <c r="M110" s="2" t="str">
        <f>"11/02/2020"</f>
        <v>11/02/2020</v>
      </c>
      <c r="N110" s="2">
        <v>366.66</v>
      </c>
      <c r="O110" s="2">
        <v>379.09</v>
      </c>
      <c r="P110" s="2">
        <v>2.9999999999972701E-2</v>
      </c>
    </row>
    <row r="111" spans="1:16" x14ac:dyDescent="0.25">
      <c r="A111">
        <v>48614797</v>
      </c>
      <c r="B111">
        <v>48614825</v>
      </c>
      <c r="C111" t="str">
        <f>"UNIMEDSJN"</f>
        <v>UNIMEDSJN</v>
      </c>
      <c r="D111" t="str">
        <f>"DH"</f>
        <v>DH</v>
      </c>
      <c r="E111" t="str">
        <f>"Wellington Decolo Machado"</f>
        <v>Wellington Decolo Machado</v>
      </c>
      <c r="F111" t="str">
        <f>"48614797-1/1"</f>
        <v>48614797-1/1</v>
      </c>
      <c r="G111" t="str">
        <f>"Carteira 21"</f>
        <v>Carteira 21</v>
      </c>
      <c r="H111">
        <v>28</v>
      </c>
      <c r="I111" s="1">
        <v>74</v>
      </c>
      <c r="J111" t="str">
        <f>"02/01/2020"</f>
        <v>02/01/2020</v>
      </c>
      <c r="K111" t="str">
        <f>"30/01/2020"</f>
        <v>30/01/2020</v>
      </c>
      <c r="L111" t="str">
        <f>"09/03/2020"</f>
        <v>09/03/2020</v>
      </c>
      <c r="M111" t="str">
        <f>"10/03/2020"</f>
        <v>10/03/2020</v>
      </c>
      <c r="N111">
        <v>366.66</v>
      </c>
      <c r="O111">
        <v>378.71</v>
      </c>
      <c r="P111">
        <v>5.0000000000068198E-2</v>
      </c>
    </row>
    <row r="113" spans="9:9" s="2" customFormat="1" x14ac:dyDescent="0.25">
      <c r="I113" s="3"/>
    </row>
    <row r="114" spans="9:9" s="2" customFormat="1" x14ac:dyDescent="0.25">
      <c r="I114" s="3"/>
    </row>
    <row r="115" spans="9:9" s="2" customFormat="1" x14ac:dyDescent="0.25">
      <c r="I115" s="3"/>
    </row>
    <row r="116" spans="9:9" s="2" customFormat="1" x14ac:dyDescent="0.25">
      <c r="I116" s="3"/>
    </row>
    <row r="117" spans="9:9" s="2" customFormat="1" x14ac:dyDescent="0.25">
      <c r="I117" s="3"/>
    </row>
    <row r="118" spans="9:9" s="2" customFormat="1" x14ac:dyDescent="0.25">
      <c r="I118" s="3"/>
    </row>
    <row r="119" spans="9:9" s="2" customFormat="1" x14ac:dyDescent="0.25">
      <c r="I119" s="3"/>
    </row>
    <row r="120" spans="9:9" s="2" customFormat="1" x14ac:dyDescent="0.25">
      <c r="I120" s="3"/>
    </row>
    <row r="121" spans="9:9" s="2" customFormat="1" x14ac:dyDescent="0.25">
      <c r="I121" s="3"/>
    </row>
    <row r="122" spans="9:9" s="2" customFormat="1" x14ac:dyDescent="0.25">
      <c r="I122" s="3"/>
    </row>
    <row r="123" spans="9:9" s="2" customFormat="1" x14ac:dyDescent="0.25">
      <c r="I123" s="3"/>
    </row>
    <row r="124" spans="9:9" s="2" customFormat="1" x14ac:dyDescent="0.25">
      <c r="I124" s="3"/>
    </row>
    <row r="125" spans="9:9" s="2" customFormat="1" x14ac:dyDescent="0.25">
      <c r="I125" s="3"/>
    </row>
    <row r="126" spans="9:9" s="2" customFormat="1" x14ac:dyDescent="0.25">
      <c r="I126" s="3"/>
    </row>
    <row r="127" spans="9:9" s="2" customFormat="1" x14ac:dyDescent="0.25">
      <c r="I127" s="3"/>
    </row>
    <row r="128" spans="9:9" s="2" customFormat="1" x14ac:dyDescent="0.25">
      <c r="I128" s="3"/>
    </row>
    <row r="129" spans="9:9" s="2" customFormat="1" x14ac:dyDescent="0.25">
      <c r="I129" s="3"/>
    </row>
    <row r="130" spans="9:9" s="2" customFormat="1" x14ac:dyDescent="0.25">
      <c r="I130" s="3"/>
    </row>
    <row r="131" spans="9:9" s="2" customFormat="1" x14ac:dyDescent="0.25">
      <c r="I131" s="3"/>
    </row>
    <row r="132" spans="9:9" s="2" customFormat="1" x14ac:dyDescent="0.25">
      <c r="I132" s="3"/>
    </row>
    <row r="133" spans="9:9" s="2" customFormat="1" x14ac:dyDescent="0.25">
      <c r="I133" s="3"/>
    </row>
    <row r="134" spans="9:9" s="2" customFormat="1" x14ac:dyDescent="0.25">
      <c r="I134" s="3"/>
    </row>
    <row r="135" spans="9:9" s="2" customFormat="1" x14ac:dyDescent="0.25">
      <c r="I135" s="3"/>
    </row>
    <row r="136" spans="9:9" s="2" customFormat="1" x14ac:dyDescent="0.25">
      <c r="I136" s="3"/>
    </row>
    <row r="137" spans="9:9" s="2" customFormat="1" x14ac:dyDescent="0.25">
      <c r="I137" s="3"/>
    </row>
    <row r="138" spans="9:9" s="2" customFormat="1" x14ac:dyDescent="0.25">
      <c r="I138" s="3"/>
    </row>
    <row r="139" spans="9:9" s="2" customFormat="1" x14ac:dyDescent="0.25">
      <c r="I139" s="3"/>
    </row>
    <row r="140" spans="9:9" s="2" customFormat="1" x14ac:dyDescent="0.25">
      <c r="I140" s="3"/>
    </row>
    <row r="141" spans="9:9" s="2" customFormat="1" x14ac:dyDescent="0.25">
      <c r="I141" s="3"/>
    </row>
    <row r="142" spans="9:9" s="2" customFormat="1" x14ac:dyDescent="0.25">
      <c r="I142" s="3"/>
    </row>
    <row r="143" spans="9:9" s="2" customFormat="1" x14ac:dyDescent="0.25">
      <c r="I143" s="3"/>
    </row>
    <row r="144" spans="9:9" s="2" customFormat="1" x14ac:dyDescent="0.25">
      <c r="I144" s="3"/>
    </row>
    <row r="145" spans="9:9" s="2" customFormat="1" x14ac:dyDescent="0.25">
      <c r="I145" s="3"/>
    </row>
    <row r="146" spans="9:9" s="2" customFormat="1" x14ac:dyDescent="0.25">
      <c r="I146" s="3"/>
    </row>
    <row r="147" spans="9:9" s="2" customFormat="1" x14ac:dyDescent="0.25">
      <c r="I147" s="3"/>
    </row>
    <row r="148" spans="9:9" s="2" customFormat="1" x14ac:dyDescent="0.25">
      <c r="I148" s="3"/>
    </row>
    <row r="149" spans="9:9" s="2" customFormat="1" x14ac:dyDescent="0.25">
      <c r="I149" s="3"/>
    </row>
    <row r="150" spans="9:9" s="2" customFormat="1" x14ac:dyDescent="0.25">
      <c r="I150" s="3"/>
    </row>
    <row r="151" spans="9:9" s="2" customFormat="1" x14ac:dyDescent="0.25">
      <c r="I151" s="3"/>
    </row>
    <row r="152" spans="9:9" s="2" customFormat="1" x14ac:dyDescent="0.25">
      <c r="I152" s="3"/>
    </row>
    <row r="153" spans="9:9" s="2" customFormat="1" x14ac:dyDescent="0.25">
      <c r="I153" s="3"/>
    </row>
    <row r="154" spans="9:9" s="2" customFormat="1" x14ac:dyDescent="0.25">
      <c r="I154" s="3"/>
    </row>
    <row r="155" spans="9:9" s="2" customFormat="1" x14ac:dyDescent="0.25">
      <c r="I155" s="3"/>
    </row>
    <row r="156" spans="9:9" s="2" customFormat="1" x14ac:dyDescent="0.25">
      <c r="I156" s="3"/>
    </row>
    <row r="157" spans="9:9" s="2" customFormat="1" x14ac:dyDescent="0.25">
      <c r="I157" s="3"/>
    </row>
    <row r="158" spans="9:9" s="2" customFormat="1" x14ac:dyDescent="0.25">
      <c r="I158" s="3"/>
    </row>
    <row r="159" spans="9:9" s="2" customFormat="1" x14ac:dyDescent="0.25">
      <c r="I159" s="3"/>
    </row>
    <row r="160" spans="9:9" s="2" customFormat="1" x14ac:dyDescent="0.25">
      <c r="I160" s="3"/>
    </row>
    <row r="161" spans="9:9" s="2" customFormat="1" x14ac:dyDescent="0.25">
      <c r="I161" s="3"/>
    </row>
  </sheetData>
  <autoFilter ref="I1:I112"/>
  <sortState ref="A1:P111">
    <sortCondition ref="E1"/>
  </sortState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Titulos por Data Base - Mensali</vt:lpstr>
      <vt:lpstr>- 90 dias</vt:lpstr>
      <vt:lpstr>+ 90 dias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modified xsi:type="dcterms:W3CDTF">2020-04-14T14:07:45Z</dcterms:modified>
</cp:coreProperties>
</file>