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8" windowHeight="12575" activeTab="1"/>
  </bookViews>
  <sheets>
    <sheet name="CA" sheetId="1" r:id="rId1"/>
    <sheet name="Cota Parte" sheetId="3" r:id="rId2"/>
  </sheets>
  <calcPr calcId="144525"/>
</workbook>
</file>

<file path=xl/sharedStrings.xml><?xml version="1.0" encoding="utf-8"?>
<sst xmlns="http://schemas.openxmlformats.org/spreadsheetml/2006/main" count="121" uniqueCount="80">
  <si>
    <t>Área Homogeneizada</t>
  </si>
  <si>
    <t>Verificação dos pesos</t>
  </si>
  <si>
    <t>Terreno</t>
  </si>
  <si>
    <t>Área Construída</t>
  </si>
  <si>
    <t>Pesos</t>
  </si>
  <si>
    <t>Existente</t>
  </si>
  <si>
    <t>Possível</t>
  </si>
  <si>
    <t>d</t>
  </si>
  <si>
    <t>Area</t>
  </si>
  <si>
    <t>m2</t>
  </si>
  <si>
    <t>Térreo</t>
  </si>
  <si>
    <t>p</t>
  </si>
  <si>
    <t>qt</t>
  </si>
  <si>
    <t>R$/m2</t>
  </si>
  <si>
    <t>Superiores</t>
  </si>
  <si>
    <t>Vt</t>
  </si>
  <si>
    <t>R$</t>
  </si>
  <si>
    <t>Total</t>
  </si>
  <si>
    <t>CAbasico</t>
  </si>
  <si>
    <t>TO</t>
  </si>
  <si>
    <t>Idade Aparente</t>
  </si>
  <si>
    <t>Vida Útil</t>
  </si>
  <si>
    <t>Aproveitamento do Terreo</t>
  </si>
  <si>
    <t>Benfeitoria</t>
  </si>
  <si>
    <t>Ahe</t>
  </si>
  <si>
    <t>Coef. Padrao</t>
  </si>
  <si>
    <t>Ahp</t>
  </si>
  <si>
    <t>Custo Básico</t>
  </si>
  <si>
    <t>CA</t>
  </si>
  <si>
    <t>qb</t>
  </si>
  <si>
    <t>Depreciação</t>
  </si>
  <si>
    <t>Capital Terreno</t>
  </si>
  <si>
    <t>Capital Benfeitoria</t>
  </si>
  <si>
    <t>FC</t>
  </si>
  <si>
    <t>Capital Imóvel</t>
  </si>
  <si>
    <t>Taxas de rendimento</t>
  </si>
  <si>
    <t>Taxa básica</t>
  </si>
  <si>
    <t>Benfeitorias</t>
  </si>
  <si>
    <t>Não liquidez</t>
  </si>
  <si>
    <t>Valorização do Capital</t>
  </si>
  <si>
    <t>Vacância</t>
  </si>
  <si>
    <t>it</t>
  </si>
  <si>
    <t>ib</t>
  </si>
  <si>
    <t>Cota Parte</t>
  </si>
  <si>
    <t>Valor Locativo</t>
  </si>
  <si>
    <t>VU</t>
  </si>
  <si>
    <t>Cálculo com taxa composta</t>
  </si>
  <si>
    <t>Cálculo com taxa mensal (mais preciso)</t>
  </si>
  <si>
    <t>i</t>
  </si>
  <si>
    <t>Valor locativo</t>
  </si>
  <si>
    <t>TOTAL (R$/mês)</t>
  </si>
  <si>
    <t>Taxa mensal</t>
  </si>
  <si>
    <t>Idade</t>
  </si>
  <si>
    <t>Relação de aluguéis (térreo/superiores)</t>
  </si>
  <si>
    <t>CA básico</t>
  </si>
  <si>
    <t>Peso d</t>
  </si>
  <si>
    <t>pcalculado</t>
  </si>
  <si>
    <t>At</t>
  </si>
  <si>
    <t>Taxa Composta (i)</t>
  </si>
  <si>
    <t>Os cálculos abaixo correm como se o avaliador não tivessem conhecimento algum a respeito da área do terreno e da área total dos pavimentos</t>
  </si>
  <si>
    <t>Tabela 1: Cálculo do valor locatício de cada andar em separado, sem fazer qualquer hipótese a respeito da composição da área total construída do edifício.</t>
  </si>
  <si>
    <t>Verificação</t>
  </si>
  <si>
    <t>Valor por andar</t>
  </si>
  <si>
    <t>Andar</t>
  </si>
  <si>
    <t>Ah</t>
  </si>
  <si>
    <t>Fórmula Cota-Parte</t>
  </si>
  <si>
    <t>Valor por m2</t>
  </si>
  <si>
    <t>Taxa Composta</t>
  </si>
  <si>
    <t>VUvenda</t>
  </si>
  <si>
    <t>VUaluguel</t>
  </si>
  <si>
    <t>TOTAL</t>
  </si>
  <si>
    <t>Tabela 2: Cálculo do valor locatício de uma loja no edifício, sem fazer qualquer hipótese a respeito da composição da área total construída do edifício.</t>
  </si>
  <si>
    <t>Ahu</t>
  </si>
  <si>
    <t>CTu</t>
  </si>
  <si>
    <t>1. Loja (90 m2)</t>
  </si>
  <si>
    <t>2. Loja (60 m2)</t>
  </si>
  <si>
    <t>3. Laje Corporativa (150 m2)</t>
  </si>
  <si>
    <t>4. Sala Comercial (60 m2)</t>
  </si>
  <si>
    <t>5. Sala Comercial (90 m2)</t>
  </si>
  <si>
    <t>,</t>
  </si>
</sst>
</file>

<file path=xl/styles.xml><?xml version="1.0" encoding="utf-8"?>
<styleSheet xmlns="http://schemas.openxmlformats.org/spreadsheetml/2006/main">
  <numFmts count="6">
    <numFmt numFmtId="176" formatCode="_-* #,##0.00_-;\-* #,##0.00_-;_-* &quot;-&quot;??_-;_-@_-"/>
    <numFmt numFmtId="177" formatCode="_-* #,##0_-;\-* #,##0_-;_-* &quot;-&quot;_-;_-@_-"/>
    <numFmt numFmtId="178" formatCode="_-&quot;R$&quot;\ * #,##0_-;\-&quot;R$&quot;\ * #,##0_-;_-&quot;R$&quot;\ * &quot;-&quot;_-;_-@_-"/>
    <numFmt numFmtId="179" formatCode="_-&quot;R$&quot;\ * #,##0.00_-;\-&quot;R$&quot;\ * #,##0.00_-;_-&quot;R$&quot;\ * &quot;-&quot;??_-;_-@_-"/>
    <numFmt numFmtId="180" formatCode="0.0%"/>
    <numFmt numFmtId="181" formatCode="_-* #,##0.00_-;\-* #,##0.00_-;_-* &quot;-&quot;??.00_-;_-@_-"/>
  </numFmts>
  <fonts count="25">
    <font>
      <sz val="10"/>
      <color theme="1"/>
      <name val="Calibri"/>
      <charset val="134"/>
      <scheme val="minor"/>
    </font>
    <font>
      <b/>
      <sz val="10"/>
      <color rgb="FFFF0000"/>
      <name val="Calibri"/>
      <charset val="134"/>
      <scheme val="minor"/>
    </font>
    <font>
      <b/>
      <sz val="10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b/>
      <sz val="10"/>
      <color theme="1"/>
      <name val="Calibri"/>
      <charset val="0"/>
      <scheme val="minor"/>
    </font>
    <font>
      <sz val="10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10" fillId="8" borderId="3" applyNumberFormat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0" fillId="16" borderId="4" applyNumberFormat="0" applyFont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18" borderId="5" applyNumberFormat="0" applyAlignment="0" applyProtection="0">
      <alignment vertical="center"/>
    </xf>
    <xf numFmtId="0" fontId="20" fillId="23" borderId="7" applyNumberFormat="0" applyAlignment="0" applyProtection="0">
      <alignment vertical="center"/>
    </xf>
    <xf numFmtId="0" fontId="22" fillId="23" borderId="5" applyNumberFormat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176" fontId="0" fillId="0" borderId="0" xfId="0" applyNumberFormat="1">
      <alignment vertical="center"/>
    </xf>
    <xf numFmtId="10" fontId="0" fillId="0" borderId="0" xfId="4" applyNumberFormat="1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 applyAlignment="1">
      <alignment horizontal="center" vertical="center" wrapText="1"/>
    </xf>
    <xf numFmtId="0" fontId="4" fillId="0" borderId="0" xfId="0" applyFont="1" applyFill="1" applyBorder="1" applyAlignment="1">
      <alignment vertical="center"/>
    </xf>
    <xf numFmtId="0" fontId="3" fillId="0" borderId="0" xfId="0" applyFont="1">
      <alignment vertical="center"/>
    </xf>
    <xf numFmtId="0" fontId="0" fillId="2" borderId="0" xfId="0" applyFill="1">
      <alignment vertical="center"/>
    </xf>
    <xf numFmtId="176" fontId="1" fillId="0" borderId="0" xfId="0" applyNumberFormat="1" applyFont="1">
      <alignment vertical="center"/>
    </xf>
    <xf numFmtId="0" fontId="0" fillId="2" borderId="0" xfId="0" applyFont="1" applyFill="1">
      <alignment vertical="center"/>
    </xf>
    <xf numFmtId="176" fontId="0" fillId="0" borderId="0" xfId="1">
      <alignment vertical="center"/>
    </xf>
    <xf numFmtId="176" fontId="0" fillId="2" borderId="0" xfId="1" applyFill="1">
      <alignment vertical="center"/>
    </xf>
    <xf numFmtId="0" fontId="0" fillId="0" borderId="0" xfId="0" applyNumberFormat="1">
      <alignment vertical="center"/>
    </xf>
    <xf numFmtId="0" fontId="3" fillId="0" borderId="0" xfId="0" applyNumberFormat="1" applyFont="1">
      <alignment vertical="center"/>
    </xf>
    <xf numFmtId="0" fontId="0" fillId="0" borderId="0" xfId="0" applyFill="1">
      <alignment vertical="center"/>
    </xf>
    <xf numFmtId="176" fontId="5" fillId="2" borderId="0" xfId="0" applyNumberFormat="1" applyFont="1" applyFill="1">
      <alignment vertical="center"/>
    </xf>
    <xf numFmtId="0" fontId="0" fillId="0" borderId="0" xfId="0" applyAlignment="1">
      <alignment horizontal="center" vertical="center"/>
    </xf>
    <xf numFmtId="10" fontId="0" fillId="2" borderId="0" xfId="0" applyNumberFormat="1" applyFill="1">
      <alignment vertical="center"/>
    </xf>
    <xf numFmtId="10" fontId="1" fillId="0" borderId="0" xfId="0" applyNumberFormat="1" applyFont="1" applyFill="1">
      <alignment vertical="center"/>
    </xf>
    <xf numFmtId="180" fontId="1" fillId="0" borderId="0" xfId="0" applyNumberFormat="1" applyFont="1" applyFill="1">
      <alignment vertical="center"/>
    </xf>
    <xf numFmtId="0" fontId="0" fillId="0" borderId="0" xfId="0" applyFont="1">
      <alignment vertical="center"/>
    </xf>
    <xf numFmtId="176" fontId="1" fillId="0" borderId="0" xfId="1" applyFont="1">
      <alignment vertical="center"/>
    </xf>
    <xf numFmtId="0" fontId="3" fillId="0" borderId="0" xfId="0" applyFont="1" applyAlignment="1">
      <alignment horizontal="center" vertical="center"/>
    </xf>
    <xf numFmtId="181" fontId="0" fillId="0" borderId="0" xfId="0" applyNumberFormat="1">
      <alignment vertical="center"/>
    </xf>
    <xf numFmtId="181" fontId="1" fillId="0" borderId="0" xfId="0" applyNumberFormat="1" applyFont="1">
      <alignment vertical="center"/>
    </xf>
  </cellXfs>
  <cellStyles count="49">
    <cellStyle name="Normal" xfId="0" builtinId="0"/>
    <cellStyle name="Comma" xfId="1" builtinId="3"/>
    <cellStyle name="Comma [0]" xfId="2" builtinId="6"/>
    <cellStyle name="40% - Ênfase 4" xfId="3" builtinId="43"/>
    <cellStyle name="Porcentagem" xfId="4" builtinId="5"/>
    <cellStyle name="Célula Vinculada" xfId="5" builtinId="24"/>
    <cellStyle name="Célula de Verificação" xfId="6" builtinId="23"/>
    <cellStyle name="Moeda [0]" xfId="7" builtinId="7"/>
    <cellStyle name="20% - Ênfase 3" xfId="8" builtinId="38"/>
    <cellStyle name="Moeda" xfId="9" builtinId="4"/>
    <cellStyle name="Hyperlink seguido" xfId="10" builtinId="9"/>
    <cellStyle name="Hyperlink" xfId="11" builtinId="8"/>
    <cellStyle name="40% - Ênfase 2" xfId="12" builtinId="35"/>
    <cellStyle name="Observação" xfId="13" builtinId="10"/>
    <cellStyle name="40% - Ênfase 6" xfId="14" builtinId="51"/>
    <cellStyle name="Texto de Aviso" xfId="15" builtinId="11"/>
    <cellStyle name="Título" xfId="16" builtinId="15"/>
    <cellStyle name="Texto Explicativo" xfId="17" builtinId="53"/>
    <cellStyle name="Ênfase 3" xfId="18" builtinId="37"/>
    <cellStyle name="Título 1" xfId="19" builtinId="16"/>
    <cellStyle name="Ênfase 4" xfId="20" builtinId="41"/>
    <cellStyle name="Título 2" xfId="21" builtinId="17"/>
    <cellStyle name="Ênfase 5" xfId="22" builtinId="45"/>
    <cellStyle name="Título 3" xfId="23" builtinId="18"/>
    <cellStyle name="Ênfase 6" xfId="24" builtinId="49"/>
    <cellStyle name="Título 4" xfId="25" builtinId="19"/>
    <cellStyle name="Entrada" xfId="26" builtinId="20"/>
    <cellStyle name="Saída" xfId="27" builtinId="21"/>
    <cellStyle name="Cálculo" xfId="28" builtinId="22"/>
    <cellStyle name="Total" xfId="29" builtinId="25"/>
    <cellStyle name="40% - Ênfase 1" xfId="30" builtinId="31"/>
    <cellStyle name="Bom" xfId="31" builtinId="26"/>
    <cellStyle name="Ruim" xfId="32" builtinId="27"/>
    <cellStyle name="Neutro" xfId="33" builtinId="28"/>
    <cellStyle name="20% - Ênfase 5" xfId="34" builtinId="46"/>
    <cellStyle name="Ênfase 1" xfId="35" builtinId="29"/>
    <cellStyle name="20% - Ênfase 1" xfId="36" builtinId="30"/>
    <cellStyle name="60% - Ênfase 1" xfId="37" builtinId="32"/>
    <cellStyle name="20% - Ênfase 6" xfId="38" builtinId="50"/>
    <cellStyle name="Ênfase 2" xfId="39" builtinId="33"/>
    <cellStyle name="20% - Ênfase 2" xfId="40" builtinId="34"/>
    <cellStyle name="60% - Ênfase 2" xfId="41" builtinId="36"/>
    <cellStyle name="40% - Ênfase 3" xfId="42" builtinId="39"/>
    <cellStyle name="60% - Ênfase 3" xfId="43" builtinId="40"/>
    <cellStyle name="20% - Ênfase 4" xfId="44" builtinId="42"/>
    <cellStyle name="60% - Ênfase 4" xfId="45" builtinId="44"/>
    <cellStyle name="40% - Ênfase 5" xfId="46" builtinId="47"/>
    <cellStyle name="60% - Ênfase 5" xfId="47" builtinId="48"/>
    <cellStyle name="60% - Ênfase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2"/>
  <sheetViews>
    <sheetView zoomScale="115" zoomScaleNormal="115" workbookViewId="0">
      <selection activeCell="C15" sqref="C15"/>
    </sheetView>
  </sheetViews>
  <sheetFormatPr defaultColWidth="8.88888888888889" defaultRowHeight="13.8"/>
  <cols>
    <col min="2" max="2" width="19.8888888888889" customWidth="1"/>
    <col min="3" max="3" width="13.5555555555556"/>
    <col min="5" max="5" width="15" customWidth="1"/>
    <col min="6" max="6" width="19.5555555555556" customWidth="1"/>
    <col min="7" max="7" width="11.7777777777778"/>
    <col min="8" max="8" width="9.55555555555556"/>
    <col min="11" max="11" width="14" customWidth="1"/>
    <col min="12" max="12" width="11.6666666666667"/>
    <col min="14" max="14" width="12.8888888888889"/>
    <col min="15" max="15" width="9.55555555555556"/>
    <col min="16" max="16" width="13.2222222222222"/>
  </cols>
  <sheetData>
    <row r="1" spans="10:14">
      <c r="J1" s="23" t="s">
        <v>0</v>
      </c>
      <c r="K1" s="23"/>
      <c r="N1" s="3" t="s">
        <v>1</v>
      </c>
    </row>
    <row r="2" spans="2:15">
      <c r="B2" s="7" t="s">
        <v>2</v>
      </c>
      <c r="F2" s="7" t="s">
        <v>3</v>
      </c>
      <c r="I2" s="7" t="s">
        <v>4</v>
      </c>
      <c r="J2" s="7" t="s">
        <v>5</v>
      </c>
      <c r="K2" s="7" t="s">
        <v>6</v>
      </c>
      <c r="N2" s="7" t="s">
        <v>7</v>
      </c>
      <c r="O2" s="9">
        <f>H30</f>
        <v>1.43478260869565</v>
      </c>
    </row>
    <row r="3" spans="2:15">
      <c r="B3" t="s">
        <v>8</v>
      </c>
      <c r="C3" s="8">
        <v>400</v>
      </c>
      <c r="D3" t="s">
        <v>9</v>
      </c>
      <c r="F3" t="s">
        <v>10</v>
      </c>
      <c r="G3" s="8">
        <v>150</v>
      </c>
      <c r="H3" t="s">
        <v>9</v>
      </c>
      <c r="I3">
        <v>3</v>
      </c>
      <c r="J3">
        <f>I3*G3</f>
        <v>450</v>
      </c>
      <c r="K3">
        <f>I3*C7*C3</f>
        <v>600</v>
      </c>
      <c r="N3" s="7" t="s">
        <v>11</v>
      </c>
      <c r="O3" s="9">
        <f>(G15*G16*(O2-1)*(C6-C7)+C4*O2)/(C4-G15*G16*(O2-1)*C7)</f>
        <v>2.07692307692308</v>
      </c>
    </row>
    <row r="4" spans="2:11">
      <c r="B4" t="s">
        <v>12</v>
      </c>
      <c r="C4" s="12">
        <v>2000</v>
      </c>
      <c r="D4" t="s">
        <v>13</v>
      </c>
      <c r="F4" t="s">
        <v>14</v>
      </c>
      <c r="G4" s="8">
        <v>300</v>
      </c>
      <c r="H4" t="s">
        <v>9</v>
      </c>
      <c r="I4">
        <v>1</v>
      </c>
      <c r="J4">
        <f>I4*G4</f>
        <v>300</v>
      </c>
      <c r="K4">
        <f>(C6-C7)*C3*I4</f>
        <v>200</v>
      </c>
    </row>
    <row r="5" spans="2:11">
      <c r="B5" t="s">
        <v>15</v>
      </c>
      <c r="C5" s="11">
        <f>C3*C4</f>
        <v>800000</v>
      </c>
      <c r="D5" t="s">
        <v>16</v>
      </c>
      <c r="F5" t="s">
        <v>17</v>
      </c>
      <c r="G5" s="13">
        <f>SUM(G3:G4)</f>
        <v>450</v>
      </c>
      <c r="H5" t="s">
        <v>9</v>
      </c>
      <c r="J5" s="14">
        <f>SUM(J3:J4)</f>
        <v>750</v>
      </c>
      <c r="K5" s="7">
        <f>SUM(K3:K4)</f>
        <v>800</v>
      </c>
    </row>
    <row r="6" spans="2:6">
      <c r="B6" t="s">
        <v>18</v>
      </c>
      <c r="C6" s="8">
        <v>1</v>
      </c>
      <c r="F6" s="7" t="s">
        <v>0</v>
      </c>
    </row>
    <row r="7" spans="2:3">
      <c r="B7" t="s">
        <v>19</v>
      </c>
      <c r="C7" s="8">
        <v>0.5</v>
      </c>
    </row>
    <row r="8" spans="6:7">
      <c r="F8" s="7" t="s">
        <v>20</v>
      </c>
      <c r="G8" s="7" t="s">
        <v>21</v>
      </c>
    </row>
    <row r="9" spans="6:7">
      <c r="F9" s="8">
        <v>15</v>
      </c>
      <c r="G9" s="8">
        <v>60</v>
      </c>
    </row>
    <row r="11" spans="6:8">
      <c r="F11" s="7"/>
      <c r="G11" s="14"/>
      <c r="H11" s="7"/>
    </row>
    <row r="12" spans="2:6">
      <c r="B12" s="7" t="s">
        <v>22</v>
      </c>
      <c r="F12" s="7" t="s">
        <v>23</v>
      </c>
    </row>
    <row r="13" spans="2:7">
      <c r="B13" t="s">
        <v>24</v>
      </c>
      <c r="C13">
        <f>J5</f>
        <v>750</v>
      </c>
      <c r="F13" t="s">
        <v>25</v>
      </c>
      <c r="G13" s="8">
        <v>1.2</v>
      </c>
    </row>
    <row r="14" spans="2:8">
      <c r="B14" t="s">
        <v>26</v>
      </c>
      <c r="C14">
        <f>K5</f>
        <v>800</v>
      </c>
      <c r="F14" t="s">
        <v>27</v>
      </c>
      <c r="G14" s="8">
        <v>2000</v>
      </c>
      <c r="H14" t="s">
        <v>13</v>
      </c>
    </row>
    <row r="15" spans="2:8">
      <c r="B15" s="7" t="s">
        <v>28</v>
      </c>
      <c r="C15" s="7">
        <f>C13/C14*(0.2+0.8*(G9-F9)/G9)</f>
        <v>0.75</v>
      </c>
      <c r="F15" t="s">
        <v>29</v>
      </c>
      <c r="G15">
        <f>G13*G14</f>
        <v>2400</v>
      </c>
      <c r="H15" t="s">
        <v>13</v>
      </c>
    </row>
    <row r="16" spans="6:7">
      <c r="F16" t="s">
        <v>30</v>
      </c>
      <c r="G16" s="8">
        <f>0.2+0.8*(G9-F9)/G9</f>
        <v>0.8</v>
      </c>
    </row>
    <row r="17" spans="7:7">
      <c r="G17" s="15"/>
    </row>
    <row r="18" spans="2:8">
      <c r="B18" s="7" t="s">
        <v>31</v>
      </c>
      <c r="C18" s="9">
        <f>C15*C5</f>
        <v>600000</v>
      </c>
      <c r="D18" t="s">
        <v>16</v>
      </c>
      <c r="F18" s="7" t="s">
        <v>32</v>
      </c>
      <c r="G18" s="9">
        <f>G15*G16*G5</f>
        <v>864000</v>
      </c>
      <c r="H18" t="s">
        <v>16</v>
      </c>
    </row>
    <row r="19" spans="2:7">
      <c r="B19" s="7" t="s">
        <v>33</v>
      </c>
      <c r="C19" s="16">
        <v>1.1</v>
      </c>
      <c r="F19" s="7"/>
      <c r="G19" s="9"/>
    </row>
    <row r="20" spans="2:3">
      <c r="B20" s="7" t="s">
        <v>34</v>
      </c>
      <c r="C20" s="9">
        <f>C19*(C18+G18)</f>
        <v>1610400</v>
      </c>
    </row>
    <row r="21" spans="2:3">
      <c r="B21" s="7"/>
      <c r="C21" s="9"/>
    </row>
    <row r="22" spans="2:3">
      <c r="B22" s="7" t="s">
        <v>35</v>
      </c>
      <c r="C22" s="9"/>
    </row>
    <row r="23" spans="1:7">
      <c r="A23" s="17" t="s">
        <v>2</v>
      </c>
      <c r="B23" t="s">
        <v>36</v>
      </c>
      <c r="C23" s="18">
        <v>0.08</v>
      </c>
      <c r="E23" s="17" t="s">
        <v>37</v>
      </c>
      <c r="F23" t="s">
        <v>36</v>
      </c>
      <c r="G23" s="18">
        <v>0.08</v>
      </c>
    </row>
    <row r="24" spans="1:7">
      <c r="A24" s="17"/>
      <c r="B24" t="s">
        <v>38</v>
      </c>
      <c r="C24" s="18">
        <v>0.015</v>
      </c>
      <c r="E24" s="17"/>
      <c r="F24" t="s">
        <v>38</v>
      </c>
      <c r="G24" s="18">
        <v>0.01</v>
      </c>
    </row>
    <row r="25" spans="1:7">
      <c r="A25" s="17"/>
      <c r="B25" t="s">
        <v>39</v>
      </c>
      <c r="C25" s="18">
        <v>-0.015</v>
      </c>
      <c r="E25" s="17"/>
      <c r="F25" t="s">
        <v>30</v>
      </c>
      <c r="G25" s="18">
        <v>0.02</v>
      </c>
    </row>
    <row r="26" spans="5:7">
      <c r="E26" s="17"/>
      <c r="F26" t="s">
        <v>40</v>
      </c>
      <c r="G26" s="18">
        <v>0.01</v>
      </c>
    </row>
    <row r="27" spans="2:7">
      <c r="B27" s="7" t="s">
        <v>41</v>
      </c>
      <c r="C27" s="19">
        <f>SUM(C23:C25)</f>
        <v>0.08</v>
      </c>
      <c r="F27" s="7" t="s">
        <v>42</v>
      </c>
      <c r="G27" s="20">
        <f>SUM(G23:G26)</f>
        <v>0.12</v>
      </c>
    </row>
    <row r="29" spans="2:14">
      <c r="B29" s="7" t="s">
        <v>43</v>
      </c>
      <c r="F29" s="7" t="s">
        <v>44</v>
      </c>
      <c r="G29" s="7" t="s">
        <v>45</v>
      </c>
      <c r="H29" s="7" t="s">
        <v>7</v>
      </c>
      <c r="K29" s="7" t="s">
        <v>46</v>
      </c>
      <c r="N29" s="7" t="s">
        <v>47</v>
      </c>
    </row>
    <row r="30" spans="2:15">
      <c r="B30" s="21" t="s">
        <v>10</v>
      </c>
      <c r="C30">
        <f>J3/J5</f>
        <v>0.6</v>
      </c>
      <c r="E30" t="s">
        <v>10</v>
      </c>
      <c r="F30" s="1">
        <f>(C30*($C$19*$C$18*$C$27)+G3*$C$19*$G$15*$G$16*$G$27)/12</f>
        <v>5808</v>
      </c>
      <c r="G30" s="1">
        <f>F30/G3</f>
        <v>38.72</v>
      </c>
      <c r="H30" s="1">
        <f>G30/G31</f>
        <v>1.43478260869565</v>
      </c>
      <c r="K30" s="7" t="s">
        <v>48</v>
      </c>
      <c r="L30" s="2">
        <f>(C18*C27+G18*G27)/(C18+G18)</f>
        <v>0.103606557377049</v>
      </c>
      <c r="N30" t="s">
        <v>10</v>
      </c>
      <c r="O30" s="24">
        <f>C30*($C$19*$C$18*((1+$C$27)^(1/12)-1))+G3*$C$19*$G$15*$G$16*((1+$G$27)^(1/12)-1)</f>
        <v>5553.92552523727</v>
      </c>
    </row>
    <row r="31" spans="2:15">
      <c r="B31" s="21" t="s">
        <v>14</v>
      </c>
      <c r="C31">
        <f>J4/J5</f>
        <v>0.4</v>
      </c>
      <c r="E31" t="s">
        <v>14</v>
      </c>
      <c r="F31" s="1">
        <f>(C31*($C$19*$C$18*$C$27)+G4*$C$19*$G$15*$G$16*$G$27)/12</f>
        <v>8096</v>
      </c>
      <c r="G31" s="1">
        <f>F31/G4</f>
        <v>26.9866666666667</v>
      </c>
      <c r="K31" s="7" t="s">
        <v>49</v>
      </c>
      <c r="L31" s="9">
        <f>C20*L30/12</f>
        <v>13904</v>
      </c>
      <c r="N31" t="s">
        <v>14</v>
      </c>
      <c r="O31" s="24">
        <f>C31*($C$19*$C$18*((1+$C$27)^(1/12)-1))+G4*$C$19*$G$15*$G$16*((1+$G$27)^(1/12)-1)</f>
        <v>7710.68315239272</v>
      </c>
    </row>
    <row r="32" spans="5:16">
      <c r="E32" s="7" t="s">
        <v>50</v>
      </c>
      <c r="F32" s="22">
        <f>SUM(F30:F31)</f>
        <v>13904</v>
      </c>
      <c r="K32" t="s">
        <v>51</v>
      </c>
      <c r="N32" t="s">
        <v>50</v>
      </c>
      <c r="O32" s="25">
        <f>SUM(O30:O31)</f>
        <v>13264.60867763</v>
      </c>
      <c r="P32" s="9">
        <f>C20*((1+L30)^(1/12)-1)</f>
        <v>13284.3992865379</v>
      </c>
    </row>
  </sheetData>
  <mergeCells count="3">
    <mergeCell ref="J1:K1"/>
    <mergeCell ref="A23:A25"/>
    <mergeCell ref="E23:E26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8"/>
  <sheetViews>
    <sheetView tabSelected="1" workbookViewId="0">
      <selection activeCell="G22" sqref="G22"/>
    </sheetView>
  </sheetViews>
  <sheetFormatPr defaultColWidth="8.88888888888889" defaultRowHeight="13.8"/>
  <cols>
    <col min="1" max="1" width="6.33333333333333" customWidth="1"/>
    <col min="2" max="2" width="24.3333333333333" customWidth="1"/>
    <col min="3" max="7" width="17.7777777777778" customWidth="1"/>
    <col min="8" max="8" width="15.2222222222222" customWidth="1"/>
    <col min="9" max="9" width="13" customWidth="1"/>
    <col min="10" max="10" width="14" customWidth="1"/>
    <col min="11" max="11" width="17.1111111111111"/>
    <col min="12" max="12" width="11.6666666666667"/>
    <col min="13" max="14" width="9.44444444444444"/>
    <col min="15" max="15" width="4.55555555555556" customWidth="1"/>
    <col min="17" max="17" width="4.55555555555556" customWidth="1"/>
  </cols>
  <sheetData>
    <row r="1" spans="2:12">
      <c r="B1" t="s">
        <v>19</v>
      </c>
      <c r="C1">
        <f>CA!C7</f>
        <v>0.5</v>
      </c>
      <c r="E1" t="s">
        <v>29</v>
      </c>
      <c r="F1">
        <f>CA!G15</f>
        <v>2400</v>
      </c>
      <c r="H1" t="s">
        <v>52</v>
      </c>
      <c r="I1">
        <v>15</v>
      </c>
      <c r="L1" s="7" t="s">
        <v>53</v>
      </c>
    </row>
    <row r="2" spans="2:13">
      <c r="B2" t="s">
        <v>54</v>
      </c>
      <c r="C2">
        <f>CA!C6</f>
        <v>1</v>
      </c>
      <c r="E2" t="s">
        <v>30</v>
      </c>
      <c r="F2">
        <f>CA!G16</f>
        <v>0.8</v>
      </c>
      <c r="H2" t="s">
        <v>21</v>
      </c>
      <c r="I2">
        <v>60</v>
      </c>
      <c r="L2" s="7" t="s">
        <v>55</v>
      </c>
      <c r="M2" s="9">
        <f>I12/I13</f>
        <v>1.43478260869565</v>
      </c>
    </row>
    <row r="3" spans="2:13">
      <c r="B3" t="s">
        <v>12</v>
      </c>
      <c r="C3" s="1">
        <f>CA!C4</f>
        <v>2000</v>
      </c>
      <c r="D3" s="1"/>
      <c r="E3" s="1" t="s">
        <v>42</v>
      </c>
      <c r="F3" s="2">
        <f>CA!G27</f>
        <v>0.12</v>
      </c>
      <c r="L3" s="7" t="s">
        <v>56</v>
      </c>
      <c r="M3" s="1">
        <f>(F1*F2*(M2-1)*(C2-C1)+C3*M2)/(C3-F1*F2*(M2-1)*C1)</f>
        <v>2.07692307692308</v>
      </c>
    </row>
    <row r="4" spans="2:6">
      <c r="B4" t="s">
        <v>57</v>
      </c>
      <c r="C4" s="1">
        <f>CA!C3</f>
        <v>400</v>
      </c>
      <c r="D4" s="1"/>
      <c r="E4" s="1"/>
      <c r="F4" s="1"/>
    </row>
    <row r="5" spans="2:6">
      <c r="B5" t="s">
        <v>41</v>
      </c>
      <c r="C5" s="2">
        <f>CA!C27</f>
        <v>0.08</v>
      </c>
      <c r="E5" t="s">
        <v>33</v>
      </c>
      <c r="F5" s="1">
        <f>CA!C19</f>
        <v>1.1</v>
      </c>
    </row>
    <row r="6" spans="5:6">
      <c r="E6" t="s">
        <v>58</v>
      </c>
      <c r="F6" s="2">
        <f>CA!L30</f>
        <v>0.103606557377049</v>
      </c>
    </row>
    <row r="7" spans="6:6">
      <c r="F7" s="2"/>
    </row>
    <row r="8" spans="2:2">
      <c r="B8" s="3" t="s">
        <v>59</v>
      </c>
    </row>
    <row r="9" spans="2:2">
      <c r="B9" s="3"/>
    </row>
    <row r="10" spans="2:14">
      <c r="B10" s="4" t="s">
        <v>60</v>
      </c>
      <c r="N10" s="7" t="s">
        <v>61</v>
      </c>
    </row>
    <row r="11" spans="1:15">
      <c r="A11" s="5" t="s">
        <v>62</v>
      </c>
      <c r="B11" s="6" t="s">
        <v>63</v>
      </c>
      <c r="C11" s="7" t="s">
        <v>3</v>
      </c>
      <c r="D11" s="7" t="s">
        <v>4</v>
      </c>
      <c r="E11" s="7" t="s">
        <v>64</v>
      </c>
      <c r="F11" s="7" t="s">
        <v>65</v>
      </c>
      <c r="G11" s="7" t="s">
        <v>32</v>
      </c>
      <c r="H11" s="7" t="s">
        <v>44</v>
      </c>
      <c r="I11" s="7" t="s">
        <v>66</v>
      </c>
      <c r="J11" s="7" t="s">
        <v>67</v>
      </c>
      <c r="K11" s="7" t="s">
        <v>68</v>
      </c>
      <c r="M11" s="7" t="s">
        <v>68</v>
      </c>
      <c r="O11" s="7" t="s">
        <v>69</v>
      </c>
    </row>
    <row r="12" spans="1:16">
      <c r="A12" s="5"/>
      <c r="B12" t="s">
        <v>10</v>
      </c>
      <c r="C12" s="8">
        <f>CA!G3</f>
        <v>150</v>
      </c>
      <c r="D12">
        <f>CA!I3</f>
        <v>3</v>
      </c>
      <c r="E12">
        <f>C12*D12</f>
        <v>450</v>
      </c>
      <c r="F12" s="1">
        <f>$C$3*E12*(0.2+0.8*($I$2-$I$1)/$I$2)/($C$1*$D$12+($C$2-$C$1)*$D$13)</f>
        <v>360000</v>
      </c>
      <c r="G12" s="1">
        <f>C12*$F$1*$F$2</f>
        <v>288000</v>
      </c>
      <c r="H12" s="1">
        <f>$F$5*(F12*$C$5+G12*$F$3)/12</f>
        <v>5808</v>
      </c>
      <c r="I12" s="1">
        <f>H12/C12</f>
        <v>38.72</v>
      </c>
      <c r="J12" s="2">
        <f>12*H12/(F12+G12)</f>
        <v>0.107555555555556</v>
      </c>
      <c r="K12" s="1">
        <f>12*H12/(J12*C12)</f>
        <v>4320</v>
      </c>
      <c r="M12" s="1">
        <f>(F12+G12)/C12</f>
        <v>4320</v>
      </c>
      <c r="N12" t="str">
        <f>IF(K12=M12,"OK!","ERRO!")</f>
        <v>OK!</v>
      </c>
      <c r="O12" s="1">
        <f>K12*J12/12</f>
        <v>38.72</v>
      </c>
      <c r="P12" t="str">
        <f>IF(I12=O12,"OK!","ERRO")</f>
        <v>OK!</v>
      </c>
    </row>
    <row r="13" spans="1:16">
      <c r="A13" s="5"/>
      <c r="B13" t="s">
        <v>14</v>
      </c>
      <c r="C13" s="8">
        <f>CA!G4</f>
        <v>300</v>
      </c>
      <c r="D13">
        <f>CA!I4</f>
        <v>1</v>
      </c>
      <c r="E13">
        <f>C13*D13</f>
        <v>300</v>
      </c>
      <c r="F13" s="1">
        <f>$C$3*E13*(0.2+0.8*($I$2-$I$1)/$I$2)/($C$1*$D$12+($C$2-$C$1)*$D$13)</f>
        <v>240000</v>
      </c>
      <c r="G13" s="1">
        <f>C13*$F$1*$F$2</f>
        <v>576000</v>
      </c>
      <c r="H13" s="1">
        <f>$F$5*(F13*$C$5+G13*$F$3)/12</f>
        <v>8096</v>
      </c>
      <c r="I13" s="1">
        <f>H13/C13</f>
        <v>26.9866666666667</v>
      </c>
      <c r="J13" s="2">
        <f>12*H13/(F13+G13)</f>
        <v>0.119058823529412</v>
      </c>
      <c r="K13" s="1">
        <f>12*H13/(J13*C13)</f>
        <v>2720</v>
      </c>
      <c r="M13" s="1">
        <f>(F13+G13)/C13</f>
        <v>2720</v>
      </c>
      <c r="N13" t="str">
        <f>IF(K13=M13,"OK!","ERRO!")</f>
        <v>OK!</v>
      </c>
      <c r="O13" s="1">
        <f>K13*J13/12</f>
        <v>26.9866666666667</v>
      </c>
      <c r="P13" t="str">
        <f>IF(I13=O13,"OK!","ERRO")</f>
        <v>OK!</v>
      </c>
    </row>
    <row r="14" spans="1:13">
      <c r="A14" s="5"/>
      <c r="B14" s="7" t="s">
        <v>70</v>
      </c>
      <c r="C14">
        <f>SUM(C12:C13)</f>
        <v>450</v>
      </c>
      <c r="F14" s="1">
        <f>SUM(F12:F13)</f>
        <v>600000</v>
      </c>
      <c r="G14" s="1">
        <f>SUM(G12:G13)</f>
        <v>864000</v>
      </c>
      <c r="H14" s="9">
        <f>SUM(H12:H13)</f>
        <v>13904</v>
      </c>
      <c r="M14" s="1"/>
    </row>
    <row r="16" spans="2:2">
      <c r="B16" s="4" t="s">
        <v>71</v>
      </c>
    </row>
    <row r="17" spans="2:10">
      <c r="B17" s="7"/>
      <c r="C17" s="7" t="s">
        <v>3</v>
      </c>
      <c r="D17" s="7" t="s">
        <v>4</v>
      </c>
      <c r="E17" s="7" t="s">
        <v>72</v>
      </c>
      <c r="F17" s="7" t="s">
        <v>73</v>
      </c>
      <c r="G17" s="7" t="s">
        <v>32</v>
      </c>
      <c r="H17" s="7" t="s">
        <v>44</v>
      </c>
      <c r="I17" s="7" t="s">
        <v>66</v>
      </c>
      <c r="J17" s="7" t="s">
        <v>61</v>
      </c>
    </row>
    <row r="18" spans="2:12">
      <c r="B18" t="s">
        <v>74</v>
      </c>
      <c r="C18" s="10">
        <v>90</v>
      </c>
      <c r="D18" s="10">
        <v>3</v>
      </c>
      <c r="E18">
        <f>C18*D18</f>
        <v>270</v>
      </c>
      <c r="F18" s="1">
        <f>$C$3*E18*(0.2+0.8*($I$2-$I$1)/$I$2)/($C$1*$D$12+($C$2-$C$1)*$D$13)</f>
        <v>216000</v>
      </c>
      <c r="G18" s="1">
        <f>C18*$F$1*$F$2</f>
        <v>172800</v>
      </c>
      <c r="H18" s="1">
        <f>$F$5*(F18*$C$5+G18*$F$3)/12</f>
        <v>3484.8</v>
      </c>
      <c r="I18" s="1">
        <f>H18/C18</f>
        <v>38.72</v>
      </c>
      <c r="J18" t="str">
        <f>IF(I18=I12,"Ok!","ERRO")</f>
        <v>Ok!</v>
      </c>
      <c r="L18" s="1">
        <f>C18/$C$12*$H$12</f>
        <v>3484.8</v>
      </c>
    </row>
    <row r="19" spans="2:12">
      <c r="B19" t="s">
        <v>75</v>
      </c>
      <c r="C19" s="10">
        <v>60</v>
      </c>
      <c r="D19" s="10">
        <v>3</v>
      </c>
      <c r="E19">
        <f>C19*D19</f>
        <v>180</v>
      </c>
      <c r="F19" s="1">
        <f>$C$3*E19*(0.2+0.8*($I$2-$I$1)/$I$2)/($C$1*$D$12+($C$2-$C$1)*$D$13)</f>
        <v>144000</v>
      </c>
      <c r="G19" s="1">
        <f>C19*$F$1*$F$2</f>
        <v>115200</v>
      </c>
      <c r="H19" s="1">
        <f>$F$5*(F19*$C$5+G19*$F$3)/12</f>
        <v>2323.2</v>
      </c>
      <c r="I19" s="1">
        <f>H19/C19</f>
        <v>38.72</v>
      </c>
      <c r="L19" s="1">
        <f>C19/$C$12*$H$12</f>
        <v>2323.2</v>
      </c>
    </row>
    <row r="20" spans="2:12">
      <c r="B20" t="s">
        <v>76</v>
      </c>
      <c r="C20" s="10">
        <v>150</v>
      </c>
      <c r="D20" s="8">
        <v>1</v>
      </c>
      <c r="E20">
        <f>C20*D20</f>
        <v>150</v>
      </c>
      <c r="F20" s="1">
        <f>$C$3*E20*(0.2+0.8*($I$2-$I$1)/$I$2)/($C$1*$D$12+($C$2-$C$1)*$D$13)</f>
        <v>120000</v>
      </c>
      <c r="G20" s="1">
        <f>C20*$F$1*$F$2</f>
        <v>288000</v>
      </c>
      <c r="H20" s="1">
        <f>$F$5*(F20*$C$5+G20*$F$3)/12</f>
        <v>4048</v>
      </c>
      <c r="I20" s="1">
        <f>H20/C20</f>
        <v>26.9866666666667</v>
      </c>
      <c r="J20" t="str">
        <f>IF(I20=I13,"Ok!","ERRO")</f>
        <v>Ok!</v>
      </c>
      <c r="L20" s="1">
        <f>C20/$C$13*$H$13</f>
        <v>4048</v>
      </c>
    </row>
    <row r="21" spans="2:12">
      <c r="B21" t="s">
        <v>77</v>
      </c>
      <c r="C21" s="10">
        <v>60</v>
      </c>
      <c r="D21" s="8">
        <v>1</v>
      </c>
      <c r="E21">
        <f>C21*D21</f>
        <v>60</v>
      </c>
      <c r="F21" s="1">
        <f>$C$3*E21*(0.2+0.8*($I$2-$I$1)/$I$2)/($C$1*$D$12+($C$2-$C$1)*$D$13)</f>
        <v>48000</v>
      </c>
      <c r="G21" s="1">
        <f>C21*$F$1*$F$2</f>
        <v>115200</v>
      </c>
      <c r="H21" s="1">
        <f>$F$5*(F21*$C$5+G21*$F$3)/12</f>
        <v>1619.2</v>
      </c>
      <c r="I21" s="1">
        <f>H21/C21</f>
        <v>26.9866666666667</v>
      </c>
      <c r="L21" s="1">
        <f>C21/$C$13*$H$13</f>
        <v>1619.2</v>
      </c>
    </row>
    <row r="22" spans="2:12">
      <c r="B22" t="s">
        <v>78</v>
      </c>
      <c r="C22" s="8">
        <v>90</v>
      </c>
      <c r="D22" s="8">
        <v>1</v>
      </c>
      <c r="E22">
        <f>C22*D22</f>
        <v>90</v>
      </c>
      <c r="F22" s="1">
        <f>$C$3*E22*(0.2+0.8*($I$2-$I$1)/$I$2)/($C$1*$D$12+($C$2-$C$1)*$D$13)</f>
        <v>72000</v>
      </c>
      <c r="G22" s="1">
        <f>C22*$F$1*$F$2</f>
        <v>172800</v>
      </c>
      <c r="H22" s="1">
        <f>$F$5*(F22*$C$5+G22*$F$3)/12</f>
        <v>2428.8</v>
      </c>
      <c r="I22" s="1">
        <f>H22/C22</f>
        <v>26.9866666666667</v>
      </c>
      <c r="L22" s="1">
        <f>C22/$C$13*$H$13</f>
        <v>2428.8</v>
      </c>
    </row>
    <row r="23" spans="6:8">
      <c r="F23" s="9">
        <f>SUM(F18:F22)</f>
        <v>600000</v>
      </c>
      <c r="G23" s="9">
        <f>SUM(G18:G22)</f>
        <v>864000</v>
      </c>
      <c r="H23" s="9">
        <f>SUM(H18:H22)</f>
        <v>13904</v>
      </c>
    </row>
    <row r="25" spans="6:7">
      <c r="F25" s="1"/>
      <c r="G25" s="1"/>
    </row>
    <row r="26" spans="6:8">
      <c r="F26" s="11"/>
      <c r="G26" s="11"/>
      <c r="H26">
        <v>90000</v>
      </c>
    </row>
    <row r="27" spans="8:8">
      <c r="H27" t="s">
        <v>79</v>
      </c>
    </row>
    <row r="28" spans="6:8">
      <c r="F28" s="1"/>
      <c r="H28">
        <f>H26*0.8</f>
        <v>72000</v>
      </c>
    </row>
  </sheetData>
  <mergeCells count="1">
    <mergeCell ref="A11:A14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CA</vt:lpstr>
      <vt:lpstr>Cota Parte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lfpdr</dc:creator>
  <cp:lastModifiedBy>lfpdr</cp:lastModifiedBy>
  <dcterms:created xsi:type="dcterms:W3CDTF">2022-03-04T16:37:00Z</dcterms:created>
  <dcterms:modified xsi:type="dcterms:W3CDTF">2022-03-13T14:59:29Z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95FB2130EBC24EEB96F5DE87680D5314</vt:lpwstr>
  </property>
  <property fmtid="{D5CDD505-2E9C-101B-9397-08002B2CF9AE}" pid="3" name="KSOProductBuildVer">
    <vt:lpwstr>1046-11.2.0.11029</vt:lpwstr>
  </property>
</Properties>
</file>