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Palestras\AvaliacaoAlugueis\refs\"/>
    </mc:Choice>
  </mc:AlternateContent>
  <xr:revisionPtr revIDLastSave="0" documentId="13_ncr:1_{69C31C93-6DCA-4E55-942D-69D0090412E8}" xr6:coauthVersionLast="47" xr6:coauthVersionMax="47" xr10:uidLastSave="{00000000-0000-0000-0000-000000000000}"/>
  <bookViews>
    <workbookView xWindow="-108" yWindow="-108" windowWidth="23256" windowHeight="12456" activeTab="2" xr2:uid="{9389C8A3-18A9-4081-9DD7-8C6F50757DD9}"/>
  </bookViews>
  <sheets>
    <sheet name="MatFin" sheetId="2" r:id="rId1"/>
    <sheet name="Diversificação" sheetId="1" r:id="rId2"/>
    <sheet name="TIR" sheetId="4" r:id="rId3"/>
    <sheet name="Imóveis" sheetId="3" r:id="rId4"/>
    <sheet name="Exemplo Investoped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4" l="1"/>
  <c r="D11" i="4"/>
  <c r="G13" i="4"/>
  <c r="H13" i="4" s="1"/>
  <c r="G14" i="4"/>
  <c r="H14" i="4" s="1"/>
  <c r="G15" i="4"/>
  <c r="H15" i="4" s="1"/>
  <c r="G12" i="4"/>
  <c r="H12" i="4" s="1"/>
  <c r="C13" i="4"/>
  <c r="D13" i="4" s="1"/>
  <c r="C14" i="4"/>
  <c r="D14" i="4" s="1"/>
  <c r="C15" i="4"/>
  <c r="D15" i="4" s="1"/>
  <c r="C16" i="4"/>
  <c r="D16" i="4" s="1"/>
  <c r="C12" i="4"/>
  <c r="D12" i="4" s="1"/>
  <c r="H19" i="4"/>
  <c r="D19" i="4"/>
  <c r="H19" i="3"/>
  <c r="G20" i="3"/>
  <c r="H18" i="3"/>
  <c r="H17" i="3"/>
  <c r="G17" i="3"/>
  <c r="G18" i="3"/>
  <c r="C21" i="3"/>
  <c r="D8" i="3"/>
  <c r="D20" i="3"/>
  <c r="C24" i="3"/>
  <c r="D27" i="3"/>
  <c r="C27" i="3" s="1"/>
  <c r="D28" i="3"/>
  <c r="C28" i="3" s="1"/>
  <c r="D29" i="3"/>
  <c r="C29" i="3" s="1"/>
  <c r="D30" i="3"/>
  <c r="C30" i="3" s="1"/>
  <c r="D31" i="3"/>
  <c r="C31" i="3" s="1"/>
  <c r="D32" i="3"/>
  <c r="C32" i="3" s="1"/>
  <c r="D33" i="3"/>
  <c r="C33" i="3" s="1"/>
  <c r="D34" i="3"/>
  <c r="C34" i="3" s="1"/>
  <c r="D35" i="3"/>
  <c r="C35" i="3" s="1"/>
  <c r="D36" i="3"/>
  <c r="C36" i="3" s="1"/>
  <c r="D37" i="3"/>
  <c r="C37" i="3" s="1"/>
  <c r="D38" i="3"/>
  <c r="C38" i="3" s="1"/>
  <c r="D39" i="3"/>
  <c r="C39" i="3" s="1"/>
  <c r="D40" i="3"/>
  <c r="C40" i="3" s="1"/>
  <c r="D41" i="3"/>
  <c r="C41" i="3" s="1"/>
  <c r="D42" i="3"/>
  <c r="C42" i="3" s="1"/>
  <c r="D43" i="3"/>
  <c r="C43" i="3" s="1"/>
  <c r="D44" i="3"/>
  <c r="C44" i="3" s="1"/>
  <c r="D45" i="3"/>
  <c r="C45" i="3" s="1"/>
  <c r="D46" i="3"/>
  <c r="C46" i="3" s="1"/>
  <c r="D47" i="3"/>
  <c r="C47" i="3" s="1"/>
  <c r="D48" i="3"/>
  <c r="C48" i="3" s="1"/>
  <c r="D49" i="3"/>
  <c r="C49" i="3" s="1"/>
  <c r="D50" i="3"/>
  <c r="C50" i="3" s="1"/>
  <c r="D51" i="3"/>
  <c r="C51" i="3" s="1"/>
  <c r="D52" i="3"/>
  <c r="C52" i="3" s="1"/>
  <c r="D53" i="3"/>
  <c r="C53" i="3" s="1"/>
  <c r="D54" i="3"/>
  <c r="C54" i="3" s="1"/>
  <c r="D25" i="3"/>
  <c r="C25" i="3" s="1"/>
  <c r="D26" i="3"/>
  <c r="C26" i="3" s="1"/>
  <c r="H13" i="5"/>
  <c r="H12" i="5"/>
  <c r="C13" i="5"/>
  <c r="C12" i="5"/>
  <c r="C12" i="3"/>
  <c r="C13" i="3" s="1"/>
  <c r="C14" i="3" s="1"/>
  <c r="C23" i="2"/>
  <c r="C28" i="2"/>
  <c r="C21" i="2"/>
  <c r="C24" i="2" s="1"/>
  <c r="C14" i="2"/>
  <c r="C9" i="2"/>
  <c r="C4" i="2"/>
  <c r="N6" i="1"/>
  <c r="M6" i="1"/>
  <c r="M5" i="1"/>
  <c r="N5" i="1" s="1"/>
  <c r="N7" i="1" s="1"/>
  <c r="E6" i="1"/>
  <c r="E5" i="1"/>
  <c r="G6" i="1"/>
  <c r="I6" i="1" s="1"/>
  <c r="G5" i="1"/>
  <c r="I5" i="1" s="1"/>
  <c r="H21" i="4" l="1"/>
  <c r="D21" i="4"/>
  <c r="D8" i="4"/>
  <c r="H20" i="4"/>
  <c r="H23" i="4" s="1"/>
  <c r="H8" i="4"/>
  <c r="D20" i="4"/>
  <c r="D23" i="4" s="1"/>
  <c r="I7" i="1"/>
  <c r="J6" i="1" s="1"/>
  <c r="K6" i="1" s="1"/>
  <c r="E7" i="1"/>
  <c r="J5" i="1" l="1"/>
  <c r="K5" i="1" s="1"/>
  <c r="K7" i="1" s="1"/>
</calcChain>
</file>

<file path=xl/sharedStrings.xml><?xml version="1.0" encoding="utf-8"?>
<sst xmlns="http://schemas.openxmlformats.org/spreadsheetml/2006/main" count="119" uniqueCount="72">
  <si>
    <t>A</t>
  </si>
  <si>
    <t>B</t>
  </si>
  <si>
    <t>P0</t>
  </si>
  <si>
    <t>P1</t>
  </si>
  <si>
    <t>P2</t>
  </si>
  <si>
    <t>Q_1</t>
  </si>
  <si>
    <t>P0.Q0</t>
  </si>
  <si>
    <t>Q0</t>
  </si>
  <si>
    <t>P1.Q1</t>
  </si>
  <si>
    <t>Q2</t>
  </si>
  <si>
    <t>Q2.P1</t>
  </si>
  <si>
    <t>P2.Q2</t>
  </si>
  <si>
    <t>PMT</t>
  </si>
  <si>
    <t>PV</t>
  </si>
  <si>
    <t>i</t>
  </si>
  <si>
    <t>NPER</t>
  </si>
  <si>
    <t>T</t>
  </si>
  <si>
    <t>FRC</t>
  </si>
  <si>
    <t>Taxa Mensal</t>
  </si>
  <si>
    <t>Taxa anual</t>
  </si>
  <si>
    <t>a.a.</t>
  </si>
  <si>
    <t>Fator de Recuperação do Capital (FRC)</t>
  </si>
  <si>
    <t>Terreno</t>
  </si>
  <si>
    <t>Custo Construção</t>
  </si>
  <si>
    <t>a.m.</t>
  </si>
  <si>
    <t>I</t>
  </si>
  <si>
    <t>VPL</t>
  </si>
  <si>
    <t>R</t>
  </si>
  <si>
    <t>TIR</t>
  </si>
  <si>
    <t>TMA</t>
  </si>
  <si>
    <t>Aluguel</t>
  </si>
  <si>
    <t>/mês</t>
  </si>
  <si>
    <t>Parcela</t>
  </si>
  <si>
    <t>Valor de Venda</t>
  </si>
  <si>
    <t>Custos</t>
  </si>
  <si>
    <t>FCA</t>
  </si>
  <si>
    <t>Períodos</t>
  </si>
  <si>
    <t>anos</t>
  </si>
  <si>
    <t>Expectativa de aumento</t>
  </si>
  <si>
    <t>c</t>
  </si>
  <si>
    <t>Ano</t>
  </si>
  <si>
    <t>FC</t>
  </si>
  <si>
    <t>1. Aquisição de imóvel para locação com recursos próprios</t>
  </si>
  <si>
    <t>2. Aquisição de imóvel com financiamento</t>
  </si>
  <si>
    <t>https://www.investopedia.com/articles/investing/102715/calculating-internal-rate-return-using-excel.asp</t>
  </si>
  <si>
    <t>(1) Year</t>
  </si>
  <si>
    <t>(1) Cash Flow</t>
  </si>
  <si>
    <t>IRR</t>
  </si>
  <si>
    <t>IRR (1)</t>
  </si>
  <si>
    <t>MIRR (1)</t>
  </si>
  <si>
    <t>Taxa de financiamento (hipoteca)</t>
  </si>
  <si>
    <t>Taxa de reinvestimento (aluguéis)</t>
  </si>
  <si>
    <t>Taxa de Financiamento</t>
  </si>
  <si>
    <t>Taxa de Investimento</t>
  </si>
  <si>
    <t>Entrada</t>
  </si>
  <si>
    <t>Real Estate</t>
  </si>
  <si>
    <t>Startup</t>
  </si>
  <si>
    <t>Taxa Aluguel</t>
  </si>
  <si>
    <t>Taxa Parcela</t>
  </si>
  <si>
    <t>Residual</t>
  </si>
  <si>
    <t>Prazo</t>
  </si>
  <si>
    <t>FRC_R</t>
  </si>
  <si>
    <t>FRC_C</t>
  </si>
  <si>
    <t>FRC(15%,5)</t>
  </si>
  <si>
    <t>FRC(15%,4)</t>
  </si>
  <si>
    <t>Projeto 1</t>
  </si>
  <si>
    <t>Projeto 2</t>
  </si>
  <si>
    <t>VGV</t>
  </si>
  <si>
    <t>Lucratividade</t>
  </si>
  <si>
    <t>Período</t>
  </si>
  <si>
    <t>Investimento</t>
  </si>
  <si>
    <t>Rentabilidade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</si>
</sst>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%"/>
    <numFmt numFmtId="165" formatCode="0.0000"/>
    <numFmt numFmtId="166" formatCode="0.0%"/>
    <numFmt numFmtId="167" formatCode="_-&quot;R$&quot;\ * #,##0.0000_-;\-&quot;R$&quot;\ * #,##0.0000_-;_-&quot;R$&quot;\ * &quot;-&quot;????_-;_-@_-"/>
    <numFmt numFmtId="168" formatCode="_-&quot;R$&quot;\ * #,##0.00_-;\-&quot;R$&quot;\ * #,##0.00_-;_-&quot;R$&quot;\ * &quot;-&quot;????_-;_-@_-"/>
    <numFmt numFmtId="169" formatCode="#,##0_ ;\-#,##0\ "/>
    <numFmt numFmtId="170" formatCode="_-[$R$-416]\ * #,##0.00_-;\-[$R$-416]\ * #,##0.00_-;_-[$R$-416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44" fontId="0" fillId="0" borderId="0" xfId="1" applyFont="1"/>
    <xf numFmtId="10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8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166" fontId="0" fillId="0" borderId="0" xfId="0" applyNumberFormat="1"/>
    <xf numFmtId="9" fontId="0" fillId="0" borderId="0" xfId="2" applyFont="1"/>
    <xf numFmtId="166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65" fontId="0" fillId="0" borderId="0" xfId="0" applyNumberFormat="1"/>
    <xf numFmtId="0" fontId="3" fillId="0" borderId="0" xfId="3"/>
    <xf numFmtId="170" fontId="0" fillId="0" borderId="0" xfId="0" applyNumberFormat="1"/>
    <xf numFmtId="0" fontId="2" fillId="0" borderId="0" xfId="0" applyFont="1"/>
    <xf numFmtId="10" fontId="0" fillId="2" borderId="0" xfId="0" applyNumberFormat="1" applyFill="1"/>
    <xf numFmtId="44" fontId="0" fillId="0" borderId="0" xfId="0" applyNumberFormat="1"/>
    <xf numFmtId="1" fontId="0" fillId="0" borderId="0" xfId="0" applyNumberFormat="1"/>
    <xf numFmtId="0" fontId="0" fillId="2" borderId="0" xfId="0" applyFill="1"/>
    <xf numFmtId="44" fontId="0" fillId="2" borderId="0" xfId="1" applyFont="1" applyFill="1"/>
    <xf numFmtId="9" fontId="0" fillId="2" borderId="0" xfId="0" applyNumberFormat="1" applyFill="1"/>
    <xf numFmtId="0" fontId="2" fillId="0" borderId="0" xfId="0" applyFont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articles/investing/102715/calculating-internal-rate-return-using-exce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B5D-F467-4607-A8E2-0004E1882D74}">
  <dimension ref="B1:D28"/>
  <sheetViews>
    <sheetView topLeftCell="A2" workbookViewId="0">
      <selection activeCell="C21" sqref="C21"/>
    </sheetView>
  </sheetViews>
  <sheetFormatPr defaultRowHeight="14.4" x14ac:dyDescent="0.3"/>
  <cols>
    <col min="2" max="2" width="27.44140625" bestFit="1" customWidth="1"/>
    <col min="3" max="4" width="17.6640625" bestFit="1" customWidth="1"/>
    <col min="5" max="5" width="18.5546875" customWidth="1"/>
    <col min="8" max="8" width="15.5546875" bestFit="1" customWidth="1"/>
  </cols>
  <sheetData>
    <row r="1" spans="2:3" x14ac:dyDescent="0.3">
      <c r="B1" t="s">
        <v>15</v>
      </c>
      <c r="C1">
        <v>12</v>
      </c>
    </row>
    <row r="2" spans="2:3" x14ac:dyDescent="0.3">
      <c r="B2" t="s">
        <v>12</v>
      </c>
      <c r="C2" s="2">
        <v>1000</v>
      </c>
    </row>
    <row r="3" spans="2:3" x14ac:dyDescent="0.3">
      <c r="B3" t="s">
        <v>13</v>
      </c>
      <c r="C3" s="2">
        <v>-10000</v>
      </c>
    </row>
    <row r="4" spans="2:3" x14ac:dyDescent="0.3">
      <c r="B4" t="s">
        <v>14</v>
      </c>
      <c r="C4" s="3">
        <f>RATE(C1,C2,C3)</f>
        <v>2.9228540769138309E-2</v>
      </c>
    </row>
    <row r="6" spans="2:3" x14ac:dyDescent="0.3">
      <c r="B6" t="s">
        <v>14</v>
      </c>
      <c r="C6" s="3">
        <v>7.6E-3</v>
      </c>
    </row>
    <row r="7" spans="2:3" x14ac:dyDescent="0.3">
      <c r="B7" t="s">
        <v>13</v>
      </c>
      <c r="C7">
        <v>4000</v>
      </c>
    </row>
    <row r="8" spans="2:3" x14ac:dyDescent="0.3">
      <c r="B8" t="s">
        <v>15</v>
      </c>
      <c r="C8">
        <v>12</v>
      </c>
    </row>
    <row r="9" spans="2:3" x14ac:dyDescent="0.3">
      <c r="B9" t="s">
        <v>12</v>
      </c>
      <c r="C9" s="6">
        <f>PMT(C6,C8,C7)</f>
        <v>-350.02853643478147</v>
      </c>
    </row>
    <row r="11" spans="2:3" x14ac:dyDescent="0.3">
      <c r="B11" t="s">
        <v>14</v>
      </c>
      <c r="C11" s="3">
        <v>7.6E-3</v>
      </c>
    </row>
    <row r="12" spans="2:3" x14ac:dyDescent="0.3">
      <c r="B12" t="s">
        <v>12</v>
      </c>
      <c r="C12">
        <v>2000</v>
      </c>
    </row>
    <row r="13" spans="2:3" x14ac:dyDescent="0.3">
      <c r="B13" t="s">
        <v>15</v>
      </c>
      <c r="C13">
        <v>60</v>
      </c>
    </row>
    <row r="14" spans="2:3" x14ac:dyDescent="0.3">
      <c r="B14" t="s">
        <v>13</v>
      </c>
      <c r="C14" s="6">
        <f>PV(C11,C13,C12)</f>
        <v>-96076.968636278529</v>
      </c>
    </row>
    <row r="17" spans="2:4" x14ac:dyDescent="0.3">
      <c r="B17" t="s">
        <v>21</v>
      </c>
    </row>
    <row r="19" spans="2:4" x14ac:dyDescent="0.3">
      <c r="B19" t="s">
        <v>16</v>
      </c>
      <c r="C19">
        <v>60</v>
      </c>
    </row>
    <row r="20" spans="2:4" x14ac:dyDescent="0.3">
      <c r="B20" t="s">
        <v>14</v>
      </c>
      <c r="C20" s="5">
        <v>7.6E-3</v>
      </c>
    </row>
    <row r="21" spans="2:4" x14ac:dyDescent="0.3">
      <c r="B21" t="s">
        <v>17</v>
      </c>
      <c r="C21" s="8">
        <f>C20*(1+C20)^C19/((1+C20)^C19-1)</f>
        <v>2.0816643451475457E-2</v>
      </c>
    </row>
    <row r="22" spans="2:4" x14ac:dyDescent="0.3">
      <c r="B22" t="s">
        <v>25</v>
      </c>
      <c r="C22" s="2">
        <v>800000</v>
      </c>
    </row>
    <row r="23" spans="2:4" x14ac:dyDescent="0.3">
      <c r="B23" t="s">
        <v>27</v>
      </c>
      <c r="C23" s="2">
        <f>0.2*2000000</f>
        <v>400000</v>
      </c>
      <c r="D23" s="12"/>
    </row>
    <row r="24" spans="2:4" x14ac:dyDescent="0.3">
      <c r="B24" t="s">
        <v>26</v>
      </c>
      <c r="C24" s="13">
        <f>-C22+C23/C21</f>
        <v>18415393.727255702</v>
      </c>
    </row>
    <row r="27" spans="2:4" x14ac:dyDescent="0.3">
      <c r="B27" t="s">
        <v>19</v>
      </c>
      <c r="C27" s="1">
        <v>0.12</v>
      </c>
      <c r="D27" t="s">
        <v>20</v>
      </c>
    </row>
    <row r="28" spans="2:4" x14ac:dyDescent="0.3">
      <c r="B28" t="s">
        <v>18</v>
      </c>
      <c r="C28" s="7">
        <f>(1+C27)^(1/12)-1</f>
        <v>9.4887929345830457E-3</v>
      </c>
      <c r="D2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F555-828A-40E4-9B60-36CA51E89332}">
  <dimension ref="B4:N7"/>
  <sheetViews>
    <sheetView workbookViewId="0">
      <selection activeCell="H13" sqref="H13"/>
    </sheetView>
  </sheetViews>
  <sheetFormatPr defaultRowHeight="14.4" x14ac:dyDescent="0.3"/>
  <cols>
    <col min="4" max="4" width="10.33203125" bestFit="1" customWidth="1"/>
    <col min="5" max="5" width="14" bestFit="1" customWidth="1"/>
    <col min="6" max="6" width="5.21875" bestFit="1" customWidth="1"/>
    <col min="7" max="7" width="4" bestFit="1" customWidth="1"/>
    <col min="8" max="8" width="5" style="2" bestFit="1" customWidth="1"/>
    <col min="9" max="9" width="14" bestFit="1" customWidth="1"/>
    <col min="10" max="10" width="12" bestFit="1" customWidth="1"/>
    <col min="11" max="12" width="14" bestFit="1" customWidth="1"/>
    <col min="13" max="13" width="10.33203125" bestFit="1" customWidth="1"/>
    <col min="14" max="14" width="14" bestFit="1" customWidth="1"/>
  </cols>
  <sheetData>
    <row r="4" spans="2:14" x14ac:dyDescent="0.3">
      <c r="C4" t="s">
        <v>7</v>
      </c>
      <c r="D4" t="s">
        <v>2</v>
      </c>
      <c r="E4" s="2" t="s">
        <v>6</v>
      </c>
      <c r="G4" t="s">
        <v>3</v>
      </c>
      <c r="H4" t="s">
        <v>5</v>
      </c>
      <c r="I4" t="s">
        <v>8</v>
      </c>
      <c r="J4" t="s">
        <v>9</v>
      </c>
      <c r="K4" t="s">
        <v>10</v>
      </c>
      <c r="M4" t="s">
        <v>4</v>
      </c>
      <c r="N4" t="s">
        <v>11</v>
      </c>
    </row>
    <row r="5" spans="2:14" x14ac:dyDescent="0.3">
      <c r="B5" t="s">
        <v>0</v>
      </c>
      <c r="C5">
        <v>2500</v>
      </c>
      <c r="D5" s="2">
        <v>100</v>
      </c>
      <c r="E5" s="2">
        <f>D5*C5</f>
        <v>250000</v>
      </c>
      <c r="F5" s="1">
        <v>0.5</v>
      </c>
      <c r="G5">
        <f>D5*(1+F5)</f>
        <v>150</v>
      </c>
      <c r="H5">
        <v>2500</v>
      </c>
      <c r="I5" s="2">
        <f>G5*H5</f>
        <v>375000</v>
      </c>
      <c r="J5">
        <f>(I7/2)/G5</f>
        <v>1666.6666666666667</v>
      </c>
      <c r="K5" s="2">
        <f>J5*G5</f>
        <v>250000</v>
      </c>
      <c r="L5" s="4">
        <v>-0.33333000000000002</v>
      </c>
      <c r="M5" s="2">
        <f>G5*(1+L5)</f>
        <v>100.0005</v>
      </c>
      <c r="N5" s="2">
        <f>J5*M5</f>
        <v>166667.5</v>
      </c>
    </row>
    <row r="6" spans="2:14" x14ac:dyDescent="0.3">
      <c r="B6" t="s">
        <v>1</v>
      </c>
      <c r="C6">
        <v>2500</v>
      </c>
      <c r="D6" s="2">
        <v>100</v>
      </c>
      <c r="E6" s="2">
        <f>D6*C6</f>
        <v>250000</v>
      </c>
      <c r="F6" s="1">
        <v>-0.5</v>
      </c>
      <c r="G6">
        <f>D6*(1+F6)</f>
        <v>50</v>
      </c>
      <c r="H6">
        <v>2500</v>
      </c>
      <c r="I6" s="2">
        <f>G6*H6</f>
        <v>125000</v>
      </c>
      <c r="J6">
        <f>(I7/2)/G6</f>
        <v>5000</v>
      </c>
      <c r="K6" s="2">
        <f>J6*G6</f>
        <v>250000</v>
      </c>
      <c r="L6" s="5">
        <v>1</v>
      </c>
      <c r="M6" s="2">
        <f>G6*(1+L6)</f>
        <v>100</v>
      </c>
      <c r="N6" s="2">
        <f>J6*M6</f>
        <v>500000</v>
      </c>
    </row>
    <row r="7" spans="2:14" x14ac:dyDescent="0.3">
      <c r="E7" s="2">
        <f>SUM(E5:E6)</f>
        <v>500000</v>
      </c>
      <c r="H7"/>
      <c r="I7" s="2">
        <f>SUM(I5:I6)</f>
        <v>500000</v>
      </c>
      <c r="K7" s="2">
        <f>SUM(K5:K6)</f>
        <v>500000</v>
      </c>
      <c r="N7" s="2">
        <f>SUM(N5:N6)</f>
        <v>666667.5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D48D-2BF5-4254-8BA7-C04ED494FCB8}">
  <dimension ref="B1:I23"/>
  <sheetViews>
    <sheetView tabSelected="1" workbookViewId="0">
      <selection activeCell="H17" sqref="H17"/>
    </sheetView>
  </sheetViews>
  <sheetFormatPr defaultRowHeight="14.4" x14ac:dyDescent="0.3"/>
  <cols>
    <col min="1" max="1" width="2.88671875" customWidth="1"/>
    <col min="3" max="3" width="12.77734375" bestFit="1" customWidth="1"/>
    <col min="4" max="5" width="16.5546875" bestFit="1" customWidth="1"/>
    <col min="6" max="6" width="10.5546875" customWidth="1"/>
    <col min="7" max="7" width="16" bestFit="1" customWidth="1"/>
    <col min="8" max="8" width="16.5546875" bestFit="1" customWidth="1"/>
  </cols>
  <sheetData>
    <row r="1" spans="2:9" x14ac:dyDescent="0.3">
      <c r="B1" t="s">
        <v>29</v>
      </c>
      <c r="C1" s="24">
        <v>0.15</v>
      </c>
      <c r="D1" t="s">
        <v>20</v>
      </c>
    </row>
    <row r="3" spans="2:9" x14ac:dyDescent="0.3">
      <c r="C3" s="18" t="s">
        <v>65</v>
      </c>
      <c r="G3" s="18" t="s">
        <v>66</v>
      </c>
    </row>
    <row r="4" spans="2:9" x14ac:dyDescent="0.3">
      <c r="C4" t="s">
        <v>60</v>
      </c>
      <c r="D4" s="22">
        <v>5</v>
      </c>
      <c r="E4" t="s">
        <v>37</v>
      </c>
      <c r="G4" t="s">
        <v>60</v>
      </c>
      <c r="H4" s="22">
        <v>4</v>
      </c>
      <c r="I4" t="s">
        <v>37</v>
      </c>
    </row>
    <row r="5" spans="2:9" x14ac:dyDescent="0.3">
      <c r="C5" t="s">
        <v>70</v>
      </c>
      <c r="D5" s="23">
        <v>1000000</v>
      </c>
      <c r="G5" t="s">
        <v>70</v>
      </c>
      <c r="H5" s="23">
        <v>800000</v>
      </c>
    </row>
    <row r="6" spans="2:9" x14ac:dyDescent="0.3">
      <c r="C6" t="s">
        <v>67</v>
      </c>
      <c r="D6" s="23">
        <v>10000000</v>
      </c>
      <c r="G6" t="s">
        <v>67</v>
      </c>
      <c r="H6" s="23">
        <v>8000000</v>
      </c>
    </row>
    <row r="7" spans="2:9" x14ac:dyDescent="0.3">
      <c r="C7" t="s">
        <v>68</v>
      </c>
      <c r="D7" s="24">
        <v>0.2</v>
      </c>
      <c r="G7" t="s">
        <v>68</v>
      </c>
      <c r="H7" s="24">
        <v>0.2</v>
      </c>
    </row>
    <row r="8" spans="2:9" x14ac:dyDescent="0.3">
      <c r="C8" t="s">
        <v>28</v>
      </c>
      <c r="D8" s="3">
        <f>IRR(D11:D16,25%)</f>
        <v>0.28649290249767589</v>
      </c>
      <c r="G8" t="s">
        <v>28</v>
      </c>
      <c r="H8" s="3">
        <f>IRR(H11:H15,25%)</f>
        <v>0.34903445656115561</v>
      </c>
    </row>
    <row r="10" spans="2:9" x14ac:dyDescent="0.3">
      <c r="B10" s="25" t="s">
        <v>69</v>
      </c>
      <c r="C10" s="25" t="s">
        <v>68</v>
      </c>
      <c r="D10" s="25" t="s">
        <v>41</v>
      </c>
      <c r="F10" s="25" t="s">
        <v>69</v>
      </c>
      <c r="G10" s="25" t="s">
        <v>68</v>
      </c>
      <c r="H10" s="25" t="s">
        <v>41</v>
      </c>
    </row>
    <row r="11" spans="2:9" x14ac:dyDescent="0.3">
      <c r="B11">
        <v>0</v>
      </c>
      <c r="D11" s="2">
        <f>-D5</f>
        <v>-1000000</v>
      </c>
      <c r="F11">
        <v>0</v>
      </c>
      <c r="H11" s="2">
        <f>-H5</f>
        <v>-800000</v>
      </c>
    </row>
    <row r="12" spans="2:9" x14ac:dyDescent="0.3">
      <c r="B12">
        <v>1</v>
      </c>
      <c r="C12" s="1">
        <f>$D$7</f>
        <v>0.2</v>
      </c>
      <c r="D12" s="2">
        <f>$D$6/$D$4*C12</f>
        <v>400000</v>
      </c>
      <c r="F12">
        <v>1</v>
      </c>
      <c r="G12" s="1">
        <f>$H$7</f>
        <v>0.2</v>
      </c>
      <c r="H12" s="2">
        <f>$H$6/$H$4*G12</f>
        <v>400000</v>
      </c>
    </row>
    <row r="13" spans="2:9" x14ac:dyDescent="0.3">
      <c r="B13">
        <v>2</v>
      </c>
      <c r="C13" s="1">
        <f>$D$7</f>
        <v>0.2</v>
      </c>
      <c r="D13" s="2">
        <f>$D$6/$D$4*C13</f>
        <v>400000</v>
      </c>
      <c r="F13">
        <v>2</v>
      </c>
      <c r="G13" s="1">
        <f t="shared" ref="G13:G16" si="0">$H$7</f>
        <v>0.2</v>
      </c>
      <c r="H13" s="2">
        <f t="shared" ref="H13:H16" si="1">$H$6/$H$4*G13</f>
        <v>400000</v>
      </c>
    </row>
    <row r="14" spans="2:9" x14ac:dyDescent="0.3">
      <c r="B14">
        <v>3</v>
      </c>
      <c r="C14" s="1">
        <f>$D$7</f>
        <v>0.2</v>
      </c>
      <c r="D14" s="2">
        <f>$D$6/$D$4*C14</f>
        <v>400000</v>
      </c>
      <c r="F14">
        <v>3</v>
      </c>
      <c r="G14" s="1">
        <f t="shared" si="0"/>
        <v>0.2</v>
      </c>
      <c r="H14" s="2">
        <f t="shared" si="1"/>
        <v>400000</v>
      </c>
    </row>
    <row r="15" spans="2:9" x14ac:dyDescent="0.3">
      <c r="B15">
        <v>4</v>
      </c>
      <c r="C15" s="1">
        <f>$D$7</f>
        <v>0.2</v>
      </c>
      <c r="D15" s="2">
        <f>$D$6/$D$4*C15</f>
        <v>400000</v>
      </c>
      <c r="F15">
        <v>4</v>
      </c>
      <c r="G15" s="1">
        <f t="shared" si="0"/>
        <v>0.2</v>
      </c>
      <c r="H15" s="2">
        <f t="shared" si="1"/>
        <v>400000</v>
      </c>
    </row>
    <row r="16" spans="2:9" x14ac:dyDescent="0.3">
      <c r="B16">
        <v>5</v>
      </c>
      <c r="C16" s="1">
        <f>$D$7</f>
        <v>0.2</v>
      </c>
      <c r="D16" s="2">
        <f>$D$6/$D$4*C16</f>
        <v>400000</v>
      </c>
      <c r="F16">
        <v>5</v>
      </c>
      <c r="G16" s="1"/>
      <c r="H16" s="2"/>
    </row>
    <row r="17" spans="3:8" x14ac:dyDescent="0.3">
      <c r="G17" s="20"/>
    </row>
    <row r="19" spans="3:8" x14ac:dyDescent="0.3">
      <c r="C19" t="s">
        <v>63</v>
      </c>
      <c r="D19" s="15">
        <f>$C$1*(1+$C$1)^D4/((1+$C$1)^D4-1)</f>
        <v>0.29831555246152841</v>
      </c>
      <c r="G19" t="s">
        <v>64</v>
      </c>
      <c r="H19" s="15">
        <f>$C$1*(1+$C$1)^H4/((1+$C$1)^H4-1)</f>
        <v>0.35026535159085798</v>
      </c>
    </row>
    <row r="20" spans="3:8" x14ac:dyDescent="0.3">
      <c r="C20" t="s">
        <v>26</v>
      </c>
      <c r="D20" s="13">
        <f>D11+D12/D19</f>
        <v>340862.03920456045</v>
      </c>
      <c r="G20" t="s">
        <v>26</v>
      </c>
      <c r="H20" s="13">
        <f>H11+H12/H19</f>
        <v>341991.34508524463</v>
      </c>
    </row>
    <row r="21" spans="3:8" x14ac:dyDescent="0.3">
      <c r="D21" s="20">
        <f>D11+NPV(C1,D12:D16)</f>
        <v>340862.03920456115</v>
      </c>
      <c r="E21" s="6"/>
      <c r="G21" s="6"/>
      <c r="H21" s="20">
        <f>H11+NPV(C1,H12:H16)</f>
        <v>341991.34508524509</v>
      </c>
    </row>
    <row r="23" spans="3:8" x14ac:dyDescent="0.3">
      <c r="C23" s="18" t="s">
        <v>71</v>
      </c>
      <c r="D23" s="7">
        <f>D20/D5</f>
        <v>0.34086203920456043</v>
      </c>
      <c r="G23" s="18" t="s">
        <v>71</v>
      </c>
      <c r="H23" s="7">
        <f>H20/H5</f>
        <v>0.42748918135655578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BB19-52EF-4AFD-A2EC-7F1803C5ACEA}">
  <dimension ref="B4:H54"/>
  <sheetViews>
    <sheetView workbookViewId="0">
      <selection activeCell="F22" sqref="F22"/>
    </sheetView>
  </sheetViews>
  <sheetFormatPr defaultRowHeight="14.4" x14ac:dyDescent="0.3"/>
  <cols>
    <col min="2" max="2" width="20.109375" bestFit="1" customWidth="1"/>
    <col min="3" max="3" width="16" bestFit="1" customWidth="1"/>
    <col min="4" max="4" width="11.88671875" bestFit="1" customWidth="1"/>
    <col min="6" max="6" width="15.44140625" bestFit="1" customWidth="1"/>
    <col min="7" max="8" width="14" bestFit="1" customWidth="1"/>
  </cols>
  <sheetData>
    <row r="4" spans="2:8" x14ac:dyDescent="0.3">
      <c r="B4" t="s">
        <v>42</v>
      </c>
    </row>
    <row r="5" spans="2:8" x14ac:dyDescent="0.3">
      <c r="B5" t="s">
        <v>29</v>
      </c>
      <c r="C5" s="1">
        <v>0.1</v>
      </c>
      <c r="D5" t="s">
        <v>20</v>
      </c>
      <c r="F5" t="s">
        <v>29</v>
      </c>
      <c r="G5" s="1">
        <v>0.1</v>
      </c>
      <c r="H5" t="s">
        <v>20</v>
      </c>
    </row>
    <row r="6" spans="2:8" x14ac:dyDescent="0.3">
      <c r="B6" t="s">
        <v>33</v>
      </c>
      <c r="C6" s="2">
        <v>400000</v>
      </c>
      <c r="F6" t="s">
        <v>22</v>
      </c>
      <c r="G6" s="2">
        <v>100000</v>
      </c>
    </row>
    <row r="7" spans="2:8" x14ac:dyDescent="0.3">
      <c r="B7" t="s">
        <v>30</v>
      </c>
      <c r="C7" s="2">
        <v>3000</v>
      </c>
      <c r="D7" t="s">
        <v>31</v>
      </c>
      <c r="F7" t="s">
        <v>23</v>
      </c>
      <c r="G7" s="2">
        <v>400000</v>
      </c>
    </row>
    <row r="8" spans="2:8" x14ac:dyDescent="0.3">
      <c r="B8" t="s">
        <v>34</v>
      </c>
      <c r="C8" s="10">
        <v>0.3</v>
      </c>
      <c r="D8" s="20">
        <f>C8*C7</f>
        <v>900</v>
      </c>
      <c r="F8" t="s">
        <v>32</v>
      </c>
      <c r="G8" s="2">
        <v>4000</v>
      </c>
    </row>
    <row r="9" spans="2:8" x14ac:dyDescent="0.3">
      <c r="B9" t="s">
        <v>38</v>
      </c>
      <c r="C9" s="3">
        <v>1.4999999999999999E-2</v>
      </c>
      <c r="D9" t="s">
        <v>20</v>
      </c>
      <c r="F9" t="s">
        <v>30</v>
      </c>
      <c r="G9" s="2">
        <v>4000</v>
      </c>
    </row>
    <row r="10" spans="2:8" x14ac:dyDescent="0.3">
      <c r="B10" t="s">
        <v>36</v>
      </c>
      <c r="C10" s="14">
        <v>30</v>
      </c>
      <c r="D10" t="s">
        <v>37</v>
      </c>
      <c r="F10" t="s">
        <v>57</v>
      </c>
      <c r="G10" s="1">
        <v>0.02</v>
      </c>
      <c r="H10" t="s">
        <v>20</v>
      </c>
    </row>
    <row r="11" spans="2:8" x14ac:dyDescent="0.3">
      <c r="F11" t="s">
        <v>58</v>
      </c>
      <c r="G11" s="1">
        <v>-0.02</v>
      </c>
      <c r="H11" t="s">
        <v>20</v>
      </c>
    </row>
    <row r="12" spans="2:8" x14ac:dyDescent="0.3">
      <c r="B12" t="s">
        <v>39</v>
      </c>
      <c r="C12" s="3">
        <f>C5-C9</f>
        <v>8.5000000000000006E-2</v>
      </c>
      <c r="F12" t="s">
        <v>59</v>
      </c>
      <c r="G12" s="1">
        <v>0.2</v>
      </c>
    </row>
    <row r="13" spans="2:8" x14ac:dyDescent="0.3">
      <c r="B13" t="s">
        <v>35</v>
      </c>
      <c r="C13" s="15">
        <f>C12*(1+C12)^C10/((1+C12)^C10-1)</f>
        <v>9.3050575311267647E-2</v>
      </c>
      <c r="F13" t="s">
        <v>60</v>
      </c>
      <c r="G13" s="21">
        <v>30</v>
      </c>
      <c r="H13" t="s">
        <v>37</v>
      </c>
    </row>
    <row r="14" spans="2:8" x14ac:dyDescent="0.3">
      <c r="B14" t="s">
        <v>26</v>
      </c>
      <c r="C14" s="12">
        <f>-C6+12*(C7-C8)/C13</f>
        <v>-13152.311207245919</v>
      </c>
    </row>
    <row r="16" spans="2:8" x14ac:dyDescent="0.3">
      <c r="B16" t="s">
        <v>43</v>
      </c>
      <c r="H16" s="20">
        <v>-100000</v>
      </c>
    </row>
    <row r="17" spans="2:8" x14ac:dyDescent="0.3">
      <c r="F17" t="s">
        <v>61</v>
      </c>
      <c r="G17">
        <f>($G$5+G11)*(1+($G$5+G11))^$G$13/((1+($G$5+G11))^$G$13-1)</f>
        <v>8.8827433387272267E-2</v>
      </c>
      <c r="H17" s="20">
        <f>12*G9/G17</f>
        <v>540373.60047011927</v>
      </c>
    </row>
    <row r="18" spans="2:8" x14ac:dyDescent="0.3">
      <c r="B18" t="s">
        <v>52</v>
      </c>
      <c r="C18" s="3">
        <v>7.4999999999999997E-2</v>
      </c>
      <c r="D18" t="s">
        <v>20</v>
      </c>
      <c r="F18" t="s">
        <v>62</v>
      </c>
      <c r="G18">
        <f>($G$5+G10)*(1+($G$5+G10))^$G$13/((1+($G$5+G10))^$G$13-1)</f>
        <v>0.12414365755194319</v>
      </c>
      <c r="H18" s="20">
        <f>-12*G8/G18</f>
        <v>-386648.83044803335</v>
      </c>
    </row>
    <row r="19" spans="2:8" x14ac:dyDescent="0.3">
      <c r="B19" t="s">
        <v>53</v>
      </c>
      <c r="C19" s="1">
        <v>0.1</v>
      </c>
      <c r="D19" t="s">
        <v>20</v>
      </c>
      <c r="H19" s="20">
        <f>G12*(G6+G7)/(1+G5)^G13</f>
        <v>5730.8553301167958</v>
      </c>
    </row>
    <row r="20" spans="2:8" x14ac:dyDescent="0.3">
      <c r="B20" t="s">
        <v>34</v>
      </c>
      <c r="C20" s="1">
        <v>0.8</v>
      </c>
      <c r="D20" s="20">
        <f>C20*C7</f>
        <v>2400</v>
      </c>
      <c r="F20" t="s">
        <v>26</v>
      </c>
      <c r="G20" s="20">
        <f>-G6+(-12*G8)/G18+12*G9/G17+G12*(G6+G7)*G12/(1+G5)^G13</f>
        <v>54870.941088109284</v>
      </c>
    </row>
    <row r="21" spans="2:8" x14ac:dyDescent="0.3">
      <c r="B21" t="s">
        <v>47</v>
      </c>
      <c r="C21" s="9">
        <f>IRR(C24:C54,C19)</f>
        <v>9.6009215105995471E-2</v>
      </c>
      <c r="D21" t="s">
        <v>20</v>
      </c>
    </row>
    <row r="22" spans="2:8" x14ac:dyDescent="0.3">
      <c r="C22" s="9"/>
    </row>
    <row r="23" spans="2:8" x14ac:dyDescent="0.3">
      <c r="B23" t="s">
        <v>40</v>
      </c>
      <c r="C23" t="s">
        <v>41</v>
      </c>
    </row>
    <row r="24" spans="2:8" x14ac:dyDescent="0.3">
      <c r="B24">
        <v>0</v>
      </c>
      <c r="C24" s="2">
        <f>-20%*C6</f>
        <v>-80000</v>
      </c>
      <c r="D24" t="s">
        <v>54</v>
      </c>
    </row>
    <row r="25" spans="2:8" x14ac:dyDescent="0.3">
      <c r="B25">
        <v>1</v>
      </c>
      <c r="C25" s="2">
        <f>12*$C$7*D25*(1-$C$20)</f>
        <v>7199.9999999999982</v>
      </c>
      <c r="D25">
        <f>(1+$C$9)^(B25-1)</f>
        <v>1</v>
      </c>
    </row>
    <row r="26" spans="2:8" x14ac:dyDescent="0.3">
      <c r="B26">
        <v>2</v>
      </c>
      <c r="C26" s="2">
        <f t="shared" ref="C26:C54" si="0">12*$C$7*D26*(1-$C$20)</f>
        <v>7307.9999999999982</v>
      </c>
      <c r="D26" s="11">
        <f>(1+$C$9)^(B26-1)</f>
        <v>1.0149999999999999</v>
      </c>
    </row>
    <row r="27" spans="2:8" x14ac:dyDescent="0.3">
      <c r="B27">
        <v>3</v>
      </c>
      <c r="C27" s="2">
        <f t="shared" si="0"/>
        <v>7417.6199999999963</v>
      </c>
      <c r="D27" s="11">
        <f t="shared" ref="D27:D54" si="1">(1+$C$9)^(B27-1)</f>
        <v>1.0302249999999997</v>
      </c>
    </row>
    <row r="28" spans="2:8" x14ac:dyDescent="0.3">
      <c r="B28">
        <v>4</v>
      </c>
      <c r="C28" s="2">
        <f t="shared" si="0"/>
        <v>7528.8842999999952</v>
      </c>
      <c r="D28" s="11">
        <f t="shared" si="1"/>
        <v>1.0456783749999996</v>
      </c>
    </row>
    <row r="29" spans="2:8" x14ac:dyDescent="0.3">
      <c r="B29">
        <v>5</v>
      </c>
      <c r="C29" s="2">
        <f t="shared" si="0"/>
        <v>7641.8175644999938</v>
      </c>
      <c r="D29" s="11">
        <f t="shared" si="1"/>
        <v>1.0613635506249994</v>
      </c>
    </row>
    <row r="30" spans="2:8" x14ac:dyDescent="0.3">
      <c r="B30">
        <v>6</v>
      </c>
      <c r="C30" s="2">
        <f t="shared" si="0"/>
        <v>7756.4448279674934</v>
      </c>
      <c r="D30" s="11">
        <f t="shared" si="1"/>
        <v>1.0772840038843743</v>
      </c>
    </row>
    <row r="31" spans="2:8" x14ac:dyDescent="0.3">
      <c r="B31">
        <v>7</v>
      </c>
      <c r="C31" s="2">
        <f t="shared" si="0"/>
        <v>7872.7915003870039</v>
      </c>
      <c r="D31" s="11">
        <f t="shared" si="1"/>
        <v>1.0934432639426397</v>
      </c>
    </row>
    <row r="32" spans="2:8" x14ac:dyDescent="0.3">
      <c r="B32">
        <v>8</v>
      </c>
      <c r="C32" s="2">
        <f t="shared" si="0"/>
        <v>7990.8833728928075</v>
      </c>
      <c r="D32" s="11">
        <f t="shared" si="1"/>
        <v>1.1098449129017791</v>
      </c>
    </row>
    <row r="33" spans="2:4" x14ac:dyDescent="0.3">
      <c r="B33">
        <v>9</v>
      </c>
      <c r="C33" s="2">
        <f t="shared" si="0"/>
        <v>8110.7466234861986</v>
      </c>
      <c r="D33" s="11">
        <f t="shared" si="1"/>
        <v>1.1264925865953057</v>
      </c>
    </row>
    <row r="34" spans="2:4" x14ac:dyDescent="0.3">
      <c r="B34">
        <v>10</v>
      </c>
      <c r="C34" s="2">
        <f t="shared" si="0"/>
        <v>8232.4078228384915</v>
      </c>
      <c r="D34" s="11">
        <f t="shared" si="1"/>
        <v>1.1433899753942351</v>
      </c>
    </row>
    <row r="35" spans="2:4" x14ac:dyDescent="0.3">
      <c r="B35">
        <v>11</v>
      </c>
      <c r="C35" s="2">
        <f t="shared" si="0"/>
        <v>8355.8939401810676</v>
      </c>
      <c r="D35" s="11">
        <f t="shared" si="1"/>
        <v>1.1605408250251485</v>
      </c>
    </row>
    <row r="36" spans="2:4" x14ac:dyDescent="0.3">
      <c r="B36">
        <v>12</v>
      </c>
      <c r="C36" s="2">
        <f t="shared" si="0"/>
        <v>8481.2323492837841</v>
      </c>
      <c r="D36" s="11">
        <f t="shared" si="1"/>
        <v>1.1779489374005256</v>
      </c>
    </row>
    <row r="37" spans="2:4" x14ac:dyDescent="0.3">
      <c r="B37">
        <v>13</v>
      </c>
      <c r="C37" s="2">
        <f t="shared" si="0"/>
        <v>8608.450834523037</v>
      </c>
      <c r="D37" s="11">
        <f t="shared" si="1"/>
        <v>1.1956181714615333</v>
      </c>
    </row>
    <row r="38" spans="2:4" x14ac:dyDescent="0.3">
      <c r="B38">
        <v>14</v>
      </c>
      <c r="C38" s="2">
        <f t="shared" si="0"/>
        <v>8737.5775970408813</v>
      </c>
      <c r="D38" s="11">
        <f t="shared" si="1"/>
        <v>1.2135524440334562</v>
      </c>
    </row>
    <row r="39" spans="2:4" x14ac:dyDescent="0.3">
      <c r="B39">
        <v>15</v>
      </c>
      <c r="C39" s="2">
        <f t="shared" si="0"/>
        <v>8868.6412609964937</v>
      </c>
      <c r="D39" s="11">
        <f t="shared" si="1"/>
        <v>1.2317557306939577</v>
      </c>
    </row>
    <row r="40" spans="2:4" x14ac:dyDescent="0.3">
      <c r="B40">
        <v>16</v>
      </c>
      <c r="C40" s="2">
        <f t="shared" si="0"/>
        <v>9001.6708799114404</v>
      </c>
      <c r="D40" s="11">
        <f t="shared" si="1"/>
        <v>1.2502320666543669</v>
      </c>
    </row>
    <row r="41" spans="2:4" x14ac:dyDescent="0.3">
      <c r="B41">
        <v>17</v>
      </c>
      <c r="C41" s="2">
        <f t="shared" si="0"/>
        <v>9136.6959431101095</v>
      </c>
      <c r="D41" s="11">
        <f t="shared" si="1"/>
        <v>1.2689855476541823</v>
      </c>
    </row>
    <row r="42" spans="2:4" x14ac:dyDescent="0.3">
      <c r="B42">
        <v>18</v>
      </c>
      <c r="C42" s="2">
        <f t="shared" si="0"/>
        <v>9273.7463822567606</v>
      </c>
      <c r="D42" s="11">
        <f t="shared" si="1"/>
        <v>1.2880203308689948</v>
      </c>
    </row>
    <row r="43" spans="2:4" x14ac:dyDescent="0.3">
      <c r="B43">
        <v>19</v>
      </c>
      <c r="C43" s="2">
        <f t="shared" si="0"/>
        <v>9412.8525779906122</v>
      </c>
      <c r="D43" s="11">
        <f t="shared" si="1"/>
        <v>1.3073406358320296</v>
      </c>
    </row>
    <row r="44" spans="2:4" x14ac:dyDescent="0.3">
      <c r="B44">
        <v>20</v>
      </c>
      <c r="C44" s="2">
        <f t="shared" si="0"/>
        <v>9554.0453666604699</v>
      </c>
      <c r="D44" s="11">
        <f t="shared" si="1"/>
        <v>1.32695074536951</v>
      </c>
    </row>
    <row r="45" spans="2:4" x14ac:dyDescent="0.3">
      <c r="B45">
        <v>21</v>
      </c>
      <c r="C45" s="2">
        <f t="shared" si="0"/>
        <v>9697.3560471603741</v>
      </c>
      <c r="D45" s="11">
        <f t="shared" si="1"/>
        <v>1.3468550065500522</v>
      </c>
    </row>
    <row r="46" spans="2:4" x14ac:dyDescent="0.3">
      <c r="B46">
        <v>22</v>
      </c>
      <c r="C46" s="2">
        <f t="shared" si="0"/>
        <v>9842.8163878677788</v>
      </c>
      <c r="D46" s="11">
        <f t="shared" si="1"/>
        <v>1.3670578316483029</v>
      </c>
    </row>
    <row r="47" spans="2:4" x14ac:dyDescent="0.3">
      <c r="B47">
        <v>23</v>
      </c>
      <c r="C47" s="2">
        <f t="shared" si="0"/>
        <v>9990.4586336857938</v>
      </c>
      <c r="D47" s="11">
        <f t="shared" si="1"/>
        <v>1.3875636991230271</v>
      </c>
    </row>
    <row r="48" spans="2:4" x14ac:dyDescent="0.3">
      <c r="B48">
        <v>24</v>
      </c>
      <c r="C48" s="2">
        <f t="shared" si="0"/>
        <v>10140.315513191079</v>
      </c>
      <c r="D48" s="11">
        <f t="shared" si="1"/>
        <v>1.4083771546098725</v>
      </c>
    </row>
    <row r="49" spans="2:4" x14ac:dyDescent="0.3">
      <c r="B49">
        <v>25</v>
      </c>
      <c r="C49" s="2">
        <f t="shared" si="0"/>
        <v>10292.420245888943</v>
      </c>
      <c r="D49" s="11">
        <f t="shared" si="1"/>
        <v>1.4295028119290203</v>
      </c>
    </row>
    <row r="50" spans="2:4" x14ac:dyDescent="0.3">
      <c r="B50">
        <v>26</v>
      </c>
      <c r="C50" s="2">
        <f t="shared" si="0"/>
        <v>10446.806549577277</v>
      </c>
      <c r="D50" s="11">
        <f t="shared" si="1"/>
        <v>1.4509453541079556</v>
      </c>
    </row>
    <row r="51" spans="2:4" x14ac:dyDescent="0.3">
      <c r="B51">
        <v>27</v>
      </c>
      <c r="C51" s="2">
        <f t="shared" si="0"/>
        <v>10603.508647820934</v>
      </c>
      <c r="D51" s="11">
        <f t="shared" si="1"/>
        <v>1.4727095344195746</v>
      </c>
    </row>
    <row r="52" spans="2:4" x14ac:dyDescent="0.3">
      <c r="B52">
        <v>28</v>
      </c>
      <c r="C52" s="2">
        <f t="shared" si="0"/>
        <v>10762.561277538247</v>
      </c>
      <c r="D52" s="11">
        <f t="shared" si="1"/>
        <v>1.4948001774358681</v>
      </c>
    </row>
    <row r="53" spans="2:4" x14ac:dyDescent="0.3">
      <c r="B53">
        <v>29</v>
      </c>
      <c r="C53" s="2">
        <f t="shared" si="0"/>
        <v>10923.999696701319</v>
      </c>
      <c r="D53" s="11">
        <f t="shared" si="1"/>
        <v>1.5172221800974057</v>
      </c>
    </row>
    <row r="54" spans="2:4" x14ac:dyDescent="0.3">
      <c r="B54">
        <v>30</v>
      </c>
      <c r="C54" s="2">
        <f t="shared" si="0"/>
        <v>11087.859692151838</v>
      </c>
      <c r="D54" s="11">
        <f t="shared" si="1"/>
        <v>1.5399805127988668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DD4-87A8-4340-A348-C1C834520CB9}">
  <dimension ref="B2:H17"/>
  <sheetViews>
    <sheetView workbookViewId="0">
      <selection activeCell="G17" sqref="G17"/>
    </sheetView>
  </sheetViews>
  <sheetFormatPr defaultRowHeight="14.4" x14ac:dyDescent="0.3"/>
  <cols>
    <col min="3" max="4" width="14" bestFit="1" customWidth="1"/>
    <col min="8" max="8" width="14" bestFit="1" customWidth="1"/>
  </cols>
  <sheetData>
    <row r="2" spans="2:8" x14ac:dyDescent="0.3">
      <c r="B2" s="16" t="s">
        <v>44</v>
      </c>
    </row>
    <row r="3" spans="2:8" x14ac:dyDescent="0.3">
      <c r="B3" t="s">
        <v>55</v>
      </c>
      <c r="G3" t="s">
        <v>56</v>
      </c>
    </row>
    <row r="4" spans="2:8" x14ac:dyDescent="0.3">
      <c r="B4" s="18" t="s">
        <v>45</v>
      </c>
      <c r="C4" s="18" t="s">
        <v>46</v>
      </c>
      <c r="G4" s="18" t="s">
        <v>45</v>
      </c>
      <c r="H4" s="18" t="s">
        <v>46</v>
      </c>
    </row>
    <row r="5" spans="2:8" x14ac:dyDescent="0.3">
      <c r="B5">
        <v>0</v>
      </c>
      <c r="C5" s="17">
        <v>-100000</v>
      </c>
      <c r="D5" s="17"/>
      <c r="G5">
        <v>0</v>
      </c>
      <c r="H5" s="17">
        <v>-50000</v>
      </c>
    </row>
    <row r="6" spans="2:8" x14ac:dyDescent="0.3">
      <c r="B6">
        <v>1</v>
      </c>
      <c r="C6" s="17">
        <v>10000</v>
      </c>
      <c r="D6" s="17"/>
      <c r="G6">
        <v>1</v>
      </c>
      <c r="H6" s="17">
        <v>-5000</v>
      </c>
    </row>
    <row r="7" spans="2:8" x14ac:dyDescent="0.3">
      <c r="B7">
        <v>2</v>
      </c>
      <c r="C7" s="17">
        <v>12000</v>
      </c>
      <c r="D7" s="17"/>
      <c r="G7">
        <v>2</v>
      </c>
      <c r="H7" s="17">
        <v>10000</v>
      </c>
    </row>
    <row r="8" spans="2:8" x14ac:dyDescent="0.3">
      <c r="B8">
        <v>3</v>
      </c>
      <c r="C8" s="17">
        <v>14000</v>
      </c>
      <c r="D8" s="17"/>
      <c r="G8">
        <v>3</v>
      </c>
      <c r="H8" s="17">
        <v>25000</v>
      </c>
    </row>
    <row r="9" spans="2:8" x14ac:dyDescent="0.3">
      <c r="B9">
        <v>4</v>
      </c>
      <c r="C9" s="17">
        <v>16000</v>
      </c>
      <c r="D9" s="17"/>
      <c r="G9">
        <v>4</v>
      </c>
      <c r="H9" s="17">
        <v>40000</v>
      </c>
    </row>
    <row r="10" spans="2:8" x14ac:dyDescent="0.3">
      <c r="B10">
        <v>5</v>
      </c>
      <c r="C10" s="17">
        <v>150000</v>
      </c>
      <c r="D10" s="17"/>
      <c r="H10" s="17"/>
    </row>
    <row r="12" spans="2:8" x14ac:dyDescent="0.3">
      <c r="B12" s="18" t="s">
        <v>48</v>
      </c>
      <c r="C12" s="9">
        <f>IRR(C5:C10, 20%)</f>
        <v>0.17838167453666909</v>
      </c>
      <c r="G12" s="18" t="s">
        <v>48</v>
      </c>
      <c r="H12" s="9">
        <f>IRR(H5:H9, 20%)</f>
        <v>9.8902698095380437E-2</v>
      </c>
    </row>
    <row r="13" spans="2:8" x14ac:dyDescent="0.3">
      <c r="B13" s="18" t="s">
        <v>49</v>
      </c>
      <c r="C13" s="9">
        <f>MIRR(C5:C10,B16,B17)</f>
        <v>0.16101764324934886</v>
      </c>
      <c r="G13" s="18" t="s">
        <v>49</v>
      </c>
      <c r="H13" s="9">
        <f>MIRR(H5:H9,G16,G17)</f>
        <v>9.8893615040549943E-2</v>
      </c>
    </row>
    <row r="16" spans="2:8" x14ac:dyDescent="0.3">
      <c r="B16" s="19">
        <v>6.5000000000000002E-2</v>
      </c>
      <c r="C16" t="s">
        <v>50</v>
      </c>
      <c r="G16" s="19">
        <v>0.09</v>
      </c>
      <c r="H16" t="s">
        <v>50</v>
      </c>
    </row>
    <row r="17" spans="2:8" x14ac:dyDescent="0.3">
      <c r="B17" s="19">
        <v>7.0000000000000007E-2</v>
      </c>
      <c r="C17" t="s">
        <v>51</v>
      </c>
      <c r="G17" s="19">
        <v>0.1</v>
      </c>
      <c r="H17" t="s">
        <v>51</v>
      </c>
    </row>
  </sheetData>
  <hyperlinks>
    <hyperlink ref="B2" r:id="rId1" xr:uid="{CBF3A42D-2488-4174-A709-A4DA5388A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MatFin</vt:lpstr>
      <vt:lpstr>Diversificação</vt:lpstr>
      <vt:lpstr>TIR</vt:lpstr>
      <vt:lpstr>Imóveis</vt:lpstr>
      <vt:lpstr>Exemplo Investopedia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2024-11-15T16:50:04Z</dcterms:created>
  <dcterms:modified xsi:type="dcterms:W3CDTF">2024-11-23T23:50:44Z</dcterms:modified>
</cp:coreProperties>
</file>