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fpdr\Google Drive\Palestras\AvaliacaoAlugueis\refs\"/>
    </mc:Choice>
  </mc:AlternateContent>
  <xr:revisionPtr revIDLastSave="0" documentId="13_ncr:1_{7F820745-44D3-4814-B3EE-3738C5FCDDDE}" xr6:coauthVersionLast="47" xr6:coauthVersionMax="47" xr10:uidLastSave="{00000000-0000-0000-0000-000000000000}"/>
  <bookViews>
    <workbookView xWindow="-96" yWindow="0" windowWidth="11712" windowHeight="12336" tabRatio="844" activeTab="4" xr2:uid="{9389C8A3-18A9-4081-9DD7-8C6F50757DD9}"/>
  </bookViews>
  <sheets>
    <sheet name="MatFin" sheetId="2" r:id="rId1"/>
    <sheet name="MCA" sheetId="7" r:id="rId2"/>
    <sheet name="Inflação" sheetId="6" r:id="rId3"/>
    <sheet name="TIR" sheetId="4" r:id="rId4"/>
    <sheet name="Imóveis" sheetId="3" r:id="rId5"/>
    <sheet name="Exemplo Investopedia" sheetId="5" r:id="rId6"/>
    <sheet name="Diversificação" sheetId="1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6" i="3" l="1"/>
  <c r="F25" i="3"/>
  <c r="F24" i="3"/>
  <c r="F16" i="3"/>
  <c r="F14" i="3"/>
  <c r="F13" i="3"/>
  <c r="B26" i="3"/>
  <c r="C27" i="3"/>
  <c r="B27" i="3" s="1"/>
  <c r="C28" i="3"/>
  <c r="B28" i="3" s="1"/>
  <c r="C29" i="3"/>
  <c r="B29" i="3" s="1"/>
  <c r="C30" i="3"/>
  <c r="B30" i="3" s="1"/>
  <c r="C31" i="3"/>
  <c r="B31" i="3" s="1"/>
  <c r="C32" i="3"/>
  <c r="B32" i="3" s="1"/>
  <c r="C33" i="3"/>
  <c r="B33" i="3" s="1"/>
  <c r="C34" i="3"/>
  <c r="B34" i="3" s="1"/>
  <c r="C35" i="3"/>
  <c r="B35" i="3" s="1"/>
  <c r="C36" i="3"/>
  <c r="B36" i="3" s="1"/>
  <c r="C37" i="3"/>
  <c r="B37" i="3" s="1"/>
  <c r="C38" i="3"/>
  <c r="B38" i="3" s="1"/>
  <c r="C39" i="3"/>
  <c r="B39" i="3" s="1"/>
  <c r="C40" i="3"/>
  <c r="B40" i="3" s="1"/>
  <c r="C41" i="3"/>
  <c r="B41" i="3" s="1"/>
  <c r="C42" i="3"/>
  <c r="B42" i="3" s="1"/>
  <c r="C43" i="3"/>
  <c r="B43" i="3" s="1"/>
  <c r="C44" i="3"/>
  <c r="B44" i="3" s="1"/>
  <c r="C45" i="3"/>
  <c r="B45" i="3" s="1"/>
  <c r="C46" i="3"/>
  <c r="B46" i="3" s="1"/>
  <c r="C47" i="3"/>
  <c r="B47" i="3" s="1"/>
  <c r="C48" i="3"/>
  <c r="B48" i="3" s="1"/>
  <c r="C49" i="3"/>
  <c r="B49" i="3" s="1"/>
  <c r="C50" i="3"/>
  <c r="B50" i="3" s="1"/>
  <c r="C51" i="3"/>
  <c r="B51" i="3" s="1"/>
  <c r="C52" i="3"/>
  <c r="B52" i="3" s="1"/>
  <c r="C53" i="3"/>
  <c r="B53" i="3" s="1"/>
  <c r="C54" i="3"/>
  <c r="B54" i="3" s="1"/>
  <c r="C55" i="3"/>
  <c r="B55" i="3" s="1"/>
  <c r="C56" i="3"/>
  <c r="B56" i="3" s="1"/>
  <c r="B57" i="7"/>
  <c r="B56" i="7"/>
  <c r="B54" i="7"/>
  <c r="B52" i="7"/>
  <c r="B53" i="7"/>
  <c r="B51" i="7"/>
  <c r="C41" i="7"/>
  <c r="D41" i="7"/>
  <c r="B41" i="7"/>
  <c r="B42" i="7" s="1"/>
  <c r="D40" i="7"/>
  <c r="C40" i="7"/>
  <c r="B40" i="7"/>
  <c r="C37" i="7"/>
  <c r="C39" i="7" s="1"/>
  <c r="B37" i="7"/>
  <c r="B39" i="7" s="1"/>
  <c r="C36" i="7"/>
  <c r="D36" i="7"/>
  <c r="D37" i="7" s="1"/>
  <c r="D39" i="7" s="1"/>
  <c r="B36" i="7"/>
  <c r="F19" i="2"/>
  <c r="F17" i="2"/>
  <c r="B23" i="6"/>
  <c r="B24" i="6" s="1"/>
  <c r="B20" i="6"/>
  <c r="B14" i="6"/>
  <c r="B12" i="6"/>
  <c r="B13" i="6" s="1"/>
  <c r="C8" i="6"/>
  <c r="B4" i="6"/>
  <c r="H11" i="4"/>
  <c r="D11" i="4"/>
  <c r="G13" i="4"/>
  <c r="H13" i="4" s="1"/>
  <c r="G14" i="4"/>
  <c r="H14" i="4" s="1"/>
  <c r="G15" i="4"/>
  <c r="H15" i="4" s="1"/>
  <c r="G12" i="4"/>
  <c r="H12" i="4" s="1"/>
  <c r="C13" i="4"/>
  <c r="D13" i="4" s="1"/>
  <c r="C14" i="4"/>
  <c r="D14" i="4" s="1"/>
  <c r="C15" i="4"/>
  <c r="D15" i="4" s="1"/>
  <c r="C16" i="4"/>
  <c r="D16" i="4" s="1"/>
  <c r="C12" i="4"/>
  <c r="D12" i="4" s="1"/>
  <c r="H19" i="4"/>
  <c r="D19" i="4"/>
  <c r="M19" i="3"/>
  <c r="L17" i="3"/>
  <c r="M17" i="3" s="1"/>
  <c r="L18" i="3"/>
  <c r="M18" i="3" s="1"/>
  <c r="M20" i="3" s="1"/>
  <c r="C8" i="3"/>
  <c r="C22" i="3"/>
  <c r="H13" i="5"/>
  <c r="H12" i="5"/>
  <c r="C13" i="5"/>
  <c r="C12" i="5"/>
  <c r="B12" i="3"/>
  <c r="B13" i="3" s="1"/>
  <c r="B14" i="3" s="1"/>
  <c r="F12" i="2"/>
  <c r="F5" i="2"/>
  <c r="C14" i="2"/>
  <c r="C9" i="2"/>
  <c r="C4" i="2"/>
  <c r="N6" i="1"/>
  <c r="M6" i="1"/>
  <c r="M5" i="1"/>
  <c r="N5" i="1" s="1"/>
  <c r="N7" i="1" s="1"/>
  <c r="E6" i="1"/>
  <c r="E5" i="1"/>
  <c r="G6" i="1"/>
  <c r="I6" i="1" s="1"/>
  <c r="G5" i="1"/>
  <c r="I5" i="1" s="1"/>
  <c r="B23" i="3" l="1"/>
  <c r="B15" i="3"/>
  <c r="C15" i="3" s="1"/>
  <c r="F17" i="3"/>
  <c r="L20" i="3"/>
  <c r="D42" i="7"/>
  <c r="C42" i="7"/>
  <c r="F8" i="2"/>
  <c r="B21" i="6"/>
  <c r="H21" i="4"/>
  <c r="D21" i="4"/>
  <c r="D8" i="4"/>
  <c r="H20" i="4"/>
  <c r="H23" i="4" s="1"/>
  <c r="H8" i="4"/>
  <c r="D20" i="4"/>
  <c r="D23" i="4" s="1"/>
  <c r="I7" i="1"/>
  <c r="J6" i="1" s="1"/>
  <c r="K6" i="1" s="1"/>
  <c r="E7" i="1"/>
  <c r="J5" i="1" l="1"/>
  <c r="K5" i="1" s="1"/>
  <c r="K7" i="1" s="1"/>
</calcChain>
</file>

<file path=xl/sharedStrings.xml><?xml version="1.0" encoding="utf-8"?>
<sst xmlns="http://schemas.openxmlformats.org/spreadsheetml/2006/main" count="234" uniqueCount="149">
  <si>
    <t>A</t>
  </si>
  <si>
    <t>B</t>
  </si>
  <si>
    <t>P0</t>
  </si>
  <si>
    <t>P1</t>
  </si>
  <si>
    <t>P2</t>
  </si>
  <si>
    <t>Q_1</t>
  </si>
  <si>
    <t>P0.Q0</t>
  </si>
  <si>
    <t>Q0</t>
  </si>
  <si>
    <t>P1.Q1</t>
  </si>
  <si>
    <t>Q2</t>
  </si>
  <si>
    <t>Q2.P1</t>
  </si>
  <si>
    <t>P2.Q2</t>
  </si>
  <si>
    <t>PMT</t>
  </si>
  <si>
    <t>PV</t>
  </si>
  <si>
    <t>i</t>
  </si>
  <si>
    <t>NPER</t>
  </si>
  <si>
    <t>T</t>
  </si>
  <si>
    <t>FRC</t>
  </si>
  <si>
    <t>Taxa Mensal</t>
  </si>
  <si>
    <t>Taxa anual</t>
  </si>
  <si>
    <t>a.a.</t>
  </si>
  <si>
    <t>Fator de Recuperação do Capital (FRC)</t>
  </si>
  <si>
    <t>Terreno</t>
  </si>
  <si>
    <t>Custo Construção</t>
  </si>
  <si>
    <t>a.m.</t>
  </si>
  <si>
    <t>I</t>
  </si>
  <si>
    <t>VPL</t>
  </si>
  <si>
    <t>R</t>
  </si>
  <si>
    <t>TIR</t>
  </si>
  <si>
    <t>TMA</t>
  </si>
  <si>
    <t>Aluguel</t>
  </si>
  <si>
    <t>/mês</t>
  </si>
  <si>
    <t>Parcela</t>
  </si>
  <si>
    <t>Valor de Venda</t>
  </si>
  <si>
    <t>Custos</t>
  </si>
  <si>
    <t>Períodos</t>
  </si>
  <si>
    <t>anos</t>
  </si>
  <si>
    <t>Expectativa de aumento</t>
  </si>
  <si>
    <t>Ano</t>
  </si>
  <si>
    <t>FC</t>
  </si>
  <si>
    <t>1. Aquisição de imóvel para locação com recursos próprios</t>
  </si>
  <si>
    <t>2. Aquisição de imóvel com financiamento</t>
  </si>
  <si>
    <t>https://www.investopedia.com/articles/investing/102715/calculating-internal-rate-return-using-excel.asp</t>
  </si>
  <si>
    <t>(1) Year</t>
  </si>
  <si>
    <t>(1) Cash Flow</t>
  </si>
  <si>
    <t>IRR</t>
  </si>
  <si>
    <t>IRR (1)</t>
  </si>
  <si>
    <t>MIRR (1)</t>
  </si>
  <si>
    <t>Taxa de financiamento (hipoteca)</t>
  </si>
  <si>
    <t>Taxa de reinvestimento (aluguéis)</t>
  </si>
  <si>
    <t>Taxa de Financiamento</t>
  </si>
  <si>
    <t>Taxa de Investimento</t>
  </si>
  <si>
    <t>Entrada</t>
  </si>
  <si>
    <t>Real Estate</t>
  </si>
  <si>
    <t>Startup</t>
  </si>
  <si>
    <t>Taxa Aluguel</t>
  </si>
  <si>
    <t>Taxa Parcela</t>
  </si>
  <si>
    <t>Residual</t>
  </si>
  <si>
    <t>Prazo</t>
  </si>
  <si>
    <t>FRC_R</t>
  </si>
  <si>
    <t>FRC_C</t>
  </si>
  <si>
    <t>FRC(15%,5)</t>
  </si>
  <si>
    <t>FRC(15%,4)</t>
  </si>
  <si>
    <t>Projeto 1</t>
  </si>
  <si>
    <t>Projeto 2</t>
  </si>
  <si>
    <t>VGV</t>
  </si>
  <si>
    <t>Lucratividade</t>
  </si>
  <si>
    <t>Período</t>
  </si>
  <si>
    <t>Investimento</t>
  </si>
  <si>
    <t>Rentabilidade</t>
  </si>
  <si>
    <t>Taxa de juros real</t>
  </si>
  <si>
    <t>Taxa de inflação (d)</t>
  </si>
  <si>
    <t>Taxa aparente (e)</t>
  </si>
  <si>
    <t>taxa de juros real (i)</t>
  </si>
  <si>
    <t>Custo equipamento:</t>
  </si>
  <si>
    <t>Taxa de juros (aparente)</t>
  </si>
  <si>
    <t>Inflação</t>
  </si>
  <si>
    <t>Parcelas</t>
  </si>
  <si>
    <t>FRC(2%,10)</t>
  </si>
  <si>
    <t>Prestação:</t>
  </si>
  <si>
    <t>Entrada:</t>
  </si>
  <si>
    <t>Taxa de juros real:</t>
  </si>
  <si>
    <t>Exemplo 2:</t>
  </si>
  <si>
    <t>Taxa de inflação:</t>
  </si>
  <si>
    <t>Taxa de juros aparente:</t>
  </si>
  <si>
    <t>FRC(2,91%,10)</t>
  </si>
  <si>
    <t>Exemplo 2 (dada taxa de juros real desejada e inflação, calcular a prestação):</t>
  </si>
  <si>
    <t>Exemplo 1 (dada a taxa de juros aparente e a inflação, calcular a prestação e a taxa de juros real):</t>
  </si>
  <si>
    <t>FVP</t>
  </si>
  <si>
    <t>Fator de Valor Presente (inverso do FRC)</t>
  </si>
  <si>
    <t>Fator de Atualização Composta (FAC)</t>
  </si>
  <si>
    <t>Uma fábrica de artefatos de papel planeja construir um armazém destinado a estocar bobinas de papel.</t>
  </si>
  <si>
    <t xml:space="preserve">Para descarregar as bobinas dos caminhões de entrega, empilhá-las no armazém e transportá-las até as </t>
  </si>
  <si>
    <t>máquinas, três sistemas de transporte são tecnicamente viáveis</t>
  </si>
  <si>
    <t>A. Uma plataforma-elevadora manual, operada por dois homens, em conjugação com carrinhos de mão, operados por quatro homens</t>
  </si>
  <si>
    <t>B. Uma empilhadeira motorizada, com dispositivo especial, para abraçar bobinas e empilhá-las. Executa todo o serviço com apenas um motorista</t>
  </si>
  <si>
    <t>C. Uma ponte rolante, manobrada por um guindasteiro e um ajudante, em conjugação com carrinhos de mão operados por quatro homens</t>
  </si>
  <si>
    <t>São dados:</t>
  </si>
  <si>
    <t>a) Custo da mão-de-obra braçal:</t>
  </si>
  <si>
    <t>/ano</t>
  </si>
  <si>
    <t>b) Custo da mão-de-obra de motorista de empilhadeira ou de guindasteiro:</t>
  </si>
  <si>
    <t>c) número de turnos de trabalho:</t>
  </si>
  <si>
    <t>de 8 horas</t>
  </si>
  <si>
    <t>Sistema A</t>
  </si>
  <si>
    <t>Sistema B</t>
  </si>
  <si>
    <t>Sistema C</t>
  </si>
  <si>
    <t>Custo inicial</t>
  </si>
  <si>
    <t>Valor residual</t>
  </si>
  <si>
    <t>Taxa de retorno</t>
  </si>
  <si>
    <t>Impostos e seguros</t>
  </si>
  <si>
    <t>Despesas anuais gerais</t>
  </si>
  <si>
    <t>Força e combustível</t>
  </si>
  <si>
    <t>Mão-de-obra manutenção</t>
  </si>
  <si>
    <t>Sobressalentes</t>
  </si>
  <si>
    <t>Suprimentos diversos</t>
  </si>
  <si>
    <t>Tempo de depreciação legal</t>
  </si>
  <si>
    <t>Custo de Capital</t>
  </si>
  <si>
    <t>Solução:</t>
  </si>
  <si>
    <t>FRC(20%,5)</t>
  </si>
  <si>
    <t>Tempo de depreciação contábil</t>
  </si>
  <si>
    <t>Impostos e Seguros</t>
  </si>
  <si>
    <t>TOTAL DE CUSTOS FIXOS</t>
  </si>
  <si>
    <t>TOTAL DE CUSTOS VARIÁVEIS</t>
  </si>
  <si>
    <t>Vida estimada (anos)</t>
  </si>
  <si>
    <t>Mão-de-Obra direta</t>
  </si>
  <si>
    <t>TOTAL DE CUSTOS ANUAIS</t>
  </si>
  <si>
    <t>Lubrificantes</t>
  </si>
  <si>
    <t>Imóvel</t>
  </si>
  <si>
    <t>C</t>
  </si>
  <si>
    <t>L</t>
  </si>
  <si>
    <t>Taxa de retorno:</t>
  </si>
  <si>
    <t>P</t>
  </si>
  <si>
    <t>(C-L)</t>
  </si>
  <si>
    <t>FRC(10%,30)</t>
  </si>
  <si>
    <t>L.i</t>
  </si>
  <si>
    <t>cap rate (c)</t>
  </si>
  <si>
    <t>FRC(8,5%,30)</t>
  </si>
  <si>
    <t>L (residual)</t>
  </si>
  <si>
    <t>FAC</t>
  </si>
  <si>
    <t>2. Aquisição de imóvel para moradia com entrada (20%) + financiamento (80%)</t>
  </si>
  <si>
    <t>3. Aquisição de imóvel para moradia com entrada (20%) + financiamento (80%), com parcelas e aluguéis variando</t>
  </si>
  <si>
    <t>4. Aquisição e venda de terreno considerando inflação (Machline, p. 78)</t>
  </si>
  <si>
    <t>Aquisição</t>
  </si>
  <si>
    <t>(em 1960)</t>
  </si>
  <si>
    <t>Venda</t>
  </si>
  <si>
    <t>(em 1964</t>
  </si>
  <si>
    <t>(1964-1960)</t>
  </si>
  <si>
    <t>Taxa real (i)</t>
  </si>
  <si>
    <t>Inflação (d)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</si>
</sst>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0.000%"/>
    <numFmt numFmtId="165" formatCode="0.0000"/>
    <numFmt numFmtId="166" formatCode="0.0%"/>
    <numFmt numFmtId="167" formatCode="_-&quot;R$&quot;\ * #,##0.0000_-;\-&quot;R$&quot;\ * #,##0.0000_-;_-&quot;R$&quot;\ * &quot;-&quot;????_-;_-@_-"/>
    <numFmt numFmtId="168" formatCode="_-&quot;R$&quot;\ * #,##0.00_-;\-&quot;R$&quot;\ * #,##0.00_-;_-&quot;R$&quot;\ * &quot;-&quot;????_-;_-@_-"/>
    <numFmt numFmtId="169" formatCode="#,##0_ ;\-#,##0\ "/>
    <numFmt numFmtId="170" formatCode="_-[$R$-416]\ * #,##0.00_-;\-[$R$-416]\ * #,##0.00_-;_-[$R$-416]\ * &quot;-&quot;??_-;_-@_-"/>
    <numFmt numFmtId="171" formatCode="0.00000"/>
    <numFmt numFmtId="172" formatCode="_-&quot;R$&quot;\ * #,##0.00_-;\-&quot;R$&quot;\ * #,##0.00_-;_-&quot;R$&quot;\ * &quot;-&quot;?????_-;_-@_-"/>
    <numFmt numFmtId="173" formatCode="0.000"/>
    <numFmt numFmtId="174" formatCode="_-&quot;R$&quot;\ * #,##0.000_-;\-&quot;R$&quot;\ * #,##0.000_-;_-&quot;R$&quot;\ * &quot;-&quot;???_-;_-@_-"/>
    <numFmt numFmtId="175" formatCode="_-&quot;R$&quot;\ * #,##0_-;\-&quot;R$&quot;\ * #,##0_-;_-&quot;R$&quot;\ * &quot;-&quot;?????_-;_-@_-"/>
    <numFmt numFmtId="176" formatCode="_-&quot;R$&quot;\ * #,##0_-;\-&quot;R$&quot;\ * #,##0_-;_-&quot;R$&quot;\ * &quot;-&quot;??_-;_-@_-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35">
    <xf numFmtId="0" fontId="0" fillId="0" borderId="0" xfId="0"/>
    <xf numFmtId="9" fontId="0" fillId="0" borderId="0" xfId="0" applyNumberFormat="1"/>
    <xf numFmtId="44" fontId="0" fillId="0" borderId="0" xfId="1" applyFont="1"/>
    <xf numFmtId="10" fontId="0" fillId="0" borderId="0" xfId="0" applyNumberFormat="1"/>
    <xf numFmtId="164" fontId="0" fillId="0" borderId="0" xfId="2" applyNumberFormat="1" applyFont="1"/>
    <xf numFmtId="164" fontId="0" fillId="0" borderId="0" xfId="0" applyNumberFormat="1"/>
    <xf numFmtId="8" fontId="0" fillId="0" borderId="0" xfId="0" applyNumberFormat="1"/>
    <xf numFmtId="10" fontId="0" fillId="0" borderId="0" xfId="2" applyNumberFormat="1" applyFont="1"/>
    <xf numFmtId="165" fontId="0" fillId="0" borderId="0" xfId="2" applyNumberFormat="1" applyFont="1"/>
    <xf numFmtId="166" fontId="0" fillId="0" borderId="0" xfId="0" applyNumberFormat="1"/>
    <xf numFmtId="9" fontId="0" fillId="0" borderId="0" xfId="2" applyFont="1"/>
    <xf numFmtId="166" fontId="0" fillId="0" borderId="0" xfId="2" applyNumberFormat="1" applyFont="1"/>
    <xf numFmtId="167" fontId="0" fillId="0" borderId="0" xfId="0" applyNumberFormat="1"/>
    <xf numFmtId="168" fontId="0" fillId="0" borderId="0" xfId="0" applyNumberFormat="1"/>
    <xf numFmtId="169" fontId="0" fillId="0" borderId="0" xfId="1" applyNumberFormat="1" applyFont="1"/>
    <xf numFmtId="165" fontId="0" fillId="0" borderId="0" xfId="0" applyNumberFormat="1"/>
    <xf numFmtId="0" fontId="3" fillId="0" borderId="0" xfId="3"/>
    <xf numFmtId="170" fontId="0" fillId="0" borderId="0" xfId="0" applyNumberFormat="1"/>
    <xf numFmtId="0" fontId="2" fillId="0" borderId="0" xfId="0" applyFont="1"/>
    <xf numFmtId="10" fontId="0" fillId="2" borderId="0" xfId="0" applyNumberFormat="1" applyFill="1"/>
    <xf numFmtId="44" fontId="0" fillId="0" borderId="0" xfId="0" applyNumberFormat="1"/>
    <xf numFmtId="1" fontId="0" fillId="0" borderId="0" xfId="0" applyNumberFormat="1"/>
    <xf numFmtId="0" fontId="0" fillId="2" borderId="0" xfId="0" applyFill="1"/>
    <xf numFmtId="44" fontId="0" fillId="2" borderId="0" xfId="1" applyFont="1" applyFill="1"/>
    <xf numFmtId="9" fontId="0" fillId="2" borderId="0" xfId="0" applyNumberFormat="1" applyFill="1"/>
    <xf numFmtId="0" fontId="2" fillId="0" borderId="0" xfId="0" applyFont="1" applyAlignment="1">
      <alignment horizontal="center" vertical="center"/>
    </xf>
    <xf numFmtId="171" fontId="0" fillId="0" borderId="0" xfId="0" applyNumberFormat="1"/>
    <xf numFmtId="172" fontId="0" fillId="0" borderId="0" xfId="0" applyNumberFormat="1"/>
    <xf numFmtId="173" fontId="0" fillId="0" borderId="0" xfId="0" applyNumberFormat="1"/>
    <xf numFmtId="174" fontId="0" fillId="0" borderId="0" xfId="0" applyNumberFormat="1"/>
    <xf numFmtId="175" fontId="0" fillId="0" borderId="0" xfId="0" applyNumberFormat="1"/>
    <xf numFmtId="175" fontId="2" fillId="0" borderId="0" xfId="0" applyNumberFormat="1" applyFont="1"/>
    <xf numFmtId="176" fontId="2" fillId="0" borderId="0" xfId="0" applyNumberFormat="1" applyFont="1"/>
    <xf numFmtId="165" fontId="0" fillId="0" borderId="0" xfId="1" applyNumberFormat="1" applyFont="1"/>
    <xf numFmtId="44" fontId="2" fillId="0" borderId="0" xfId="0" applyNumberFormat="1" applyFont="1"/>
  </cellXfs>
  <cellStyles count="4">
    <cellStyle name="Currency" xfId="1" builtinId="4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nvestopedia.com/articles/investing/102715/calculating-internal-rate-return-using-excel.as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EAB5D-F467-4607-A8E2-0004E1882D74}">
  <dimension ref="B1:G21"/>
  <sheetViews>
    <sheetView topLeftCell="D1" workbookViewId="0">
      <selection activeCell="H2" sqref="H2"/>
    </sheetView>
  </sheetViews>
  <sheetFormatPr defaultRowHeight="14.4" x14ac:dyDescent="0.3"/>
  <cols>
    <col min="2" max="2" width="27.44140625" bestFit="1" customWidth="1"/>
    <col min="3" max="4" width="17.6640625" bestFit="1" customWidth="1"/>
    <col min="5" max="5" width="15.5546875" bestFit="1" customWidth="1"/>
    <col min="6" max="6" width="16.5546875" bestFit="1" customWidth="1"/>
    <col min="7" max="7" width="16" bestFit="1" customWidth="1"/>
  </cols>
  <sheetData>
    <row r="1" spans="2:7" x14ac:dyDescent="0.3">
      <c r="B1" t="s">
        <v>15</v>
      </c>
      <c r="C1">
        <v>12</v>
      </c>
      <c r="E1" s="18" t="s">
        <v>21</v>
      </c>
    </row>
    <row r="2" spans="2:7" x14ac:dyDescent="0.3">
      <c r="B2" t="s">
        <v>12</v>
      </c>
      <c r="C2" s="2">
        <v>1000</v>
      </c>
    </row>
    <row r="3" spans="2:7" x14ac:dyDescent="0.3">
      <c r="B3" t="s">
        <v>13</v>
      </c>
      <c r="C3" s="2">
        <v>-10000</v>
      </c>
      <c r="E3" t="s">
        <v>16</v>
      </c>
      <c r="F3">
        <v>60</v>
      </c>
    </row>
    <row r="4" spans="2:7" x14ac:dyDescent="0.3">
      <c r="B4" t="s">
        <v>14</v>
      </c>
      <c r="C4" s="3">
        <f>RATE(C1,C2,C3)</f>
        <v>2.9228540769138309E-2</v>
      </c>
      <c r="E4" t="s">
        <v>14</v>
      </c>
      <c r="F4" s="5">
        <v>7.6E-3</v>
      </c>
    </row>
    <row r="5" spans="2:7" x14ac:dyDescent="0.3">
      <c r="E5" t="s">
        <v>17</v>
      </c>
      <c r="F5" s="8">
        <f>F4*(1+F4)^F3/((1+F4)^F3-1)</f>
        <v>2.0816643451475457E-2</v>
      </c>
    </row>
    <row r="6" spans="2:7" x14ac:dyDescent="0.3">
      <c r="B6" t="s">
        <v>14</v>
      </c>
      <c r="C6" s="3">
        <v>7.6E-3</v>
      </c>
      <c r="E6" t="s">
        <v>25</v>
      </c>
      <c r="F6" s="2">
        <v>95000</v>
      </c>
    </row>
    <row r="7" spans="2:7" x14ac:dyDescent="0.3">
      <c r="B7" t="s">
        <v>13</v>
      </c>
      <c r="C7">
        <v>4000</v>
      </c>
      <c r="E7" t="s">
        <v>27</v>
      </c>
      <c r="F7" s="2">
        <v>2000</v>
      </c>
      <c r="G7" s="12"/>
    </row>
    <row r="8" spans="2:7" x14ac:dyDescent="0.3">
      <c r="B8" t="s">
        <v>15</v>
      </c>
      <c r="C8">
        <v>12</v>
      </c>
      <c r="E8" t="s">
        <v>26</v>
      </c>
      <c r="F8" s="13">
        <f>-F6+F7/F5</f>
        <v>1076.9686362785142</v>
      </c>
    </row>
    <row r="9" spans="2:7" x14ac:dyDescent="0.3">
      <c r="B9" t="s">
        <v>12</v>
      </c>
      <c r="C9" s="6">
        <f>PMT(C6,C8,C7)</f>
        <v>-350.02853643478147</v>
      </c>
    </row>
    <row r="11" spans="2:7" x14ac:dyDescent="0.3">
      <c r="B11" t="s">
        <v>14</v>
      </c>
      <c r="C11" s="3">
        <v>7.6E-3</v>
      </c>
      <c r="E11" t="s">
        <v>19</v>
      </c>
      <c r="F11" s="1">
        <v>0.12</v>
      </c>
      <c r="G11" t="s">
        <v>20</v>
      </c>
    </row>
    <row r="12" spans="2:7" x14ac:dyDescent="0.3">
      <c r="B12" t="s">
        <v>12</v>
      </c>
      <c r="C12">
        <v>2000</v>
      </c>
      <c r="E12" t="s">
        <v>18</v>
      </c>
      <c r="F12" s="7">
        <f>(1+F11)^(1/12)-1</f>
        <v>9.4887929345830457E-3</v>
      </c>
      <c r="G12" t="s">
        <v>24</v>
      </c>
    </row>
    <row r="13" spans="2:7" x14ac:dyDescent="0.3">
      <c r="B13" t="s">
        <v>15</v>
      </c>
      <c r="C13">
        <v>60</v>
      </c>
    </row>
    <row r="14" spans="2:7" x14ac:dyDescent="0.3">
      <c r="B14" t="s">
        <v>13</v>
      </c>
      <c r="C14" s="6">
        <f>PV(C11,C13,C12)</f>
        <v>-96076.968636278529</v>
      </c>
      <c r="E14" s="18" t="s">
        <v>89</v>
      </c>
    </row>
    <row r="15" spans="2:7" x14ac:dyDescent="0.3">
      <c r="E15" t="s">
        <v>16</v>
      </c>
      <c r="F15">
        <v>9</v>
      </c>
    </row>
    <row r="16" spans="2:7" x14ac:dyDescent="0.3">
      <c r="E16" t="s">
        <v>14</v>
      </c>
      <c r="F16" s="1">
        <v>0.03</v>
      </c>
    </row>
    <row r="17" spans="5:6" x14ac:dyDescent="0.3">
      <c r="E17" t="s">
        <v>88</v>
      </c>
      <c r="F17" s="28">
        <f>((1+F16)^F15-1)/(F16*(1+F16)^F15)</f>
        <v>7.7861089218791015</v>
      </c>
    </row>
    <row r="18" spans="5:6" x14ac:dyDescent="0.3">
      <c r="E18" t="s">
        <v>25</v>
      </c>
      <c r="F18" s="2">
        <v>100000</v>
      </c>
    </row>
    <row r="19" spans="5:6" x14ac:dyDescent="0.3">
      <c r="E19" t="s">
        <v>27</v>
      </c>
      <c r="F19" s="29">
        <f>F18/F17</f>
        <v>12843.385701810343</v>
      </c>
    </row>
    <row r="21" spans="5:6" x14ac:dyDescent="0.3">
      <c r="E21" s="18" t="s">
        <v>90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8AA4A-3814-4EF1-9C31-DE87AB888656}">
  <dimension ref="A1:D57"/>
  <sheetViews>
    <sheetView topLeftCell="A33" workbookViewId="0">
      <selection activeCell="A61" sqref="A59:A61"/>
    </sheetView>
  </sheetViews>
  <sheetFormatPr defaultRowHeight="14.4" x14ac:dyDescent="0.3"/>
  <cols>
    <col min="1" max="1" width="27.77734375" customWidth="1"/>
    <col min="2" max="2" width="17.21875" bestFit="1" customWidth="1"/>
    <col min="3" max="4" width="18.6640625" bestFit="1" customWidth="1"/>
  </cols>
  <sheetData>
    <row r="1" spans="1:4" x14ac:dyDescent="0.3">
      <c r="A1" t="s">
        <v>91</v>
      </c>
    </row>
    <row r="2" spans="1:4" x14ac:dyDescent="0.3">
      <c r="A2" t="s">
        <v>92</v>
      </c>
    </row>
    <row r="3" spans="1:4" x14ac:dyDescent="0.3">
      <c r="A3" t="s">
        <v>93</v>
      </c>
    </row>
    <row r="5" spans="1:4" x14ac:dyDescent="0.3">
      <c r="A5" t="s">
        <v>94</v>
      </c>
    </row>
    <row r="6" spans="1:4" x14ac:dyDescent="0.3">
      <c r="A6" t="s">
        <v>95</v>
      </c>
    </row>
    <row r="7" spans="1:4" x14ac:dyDescent="0.3">
      <c r="A7" t="s">
        <v>96</v>
      </c>
    </row>
    <row r="9" spans="1:4" x14ac:dyDescent="0.3">
      <c r="A9" t="s">
        <v>97</v>
      </c>
    </row>
    <row r="11" spans="1:4" x14ac:dyDescent="0.3">
      <c r="A11" t="s">
        <v>98</v>
      </c>
    </row>
    <row r="12" spans="1:4" x14ac:dyDescent="0.3">
      <c r="A12" s="2">
        <v>480000</v>
      </c>
      <c r="B12" t="s">
        <v>99</v>
      </c>
      <c r="C12" s="20"/>
      <c r="D12" s="20"/>
    </row>
    <row r="14" spans="1:4" x14ac:dyDescent="0.3">
      <c r="A14" t="s">
        <v>100</v>
      </c>
    </row>
    <row r="15" spans="1:4" x14ac:dyDescent="0.3">
      <c r="A15" s="2">
        <v>600000</v>
      </c>
      <c r="B15" t="s">
        <v>99</v>
      </c>
    </row>
    <row r="17" spans="1:4" x14ac:dyDescent="0.3">
      <c r="A17" t="s">
        <v>101</v>
      </c>
    </row>
    <row r="18" spans="1:4" x14ac:dyDescent="0.3">
      <c r="A18">
        <v>2</v>
      </c>
      <c r="B18" t="s">
        <v>102</v>
      </c>
    </row>
    <row r="20" spans="1:4" x14ac:dyDescent="0.3">
      <c r="B20" t="s">
        <v>103</v>
      </c>
      <c r="C20" t="s">
        <v>104</v>
      </c>
      <c r="D20" t="s">
        <v>105</v>
      </c>
    </row>
    <row r="21" spans="1:4" x14ac:dyDescent="0.3">
      <c r="A21" t="s">
        <v>106</v>
      </c>
      <c r="B21" s="2">
        <v>750000</v>
      </c>
      <c r="C21" s="2">
        <v>10000000</v>
      </c>
      <c r="D21" s="2">
        <v>15000000</v>
      </c>
    </row>
    <row r="22" spans="1:4" x14ac:dyDescent="0.3">
      <c r="A22" t="s">
        <v>107</v>
      </c>
      <c r="B22" s="2">
        <v>50000</v>
      </c>
      <c r="C22" s="2">
        <v>1000000</v>
      </c>
      <c r="D22" s="2">
        <v>2000000</v>
      </c>
    </row>
    <row r="23" spans="1:4" x14ac:dyDescent="0.3">
      <c r="A23" t="s">
        <v>108</v>
      </c>
      <c r="B23" s="1">
        <v>0.2</v>
      </c>
      <c r="C23" s="1">
        <v>0.2</v>
      </c>
      <c r="D23" s="1">
        <v>0.2</v>
      </c>
    </row>
    <row r="24" spans="1:4" x14ac:dyDescent="0.3">
      <c r="A24" t="s">
        <v>109</v>
      </c>
      <c r="B24" s="1">
        <v>0.02</v>
      </c>
      <c r="C24" s="1">
        <v>0.02</v>
      </c>
      <c r="D24" s="1">
        <v>0.02</v>
      </c>
    </row>
    <row r="25" spans="1:4" x14ac:dyDescent="0.3">
      <c r="A25" t="s">
        <v>110</v>
      </c>
      <c r="B25" s="2">
        <v>30000</v>
      </c>
      <c r="C25" s="2">
        <v>100000</v>
      </c>
      <c r="D25" s="2">
        <v>50000</v>
      </c>
    </row>
    <row r="26" spans="1:4" x14ac:dyDescent="0.3">
      <c r="A26" t="s">
        <v>111</v>
      </c>
      <c r="B26" s="2">
        <v>0</v>
      </c>
      <c r="C26" s="2">
        <v>250000</v>
      </c>
      <c r="D26" s="2">
        <v>100000</v>
      </c>
    </row>
    <row r="27" spans="1:4" x14ac:dyDescent="0.3">
      <c r="A27" t="s">
        <v>126</v>
      </c>
      <c r="B27" s="2">
        <v>10000</v>
      </c>
      <c r="C27" s="2">
        <v>25000</v>
      </c>
      <c r="D27" s="2">
        <v>15000</v>
      </c>
    </row>
    <row r="28" spans="1:4" x14ac:dyDescent="0.3">
      <c r="A28" t="s">
        <v>112</v>
      </c>
      <c r="B28" s="2">
        <v>20000</v>
      </c>
      <c r="C28" s="2">
        <v>100000</v>
      </c>
      <c r="D28" s="2">
        <v>50000</v>
      </c>
    </row>
    <row r="29" spans="1:4" x14ac:dyDescent="0.3">
      <c r="A29" t="s">
        <v>113</v>
      </c>
      <c r="B29" s="2">
        <v>100000</v>
      </c>
      <c r="C29" s="2">
        <v>500000</v>
      </c>
      <c r="D29" s="2">
        <v>200000</v>
      </c>
    </row>
    <row r="30" spans="1:4" x14ac:dyDescent="0.3">
      <c r="A30" t="s">
        <v>114</v>
      </c>
      <c r="B30" s="2">
        <v>10000</v>
      </c>
      <c r="C30" s="2">
        <v>30000</v>
      </c>
      <c r="D30" s="2">
        <v>20000</v>
      </c>
    </row>
    <row r="31" spans="1:4" x14ac:dyDescent="0.3">
      <c r="A31" t="s">
        <v>123</v>
      </c>
      <c r="B31" s="14">
        <v>10</v>
      </c>
      <c r="C31" s="14">
        <v>8</v>
      </c>
      <c r="D31" s="14">
        <v>20</v>
      </c>
    </row>
    <row r="32" spans="1:4" x14ac:dyDescent="0.3">
      <c r="A32" t="s">
        <v>115</v>
      </c>
      <c r="B32" s="14">
        <v>7</v>
      </c>
      <c r="C32" s="14">
        <v>7</v>
      </c>
      <c r="D32" s="14">
        <v>7</v>
      </c>
    </row>
    <row r="33" spans="1:4" x14ac:dyDescent="0.3">
      <c r="A33" t="s">
        <v>119</v>
      </c>
      <c r="B33" s="14">
        <v>5</v>
      </c>
      <c r="C33" s="14">
        <v>5</v>
      </c>
      <c r="D33" s="14">
        <v>5</v>
      </c>
    </row>
    <row r="34" spans="1:4" x14ac:dyDescent="0.3">
      <c r="A34" s="18" t="s">
        <v>117</v>
      </c>
    </row>
    <row r="36" spans="1:4" x14ac:dyDescent="0.3">
      <c r="A36" t="s">
        <v>118</v>
      </c>
      <c r="B36" s="26">
        <f>B23*(1+B23)^B33/((1+B23)^B33-1)</f>
        <v>0.33437970328961514</v>
      </c>
      <c r="C36" s="26">
        <f t="shared" ref="C36:D36" si="0">C23*(1+C23)^C33/((1+C23)^C33-1)</f>
        <v>0.33437970328961514</v>
      </c>
      <c r="D36" s="26">
        <f t="shared" si="0"/>
        <v>0.33437970328961514</v>
      </c>
    </row>
    <row r="37" spans="1:4" x14ac:dyDescent="0.3">
      <c r="A37" t="s">
        <v>116</v>
      </c>
      <c r="B37" s="30">
        <f>(B21-B22)*B36+B22*B23</f>
        <v>244065.79230273061</v>
      </c>
      <c r="C37" s="30">
        <f t="shared" ref="C37:D37" si="1">(C21-C22)*C36+C22*C23</f>
        <v>3209417.3296065363</v>
      </c>
      <c r="D37" s="30">
        <f t="shared" si="1"/>
        <v>4746936.1427649967</v>
      </c>
    </row>
    <row r="38" spans="1:4" x14ac:dyDescent="0.3">
      <c r="A38" t="s">
        <v>120</v>
      </c>
      <c r="B38" s="30">
        <v>9400</v>
      </c>
      <c r="C38" s="30">
        <v>128000</v>
      </c>
      <c r="D38" s="30">
        <v>196000</v>
      </c>
    </row>
    <row r="39" spans="1:4" s="18" customFormat="1" x14ac:dyDescent="0.3">
      <c r="A39" s="18" t="s">
        <v>121</v>
      </c>
      <c r="B39" s="31">
        <f>B37+B38+B25</f>
        <v>283465.79230273061</v>
      </c>
      <c r="C39" s="31">
        <f t="shared" ref="C39:D39" si="2">C37+C38+C25</f>
        <v>3437417.3296065363</v>
      </c>
      <c r="D39" s="31">
        <f t="shared" si="2"/>
        <v>4992936.1427649967</v>
      </c>
    </row>
    <row r="40" spans="1:4" x14ac:dyDescent="0.3">
      <c r="A40" t="s">
        <v>124</v>
      </c>
      <c r="B40" s="2">
        <f>A18*6*480000</f>
        <v>5760000</v>
      </c>
      <c r="C40" s="2">
        <f>A18*1*600000</f>
        <v>1200000</v>
      </c>
      <c r="D40" s="20">
        <f>A18*(A15+5*A12)</f>
        <v>6000000</v>
      </c>
    </row>
    <row r="41" spans="1:4" s="18" customFormat="1" x14ac:dyDescent="0.3">
      <c r="A41" s="18" t="s">
        <v>122</v>
      </c>
      <c r="B41" s="32">
        <f>B26+B27+B28+B29+B30+B40</f>
        <v>5900000</v>
      </c>
      <c r="C41" s="32">
        <f t="shared" ref="C41:D41" si="3">C26+C27+C28+C29+C30+C40</f>
        <v>2105000</v>
      </c>
      <c r="D41" s="32">
        <f t="shared" si="3"/>
        <v>6385000</v>
      </c>
    </row>
    <row r="42" spans="1:4" s="18" customFormat="1" x14ac:dyDescent="0.3">
      <c r="A42" s="18" t="s">
        <v>125</v>
      </c>
      <c r="B42" s="32">
        <f>B41+B39</f>
        <v>6183465.7923027305</v>
      </c>
      <c r="C42" s="32">
        <f t="shared" ref="C42:D42" si="4">C41+C39</f>
        <v>5542417.3296065368</v>
      </c>
      <c r="D42" s="32">
        <f t="shared" si="4"/>
        <v>11377936.142764997</v>
      </c>
    </row>
    <row r="45" spans="1:4" x14ac:dyDescent="0.3">
      <c r="A45" t="s">
        <v>82</v>
      </c>
    </row>
    <row r="46" spans="1:4" x14ac:dyDescent="0.3">
      <c r="A46" t="s">
        <v>127</v>
      </c>
    </row>
    <row r="47" spans="1:4" x14ac:dyDescent="0.3">
      <c r="A47" t="s">
        <v>128</v>
      </c>
      <c r="B47" s="2">
        <v>500000</v>
      </c>
    </row>
    <row r="48" spans="1:4" x14ac:dyDescent="0.3">
      <c r="A48" t="s">
        <v>129</v>
      </c>
      <c r="B48" s="2">
        <v>100000</v>
      </c>
    </row>
    <row r="49" spans="1:3" x14ac:dyDescent="0.3">
      <c r="A49" t="s">
        <v>130</v>
      </c>
      <c r="B49" s="1">
        <v>0.1</v>
      </c>
      <c r="C49" t="s">
        <v>20</v>
      </c>
    </row>
    <row r="50" spans="1:3" x14ac:dyDescent="0.3">
      <c r="A50" t="s">
        <v>16</v>
      </c>
      <c r="B50">
        <v>30</v>
      </c>
      <c r="C50" t="s">
        <v>36</v>
      </c>
    </row>
    <row r="51" spans="1:3" x14ac:dyDescent="0.3">
      <c r="A51" t="s">
        <v>132</v>
      </c>
      <c r="B51" s="2">
        <f>B47-B48</f>
        <v>400000</v>
      </c>
    </row>
    <row r="52" spans="1:3" x14ac:dyDescent="0.3">
      <c r="A52" t="s">
        <v>133</v>
      </c>
      <c r="B52" s="33">
        <f>B49*(1+B49)^B50/((1+B49)^B50-1)</f>
        <v>0.1060792482526339</v>
      </c>
    </row>
    <row r="53" spans="1:3" x14ac:dyDescent="0.3">
      <c r="A53" t="s">
        <v>134</v>
      </c>
      <c r="B53" s="2">
        <f>B48*B49</f>
        <v>10000</v>
      </c>
    </row>
    <row r="54" spans="1:3" x14ac:dyDescent="0.3">
      <c r="A54" t="s">
        <v>131</v>
      </c>
      <c r="B54" s="12">
        <f>B51*B52+B53</f>
        <v>52431.699301053559</v>
      </c>
      <c r="C54" t="s">
        <v>99</v>
      </c>
    </row>
    <row r="56" spans="1:3" x14ac:dyDescent="0.3">
      <c r="B56" s="12">
        <f>B47*B52</f>
        <v>53039.62412631695</v>
      </c>
    </row>
    <row r="57" spans="1:3" x14ac:dyDescent="0.3">
      <c r="B57" s="12">
        <f>B48*(B49-B52)</f>
        <v>-607.92482526338949</v>
      </c>
    </row>
  </sheetData>
  <dataConsolidate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32D7C-DF64-4FB2-ADBC-2FD36D0E1DEB}">
  <dimension ref="A1:C25"/>
  <sheetViews>
    <sheetView workbookViewId="0">
      <selection activeCell="A25" sqref="A25"/>
    </sheetView>
  </sheetViews>
  <sheetFormatPr defaultRowHeight="14.4" x14ac:dyDescent="0.3"/>
  <cols>
    <col min="1" max="1" width="20.21875" bestFit="1" customWidth="1"/>
    <col min="2" max="2" width="17" bestFit="1" customWidth="1"/>
    <col min="3" max="3" width="14" bestFit="1" customWidth="1"/>
    <col min="4" max="4" width="15.5546875" bestFit="1" customWidth="1"/>
  </cols>
  <sheetData>
    <row r="1" spans="1:3" x14ac:dyDescent="0.3">
      <c r="A1" s="18" t="s">
        <v>70</v>
      </c>
    </row>
    <row r="2" spans="1:3" x14ac:dyDescent="0.3">
      <c r="A2" t="s">
        <v>72</v>
      </c>
      <c r="B2" s="1">
        <v>0.02</v>
      </c>
      <c r="C2" t="s">
        <v>24</v>
      </c>
    </row>
    <row r="3" spans="1:3" x14ac:dyDescent="0.3">
      <c r="A3" t="s">
        <v>71</v>
      </c>
      <c r="B3" s="1">
        <v>0.01</v>
      </c>
      <c r="C3" t="s">
        <v>24</v>
      </c>
    </row>
    <row r="4" spans="1:3" x14ac:dyDescent="0.3">
      <c r="A4" t="s">
        <v>73</v>
      </c>
      <c r="B4" s="3">
        <f>(B2-B3)/(1+B3)</f>
        <v>9.9009900990099011E-3</v>
      </c>
      <c r="C4" t="s">
        <v>24</v>
      </c>
    </row>
    <row r="6" spans="1:3" x14ac:dyDescent="0.3">
      <c r="A6" s="18" t="s">
        <v>87</v>
      </c>
    </row>
    <row r="7" spans="1:3" x14ac:dyDescent="0.3">
      <c r="A7" t="s">
        <v>74</v>
      </c>
      <c r="B7" s="2">
        <v>100000</v>
      </c>
    </row>
    <row r="8" spans="1:3" x14ac:dyDescent="0.3">
      <c r="A8" t="s">
        <v>80</v>
      </c>
      <c r="B8" s="1">
        <v>0.2</v>
      </c>
      <c r="C8" s="20">
        <f>B8*B7</f>
        <v>20000</v>
      </c>
    </row>
    <row r="9" spans="1:3" x14ac:dyDescent="0.3">
      <c r="A9" t="s">
        <v>75</v>
      </c>
      <c r="B9" s="1">
        <v>0.02</v>
      </c>
      <c r="C9" t="s">
        <v>24</v>
      </c>
    </row>
    <row r="10" spans="1:3" x14ac:dyDescent="0.3">
      <c r="A10" t="s">
        <v>76</v>
      </c>
      <c r="B10" s="1">
        <v>0.01</v>
      </c>
      <c r="C10" t="s">
        <v>24</v>
      </c>
    </row>
    <row r="11" spans="1:3" x14ac:dyDescent="0.3">
      <c r="A11" t="s">
        <v>77</v>
      </c>
      <c r="B11">
        <v>10</v>
      </c>
    </row>
    <row r="12" spans="1:3" x14ac:dyDescent="0.3">
      <c r="A12" t="s">
        <v>78</v>
      </c>
      <c r="B12" s="26">
        <f>B9*(1+B9)^B11/((1+B9)^B11-1)</f>
        <v>0.11132652786531647</v>
      </c>
    </row>
    <row r="13" spans="1:3" x14ac:dyDescent="0.3">
      <c r="A13" t="s">
        <v>79</v>
      </c>
      <c r="B13" s="27">
        <f>(1-B8)*B7*B12</f>
        <v>8906.1222292253169</v>
      </c>
    </row>
    <row r="14" spans="1:3" x14ac:dyDescent="0.3">
      <c r="A14" t="s">
        <v>81</v>
      </c>
      <c r="B14" s="3">
        <f>(B9-B10)/(1+B10)</f>
        <v>9.9009900990099011E-3</v>
      </c>
      <c r="C14" t="s">
        <v>24</v>
      </c>
    </row>
    <row r="16" spans="1:3" x14ac:dyDescent="0.3">
      <c r="A16" s="18" t="s">
        <v>86</v>
      </c>
    </row>
    <row r="17" spans="1:3" x14ac:dyDescent="0.3">
      <c r="A17" t="s">
        <v>74</v>
      </c>
      <c r="B17" s="2">
        <v>100000</v>
      </c>
    </row>
    <row r="18" spans="1:3" x14ac:dyDescent="0.3">
      <c r="A18" t="s">
        <v>81</v>
      </c>
      <c r="B18" s="9">
        <v>0.12</v>
      </c>
      <c r="C18" s="20" t="s">
        <v>20</v>
      </c>
    </row>
    <row r="19" spans="1:3" x14ac:dyDescent="0.3">
      <c r="A19" t="s">
        <v>83</v>
      </c>
      <c r="B19" s="9">
        <v>0.26</v>
      </c>
      <c r="C19" t="s">
        <v>20</v>
      </c>
    </row>
    <row r="20" spans="1:3" x14ac:dyDescent="0.3">
      <c r="A20" t="s">
        <v>84</v>
      </c>
      <c r="B20" s="3">
        <f>B19+B18+B19*B18</f>
        <v>0.41120000000000001</v>
      </c>
      <c r="C20" t="s">
        <v>24</v>
      </c>
    </row>
    <row r="21" spans="1:3" x14ac:dyDescent="0.3">
      <c r="A21" t="s">
        <v>84</v>
      </c>
      <c r="B21" s="7">
        <f>(1+B20)^(1/12)-1</f>
        <v>2.9119278649748725E-2</v>
      </c>
      <c r="C21" t="s">
        <v>24</v>
      </c>
    </row>
    <row r="22" spans="1:3" x14ac:dyDescent="0.3">
      <c r="A22" t="s">
        <v>77</v>
      </c>
      <c r="B22">
        <v>10</v>
      </c>
    </row>
    <row r="23" spans="1:3" x14ac:dyDescent="0.3">
      <c r="A23" t="s">
        <v>85</v>
      </c>
      <c r="B23" s="26">
        <f>B21*(1+B21)^B22/((1+B21)^B22-1)</f>
        <v>0.11670420142124369</v>
      </c>
    </row>
    <row r="24" spans="1:3" x14ac:dyDescent="0.3">
      <c r="A24" t="s">
        <v>79</v>
      </c>
      <c r="B24" s="27">
        <f>B17*B23</f>
        <v>11670.420142124369</v>
      </c>
      <c r="C24" s="20"/>
    </row>
    <row r="25" spans="1:3" x14ac:dyDescent="0.3">
      <c r="B25" s="3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88D48D-2BF5-4254-8BA7-C04ED494FCB8}">
  <dimension ref="B1:I23"/>
  <sheetViews>
    <sheetView workbookViewId="0">
      <selection activeCell="H17" sqref="H17"/>
    </sheetView>
  </sheetViews>
  <sheetFormatPr defaultRowHeight="14.4" x14ac:dyDescent="0.3"/>
  <cols>
    <col min="1" max="1" width="2.88671875" customWidth="1"/>
    <col min="3" max="3" width="12.77734375" bestFit="1" customWidth="1"/>
    <col min="4" max="5" width="16.5546875" bestFit="1" customWidth="1"/>
    <col min="6" max="6" width="10.5546875" customWidth="1"/>
    <col min="7" max="7" width="16" bestFit="1" customWidth="1"/>
    <col min="8" max="8" width="16.5546875" bestFit="1" customWidth="1"/>
  </cols>
  <sheetData>
    <row r="1" spans="2:9" x14ac:dyDescent="0.3">
      <c r="B1" t="s">
        <v>29</v>
      </c>
      <c r="C1" s="24">
        <v>0.15</v>
      </c>
      <c r="D1" t="s">
        <v>20</v>
      </c>
    </row>
    <row r="3" spans="2:9" x14ac:dyDescent="0.3">
      <c r="C3" s="18" t="s">
        <v>63</v>
      </c>
      <c r="G3" s="18" t="s">
        <v>64</v>
      </c>
    </row>
    <row r="4" spans="2:9" x14ac:dyDescent="0.3">
      <c r="C4" t="s">
        <v>58</v>
      </c>
      <c r="D4" s="22">
        <v>5</v>
      </c>
      <c r="E4" t="s">
        <v>36</v>
      </c>
      <c r="G4" t="s">
        <v>58</v>
      </c>
      <c r="H4" s="22">
        <v>4</v>
      </c>
      <c r="I4" t="s">
        <v>36</v>
      </c>
    </row>
    <row r="5" spans="2:9" x14ac:dyDescent="0.3">
      <c r="C5" t="s">
        <v>68</v>
      </c>
      <c r="D5" s="23">
        <v>1000000</v>
      </c>
      <c r="G5" t="s">
        <v>68</v>
      </c>
      <c r="H5" s="23">
        <v>800000</v>
      </c>
    </row>
    <row r="6" spans="2:9" x14ac:dyDescent="0.3">
      <c r="C6" t="s">
        <v>65</v>
      </c>
      <c r="D6" s="23">
        <v>10000000</v>
      </c>
      <c r="G6" t="s">
        <v>65</v>
      </c>
      <c r="H6" s="23">
        <v>8000000</v>
      </c>
    </row>
    <row r="7" spans="2:9" x14ac:dyDescent="0.3">
      <c r="C7" t="s">
        <v>66</v>
      </c>
      <c r="D7" s="24">
        <v>0.2</v>
      </c>
      <c r="G7" t="s">
        <v>66</v>
      </c>
      <c r="H7" s="24">
        <v>0.2</v>
      </c>
    </row>
    <row r="8" spans="2:9" x14ac:dyDescent="0.3">
      <c r="C8" t="s">
        <v>28</v>
      </c>
      <c r="D8" s="3">
        <f>IRR(D11:D16,25%)</f>
        <v>0.28649290249767589</v>
      </c>
      <c r="G8" t="s">
        <v>28</v>
      </c>
      <c r="H8" s="3">
        <f>IRR(H11:H15,25%)</f>
        <v>0.34903445656115561</v>
      </c>
    </row>
    <row r="10" spans="2:9" x14ac:dyDescent="0.3">
      <c r="B10" s="25" t="s">
        <v>67</v>
      </c>
      <c r="C10" s="25" t="s">
        <v>66</v>
      </c>
      <c r="D10" s="25" t="s">
        <v>39</v>
      </c>
      <c r="F10" s="25" t="s">
        <v>67</v>
      </c>
      <c r="G10" s="25" t="s">
        <v>66</v>
      </c>
      <c r="H10" s="25" t="s">
        <v>39</v>
      </c>
    </row>
    <row r="11" spans="2:9" x14ac:dyDescent="0.3">
      <c r="B11">
        <v>0</v>
      </c>
      <c r="D11" s="2">
        <f>-D5</f>
        <v>-1000000</v>
      </c>
      <c r="F11">
        <v>0</v>
      </c>
      <c r="H11" s="2">
        <f>-H5</f>
        <v>-800000</v>
      </c>
    </row>
    <row r="12" spans="2:9" x14ac:dyDescent="0.3">
      <c r="B12">
        <v>1</v>
      </c>
      <c r="C12" s="1">
        <f>$D$7</f>
        <v>0.2</v>
      </c>
      <c r="D12" s="2">
        <f>$D$6/$D$4*C12</f>
        <v>400000</v>
      </c>
      <c r="F12">
        <v>1</v>
      </c>
      <c r="G12" s="1">
        <f>$H$7</f>
        <v>0.2</v>
      </c>
      <c r="H12" s="2">
        <f>$H$6/$H$4*G12</f>
        <v>400000</v>
      </c>
    </row>
    <row r="13" spans="2:9" x14ac:dyDescent="0.3">
      <c r="B13">
        <v>2</v>
      </c>
      <c r="C13" s="1">
        <f>$D$7</f>
        <v>0.2</v>
      </c>
      <c r="D13" s="2">
        <f>$D$6/$D$4*C13</f>
        <v>400000</v>
      </c>
      <c r="F13">
        <v>2</v>
      </c>
      <c r="G13" s="1">
        <f t="shared" ref="G13:G15" si="0">$H$7</f>
        <v>0.2</v>
      </c>
      <c r="H13" s="2">
        <f t="shared" ref="H13:H15" si="1">$H$6/$H$4*G13</f>
        <v>400000</v>
      </c>
    </row>
    <row r="14" spans="2:9" x14ac:dyDescent="0.3">
      <c r="B14">
        <v>3</v>
      </c>
      <c r="C14" s="1">
        <f>$D$7</f>
        <v>0.2</v>
      </c>
      <c r="D14" s="2">
        <f>$D$6/$D$4*C14</f>
        <v>400000</v>
      </c>
      <c r="F14">
        <v>3</v>
      </c>
      <c r="G14" s="1">
        <f t="shared" si="0"/>
        <v>0.2</v>
      </c>
      <c r="H14" s="2">
        <f t="shared" si="1"/>
        <v>400000</v>
      </c>
    </row>
    <row r="15" spans="2:9" x14ac:dyDescent="0.3">
      <c r="B15">
        <v>4</v>
      </c>
      <c r="C15" s="1">
        <f>$D$7</f>
        <v>0.2</v>
      </c>
      <c r="D15" s="2">
        <f>$D$6/$D$4*C15</f>
        <v>400000</v>
      </c>
      <c r="F15">
        <v>4</v>
      </c>
      <c r="G15" s="1">
        <f t="shared" si="0"/>
        <v>0.2</v>
      </c>
      <c r="H15" s="2">
        <f t="shared" si="1"/>
        <v>400000</v>
      </c>
    </row>
    <row r="16" spans="2:9" x14ac:dyDescent="0.3">
      <c r="B16">
        <v>5</v>
      </c>
      <c r="C16" s="1">
        <f>$D$7</f>
        <v>0.2</v>
      </c>
      <c r="D16" s="2">
        <f>$D$6/$D$4*C16</f>
        <v>400000</v>
      </c>
      <c r="F16">
        <v>5</v>
      </c>
      <c r="G16" s="1"/>
      <c r="H16" s="2"/>
    </row>
    <row r="17" spans="3:8" x14ac:dyDescent="0.3">
      <c r="G17" s="20"/>
    </row>
    <row r="19" spans="3:8" x14ac:dyDescent="0.3">
      <c r="C19" t="s">
        <v>61</v>
      </c>
      <c r="D19" s="15">
        <f>$C$1*(1+$C$1)^D4/((1+$C$1)^D4-1)</f>
        <v>0.29831555246152841</v>
      </c>
      <c r="G19" t="s">
        <v>62</v>
      </c>
      <c r="H19" s="15">
        <f>$C$1*(1+$C$1)^H4/((1+$C$1)^H4-1)</f>
        <v>0.35026535159085798</v>
      </c>
    </row>
    <row r="20" spans="3:8" x14ac:dyDescent="0.3">
      <c r="C20" t="s">
        <v>26</v>
      </c>
      <c r="D20" s="13">
        <f>D11+D12/D19</f>
        <v>340862.03920456045</v>
      </c>
      <c r="G20" t="s">
        <v>26</v>
      </c>
      <c r="H20" s="13">
        <f>H11+H12/H19</f>
        <v>341991.34508524463</v>
      </c>
    </row>
    <row r="21" spans="3:8" x14ac:dyDescent="0.3">
      <c r="D21" s="20">
        <f>D11+NPV(C1,D12:D16)</f>
        <v>340862.03920456115</v>
      </c>
      <c r="E21" s="6"/>
      <c r="G21" s="6"/>
      <c r="H21" s="20">
        <f>H11+NPV(C1,H12:H16)</f>
        <v>341991.34508524509</v>
      </c>
    </row>
    <row r="23" spans="3:8" x14ac:dyDescent="0.3">
      <c r="C23" s="18" t="s">
        <v>69</v>
      </c>
      <c r="D23" s="7">
        <f>D20/D5</f>
        <v>0.34086203920456043</v>
      </c>
      <c r="G23" s="18" t="s">
        <v>69</v>
      </c>
      <c r="H23" s="7">
        <f>H20/H5</f>
        <v>0.42748918135655578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4BB19-52EF-4AFD-A2EC-7F1803C5ACEA}">
  <dimension ref="A4:M56"/>
  <sheetViews>
    <sheetView tabSelected="1" topLeftCell="B4" workbookViewId="0">
      <selection activeCell="F26" sqref="F26"/>
    </sheetView>
  </sheetViews>
  <sheetFormatPr defaultRowHeight="14.4" x14ac:dyDescent="0.3"/>
  <cols>
    <col min="1" max="1" width="20.109375" bestFit="1" customWidth="1"/>
    <col min="2" max="2" width="16" bestFit="1" customWidth="1"/>
    <col min="3" max="3" width="11.88671875" bestFit="1" customWidth="1"/>
    <col min="5" max="5" width="15.44140625" bestFit="1" customWidth="1"/>
    <col min="6" max="6" width="16.5546875" bestFit="1" customWidth="1"/>
    <col min="7" max="7" width="14" bestFit="1" customWidth="1"/>
    <col min="11" max="11" width="15.44140625" bestFit="1" customWidth="1"/>
    <col min="12" max="13" width="14" bestFit="1" customWidth="1"/>
  </cols>
  <sheetData>
    <row r="4" spans="1:13" x14ac:dyDescent="0.3">
      <c r="A4" s="18" t="s">
        <v>40</v>
      </c>
      <c r="E4" s="18" t="s">
        <v>139</v>
      </c>
      <c r="K4" s="18" t="s">
        <v>140</v>
      </c>
    </row>
    <row r="5" spans="1:13" x14ac:dyDescent="0.3">
      <c r="A5" t="s">
        <v>29</v>
      </c>
      <c r="B5" s="1">
        <v>0.1</v>
      </c>
      <c r="C5" t="s">
        <v>20</v>
      </c>
      <c r="E5" t="s">
        <v>29</v>
      </c>
      <c r="F5" s="1">
        <v>0.1</v>
      </c>
      <c r="G5" t="s">
        <v>20</v>
      </c>
      <c r="K5" t="s">
        <v>29</v>
      </c>
      <c r="L5" s="1">
        <v>0.1</v>
      </c>
      <c r="M5" t="s">
        <v>20</v>
      </c>
    </row>
    <row r="6" spans="1:13" x14ac:dyDescent="0.3">
      <c r="A6" t="s">
        <v>33</v>
      </c>
      <c r="B6" s="2">
        <v>400000</v>
      </c>
      <c r="E6" t="s">
        <v>22</v>
      </c>
      <c r="F6" s="2">
        <v>100000</v>
      </c>
      <c r="K6" t="s">
        <v>22</v>
      </c>
      <c r="L6" s="2">
        <v>100000</v>
      </c>
    </row>
    <row r="7" spans="1:13" x14ac:dyDescent="0.3">
      <c r="A7" t="s">
        <v>30</v>
      </c>
      <c r="B7" s="2">
        <v>3000</v>
      </c>
      <c r="C7" t="s">
        <v>31</v>
      </c>
      <c r="E7" t="s">
        <v>23</v>
      </c>
      <c r="F7" s="2">
        <v>400000</v>
      </c>
      <c r="K7" t="s">
        <v>23</v>
      </c>
      <c r="L7" s="2">
        <v>400000</v>
      </c>
    </row>
    <row r="8" spans="1:13" x14ac:dyDescent="0.3">
      <c r="A8" t="s">
        <v>34</v>
      </c>
      <c r="B8" s="10">
        <v>0.3</v>
      </c>
      <c r="C8" s="20">
        <f>B8*B7</f>
        <v>900</v>
      </c>
      <c r="E8" t="s">
        <v>32</v>
      </c>
      <c r="F8" s="2">
        <v>3000</v>
      </c>
      <c r="K8" t="s">
        <v>32</v>
      </c>
      <c r="L8" s="2">
        <v>4000</v>
      </c>
    </row>
    <row r="9" spans="1:13" x14ac:dyDescent="0.3">
      <c r="A9" t="s">
        <v>37</v>
      </c>
      <c r="B9" s="3">
        <v>1.4999999999999999E-2</v>
      </c>
      <c r="C9" t="s">
        <v>20</v>
      </c>
      <c r="E9" t="s">
        <v>30</v>
      </c>
      <c r="F9" s="2">
        <v>4000</v>
      </c>
      <c r="K9" t="s">
        <v>30</v>
      </c>
      <c r="L9" s="2">
        <v>4000</v>
      </c>
    </row>
    <row r="10" spans="1:13" x14ac:dyDescent="0.3">
      <c r="A10" t="s">
        <v>35</v>
      </c>
      <c r="B10" s="14">
        <v>30</v>
      </c>
      <c r="C10" t="s">
        <v>36</v>
      </c>
      <c r="E10" t="s">
        <v>57</v>
      </c>
      <c r="F10" s="1">
        <v>0.2</v>
      </c>
      <c r="K10" t="s">
        <v>55</v>
      </c>
      <c r="L10" s="1">
        <v>0.02</v>
      </c>
      <c r="M10" t="s">
        <v>20</v>
      </c>
    </row>
    <row r="11" spans="1:13" x14ac:dyDescent="0.3">
      <c r="E11" t="s">
        <v>58</v>
      </c>
      <c r="F11" s="21">
        <v>30</v>
      </c>
      <c r="G11" t="s">
        <v>36</v>
      </c>
      <c r="K11" t="s">
        <v>56</v>
      </c>
      <c r="L11" s="1">
        <v>-0.02</v>
      </c>
      <c r="M11" t="s">
        <v>20</v>
      </c>
    </row>
    <row r="12" spans="1:13" x14ac:dyDescent="0.3">
      <c r="A12" t="s">
        <v>135</v>
      </c>
      <c r="B12" s="3">
        <f>B5-B9</f>
        <v>8.5000000000000006E-2</v>
      </c>
      <c r="K12" t="s">
        <v>57</v>
      </c>
      <c r="L12" s="1">
        <v>0.2</v>
      </c>
    </row>
    <row r="13" spans="1:13" x14ac:dyDescent="0.3">
      <c r="A13" t="s">
        <v>136</v>
      </c>
      <c r="B13" s="15">
        <f>B12*(1+B12)^B10/((1+B12)^B10-1)</f>
        <v>9.3050575311267647E-2</v>
      </c>
      <c r="E13" t="s">
        <v>133</v>
      </c>
      <c r="F13">
        <f>F5*(1+F5)^F11/((1+F5)^F11-1)</f>
        <v>0.1060792482526339</v>
      </c>
      <c r="K13" t="s">
        <v>58</v>
      </c>
      <c r="L13" s="21">
        <v>30</v>
      </c>
      <c r="M13" t="s">
        <v>36</v>
      </c>
    </row>
    <row r="14" spans="1:13" x14ac:dyDescent="0.3">
      <c r="A14" t="s">
        <v>26</v>
      </c>
      <c r="B14" s="12">
        <f>-B6+12*(B7-B8)/B13</f>
        <v>-13152.311207245919</v>
      </c>
      <c r="E14" t="s">
        <v>137</v>
      </c>
      <c r="F14" s="20">
        <f>F10*(F6+F7)</f>
        <v>100000</v>
      </c>
    </row>
    <row r="15" spans="1:13" x14ac:dyDescent="0.3">
      <c r="B15">
        <f>((1+B12)^B10-1)/(1+B12)^B10</f>
        <v>0.91348172448867393</v>
      </c>
      <c r="C15">
        <f>1000000/B15</f>
        <v>1094712.6507207958</v>
      </c>
    </row>
    <row r="16" spans="1:13" x14ac:dyDescent="0.3">
      <c r="E16" t="s">
        <v>138</v>
      </c>
      <c r="F16">
        <f>1/(1+F5)^F11</f>
        <v>5.7308553301167964E-2</v>
      </c>
      <c r="M16" s="20">
        <v>-100000</v>
      </c>
    </row>
    <row r="17" spans="1:13" x14ac:dyDescent="0.3">
      <c r="E17" s="18" t="s">
        <v>26</v>
      </c>
      <c r="F17" s="34">
        <f>-(F6+F7)+12*(F9-F8)/F13+F14*(F5-F13)*F16</f>
        <v>-386911.8656883919</v>
      </c>
      <c r="K17" t="s">
        <v>59</v>
      </c>
      <c r="L17">
        <f>($L$5+L11)*(1+($L$5+L11))^$L$13/((1+($L$5+L11))^$L$13-1)</f>
        <v>8.8827433387272267E-2</v>
      </c>
      <c r="M17" s="20">
        <f>12*L9/L17</f>
        <v>540373.60047011927</v>
      </c>
    </row>
    <row r="18" spans="1:13" x14ac:dyDescent="0.3">
      <c r="A18" s="18" t="s">
        <v>41</v>
      </c>
      <c r="K18" t="s">
        <v>60</v>
      </c>
      <c r="L18">
        <f>($L$5+L10)*(1+($L$5+L10))^$L$13/((1+($L$5+L10))^$L$13-1)</f>
        <v>0.12414365755194319</v>
      </c>
      <c r="M18" s="20">
        <f>-12*L8/L18</f>
        <v>-386648.83044803335</v>
      </c>
    </row>
    <row r="19" spans="1:13" x14ac:dyDescent="0.3">
      <c r="M19" s="20">
        <f>L12*(L6+L7)/(1+L5)^L13</f>
        <v>5730.8553301167958</v>
      </c>
    </row>
    <row r="20" spans="1:13" x14ac:dyDescent="0.3">
      <c r="A20" t="s">
        <v>50</v>
      </c>
      <c r="B20" s="3">
        <v>7.4999999999999997E-2</v>
      </c>
      <c r="C20" t="s">
        <v>20</v>
      </c>
      <c r="E20" s="18" t="s">
        <v>141</v>
      </c>
      <c r="K20" s="18" t="s">
        <v>26</v>
      </c>
      <c r="L20" s="34">
        <f>-L6+(-12*L8)/L18+12*L9/L17+L12*(L6+L7)/(1+L5)^L13</f>
        <v>59455.625352202725</v>
      </c>
      <c r="M20" s="34">
        <f>SUM(M16:M19)</f>
        <v>59455.625352202725</v>
      </c>
    </row>
    <row r="21" spans="1:13" x14ac:dyDescent="0.3">
      <c r="A21" t="s">
        <v>51</v>
      </c>
      <c r="B21" s="1">
        <v>0.1</v>
      </c>
      <c r="C21" t="s">
        <v>20</v>
      </c>
      <c r="E21" t="s">
        <v>142</v>
      </c>
      <c r="F21" s="2">
        <v>5000000</v>
      </c>
      <c r="G21" t="s">
        <v>143</v>
      </c>
    </row>
    <row r="22" spans="1:13" x14ac:dyDescent="0.3">
      <c r="A22" t="s">
        <v>34</v>
      </c>
      <c r="B22" s="1">
        <v>0.8</v>
      </c>
      <c r="C22" s="20">
        <f>B22*B7</f>
        <v>2400</v>
      </c>
      <c r="E22" t="s">
        <v>144</v>
      </c>
      <c r="F22" s="2">
        <v>45000000</v>
      </c>
      <c r="G22" t="s">
        <v>145</v>
      </c>
    </row>
    <row r="23" spans="1:13" x14ac:dyDescent="0.3">
      <c r="A23" t="s">
        <v>45</v>
      </c>
      <c r="B23" s="9">
        <f>IRR(B26:B56,B21)</f>
        <v>9.6009215105995471E-2</v>
      </c>
      <c r="C23" t="s">
        <v>20</v>
      </c>
      <c r="E23" t="s">
        <v>148</v>
      </c>
      <c r="F23" s="1">
        <v>0.5</v>
      </c>
      <c r="G23" t="s">
        <v>20</v>
      </c>
    </row>
    <row r="24" spans="1:13" x14ac:dyDescent="0.3">
      <c r="B24" s="9"/>
      <c r="E24" t="s">
        <v>35</v>
      </c>
      <c r="F24">
        <f>1964-1960</f>
        <v>4</v>
      </c>
      <c r="G24" t="s">
        <v>146</v>
      </c>
    </row>
    <row r="25" spans="1:13" x14ac:dyDescent="0.3">
      <c r="A25" t="s">
        <v>38</v>
      </c>
      <c r="B25" t="s">
        <v>39</v>
      </c>
      <c r="E25" t="s">
        <v>72</v>
      </c>
      <c r="F25">
        <f>(F22/F21)^(1/F24)-1</f>
        <v>0.73205080756887742</v>
      </c>
    </row>
    <row r="26" spans="1:13" x14ac:dyDescent="0.3">
      <c r="A26">
        <v>0</v>
      </c>
      <c r="B26" s="2">
        <f>-20%*B6</f>
        <v>-80000</v>
      </c>
      <c r="C26" t="s">
        <v>52</v>
      </c>
      <c r="E26" t="s">
        <v>147</v>
      </c>
      <c r="F26" s="3">
        <f>(F25-F23)/(1+F23)</f>
        <v>0.1547005383792516</v>
      </c>
    </row>
    <row r="27" spans="1:13" x14ac:dyDescent="0.3">
      <c r="A27">
        <v>1</v>
      </c>
      <c r="B27" s="2">
        <f>12*$B$7*C27*(1-$B$22)</f>
        <v>7199.9999999999982</v>
      </c>
      <c r="C27">
        <f>(1+$B$9)^(A27-1)</f>
        <v>1</v>
      </c>
    </row>
    <row r="28" spans="1:13" x14ac:dyDescent="0.3">
      <c r="A28">
        <v>2</v>
      </c>
      <c r="B28" s="2">
        <f>12*$B$7*C28*(1-$B$22)</f>
        <v>7307.9999999999982</v>
      </c>
      <c r="C28" s="11">
        <f>(1+$B$9)^(A28-1)</f>
        <v>1.0149999999999999</v>
      </c>
    </row>
    <row r="29" spans="1:13" x14ac:dyDescent="0.3">
      <c r="A29">
        <v>3</v>
      </c>
      <c r="B29" s="2">
        <f>12*$B$7*C29*(1-$B$22)</f>
        <v>7417.6199999999963</v>
      </c>
      <c r="C29" s="11">
        <f t="shared" ref="C29:C56" si="0">(1+$B$9)^(A29-1)</f>
        <v>1.0302249999999997</v>
      </c>
    </row>
    <row r="30" spans="1:13" x14ac:dyDescent="0.3">
      <c r="A30">
        <v>4</v>
      </c>
      <c r="B30" s="2">
        <f>12*$B$7*C30*(1-$B$22)</f>
        <v>7528.8842999999952</v>
      </c>
      <c r="C30" s="11">
        <f t="shared" si="0"/>
        <v>1.0456783749999996</v>
      </c>
    </row>
    <row r="31" spans="1:13" x14ac:dyDescent="0.3">
      <c r="A31">
        <v>5</v>
      </c>
      <c r="B31" s="2">
        <f>12*$B$7*C31*(1-$B$22)</f>
        <v>7641.8175644999938</v>
      </c>
      <c r="C31" s="11">
        <f t="shared" si="0"/>
        <v>1.0613635506249994</v>
      </c>
    </row>
    <row r="32" spans="1:13" x14ac:dyDescent="0.3">
      <c r="A32">
        <v>6</v>
      </c>
      <c r="B32" s="2">
        <f>12*$B$7*C32*(1-$B$22)</f>
        <v>7756.4448279674934</v>
      </c>
      <c r="C32" s="11">
        <f t="shared" si="0"/>
        <v>1.0772840038843743</v>
      </c>
    </row>
    <row r="33" spans="1:3" x14ac:dyDescent="0.3">
      <c r="A33">
        <v>7</v>
      </c>
      <c r="B33" s="2">
        <f>12*$B$7*C33*(1-$B$22)</f>
        <v>7872.7915003870039</v>
      </c>
      <c r="C33" s="11">
        <f t="shared" si="0"/>
        <v>1.0934432639426397</v>
      </c>
    </row>
    <row r="34" spans="1:3" x14ac:dyDescent="0.3">
      <c r="A34">
        <v>8</v>
      </c>
      <c r="B34" s="2">
        <f>12*$B$7*C34*(1-$B$22)</f>
        <v>7990.8833728928075</v>
      </c>
      <c r="C34" s="11">
        <f t="shared" si="0"/>
        <v>1.1098449129017791</v>
      </c>
    </row>
    <row r="35" spans="1:3" x14ac:dyDescent="0.3">
      <c r="A35">
        <v>9</v>
      </c>
      <c r="B35" s="2">
        <f>12*$B$7*C35*(1-$B$22)</f>
        <v>8110.7466234861986</v>
      </c>
      <c r="C35" s="11">
        <f t="shared" si="0"/>
        <v>1.1264925865953057</v>
      </c>
    </row>
    <row r="36" spans="1:3" x14ac:dyDescent="0.3">
      <c r="A36">
        <v>10</v>
      </c>
      <c r="B36" s="2">
        <f>12*$B$7*C36*(1-$B$22)</f>
        <v>8232.4078228384915</v>
      </c>
      <c r="C36" s="11">
        <f t="shared" si="0"/>
        <v>1.1433899753942351</v>
      </c>
    </row>
    <row r="37" spans="1:3" x14ac:dyDescent="0.3">
      <c r="A37">
        <v>11</v>
      </c>
      <c r="B37" s="2">
        <f>12*$B$7*C37*(1-$B$22)</f>
        <v>8355.8939401810676</v>
      </c>
      <c r="C37" s="11">
        <f t="shared" si="0"/>
        <v>1.1605408250251485</v>
      </c>
    </row>
    <row r="38" spans="1:3" x14ac:dyDescent="0.3">
      <c r="A38">
        <v>12</v>
      </c>
      <c r="B38" s="2">
        <f>12*$B$7*C38*(1-$B$22)</f>
        <v>8481.2323492837841</v>
      </c>
      <c r="C38" s="11">
        <f t="shared" si="0"/>
        <v>1.1779489374005256</v>
      </c>
    </row>
    <row r="39" spans="1:3" x14ac:dyDescent="0.3">
      <c r="A39">
        <v>13</v>
      </c>
      <c r="B39" s="2">
        <f>12*$B$7*C39*(1-$B$22)</f>
        <v>8608.450834523037</v>
      </c>
      <c r="C39" s="11">
        <f t="shared" si="0"/>
        <v>1.1956181714615333</v>
      </c>
    </row>
    <row r="40" spans="1:3" x14ac:dyDescent="0.3">
      <c r="A40">
        <v>14</v>
      </c>
      <c r="B40" s="2">
        <f>12*$B$7*C40*(1-$B$22)</f>
        <v>8737.5775970408813</v>
      </c>
      <c r="C40" s="11">
        <f t="shared" si="0"/>
        <v>1.2135524440334562</v>
      </c>
    </row>
    <row r="41" spans="1:3" x14ac:dyDescent="0.3">
      <c r="A41">
        <v>15</v>
      </c>
      <c r="B41" s="2">
        <f>12*$B$7*C41*(1-$B$22)</f>
        <v>8868.6412609964937</v>
      </c>
      <c r="C41" s="11">
        <f t="shared" si="0"/>
        <v>1.2317557306939577</v>
      </c>
    </row>
    <row r="42" spans="1:3" x14ac:dyDescent="0.3">
      <c r="A42">
        <v>16</v>
      </c>
      <c r="B42" s="2">
        <f>12*$B$7*C42*(1-$B$22)</f>
        <v>9001.6708799114404</v>
      </c>
      <c r="C42" s="11">
        <f t="shared" si="0"/>
        <v>1.2502320666543669</v>
      </c>
    </row>
    <row r="43" spans="1:3" x14ac:dyDescent="0.3">
      <c r="A43">
        <v>17</v>
      </c>
      <c r="B43" s="2">
        <f>12*$B$7*C43*(1-$B$22)</f>
        <v>9136.6959431101095</v>
      </c>
      <c r="C43" s="11">
        <f t="shared" si="0"/>
        <v>1.2689855476541823</v>
      </c>
    </row>
    <row r="44" spans="1:3" x14ac:dyDescent="0.3">
      <c r="A44">
        <v>18</v>
      </c>
      <c r="B44" s="2">
        <f>12*$B$7*C44*(1-$B$22)</f>
        <v>9273.7463822567606</v>
      </c>
      <c r="C44" s="11">
        <f t="shared" si="0"/>
        <v>1.2880203308689948</v>
      </c>
    </row>
    <row r="45" spans="1:3" x14ac:dyDescent="0.3">
      <c r="A45">
        <v>19</v>
      </c>
      <c r="B45" s="2">
        <f>12*$B$7*C45*(1-$B$22)</f>
        <v>9412.8525779906122</v>
      </c>
      <c r="C45" s="11">
        <f t="shared" si="0"/>
        <v>1.3073406358320296</v>
      </c>
    </row>
    <row r="46" spans="1:3" x14ac:dyDescent="0.3">
      <c r="A46">
        <v>20</v>
      </c>
      <c r="B46" s="2">
        <f>12*$B$7*C46*(1-$B$22)</f>
        <v>9554.0453666604699</v>
      </c>
      <c r="C46" s="11">
        <f t="shared" si="0"/>
        <v>1.32695074536951</v>
      </c>
    </row>
    <row r="47" spans="1:3" x14ac:dyDescent="0.3">
      <c r="A47">
        <v>21</v>
      </c>
      <c r="B47" s="2">
        <f>12*$B$7*C47*(1-$B$22)</f>
        <v>9697.3560471603741</v>
      </c>
      <c r="C47" s="11">
        <f t="shared" si="0"/>
        <v>1.3468550065500522</v>
      </c>
    </row>
    <row r="48" spans="1:3" x14ac:dyDescent="0.3">
      <c r="A48">
        <v>22</v>
      </c>
      <c r="B48" s="2">
        <f>12*$B$7*C48*(1-$B$22)</f>
        <v>9842.8163878677788</v>
      </c>
      <c r="C48" s="11">
        <f t="shared" si="0"/>
        <v>1.3670578316483029</v>
      </c>
    </row>
    <row r="49" spans="1:3" x14ac:dyDescent="0.3">
      <c r="A49">
        <v>23</v>
      </c>
      <c r="B49" s="2">
        <f>12*$B$7*C49*(1-$B$22)</f>
        <v>9990.4586336857938</v>
      </c>
      <c r="C49" s="11">
        <f t="shared" si="0"/>
        <v>1.3875636991230271</v>
      </c>
    </row>
    <row r="50" spans="1:3" x14ac:dyDescent="0.3">
      <c r="A50">
        <v>24</v>
      </c>
      <c r="B50" s="2">
        <f>12*$B$7*C50*(1-$B$22)</f>
        <v>10140.315513191079</v>
      </c>
      <c r="C50" s="11">
        <f t="shared" si="0"/>
        <v>1.4083771546098725</v>
      </c>
    </row>
    <row r="51" spans="1:3" x14ac:dyDescent="0.3">
      <c r="A51">
        <v>25</v>
      </c>
      <c r="B51" s="2">
        <f>12*$B$7*C51*(1-$B$22)</f>
        <v>10292.420245888943</v>
      </c>
      <c r="C51" s="11">
        <f t="shared" si="0"/>
        <v>1.4295028119290203</v>
      </c>
    </row>
    <row r="52" spans="1:3" x14ac:dyDescent="0.3">
      <c r="A52">
        <v>26</v>
      </c>
      <c r="B52" s="2">
        <f>12*$B$7*C52*(1-$B$22)</f>
        <v>10446.806549577277</v>
      </c>
      <c r="C52" s="11">
        <f t="shared" si="0"/>
        <v>1.4509453541079556</v>
      </c>
    </row>
    <row r="53" spans="1:3" x14ac:dyDescent="0.3">
      <c r="A53">
        <v>27</v>
      </c>
      <c r="B53" s="2">
        <f>12*$B$7*C53*(1-$B$22)</f>
        <v>10603.508647820934</v>
      </c>
      <c r="C53" s="11">
        <f t="shared" si="0"/>
        <v>1.4727095344195746</v>
      </c>
    </row>
    <row r="54" spans="1:3" x14ac:dyDescent="0.3">
      <c r="A54">
        <v>28</v>
      </c>
      <c r="B54" s="2">
        <f>12*$B$7*C54*(1-$B$22)</f>
        <v>10762.561277538247</v>
      </c>
      <c r="C54" s="11">
        <f t="shared" si="0"/>
        <v>1.4948001774358681</v>
      </c>
    </row>
    <row r="55" spans="1:3" x14ac:dyDescent="0.3">
      <c r="A55">
        <v>29</v>
      </c>
      <c r="B55" s="2">
        <f>12*$B$7*C55*(1-$B$22)</f>
        <v>10923.999696701319</v>
      </c>
      <c r="C55" s="11">
        <f t="shared" si="0"/>
        <v>1.5172221800974057</v>
      </c>
    </row>
    <row r="56" spans="1:3" x14ac:dyDescent="0.3">
      <c r="A56">
        <v>30</v>
      </c>
      <c r="B56" s="2">
        <f>12*$B$7*C56*(1-$B$22)</f>
        <v>11087.859692151838</v>
      </c>
      <c r="C56" s="11">
        <f t="shared" si="0"/>
        <v>1.5399805127988668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63DD4-87A8-4340-A348-C1C834520CB9}">
  <dimension ref="B2:H17"/>
  <sheetViews>
    <sheetView workbookViewId="0">
      <selection activeCell="G17" sqref="G17"/>
    </sheetView>
  </sheetViews>
  <sheetFormatPr defaultRowHeight="14.4" x14ac:dyDescent="0.3"/>
  <cols>
    <col min="3" max="4" width="14" bestFit="1" customWidth="1"/>
    <col min="8" max="8" width="14" bestFit="1" customWidth="1"/>
  </cols>
  <sheetData>
    <row r="2" spans="2:8" x14ac:dyDescent="0.3">
      <c r="B2" s="16" t="s">
        <v>42</v>
      </c>
    </row>
    <row r="3" spans="2:8" x14ac:dyDescent="0.3">
      <c r="B3" t="s">
        <v>53</v>
      </c>
      <c r="G3" t="s">
        <v>54</v>
      </c>
    </row>
    <row r="4" spans="2:8" x14ac:dyDescent="0.3">
      <c r="B4" s="18" t="s">
        <v>43</v>
      </c>
      <c r="C4" s="18" t="s">
        <v>44</v>
      </c>
      <c r="G4" s="18" t="s">
        <v>43</v>
      </c>
      <c r="H4" s="18" t="s">
        <v>44</v>
      </c>
    </row>
    <row r="5" spans="2:8" x14ac:dyDescent="0.3">
      <c r="B5">
        <v>0</v>
      </c>
      <c r="C5" s="17">
        <v>-100000</v>
      </c>
      <c r="D5" s="17"/>
      <c r="G5">
        <v>0</v>
      </c>
      <c r="H5" s="17">
        <v>-50000</v>
      </c>
    </row>
    <row r="6" spans="2:8" x14ac:dyDescent="0.3">
      <c r="B6">
        <v>1</v>
      </c>
      <c r="C6" s="17">
        <v>10000</v>
      </c>
      <c r="D6" s="17"/>
      <c r="G6">
        <v>1</v>
      </c>
      <c r="H6" s="17">
        <v>-5000</v>
      </c>
    </row>
    <row r="7" spans="2:8" x14ac:dyDescent="0.3">
      <c r="B7">
        <v>2</v>
      </c>
      <c r="C7" s="17">
        <v>12000</v>
      </c>
      <c r="D7" s="17"/>
      <c r="G7">
        <v>2</v>
      </c>
      <c r="H7" s="17">
        <v>10000</v>
      </c>
    </row>
    <row r="8" spans="2:8" x14ac:dyDescent="0.3">
      <c r="B8">
        <v>3</v>
      </c>
      <c r="C8" s="17">
        <v>14000</v>
      </c>
      <c r="D8" s="17"/>
      <c r="G8">
        <v>3</v>
      </c>
      <c r="H8" s="17">
        <v>25000</v>
      </c>
    </row>
    <row r="9" spans="2:8" x14ac:dyDescent="0.3">
      <c r="B9">
        <v>4</v>
      </c>
      <c r="C9" s="17">
        <v>16000</v>
      </c>
      <c r="D9" s="17"/>
      <c r="G9">
        <v>4</v>
      </c>
      <c r="H9" s="17">
        <v>40000</v>
      </c>
    </row>
    <row r="10" spans="2:8" x14ac:dyDescent="0.3">
      <c r="B10">
        <v>5</v>
      </c>
      <c r="C10" s="17">
        <v>150000</v>
      </c>
      <c r="D10" s="17"/>
      <c r="H10" s="17"/>
    </row>
    <row r="12" spans="2:8" x14ac:dyDescent="0.3">
      <c r="B12" s="18" t="s">
        <v>46</v>
      </c>
      <c r="C12" s="9">
        <f>IRR(C5:C10, 20%)</f>
        <v>0.17838167453666909</v>
      </c>
      <c r="G12" s="18" t="s">
        <v>46</v>
      </c>
      <c r="H12" s="9">
        <f>IRR(H5:H9, 20%)</f>
        <v>9.8902698095380437E-2</v>
      </c>
    </row>
    <row r="13" spans="2:8" x14ac:dyDescent="0.3">
      <c r="B13" s="18" t="s">
        <v>47</v>
      </c>
      <c r="C13" s="9">
        <f>MIRR(C5:C10,B16,B17)</f>
        <v>0.16101764324934886</v>
      </c>
      <c r="G13" s="18" t="s">
        <v>47</v>
      </c>
      <c r="H13" s="9">
        <f>MIRR(H5:H9,G16,G17)</f>
        <v>9.8893615040549943E-2</v>
      </c>
    </row>
    <row r="16" spans="2:8" x14ac:dyDescent="0.3">
      <c r="B16" s="19">
        <v>6.5000000000000002E-2</v>
      </c>
      <c r="C16" t="s">
        <v>48</v>
      </c>
      <c r="G16" s="19">
        <v>0.09</v>
      </c>
      <c r="H16" t="s">
        <v>48</v>
      </c>
    </row>
    <row r="17" spans="2:8" x14ac:dyDescent="0.3">
      <c r="B17" s="19">
        <v>7.0000000000000007E-2</v>
      </c>
      <c r="C17" t="s">
        <v>49</v>
      </c>
      <c r="G17" s="19">
        <v>0.1</v>
      </c>
      <c r="H17" t="s">
        <v>49</v>
      </c>
    </row>
  </sheetData>
  <hyperlinks>
    <hyperlink ref="B2" r:id="rId1" xr:uid="{CBF3A42D-2488-4174-A709-A4DA5388A561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6F555-828A-40E4-9B60-36CA51E89332}">
  <dimension ref="B4:N7"/>
  <sheetViews>
    <sheetView workbookViewId="0">
      <selection activeCell="H13" sqref="H13"/>
    </sheetView>
  </sheetViews>
  <sheetFormatPr defaultRowHeight="14.4" x14ac:dyDescent="0.3"/>
  <cols>
    <col min="4" max="4" width="10.33203125" bestFit="1" customWidth="1"/>
    <col min="5" max="5" width="14" bestFit="1" customWidth="1"/>
    <col min="6" max="6" width="5.21875" bestFit="1" customWidth="1"/>
    <col min="7" max="7" width="4" bestFit="1" customWidth="1"/>
    <col min="8" max="8" width="5" style="2" bestFit="1" customWidth="1"/>
    <col min="9" max="9" width="14" bestFit="1" customWidth="1"/>
    <col min="10" max="10" width="12" bestFit="1" customWidth="1"/>
    <col min="11" max="12" width="14" bestFit="1" customWidth="1"/>
    <col min="13" max="13" width="10.33203125" bestFit="1" customWidth="1"/>
    <col min="14" max="14" width="14" bestFit="1" customWidth="1"/>
  </cols>
  <sheetData>
    <row r="4" spans="2:14" x14ac:dyDescent="0.3">
      <c r="C4" t="s">
        <v>7</v>
      </c>
      <c r="D4" t="s">
        <v>2</v>
      </c>
      <c r="E4" s="2" t="s">
        <v>6</v>
      </c>
      <c r="G4" t="s">
        <v>3</v>
      </c>
      <c r="H4" t="s">
        <v>5</v>
      </c>
      <c r="I4" t="s">
        <v>8</v>
      </c>
      <c r="J4" t="s">
        <v>9</v>
      </c>
      <c r="K4" t="s">
        <v>10</v>
      </c>
      <c r="M4" t="s">
        <v>4</v>
      </c>
      <c r="N4" t="s">
        <v>11</v>
      </c>
    </row>
    <row r="5" spans="2:14" x14ac:dyDescent="0.3">
      <c r="B5" t="s">
        <v>0</v>
      </c>
      <c r="C5">
        <v>2500</v>
      </c>
      <c r="D5" s="2">
        <v>100</v>
      </c>
      <c r="E5" s="2">
        <f>D5*C5</f>
        <v>250000</v>
      </c>
      <c r="F5" s="1">
        <v>0.5</v>
      </c>
      <c r="G5">
        <f>D5*(1+F5)</f>
        <v>150</v>
      </c>
      <c r="H5">
        <v>2500</v>
      </c>
      <c r="I5" s="2">
        <f>G5*H5</f>
        <v>375000</v>
      </c>
      <c r="J5">
        <f>(I7/2)/G5</f>
        <v>1666.6666666666667</v>
      </c>
      <c r="K5" s="2">
        <f>J5*G5</f>
        <v>250000</v>
      </c>
      <c r="L5" s="4">
        <v>-0.33333000000000002</v>
      </c>
      <c r="M5" s="2">
        <f>G5*(1+L5)</f>
        <v>100.0005</v>
      </c>
      <c r="N5" s="2">
        <f>J5*M5</f>
        <v>166667.5</v>
      </c>
    </row>
    <row r="6" spans="2:14" x14ac:dyDescent="0.3">
      <c r="B6" t="s">
        <v>1</v>
      </c>
      <c r="C6">
        <v>2500</v>
      </c>
      <c r="D6" s="2">
        <v>100</v>
      </c>
      <c r="E6" s="2">
        <f>D6*C6</f>
        <v>250000</v>
      </c>
      <c r="F6" s="1">
        <v>-0.5</v>
      </c>
      <c r="G6">
        <f>D6*(1+F6)</f>
        <v>50</v>
      </c>
      <c r="H6">
        <v>2500</v>
      </c>
      <c r="I6" s="2">
        <f>G6*H6</f>
        <v>125000</v>
      </c>
      <c r="J6">
        <f>(I7/2)/G6</f>
        <v>5000</v>
      </c>
      <c r="K6" s="2">
        <f>J6*G6</f>
        <v>250000</v>
      </c>
      <c r="L6" s="5">
        <v>1</v>
      </c>
      <c r="M6" s="2">
        <f>G6*(1+L6)</f>
        <v>100</v>
      </c>
      <c r="N6" s="2">
        <f>J6*M6</f>
        <v>500000</v>
      </c>
    </row>
    <row r="7" spans="2:14" x14ac:dyDescent="0.3">
      <c r="E7" s="2">
        <f>SUM(E5:E6)</f>
        <v>500000</v>
      </c>
      <c r="H7"/>
      <c r="I7" s="2">
        <f>SUM(I5:I6)</f>
        <v>500000</v>
      </c>
      <c r="K7" s="2">
        <f>SUM(K5:K6)</f>
        <v>500000</v>
      </c>
      <c r="N7" s="2">
        <f>SUM(N5:N6)</f>
        <v>666667.5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MatFin</vt:lpstr>
      <vt:lpstr>MCA</vt:lpstr>
      <vt:lpstr>Inflação</vt:lpstr>
      <vt:lpstr>TIR</vt:lpstr>
      <vt:lpstr>Imóveis</vt:lpstr>
      <vt:lpstr>Exemplo Investopedia</vt:lpstr>
      <vt:lpstr>Diversificação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Luiz F P Droubi</dc:creator>
  <cp:lastModifiedBy>Luiz F P Droubi</cp:lastModifiedBy>
  <dcterms:created xsi:type="dcterms:W3CDTF">2024-11-15T16:50:04Z</dcterms:created>
  <dcterms:modified xsi:type="dcterms:W3CDTF">2024-11-25T01:10:40Z</dcterms:modified>
</cp:coreProperties>
</file>