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fpdr\Google Drive\Avaliacoes\Pareceres-Veyron\ParecerFinal\refs\"/>
    </mc:Choice>
  </mc:AlternateContent>
  <xr:revisionPtr revIDLastSave="0" documentId="13_ncr:1_{10395CF8-682E-4097-9A34-02582AC0266C}" xr6:coauthVersionLast="47" xr6:coauthVersionMax="47" xr10:uidLastSave="{00000000-0000-0000-0000-000000000000}"/>
  <bookViews>
    <workbookView xWindow="11424" yWindow="0" windowWidth="11712" windowHeight="12336" tabRatio="807" firstSheet="6" activeTab="9" xr2:uid="{00000000-000D-0000-FFFF-FFFF00000000}"/>
  </bookViews>
  <sheets>
    <sheet name="DJ, R&amp;E E LATRONICO" sheetId="1" r:id="rId1"/>
    <sheet name="PAGAMENTOS DJ" sheetId="4" r:id="rId2"/>
    <sheet name="CRISBORBA" sheetId="5" r:id="rId3"/>
    <sheet name="ISMAEL" sheetId="13" r:id="rId4"/>
    <sheet name="PC SEVERINO" sheetId="12" r:id="rId5"/>
    <sheet name="SILVA" sheetId="9" r:id="rId6"/>
    <sheet name="ELIEZER" sheetId="8" r:id="rId7"/>
    <sheet name="MAURICIO" sheetId="6" r:id="rId8"/>
    <sheet name="IMPERIOGESSO" sheetId="7" r:id="rId9"/>
    <sheet name="RESUMO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3" l="1"/>
  <c r="F84" i="1"/>
  <c r="F85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4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N9" i="1"/>
  <c r="N10" i="1"/>
  <c r="N11" i="1"/>
  <c r="N8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18" i="1"/>
  <c r="N18" i="1" s="1"/>
  <c r="M13" i="1"/>
  <c r="N13" i="1" s="1"/>
  <c r="M14" i="1"/>
  <c r="N14" i="1" s="1"/>
  <c r="M15" i="1"/>
  <c r="N15" i="1" s="1"/>
  <c r="M16" i="1"/>
  <c r="N16" i="1" s="1"/>
  <c r="M17" i="1"/>
  <c r="N17" i="1" s="1"/>
  <c r="M12" i="1"/>
  <c r="N12" i="1" s="1"/>
  <c r="N42" i="1" l="1"/>
  <c r="P11" i="1" l="1"/>
  <c r="P17" i="1" s="1"/>
  <c r="P24" i="1" s="1"/>
  <c r="P30" i="1" s="1"/>
  <c r="P34" i="1" s="1"/>
  <c r="P36" i="1" s="1"/>
  <c r="P41" i="1" s="1"/>
  <c r="C12" i="11"/>
  <c r="C24" i="11"/>
  <c r="C23" i="11"/>
  <c r="C21" i="11"/>
  <c r="C9" i="11" s="1"/>
  <c r="C22" i="11"/>
  <c r="F18" i="12"/>
  <c r="E18" i="12"/>
  <c r="C7" i="11"/>
  <c r="C10" i="11"/>
  <c r="E7" i="9"/>
  <c r="F7" i="9"/>
  <c r="E11" i="8"/>
  <c r="C11" i="11" s="1"/>
  <c r="F11" i="8"/>
  <c r="E8" i="7"/>
  <c r="E15" i="6"/>
  <c r="E10" i="5"/>
  <c r="G58" i="1"/>
  <c r="G57" i="1"/>
  <c r="G56" i="1"/>
  <c r="G55" i="1"/>
  <c r="G54" i="1"/>
  <c r="H86" i="1"/>
  <c r="C5" i="11" s="1"/>
  <c r="G86" i="1"/>
  <c r="H42" i="1"/>
  <c r="C4" i="11" s="1"/>
  <c r="G42" i="1"/>
  <c r="C34" i="4"/>
  <c r="G62" i="1" l="1"/>
  <c r="D4" i="1" s="1"/>
  <c r="I3" i="1" s="1"/>
  <c r="H62" i="1"/>
  <c r="C6" i="11" s="1"/>
  <c r="D2" i="1" l="1"/>
  <c r="D3" i="1" s="1"/>
  <c r="C13" i="11" l="1"/>
</calcChain>
</file>

<file path=xl/sharedStrings.xml><?xml version="1.0" encoding="utf-8"?>
<sst xmlns="http://schemas.openxmlformats.org/spreadsheetml/2006/main" count="309" uniqueCount="111">
  <si>
    <t>A</t>
  </si>
  <si>
    <t>VALOR BRUTO MEDIDO</t>
  </si>
  <si>
    <t>VALOR LÍQUIDO NO RELATÓRIO DE MEDIÇÕES:</t>
  </si>
  <si>
    <t xml:space="preserve"> FOI IDENTIFICADA UMA DIFERENÇA ENTRE OS VALORES LÍQUIDOS PAGOS AOS SUBEMPREITADA R&amp;E HIDRÁULICA E O RELATÓRIO RESUMO DE MEDIÇÕES. ESTE RELATÓRIO ESTÁ FAZENDO UMA RETENÇÃO TRIBUTÁRIA DE 4% DE ISS E 2% DE INSS. A RETENÇÃO CORRETA A SER FEITA NO ENQUANDRAMENTE TRIBUTÁRIO DESTE FORNCEDOR É DE 2% CONFORME FOI FEITO NOS PAGAMENTOS. DAÍ HÁ UMA DIFERENÇA TOTAL DE R$ 6.410,04. ESTAS DIFERENÇAS PODEM SER IDENTIFICADAS NAS MEDIÇÃO A PARTIR DO MOMENTO EM QUE FORAM EMITIDAS AS NOTAS DESTA SUBEMPREITADA.</t>
  </si>
  <si>
    <t>B</t>
  </si>
  <si>
    <t>RETENÇÃO</t>
  </si>
  <si>
    <t>DIFERENÇA ENTRE O LIQUIDO PAGO E O RELATÓRIO</t>
  </si>
  <si>
    <t>A - B</t>
  </si>
  <si>
    <t>VALOR LÍQUIDO</t>
  </si>
  <si>
    <t>FATURAMENTO TOTAL - NF EMITIDAS DJ MAÕ DE OBRA</t>
  </si>
  <si>
    <t>Tipo de Documento</t>
  </si>
  <si>
    <t>Número do Documento</t>
  </si>
  <si>
    <t>Nome Fantasia</t>
  </si>
  <si>
    <t>Valor Líquido</t>
  </si>
  <si>
    <t>valor Bruto da Nota</t>
  </si>
  <si>
    <t>Data de Baixa</t>
  </si>
  <si>
    <t>NFS</t>
  </si>
  <si>
    <t>DJ Locação de Mão de Obra</t>
  </si>
  <si>
    <t>FATURAMENTO TOTAL - NF EMITIDAS R&amp;E HIDRÁULICA</t>
  </si>
  <si>
    <t>R&amp;E INSTALACOES HIDRAULICAS LTDA</t>
  </si>
  <si>
    <t xml:space="preserve">FATURAMENTO TOTAL - NF EMITIDAS LATRONICO INSTALAÇÕES ELÉTRICAS </t>
  </si>
  <si>
    <t xml:space="preserve"> LATRONICO INSTALAÇÕES ELÉTRICAS</t>
  </si>
  <si>
    <t>Valor Baixado</t>
  </si>
  <si>
    <t>ok</t>
  </si>
  <si>
    <t>240</t>
  </si>
  <si>
    <t>292</t>
  </si>
  <si>
    <t>311</t>
  </si>
  <si>
    <t>356</t>
  </si>
  <si>
    <t>342</t>
  </si>
  <si>
    <t>334</t>
  </si>
  <si>
    <t>381</t>
  </si>
  <si>
    <t>412</t>
  </si>
  <si>
    <t>423</t>
  </si>
  <si>
    <t>446</t>
  </si>
  <si>
    <t>466</t>
  </si>
  <si>
    <t>479</t>
  </si>
  <si>
    <t>497</t>
  </si>
  <si>
    <t>517</t>
  </si>
  <si>
    <t>518</t>
  </si>
  <si>
    <t>527</t>
  </si>
  <si>
    <t>540</t>
  </si>
  <si>
    <t>552</t>
  </si>
  <si>
    <t>560</t>
  </si>
  <si>
    <t>567</t>
  </si>
  <si>
    <t>572</t>
  </si>
  <si>
    <t>583</t>
  </si>
  <si>
    <t>592</t>
  </si>
  <si>
    <t>619</t>
  </si>
  <si>
    <t>623</t>
  </si>
  <si>
    <t>105</t>
  </si>
  <si>
    <t>109</t>
  </si>
  <si>
    <t>101</t>
  </si>
  <si>
    <t>113</t>
  </si>
  <si>
    <t>331</t>
  </si>
  <si>
    <t>399</t>
  </si>
  <si>
    <t>133</t>
  </si>
  <si>
    <t>134</t>
  </si>
  <si>
    <t>Data da NF</t>
  </si>
  <si>
    <t>151</t>
  </si>
  <si>
    <t>157</t>
  </si>
  <si>
    <t>165</t>
  </si>
  <si>
    <t>169</t>
  </si>
  <si>
    <t>175</t>
  </si>
  <si>
    <t>188</t>
  </si>
  <si>
    <t>243</t>
  </si>
  <si>
    <t>250</t>
  </si>
  <si>
    <t>253</t>
  </si>
  <si>
    <t>268</t>
  </si>
  <si>
    <t>270</t>
  </si>
  <si>
    <t>DATA NF</t>
  </si>
  <si>
    <t>308</t>
  </si>
  <si>
    <t>314</t>
  </si>
  <si>
    <t>327</t>
  </si>
  <si>
    <t>337</t>
  </si>
  <si>
    <t>349</t>
  </si>
  <si>
    <t>363</t>
  </si>
  <si>
    <t>374</t>
  </si>
  <si>
    <t>380</t>
  </si>
  <si>
    <t>394</t>
  </si>
  <si>
    <t>405</t>
  </si>
  <si>
    <t>420</t>
  </si>
  <si>
    <t>429</t>
  </si>
  <si>
    <t>NF</t>
  </si>
  <si>
    <t>Bruto</t>
  </si>
  <si>
    <t>Líquido</t>
  </si>
  <si>
    <t>DATA</t>
  </si>
  <si>
    <t>BRUTO</t>
  </si>
  <si>
    <t>LÍQUIDO</t>
  </si>
  <si>
    <t>DJ LOCAÇÃO DE MÃO DE OBRA</t>
  </si>
  <si>
    <t>LATRONICO</t>
  </si>
  <si>
    <t>R&amp;E</t>
  </si>
  <si>
    <t>ELIEZER</t>
  </si>
  <si>
    <t>SILVA REVESTIMENTO CERÂMICOS</t>
  </si>
  <si>
    <t>MAURÍCIO DOS SANTOS</t>
  </si>
  <si>
    <t>CRISBORBA PINTURAS</t>
  </si>
  <si>
    <t>TOTAL FATURADO</t>
  </si>
  <si>
    <t>TOTAL</t>
  </si>
  <si>
    <t>PAULO CESAR SEVERINO</t>
  </si>
  <si>
    <t>OBS.:</t>
  </si>
  <si>
    <t>Execução, por empreitada ou subempreitada, de obras de c</t>
  </si>
  <si>
    <t>Serviços de pedreiro independente</t>
  </si>
  <si>
    <t>Até 12/2023:</t>
  </si>
  <si>
    <t>Após 12/2023:</t>
  </si>
  <si>
    <t>507</t>
  </si>
  <si>
    <t>528</t>
  </si>
  <si>
    <t>Fator</t>
  </si>
  <si>
    <t>SALDO CONTRATUAL</t>
  </si>
  <si>
    <t>Bruto Deflac.</t>
  </si>
  <si>
    <t>CUB</t>
  </si>
  <si>
    <t>Saldo Contratual</t>
  </si>
  <si>
    <t>ISMAEL LUIZ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</si>
</sst>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00000"/>
    <numFmt numFmtId="165" formatCode="_-&quot;R$&quot;\ * #,##0.00_-;\-&quot;R$&quot;\ * #,##0.00_-;_-&quot;R$&quot;\ * &quot;-&quot;??????_-;_-@_-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5"/>
      <color theme="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8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44" fontId="1" fillId="3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Border="1" applyAlignment="1">
      <alignment horizontal="left"/>
    </xf>
    <xf numFmtId="4" fontId="0" fillId="0" borderId="0" xfId="0" applyNumberFormat="1"/>
    <xf numFmtId="4" fontId="3" fillId="0" borderId="1" xfId="0" applyNumberFormat="1" applyFont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/>
    </xf>
    <xf numFmtId="44" fontId="4" fillId="0" borderId="0" xfId="0" applyNumberFormat="1" applyFont="1"/>
    <xf numFmtId="0" fontId="0" fillId="0" borderId="2" xfId="0" applyBorder="1"/>
    <xf numFmtId="44" fontId="0" fillId="0" borderId="2" xfId="0" applyNumberFormat="1" applyBorder="1"/>
    <xf numFmtId="0" fontId="0" fillId="0" borderId="3" xfId="0" applyBorder="1"/>
    <xf numFmtId="44" fontId="0" fillId="0" borderId="3" xfId="0" applyNumberFormat="1" applyBorder="1"/>
    <xf numFmtId="0" fontId="0" fillId="0" borderId="0" xfId="0" applyAlignment="1">
      <alignment horizontal="right" indent="1"/>
    </xf>
    <xf numFmtId="49" fontId="1" fillId="2" borderId="1" xfId="0" applyNumberFormat="1" applyFont="1" applyFill="1" applyBorder="1" applyAlignment="1">
      <alignment horizontal="right" vertical="center" wrapText="1" inden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right" vertical="center" wrapText="1" indent="1"/>
    </xf>
    <xf numFmtId="44" fontId="7" fillId="3" borderId="1" xfId="0" applyNumberFormat="1" applyFont="1" applyFill="1" applyBorder="1" applyAlignment="1">
      <alignment horizontal="right" vertical="center" wrapText="1"/>
    </xf>
    <xf numFmtId="44" fontId="7" fillId="0" borderId="1" xfId="0" applyNumberFormat="1" applyFont="1" applyBorder="1" applyAlignment="1">
      <alignment horizontal="right" vertical="center" wrapText="1"/>
    </xf>
    <xf numFmtId="44" fontId="7" fillId="0" borderId="1" xfId="0" applyNumberFormat="1" applyFont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0" xfId="0" applyFont="1"/>
    <xf numFmtId="49" fontId="5" fillId="5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44" fontId="5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indent="1" shrinkToFit="1"/>
    </xf>
    <xf numFmtId="44" fontId="0" fillId="0" borderId="3" xfId="0" applyNumberFormat="1" applyBorder="1" applyAlignment="1">
      <alignment horizontal="right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indent="1"/>
    </xf>
    <xf numFmtId="44" fontId="10" fillId="0" borderId="0" xfId="0" applyNumberFormat="1" applyFont="1"/>
    <xf numFmtId="14" fontId="7" fillId="3" borderId="0" xfId="0" applyNumberFormat="1" applyFont="1" applyFill="1" applyAlignment="1">
      <alignment horizontal="right" vertical="center" wrapText="1" indent="1"/>
    </xf>
    <xf numFmtId="44" fontId="0" fillId="0" borderId="0" xfId="0" applyNumberFormat="1"/>
    <xf numFmtId="14" fontId="0" fillId="0" borderId="0" xfId="0" applyNumberFormat="1"/>
    <xf numFmtId="4" fontId="0" fillId="0" borderId="0" xfId="1" applyNumberFormat="1" applyFont="1"/>
    <xf numFmtId="0" fontId="4" fillId="0" borderId="0" xfId="0" applyFont="1"/>
    <xf numFmtId="0" fontId="0" fillId="0" borderId="0" xfId="0" applyAlignment="1">
      <alignment wrapText="1"/>
    </xf>
    <xf numFmtId="0" fontId="11" fillId="0" borderId="0" xfId="0" applyFont="1"/>
    <xf numFmtId="49" fontId="7" fillId="0" borderId="0" xfId="0" applyNumberFormat="1" applyFont="1" applyAlignment="1">
      <alignment horizontal="left" vertical="center" wrapText="1"/>
    </xf>
    <xf numFmtId="44" fontId="7" fillId="3" borderId="0" xfId="0" applyNumberFormat="1" applyFont="1" applyFill="1" applyAlignment="1">
      <alignment horizontal="right" vertical="center" wrapText="1"/>
    </xf>
    <xf numFmtId="44" fontId="7" fillId="0" borderId="0" xfId="0" applyNumberFormat="1" applyFont="1" applyAlignment="1">
      <alignment horizontal="left" vertical="center" wrapText="1"/>
    </xf>
    <xf numFmtId="14" fontId="7" fillId="7" borderId="1" xfId="0" applyNumberFormat="1" applyFont="1" applyFill="1" applyBorder="1" applyAlignment="1">
      <alignment horizontal="right" vertical="center" wrapText="1" indent="1"/>
    </xf>
    <xf numFmtId="44" fontId="7" fillId="7" borderId="1" xfId="0" applyNumberFormat="1" applyFont="1" applyFill="1" applyBorder="1" applyAlignment="1">
      <alignment horizontal="right" vertical="center" wrapText="1"/>
    </xf>
    <xf numFmtId="14" fontId="7" fillId="8" borderId="1" xfId="0" applyNumberFormat="1" applyFont="1" applyFill="1" applyBorder="1" applyAlignment="1">
      <alignment horizontal="right" vertical="center" wrapText="1" indent="1"/>
    </xf>
    <xf numFmtId="44" fontId="7" fillId="8" borderId="1" xfId="0" applyNumberFormat="1" applyFont="1" applyFill="1" applyBorder="1" applyAlignment="1">
      <alignment horizontal="right" vertical="center" wrapText="1"/>
    </xf>
    <xf numFmtId="44" fontId="7" fillId="8" borderId="1" xfId="0" applyNumberFormat="1" applyFont="1" applyFill="1" applyBorder="1" applyAlignment="1">
      <alignment horizontal="left" vertical="center" wrapText="1"/>
    </xf>
    <xf numFmtId="44" fontId="7" fillId="7" borderId="1" xfId="0" applyNumberFormat="1" applyFont="1" applyFill="1" applyBorder="1" applyAlignment="1">
      <alignment horizontal="left" vertical="center" wrapText="1"/>
    </xf>
    <xf numFmtId="14" fontId="7" fillId="7" borderId="1" xfId="0" applyNumberFormat="1" applyFont="1" applyFill="1" applyBorder="1" applyAlignment="1">
      <alignment horizontal="right" vertical="center" indent="1"/>
    </xf>
    <xf numFmtId="44" fontId="7" fillId="7" borderId="1" xfId="0" applyNumberFormat="1" applyFont="1" applyFill="1" applyBorder="1" applyAlignment="1">
      <alignment horizontal="right" vertical="center"/>
    </xf>
    <xf numFmtId="44" fontId="7" fillId="7" borderId="1" xfId="0" applyNumberFormat="1" applyFont="1" applyFill="1" applyBorder="1" applyAlignment="1">
      <alignment horizontal="left" vertical="center"/>
    </xf>
    <xf numFmtId="14" fontId="7" fillId="8" borderId="1" xfId="0" applyNumberFormat="1" applyFont="1" applyFill="1" applyBorder="1" applyAlignment="1">
      <alignment horizontal="right" vertical="center" indent="1"/>
    </xf>
    <xf numFmtId="44" fontId="7" fillId="8" borderId="1" xfId="0" applyNumberFormat="1" applyFont="1" applyFill="1" applyBorder="1" applyAlignment="1">
      <alignment horizontal="right" vertical="center"/>
    </xf>
    <xf numFmtId="44" fontId="7" fillId="8" borderId="1" xfId="0" applyNumberFormat="1" applyFont="1" applyFill="1" applyBorder="1" applyAlignment="1">
      <alignment horizontal="left" vertical="center"/>
    </xf>
    <xf numFmtId="14" fontId="8" fillId="8" borderId="1" xfId="0" applyNumberFormat="1" applyFont="1" applyFill="1" applyBorder="1" applyAlignment="1">
      <alignment horizontal="right" indent="1"/>
    </xf>
    <xf numFmtId="44" fontId="8" fillId="8" borderId="1" xfId="0" applyNumberFormat="1" applyFont="1" applyFill="1" applyBorder="1"/>
    <xf numFmtId="14" fontId="8" fillId="8" borderId="0" xfId="0" applyNumberFormat="1" applyFont="1" applyFill="1" applyAlignment="1">
      <alignment horizontal="right" indent="1"/>
    </xf>
    <xf numFmtId="44" fontId="8" fillId="7" borderId="1" xfId="0" applyNumberFormat="1" applyFont="1" applyFill="1" applyBorder="1"/>
    <xf numFmtId="14" fontId="8" fillId="7" borderId="0" xfId="0" applyNumberFormat="1" applyFont="1" applyFill="1" applyAlignment="1">
      <alignment horizontal="right" indent="1"/>
    </xf>
    <xf numFmtId="0" fontId="0" fillId="8" borderId="0" xfId="0" applyFill="1" applyAlignment="1">
      <alignment horizontal="right" indent="1"/>
    </xf>
    <xf numFmtId="0" fontId="0" fillId="7" borderId="0" xfId="0" applyFill="1" applyAlignment="1">
      <alignment horizontal="right" inden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7" fillId="7" borderId="1" xfId="2" applyNumberFormat="1" applyFont="1" applyFill="1" applyBorder="1" applyAlignment="1">
      <alignment horizontal="right" vertical="center" wrapText="1" indent="1"/>
    </xf>
    <xf numFmtId="166" fontId="7" fillId="8" borderId="1" xfId="2" applyNumberFormat="1" applyFont="1" applyFill="1" applyBorder="1" applyAlignment="1">
      <alignment horizontal="right" vertical="center" wrapText="1" indent="1"/>
    </xf>
    <xf numFmtId="166" fontId="7" fillId="3" borderId="1" xfId="2" applyNumberFormat="1" applyFont="1" applyFill="1" applyBorder="1" applyAlignment="1">
      <alignment horizontal="right" vertical="center" wrapText="1" indent="1"/>
    </xf>
    <xf numFmtId="0" fontId="0" fillId="6" borderId="0" xfId="0" applyFill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48576"/>
  <sheetViews>
    <sheetView showGridLines="0" topLeftCell="E64" zoomScaleNormal="100" workbookViewId="0">
      <selection activeCell="H42" sqref="H42"/>
    </sheetView>
  </sheetViews>
  <sheetFormatPr defaultColWidth="20.33203125" defaultRowHeight="14.4" x14ac:dyDescent="0.3"/>
  <cols>
    <col min="1" max="1" width="3" bestFit="1" customWidth="1"/>
    <col min="2" max="2" width="15" customWidth="1"/>
    <col min="3" max="3" width="20.33203125" customWidth="1"/>
    <col min="4" max="4" width="42.44140625" customWidth="1"/>
    <col min="5" max="5" width="20.33203125" style="15"/>
    <col min="6" max="6" width="20.33203125" style="15" customWidth="1"/>
    <col min="7" max="7" width="22.77734375" customWidth="1"/>
    <col min="8" max="8" width="23.44140625" customWidth="1"/>
    <col min="9" max="9" width="20.33203125" style="15"/>
    <col min="10" max="11" width="4.6640625" customWidth="1"/>
    <col min="12" max="12" width="8.6640625" customWidth="1"/>
    <col min="13" max="13" width="8.88671875" customWidth="1"/>
    <col min="14" max="14" width="18.109375" bestFit="1" customWidth="1"/>
    <col min="15" max="15" width="18.109375" customWidth="1"/>
    <col min="16" max="16" width="25.5546875" customWidth="1"/>
    <col min="17" max="17" width="25" customWidth="1"/>
  </cols>
  <sheetData>
    <row r="2" spans="1:20" ht="18" customHeight="1" x14ac:dyDescent="0.3">
      <c r="B2" s="29" t="s">
        <v>0</v>
      </c>
      <c r="C2" s="11" t="s">
        <v>1</v>
      </c>
      <c r="D2" s="12">
        <f>H42+H62+H86</f>
        <v>3031669.1999999997</v>
      </c>
      <c r="G2" s="11" t="s">
        <v>2</v>
      </c>
      <c r="H2" s="11"/>
      <c r="I2" s="12">
        <v>1785663.16</v>
      </c>
      <c r="Q2" s="72" t="s">
        <v>3</v>
      </c>
      <c r="R2" s="72"/>
      <c r="S2" s="31"/>
      <c r="T2" s="31"/>
    </row>
    <row r="3" spans="1:20" ht="18" customHeight="1" x14ac:dyDescent="0.3">
      <c r="B3" s="15" t="s">
        <v>4</v>
      </c>
      <c r="C3" s="13" t="s">
        <v>5</v>
      </c>
      <c r="D3" s="14">
        <f>D2-D4</f>
        <v>230834.58999999985</v>
      </c>
      <c r="G3" s="13" t="s">
        <v>6</v>
      </c>
      <c r="H3" s="13"/>
      <c r="I3" s="30">
        <f>I2-D4</f>
        <v>-1015171.45</v>
      </c>
      <c r="P3" s="30">
        <v>3078516.35</v>
      </c>
      <c r="Q3" s="72"/>
      <c r="R3" s="72"/>
      <c r="S3" s="31"/>
      <c r="T3" s="31"/>
    </row>
    <row r="4" spans="1:20" ht="18" customHeight="1" x14ac:dyDescent="0.3">
      <c r="B4" s="15" t="s">
        <v>7</v>
      </c>
      <c r="C4" s="13" t="s">
        <v>8</v>
      </c>
      <c r="D4" s="14">
        <f>G42+G62+G86</f>
        <v>2800834.61</v>
      </c>
      <c r="Q4" s="72"/>
      <c r="R4" s="72"/>
      <c r="S4" s="31"/>
      <c r="T4" s="31"/>
    </row>
    <row r="5" spans="1:20" x14ac:dyDescent="0.3">
      <c r="Q5" s="72"/>
      <c r="R5" s="72"/>
    </row>
    <row r="6" spans="1:20" x14ac:dyDescent="0.3">
      <c r="B6" t="s">
        <v>9</v>
      </c>
      <c r="Q6" s="72"/>
      <c r="R6" s="72"/>
    </row>
    <row r="7" spans="1:20" x14ac:dyDescent="0.3">
      <c r="B7" s="1" t="s">
        <v>10</v>
      </c>
      <c r="C7" s="1" t="s">
        <v>11</v>
      </c>
      <c r="D7" s="1" t="s">
        <v>12</v>
      </c>
      <c r="E7" s="27" t="s">
        <v>57</v>
      </c>
      <c r="F7" s="27"/>
      <c r="G7" s="1" t="s">
        <v>13</v>
      </c>
      <c r="H7" s="34" t="s">
        <v>14</v>
      </c>
      <c r="I7" s="16" t="s">
        <v>15</v>
      </c>
      <c r="L7" t="s">
        <v>108</v>
      </c>
      <c r="M7" t="s">
        <v>105</v>
      </c>
      <c r="N7" t="s">
        <v>107</v>
      </c>
      <c r="O7" t="s">
        <v>109</v>
      </c>
      <c r="P7" t="s">
        <v>106</v>
      </c>
      <c r="Q7" s="72"/>
      <c r="R7" s="72"/>
    </row>
    <row r="8" spans="1:20" x14ac:dyDescent="0.3">
      <c r="A8">
        <v>1</v>
      </c>
      <c r="B8" s="17" t="s">
        <v>16</v>
      </c>
      <c r="C8" s="18" t="s">
        <v>24</v>
      </c>
      <c r="D8" s="17" t="s">
        <v>17</v>
      </c>
      <c r="E8" s="47">
        <v>43819</v>
      </c>
      <c r="F8" s="69">
        <f>(H8-G8)/H8</f>
        <v>0.15999994018556607</v>
      </c>
      <c r="G8" s="48">
        <v>123582.22</v>
      </c>
      <c r="H8" s="48">
        <v>147121.68</v>
      </c>
      <c r="I8" s="47">
        <v>43819</v>
      </c>
      <c r="L8" s="66">
        <v>1974.3</v>
      </c>
      <c r="M8" s="67">
        <v>1</v>
      </c>
      <c r="N8" s="68">
        <f>H8/M8</f>
        <v>147121.68</v>
      </c>
      <c r="O8" s="68">
        <f>P3-N8</f>
        <v>2931394.67</v>
      </c>
      <c r="Q8" s="72"/>
      <c r="R8" s="72"/>
    </row>
    <row r="9" spans="1:20" x14ac:dyDescent="0.3">
      <c r="A9">
        <v>2</v>
      </c>
      <c r="B9" s="17" t="s">
        <v>16</v>
      </c>
      <c r="C9" s="18" t="s">
        <v>25</v>
      </c>
      <c r="D9" s="17" t="s">
        <v>17</v>
      </c>
      <c r="E9" s="47">
        <v>44076</v>
      </c>
      <c r="F9" s="69">
        <f t="shared" ref="F9:F41" si="0">(H9-G9)/H9</f>
        <v>0.16000020160003225</v>
      </c>
      <c r="G9" s="48">
        <v>24999.99</v>
      </c>
      <c r="H9" s="48">
        <v>29761.9</v>
      </c>
      <c r="I9" s="47">
        <v>44076</v>
      </c>
      <c r="L9" s="66">
        <v>1974.3</v>
      </c>
      <c r="M9" s="67">
        <v>1</v>
      </c>
      <c r="N9" s="68">
        <f t="shared" ref="N9:N41" si="1">H9/M9</f>
        <v>29761.9</v>
      </c>
      <c r="O9" s="68">
        <f>O8-N9</f>
        <v>2901632.77</v>
      </c>
      <c r="Q9" s="72"/>
      <c r="R9" s="72"/>
    </row>
    <row r="10" spans="1:20" x14ac:dyDescent="0.3">
      <c r="A10">
        <v>3</v>
      </c>
      <c r="B10" s="17" t="s">
        <v>16</v>
      </c>
      <c r="C10" s="18" t="s">
        <v>26</v>
      </c>
      <c r="D10" s="17" t="s">
        <v>17</v>
      </c>
      <c r="E10" s="47">
        <v>44162</v>
      </c>
      <c r="F10" s="69">
        <f t="shared" si="0"/>
        <v>0.16000006666666663</v>
      </c>
      <c r="G10" s="48">
        <v>125999.99</v>
      </c>
      <c r="H10" s="48">
        <v>150000</v>
      </c>
      <c r="I10" s="47">
        <v>44162</v>
      </c>
      <c r="L10" s="66">
        <v>1974.3</v>
      </c>
      <c r="M10" s="67">
        <v>1</v>
      </c>
      <c r="N10" s="68">
        <f t="shared" si="1"/>
        <v>150000</v>
      </c>
      <c r="O10" s="68">
        <f t="shared" ref="O10:O41" si="2">O9-N10</f>
        <v>2751632.77</v>
      </c>
      <c r="Q10" s="72"/>
      <c r="R10" s="72"/>
    </row>
    <row r="11" spans="1:20" x14ac:dyDescent="0.3">
      <c r="A11">
        <v>4</v>
      </c>
      <c r="B11" s="17" t="s">
        <v>16</v>
      </c>
      <c r="C11" s="18" t="s">
        <v>53</v>
      </c>
      <c r="D11" s="17" t="s">
        <v>17</v>
      </c>
      <c r="E11" s="47">
        <v>44231</v>
      </c>
      <c r="F11" s="69">
        <f t="shared" si="0"/>
        <v>6.5141605674750941E-2</v>
      </c>
      <c r="G11" s="48">
        <v>69288.320000000007</v>
      </c>
      <c r="H11" s="48">
        <v>74116.38</v>
      </c>
      <c r="I11" s="47"/>
      <c r="L11" s="66">
        <v>1974.3</v>
      </c>
      <c r="M11" s="67">
        <v>1</v>
      </c>
      <c r="N11" s="68">
        <f t="shared" si="1"/>
        <v>74116.38</v>
      </c>
      <c r="O11" s="68">
        <f t="shared" si="2"/>
        <v>2677516.39</v>
      </c>
      <c r="P11" s="38">
        <f>P3-SUM(H8:H11)</f>
        <v>2677516.39</v>
      </c>
      <c r="Q11" s="33"/>
      <c r="R11" s="33"/>
    </row>
    <row r="12" spans="1:20" x14ac:dyDescent="0.3">
      <c r="A12">
        <v>7</v>
      </c>
      <c r="B12" s="17" t="s">
        <v>16</v>
      </c>
      <c r="C12" s="18" t="s">
        <v>27</v>
      </c>
      <c r="D12" s="17" t="s">
        <v>17</v>
      </c>
      <c r="E12" s="49">
        <v>44287</v>
      </c>
      <c r="F12" s="70">
        <f t="shared" si="0"/>
        <v>6.4999991263111109E-2</v>
      </c>
      <c r="G12" s="50">
        <v>117719.25</v>
      </c>
      <c r="H12" s="50">
        <v>125902.94</v>
      </c>
      <c r="I12" s="49">
        <v>44287</v>
      </c>
      <c r="L12" s="66">
        <v>2112.9</v>
      </c>
      <c r="M12" s="67">
        <f>L12/$L$11</f>
        <v>1.0702020969457531</v>
      </c>
      <c r="N12" s="68">
        <f t="shared" si="1"/>
        <v>117644.07896350985</v>
      </c>
      <c r="O12" s="68">
        <f t="shared" si="2"/>
        <v>2559872.3110364904</v>
      </c>
      <c r="Q12" s="32"/>
      <c r="R12" s="32"/>
    </row>
    <row r="13" spans="1:20" x14ac:dyDescent="0.3">
      <c r="A13">
        <v>6</v>
      </c>
      <c r="B13" s="17" t="s">
        <v>16</v>
      </c>
      <c r="C13" s="18" t="s">
        <v>28</v>
      </c>
      <c r="D13" s="17" t="s">
        <v>17</v>
      </c>
      <c r="E13" s="49">
        <v>44327</v>
      </c>
      <c r="F13" s="70">
        <f t="shared" si="0"/>
        <v>6.4999968775822342E-2</v>
      </c>
      <c r="G13" s="50">
        <v>70370.149999999994</v>
      </c>
      <c r="H13" s="50">
        <v>75262.19</v>
      </c>
      <c r="I13" s="49">
        <v>44327</v>
      </c>
      <c r="L13" s="66">
        <v>2112.9</v>
      </c>
      <c r="M13" s="67">
        <f t="shared" ref="M13:M17" si="3">L13/$L$11</f>
        <v>1.0702020969457531</v>
      </c>
      <c r="N13" s="68">
        <f t="shared" si="1"/>
        <v>70325.212606843663</v>
      </c>
      <c r="O13" s="68">
        <f t="shared" si="2"/>
        <v>2489547.0984296468</v>
      </c>
      <c r="Q13" s="32"/>
      <c r="R13" s="32"/>
    </row>
    <row r="14" spans="1:20" x14ac:dyDescent="0.3">
      <c r="A14">
        <v>5</v>
      </c>
      <c r="B14" s="17" t="s">
        <v>16</v>
      </c>
      <c r="C14" s="18" t="s">
        <v>29</v>
      </c>
      <c r="D14" s="17" t="s">
        <v>17</v>
      </c>
      <c r="E14" s="49">
        <v>44328</v>
      </c>
      <c r="F14" s="70">
        <f t="shared" si="0"/>
        <v>6.4999936841861936E-2</v>
      </c>
      <c r="G14" s="50">
        <v>69579.320000000007</v>
      </c>
      <c r="H14" s="50">
        <v>74416.38</v>
      </c>
      <c r="I14" s="49">
        <v>44328</v>
      </c>
      <c r="L14" s="66">
        <v>2112.9</v>
      </c>
      <c r="M14" s="67">
        <f t="shared" si="3"/>
        <v>1.0702020969457531</v>
      </c>
      <c r="N14" s="68">
        <f t="shared" si="1"/>
        <v>69534.885244924037</v>
      </c>
      <c r="O14" s="68">
        <f t="shared" si="2"/>
        <v>2420012.2131847227</v>
      </c>
      <c r="Q14" s="32"/>
      <c r="R14" s="32"/>
    </row>
    <row r="15" spans="1:20" x14ac:dyDescent="0.3">
      <c r="A15">
        <v>9</v>
      </c>
      <c r="B15" s="17" t="s">
        <v>16</v>
      </c>
      <c r="C15" s="18" t="s">
        <v>54</v>
      </c>
      <c r="D15" s="17" t="s">
        <v>17</v>
      </c>
      <c r="E15" s="49">
        <v>44392</v>
      </c>
      <c r="F15" s="70">
        <f t="shared" si="0"/>
        <v>6.4999953593037965E-2</v>
      </c>
      <c r="G15" s="50">
        <v>110813.12</v>
      </c>
      <c r="H15" s="50">
        <v>118516.7</v>
      </c>
      <c r="I15" s="49">
        <v>44392</v>
      </c>
      <c r="L15" s="66">
        <v>2112.9</v>
      </c>
      <c r="M15" s="67">
        <f t="shared" si="3"/>
        <v>1.0702020969457531</v>
      </c>
      <c r="N15" s="68">
        <f t="shared" si="1"/>
        <v>110742.35449382363</v>
      </c>
      <c r="O15" s="68">
        <f t="shared" si="2"/>
        <v>2309269.8586908989</v>
      </c>
      <c r="Q15" s="32"/>
      <c r="R15" s="32"/>
    </row>
    <row r="16" spans="1:20" x14ac:dyDescent="0.3">
      <c r="A16">
        <v>8</v>
      </c>
      <c r="B16" s="17" t="s">
        <v>16</v>
      </c>
      <c r="C16" s="18" t="s">
        <v>30</v>
      </c>
      <c r="D16" s="17" t="s">
        <v>17</v>
      </c>
      <c r="E16" s="49">
        <v>44362</v>
      </c>
      <c r="F16" s="70">
        <f t="shared" si="0"/>
        <v>6.4999998169676193E-2</v>
      </c>
      <c r="G16" s="50">
        <v>127709.64</v>
      </c>
      <c r="H16" s="51">
        <v>136587.85</v>
      </c>
      <c r="I16" s="49">
        <v>44361</v>
      </c>
      <c r="L16" s="66">
        <v>2112.9</v>
      </c>
      <c r="M16" s="67">
        <f t="shared" si="3"/>
        <v>1.0702020969457531</v>
      </c>
      <c r="N16" s="68">
        <f t="shared" si="1"/>
        <v>127628.09042311514</v>
      </c>
      <c r="O16" s="68">
        <f t="shared" si="2"/>
        <v>2181641.7682677838</v>
      </c>
    </row>
    <row r="17" spans="1:16" x14ac:dyDescent="0.3">
      <c r="A17">
        <v>10</v>
      </c>
      <c r="B17" s="17" t="s">
        <v>16</v>
      </c>
      <c r="C17" s="18" t="s">
        <v>31</v>
      </c>
      <c r="D17" s="17" t="s">
        <v>17</v>
      </c>
      <c r="E17" s="49">
        <v>44410</v>
      </c>
      <c r="F17" s="70">
        <f t="shared" si="0"/>
        <v>6.4999949105118332E-2</v>
      </c>
      <c r="G17" s="50">
        <v>109308.64</v>
      </c>
      <c r="H17" s="51">
        <v>116907.63</v>
      </c>
      <c r="I17" s="49">
        <v>44410</v>
      </c>
      <c r="L17" s="66">
        <v>2112.9</v>
      </c>
      <c r="M17" s="67">
        <f t="shared" si="3"/>
        <v>1.0702020969457531</v>
      </c>
      <c r="N17" s="68">
        <f t="shared" si="1"/>
        <v>109238.8347337782</v>
      </c>
      <c r="O17" s="68">
        <f t="shared" si="2"/>
        <v>2072402.9335340057</v>
      </c>
      <c r="P17" s="38">
        <f>P11*1.070202-SUM(H12:H17)</f>
        <v>2217889.7056107805</v>
      </c>
    </row>
    <row r="18" spans="1:16" x14ac:dyDescent="0.3">
      <c r="A18">
        <v>11</v>
      </c>
      <c r="B18" s="17" t="s">
        <v>16</v>
      </c>
      <c r="C18" s="18" t="s">
        <v>32</v>
      </c>
      <c r="D18" s="17" t="s">
        <v>17</v>
      </c>
      <c r="E18" s="47">
        <v>44444</v>
      </c>
      <c r="F18" s="69">
        <f t="shared" si="0"/>
        <v>6.4999944429077861E-2</v>
      </c>
      <c r="G18" s="48">
        <v>133761.51</v>
      </c>
      <c r="H18" s="52">
        <v>143060.43</v>
      </c>
      <c r="I18" s="47">
        <v>44444</v>
      </c>
      <c r="L18" s="66">
        <v>2329.85</v>
      </c>
      <c r="M18" s="67">
        <f>L18/$L$11</f>
        <v>1.1800891455199312</v>
      </c>
      <c r="N18" s="68">
        <f t="shared" si="1"/>
        <v>121228.49408717298</v>
      </c>
      <c r="O18" s="68">
        <f t="shared" si="2"/>
        <v>1951174.4394468328</v>
      </c>
    </row>
    <row r="19" spans="1:16" x14ac:dyDescent="0.3">
      <c r="A19">
        <v>12</v>
      </c>
      <c r="B19" s="17" t="s">
        <v>16</v>
      </c>
      <c r="C19" s="18" t="s">
        <v>33</v>
      </c>
      <c r="D19" s="17" t="s">
        <v>17</v>
      </c>
      <c r="E19" s="47">
        <v>44476</v>
      </c>
      <c r="F19" s="69">
        <f t="shared" si="0"/>
        <v>6.5000032209882555E-2</v>
      </c>
      <c r="G19" s="48">
        <v>114662.01</v>
      </c>
      <c r="H19" s="52">
        <v>122633.17</v>
      </c>
      <c r="I19" s="47">
        <v>44476</v>
      </c>
      <c r="L19" s="66">
        <v>2329.85</v>
      </c>
      <c r="M19" s="67">
        <f t="shared" ref="M19:M41" si="4">L19/$L$11</f>
        <v>1.1800891455199312</v>
      </c>
      <c r="N19" s="68">
        <f t="shared" si="1"/>
        <v>103918.56451316607</v>
      </c>
      <c r="O19" s="68">
        <f t="shared" si="2"/>
        <v>1847255.8749336668</v>
      </c>
    </row>
    <row r="20" spans="1:16" x14ac:dyDescent="0.3">
      <c r="A20">
        <v>13</v>
      </c>
      <c r="B20" s="17" t="s">
        <v>16</v>
      </c>
      <c r="C20" s="18" t="s">
        <v>34</v>
      </c>
      <c r="D20" s="17" t="s">
        <v>17</v>
      </c>
      <c r="E20" s="47">
        <v>44507</v>
      </c>
      <c r="F20" s="69">
        <f t="shared" si="0"/>
        <v>6.4999979674548791E-2</v>
      </c>
      <c r="G20" s="48">
        <v>80502.52</v>
      </c>
      <c r="H20" s="52">
        <v>86098.95</v>
      </c>
      <c r="I20" s="47">
        <v>44505</v>
      </c>
      <c r="L20" s="66">
        <v>2329.85</v>
      </c>
      <c r="M20" s="67">
        <f t="shared" si="4"/>
        <v>1.1800891455199312</v>
      </c>
      <c r="N20" s="68">
        <f t="shared" si="1"/>
        <v>72959.699974247269</v>
      </c>
      <c r="O20" s="68">
        <f t="shared" si="2"/>
        <v>1774296.1749594195</v>
      </c>
    </row>
    <row r="21" spans="1:16" x14ac:dyDescent="0.3">
      <c r="A21">
        <v>14</v>
      </c>
      <c r="B21" s="17" t="s">
        <v>16</v>
      </c>
      <c r="C21" s="18" t="s">
        <v>35</v>
      </c>
      <c r="D21" s="17" t="s">
        <v>17</v>
      </c>
      <c r="E21" s="47">
        <v>44537</v>
      </c>
      <c r="F21" s="69">
        <f t="shared" si="0"/>
        <v>6.4999966981193327E-2</v>
      </c>
      <c r="G21" s="48">
        <v>76456.429999999993</v>
      </c>
      <c r="H21" s="52">
        <v>81771.58</v>
      </c>
      <c r="I21" s="47">
        <v>44533</v>
      </c>
      <c r="L21" s="66">
        <v>2329.85</v>
      </c>
      <c r="M21" s="67">
        <f t="shared" si="4"/>
        <v>1.1800891455199312</v>
      </c>
      <c r="N21" s="68">
        <f t="shared" si="1"/>
        <v>69292.714292336415</v>
      </c>
      <c r="O21" s="68">
        <f t="shared" si="2"/>
        <v>1705003.460667083</v>
      </c>
    </row>
    <row r="22" spans="1:16" x14ac:dyDescent="0.3">
      <c r="A22">
        <v>15</v>
      </c>
      <c r="B22" s="23" t="s">
        <v>16</v>
      </c>
      <c r="C22" s="24" t="s">
        <v>36</v>
      </c>
      <c r="D22" s="23" t="s">
        <v>17</v>
      </c>
      <c r="E22" s="53">
        <v>44568</v>
      </c>
      <c r="F22" s="69">
        <f t="shared" si="0"/>
        <v>6.499992353721229E-2</v>
      </c>
      <c r="G22" s="54">
        <v>47078.46</v>
      </c>
      <c r="H22" s="55">
        <v>50351.29</v>
      </c>
      <c r="I22" s="53">
        <v>44571</v>
      </c>
      <c r="L22" s="66">
        <v>2329.85</v>
      </c>
      <c r="M22" s="67">
        <f t="shared" si="4"/>
        <v>1.1800891455199312</v>
      </c>
      <c r="N22" s="68">
        <f t="shared" si="1"/>
        <v>42667.36135244758</v>
      </c>
      <c r="O22" s="68">
        <f t="shared" si="2"/>
        <v>1662336.0993146354</v>
      </c>
    </row>
    <row r="23" spans="1:16" x14ac:dyDescent="0.3">
      <c r="A23">
        <v>16</v>
      </c>
      <c r="B23" s="23" t="s">
        <v>16</v>
      </c>
      <c r="C23" s="24" t="s">
        <v>37</v>
      </c>
      <c r="D23" s="23" t="s">
        <v>17</v>
      </c>
      <c r="E23" s="53">
        <v>44599</v>
      </c>
      <c r="F23" s="69">
        <f t="shared" si="0"/>
        <v>6.5000026445233533E-2</v>
      </c>
      <c r="G23" s="54">
        <v>146727.76</v>
      </c>
      <c r="H23" s="55">
        <v>156928.09</v>
      </c>
      <c r="I23" s="53">
        <v>44599</v>
      </c>
      <c r="L23" s="66">
        <v>2329.85</v>
      </c>
      <c r="M23" s="67">
        <f t="shared" si="4"/>
        <v>1.1800891455199312</v>
      </c>
      <c r="N23" s="68">
        <f t="shared" si="1"/>
        <v>132979.86054338262</v>
      </c>
      <c r="O23" s="68">
        <f t="shared" si="2"/>
        <v>1529356.2387712528</v>
      </c>
    </row>
    <row r="24" spans="1:16" x14ac:dyDescent="0.3">
      <c r="A24">
        <v>17</v>
      </c>
      <c r="B24" s="23" t="s">
        <v>16</v>
      </c>
      <c r="C24" s="24" t="s">
        <v>38</v>
      </c>
      <c r="D24" s="23" t="s">
        <v>17</v>
      </c>
      <c r="E24" s="53">
        <v>44599</v>
      </c>
      <c r="F24" s="69">
        <f t="shared" si="0"/>
        <v>6.50000468266312E-2</v>
      </c>
      <c r="G24" s="54">
        <v>51914.9</v>
      </c>
      <c r="H24" s="55">
        <v>55523.96</v>
      </c>
      <c r="I24" s="53">
        <v>44599</v>
      </c>
      <c r="L24" s="66">
        <v>2329.85</v>
      </c>
      <c r="M24" s="67">
        <f t="shared" si="4"/>
        <v>1.1800891455199312</v>
      </c>
      <c r="N24" s="68">
        <f t="shared" si="1"/>
        <v>47050.648852072016</v>
      </c>
      <c r="O24" s="68">
        <f t="shared" si="2"/>
        <v>1482305.5899191808</v>
      </c>
      <c r="P24" s="38">
        <f>P17*1.102679-SUM(H18:H24)</f>
        <v>1749252.9326931897</v>
      </c>
    </row>
    <row r="25" spans="1:16" x14ac:dyDescent="0.3">
      <c r="A25">
        <v>18</v>
      </c>
      <c r="B25" s="23" t="s">
        <v>16</v>
      </c>
      <c r="C25" s="24" t="s">
        <v>39</v>
      </c>
      <c r="D25" s="23" t="s">
        <v>17</v>
      </c>
      <c r="E25" s="56">
        <v>44627</v>
      </c>
      <c r="F25" s="70">
        <f t="shared" si="0"/>
        <v>6.4999835529179997E-2</v>
      </c>
      <c r="G25" s="57">
        <v>57985.98</v>
      </c>
      <c r="H25" s="58">
        <v>62017.08</v>
      </c>
      <c r="I25" s="59">
        <v>44623</v>
      </c>
      <c r="L25" s="66">
        <v>2438.5100000000002</v>
      </c>
      <c r="M25" s="67">
        <f t="shared" si="4"/>
        <v>1.2351263739046752</v>
      </c>
      <c r="N25" s="68">
        <f t="shared" si="1"/>
        <v>50211.121153491265</v>
      </c>
      <c r="O25" s="68">
        <f t="shared" si="2"/>
        <v>1432094.4687656895</v>
      </c>
    </row>
    <row r="26" spans="1:16" x14ac:dyDescent="0.3">
      <c r="A26">
        <v>19</v>
      </c>
      <c r="B26" s="23" t="s">
        <v>16</v>
      </c>
      <c r="C26" s="24" t="s">
        <v>40</v>
      </c>
      <c r="D26" s="23" t="s">
        <v>17</v>
      </c>
      <c r="E26" s="56">
        <v>44658</v>
      </c>
      <c r="F26" s="70">
        <f t="shared" si="0"/>
        <v>6.4999931567064725E-2</v>
      </c>
      <c r="G26" s="57">
        <v>128432.32000000001</v>
      </c>
      <c r="H26" s="60">
        <v>137360.76</v>
      </c>
      <c r="I26" s="59">
        <v>44655</v>
      </c>
      <c r="L26" s="66">
        <v>2438.5100000000002</v>
      </c>
      <c r="M26" s="67">
        <f t="shared" si="4"/>
        <v>1.2351263739046752</v>
      </c>
      <c r="N26" s="68">
        <f t="shared" si="1"/>
        <v>111211.90746316398</v>
      </c>
      <c r="O26" s="68">
        <f t="shared" si="2"/>
        <v>1320882.5613025255</v>
      </c>
    </row>
    <row r="27" spans="1:16" x14ac:dyDescent="0.3">
      <c r="A27">
        <v>20</v>
      </c>
      <c r="B27" s="23" t="s">
        <v>16</v>
      </c>
      <c r="C27" s="24" t="s">
        <v>41</v>
      </c>
      <c r="D27" s="23" t="s">
        <v>17</v>
      </c>
      <c r="E27" s="56">
        <v>44684</v>
      </c>
      <c r="F27" s="70">
        <f t="shared" si="0"/>
        <v>6.499996826896462E-2</v>
      </c>
      <c r="G27" s="57">
        <v>172378.56</v>
      </c>
      <c r="H27" s="60">
        <v>184362.09</v>
      </c>
      <c r="I27" s="61"/>
      <c r="L27" s="66">
        <v>2438.5100000000002</v>
      </c>
      <c r="M27" s="67">
        <f t="shared" si="4"/>
        <v>1.2351263739046752</v>
      </c>
      <c r="N27" s="68">
        <f t="shared" si="1"/>
        <v>149265.77060869135</v>
      </c>
      <c r="O27" s="68">
        <f t="shared" si="2"/>
        <v>1171616.7906938342</v>
      </c>
    </row>
    <row r="28" spans="1:16" x14ac:dyDescent="0.3">
      <c r="A28">
        <v>21</v>
      </c>
      <c r="B28" s="23" t="s">
        <v>16</v>
      </c>
      <c r="C28" s="24" t="s">
        <v>42</v>
      </c>
      <c r="D28" s="23" t="s">
        <v>17</v>
      </c>
      <c r="E28" s="56">
        <v>44718</v>
      </c>
      <c r="F28" s="70">
        <f t="shared" si="0"/>
        <v>6.4999988059216765E-2</v>
      </c>
      <c r="G28" s="57">
        <v>97878.84</v>
      </c>
      <c r="H28" s="60">
        <v>104683.25</v>
      </c>
      <c r="I28" s="61"/>
      <c r="L28" s="66">
        <v>2438.5100000000002</v>
      </c>
      <c r="M28" s="67">
        <f t="shared" si="4"/>
        <v>1.2351263739046752</v>
      </c>
      <c r="N28" s="68">
        <f t="shared" si="1"/>
        <v>84755.092443746384</v>
      </c>
      <c r="O28" s="68">
        <f t="shared" si="2"/>
        <v>1086861.6982500879</v>
      </c>
    </row>
    <row r="29" spans="1:16" x14ac:dyDescent="0.3">
      <c r="A29">
        <v>22</v>
      </c>
      <c r="B29" s="23" t="s">
        <v>16</v>
      </c>
      <c r="C29" s="24" t="s">
        <v>43</v>
      </c>
      <c r="D29" s="23" t="s">
        <v>17</v>
      </c>
      <c r="E29" s="56">
        <v>44748</v>
      </c>
      <c r="F29" s="70">
        <f t="shared" si="0"/>
        <v>6.5000022655290701E-2</v>
      </c>
      <c r="G29" s="57">
        <v>103176.78</v>
      </c>
      <c r="H29" s="60">
        <v>110349.5</v>
      </c>
      <c r="I29" s="61"/>
      <c r="L29" s="66">
        <v>2438.5100000000002</v>
      </c>
      <c r="M29" s="67">
        <f t="shared" si="4"/>
        <v>1.2351263739046752</v>
      </c>
      <c r="N29" s="68">
        <f t="shared" si="1"/>
        <v>89342.679689646538</v>
      </c>
      <c r="O29" s="68">
        <f t="shared" si="2"/>
        <v>997519.01856044133</v>
      </c>
    </row>
    <row r="30" spans="1:16" x14ac:dyDescent="0.3">
      <c r="A30">
        <v>23</v>
      </c>
      <c r="B30" s="23" t="s">
        <v>16</v>
      </c>
      <c r="C30" s="24" t="s">
        <v>44</v>
      </c>
      <c r="D30" s="23" t="s">
        <v>17</v>
      </c>
      <c r="E30" s="56">
        <v>44775</v>
      </c>
      <c r="F30" s="70">
        <f t="shared" si="0"/>
        <v>6.5000005984666473E-2</v>
      </c>
      <c r="G30" s="57">
        <v>85927.93</v>
      </c>
      <c r="H30" s="60">
        <v>91901.53</v>
      </c>
      <c r="I30" s="61"/>
      <c r="L30" s="66">
        <v>2438.5100000000002</v>
      </c>
      <c r="M30" s="67">
        <f t="shared" si="4"/>
        <v>1.2351263739046752</v>
      </c>
      <c r="N30" s="68">
        <f t="shared" si="1"/>
        <v>74406.58052622297</v>
      </c>
      <c r="O30" s="68">
        <f t="shared" si="2"/>
        <v>923112.43803421839</v>
      </c>
      <c r="P30" s="38">
        <f>P24*1.046638-SUM(H25:H30)</f>
        <v>1140160.3809681344</v>
      </c>
    </row>
    <row r="31" spans="1:16" x14ac:dyDescent="0.3">
      <c r="A31">
        <v>24</v>
      </c>
      <c r="B31" s="23" t="s">
        <v>16</v>
      </c>
      <c r="C31" s="24" t="s">
        <v>45</v>
      </c>
      <c r="D31" s="23" t="s">
        <v>17</v>
      </c>
      <c r="E31" s="53">
        <v>44806</v>
      </c>
      <c r="F31" s="69">
        <f t="shared" si="0"/>
        <v>6.4999895407841651E-2</v>
      </c>
      <c r="G31" s="54">
        <v>53189.94</v>
      </c>
      <c r="H31" s="62">
        <v>56887.63</v>
      </c>
      <c r="I31" s="63"/>
      <c r="L31" s="66">
        <v>2603.14</v>
      </c>
      <c r="M31" s="67">
        <f t="shared" si="4"/>
        <v>1.3185128906447854</v>
      </c>
      <c r="N31" s="68">
        <f t="shared" si="1"/>
        <v>43145.296798865988</v>
      </c>
      <c r="O31" s="68">
        <f t="shared" si="2"/>
        <v>879967.14123535238</v>
      </c>
    </row>
    <row r="32" spans="1:16" x14ac:dyDescent="0.3">
      <c r="A32">
        <v>25</v>
      </c>
      <c r="B32" s="23" t="s">
        <v>16</v>
      </c>
      <c r="C32" s="24" t="s">
        <v>46</v>
      </c>
      <c r="D32" s="23" t="s">
        <v>17</v>
      </c>
      <c r="E32" s="53">
        <v>44839</v>
      </c>
      <c r="F32" s="69">
        <f t="shared" si="0"/>
        <v>6.499994999683309E-2</v>
      </c>
      <c r="G32" s="54">
        <v>33657.870000000003</v>
      </c>
      <c r="H32" s="62">
        <v>35997.72</v>
      </c>
      <c r="I32" s="63"/>
      <c r="L32" s="66">
        <v>2603.14</v>
      </c>
      <c r="M32" s="67">
        <f t="shared" si="4"/>
        <v>1.3185128906447854</v>
      </c>
      <c r="N32" s="68">
        <f t="shared" si="1"/>
        <v>27301.758105979705</v>
      </c>
      <c r="O32" s="68">
        <f t="shared" si="2"/>
        <v>852665.38312937273</v>
      </c>
    </row>
    <row r="33" spans="1:17" x14ac:dyDescent="0.3">
      <c r="A33">
        <v>26</v>
      </c>
      <c r="B33" s="23" t="s">
        <v>16</v>
      </c>
      <c r="C33" s="24" t="s">
        <v>47</v>
      </c>
      <c r="D33" s="23" t="s">
        <v>17</v>
      </c>
      <c r="E33" s="53">
        <v>44900</v>
      </c>
      <c r="F33" s="69">
        <f t="shared" si="0"/>
        <v>6.4999841094026387E-2</v>
      </c>
      <c r="G33" s="54">
        <v>39716.89</v>
      </c>
      <c r="H33" s="62">
        <v>42477.95</v>
      </c>
      <c r="I33" s="63"/>
      <c r="L33" s="66">
        <v>2603.14</v>
      </c>
      <c r="M33" s="67">
        <f t="shared" si="4"/>
        <v>1.3185128906447854</v>
      </c>
      <c r="N33" s="68">
        <f t="shared" si="1"/>
        <v>32216.560263758383</v>
      </c>
      <c r="O33" s="68">
        <f t="shared" si="2"/>
        <v>820448.82286561432</v>
      </c>
    </row>
    <row r="34" spans="1:17" x14ac:dyDescent="0.3">
      <c r="A34">
        <v>27</v>
      </c>
      <c r="B34" s="23" t="s">
        <v>16</v>
      </c>
      <c r="C34" s="24" t="s">
        <v>48</v>
      </c>
      <c r="D34" s="23" t="s">
        <v>17</v>
      </c>
      <c r="E34" s="53">
        <v>44917</v>
      </c>
      <c r="F34" s="69">
        <f t="shared" si="0"/>
        <v>6.4999772555479535E-2</v>
      </c>
      <c r="G34" s="54">
        <v>19321.2</v>
      </c>
      <c r="H34" s="62">
        <v>20664.38</v>
      </c>
      <c r="I34" s="63"/>
      <c r="L34" s="66">
        <v>2603.14</v>
      </c>
      <c r="M34" s="67">
        <f t="shared" si="4"/>
        <v>1.3185128906447854</v>
      </c>
      <c r="N34" s="68">
        <f t="shared" si="1"/>
        <v>15672.489929085645</v>
      </c>
      <c r="O34" s="68">
        <f t="shared" si="2"/>
        <v>804776.33293652872</v>
      </c>
      <c r="P34" s="38">
        <f>P30*1.067513-SUM(H31:H34)</f>
        <v>1061108.3487684361</v>
      </c>
    </row>
    <row r="35" spans="1:17" x14ac:dyDescent="0.3">
      <c r="A35">
        <v>28</v>
      </c>
      <c r="B35" s="23" t="s">
        <v>16</v>
      </c>
      <c r="C35" s="24">
        <v>667</v>
      </c>
      <c r="D35" s="23" t="s">
        <v>17</v>
      </c>
      <c r="E35" s="56">
        <v>45113</v>
      </c>
      <c r="F35" s="70">
        <f t="shared" si="0"/>
        <v>6.4999941600166561E-2</v>
      </c>
      <c r="G35" s="57">
        <v>50432.51</v>
      </c>
      <c r="H35" s="60">
        <v>53938.51</v>
      </c>
      <c r="I35" s="64"/>
      <c r="L35" s="66">
        <v>2662.47</v>
      </c>
      <c r="M35" s="67">
        <f t="shared" si="4"/>
        <v>1.3485640480170187</v>
      </c>
      <c r="N35" s="68">
        <f t="shared" si="1"/>
        <v>39996.995381356413</v>
      </c>
      <c r="O35" s="68">
        <f t="shared" si="2"/>
        <v>764779.33755517227</v>
      </c>
    </row>
    <row r="36" spans="1:17" x14ac:dyDescent="0.3">
      <c r="A36">
        <v>29</v>
      </c>
      <c r="B36" s="23" t="s">
        <v>16</v>
      </c>
      <c r="C36" s="24">
        <v>672</v>
      </c>
      <c r="D36" s="23" t="s">
        <v>17</v>
      </c>
      <c r="E36" s="56">
        <v>45152</v>
      </c>
      <c r="F36" s="70">
        <f t="shared" si="0"/>
        <v>6.4999796474946012E-2</v>
      </c>
      <c r="G36" s="57">
        <v>22970.15</v>
      </c>
      <c r="H36" s="60">
        <v>24567</v>
      </c>
      <c r="I36" s="64"/>
      <c r="L36" s="66">
        <v>2662.47</v>
      </c>
      <c r="M36" s="67">
        <f t="shared" si="4"/>
        <v>1.3485640480170187</v>
      </c>
      <c r="N36" s="68">
        <f t="shared" si="1"/>
        <v>18217.154784842645</v>
      </c>
      <c r="O36" s="68">
        <f t="shared" si="2"/>
        <v>746562.18277032964</v>
      </c>
      <c r="P36" s="38">
        <f>P34*1.022792-SUM(H35:H36)</f>
        <v>1006787.6202535662</v>
      </c>
    </row>
    <row r="37" spans="1:17" x14ac:dyDescent="0.3">
      <c r="A37">
        <v>30</v>
      </c>
      <c r="B37" s="23" t="s">
        <v>16</v>
      </c>
      <c r="C37" s="24">
        <v>677</v>
      </c>
      <c r="D37" s="23" t="s">
        <v>17</v>
      </c>
      <c r="E37" s="53">
        <v>45182</v>
      </c>
      <c r="F37" s="69">
        <f t="shared" si="0"/>
        <v>6.4999942000910624E-2</v>
      </c>
      <c r="G37" s="54">
        <v>25793.51</v>
      </c>
      <c r="H37" s="62">
        <v>27586.639999999999</v>
      </c>
      <c r="I37" s="65"/>
      <c r="L37" s="66">
        <v>2750.52</v>
      </c>
      <c r="M37" s="67">
        <f t="shared" si="4"/>
        <v>1.3931621334143747</v>
      </c>
      <c r="N37" s="68">
        <f t="shared" si="1"/>
        <v>19801.456943414338</v>
      </c>
      <c r="O37" s="68">
        <f t="shared" si="2"/>
        <v>726760.72582691535</v>
      </c>
    </row>
    <row r="38" spans="1:17" x14ac:dyDescent="0.3">
      <c r="A38">
        <v>31</v>
      </c>
      <c r="B38" s="23" t="s">
        <v>16</v>
      </c>
      <c r="C38" s="24">
        <v>684</v>
      </c>
      <c r="D38" s="23" t="s">
        <v>17</v>
      </c>
      <c r="E38" s="53">
        <v>45212</v>
      </c>
      <c r="F38" s="69">
        <f t="shared" si="0"/>
        <v>6.4999518365630574E-2</v>
      </c>
      <c r="G38" s="54">
        <v>29216.68</v>
      </c>
      <c r="H38" s="62">
        <v>31247.77</v>
      </c>
      <c r="I38" s="65"/>
      <c r="L38" s="66">
        <v>2750.52</v>
      </c>
      <c r="M38" s="67">
        <f t="shared" si="4"/>
        <v>1.3931621334143747</v>
      </c>
      <c r="N38" s="68">
        <f t="shared" si="1"/>
        <v>22429.385102089789</v>
      </c>
      <c r="O38" s="68">
        <f t="shared" si="2"/>
        <v>704331.34072482551</v>
      </c>
    </row>
    <row r="39" spans="1:17" x14ac:dyDescent="0.3">
      <c r="A39">
        <v>32</v>
      </c>
      <c r="B39" s="23" t="s">
        <v>16</v>
      </c>
      <c r="C39" s="24">
        <v>688</v>
      </c>
      <c r="D39" s="23" t="s">
        <v>17</v>
      </c>
      <c r="E39" s="53">
        <v>45238</v>
      </c>
      <c r="F39" s="69">
        <f t="shared" si="0"/>
        <v>6.5000000000000002E-2</v>
      </c>
      <c r="G39" s="54">
        <v>14960</v>
      </c>
      <c r="H39" s="62">
        <v>16000</v>
      </c>
      <c r="I39" s="65"/>
      <c r="L39" s="66">
        <v>2750.52</v>
      </c>
      <c r="M39" s="67">
        <f t="shared" si="4"/>
        <v>1.3931621334143747</v>
      </c>
      <c r="N39" s="68">
        <f t="shared" si="1"/>
        <v>11484.664717944244</v>
      </c>
      <c r="O39" s="68">
        <f t="shared" si="2"/>
        <v>692846.67600688129</v>
      </c>
    </row>
    <row r="40" spans="1:17" x14ac:dyDescent="0.3">
      <c r="A40">
        <v>33</v>
      </c>
      <c r="B40" s="23" t="s">
        <v>16</v>
      </c>
      <c r="C40" s="24">
        <v>693</v>
      </c>
      <c r="D40" s="23" t="s">
        <v>17</v>
      </c>
      <c r="E40" s="53">
        <v>45266</v>
      </c>
      <c r="F40" s="69">
        <f t="shared" si="0"/>
        <v>6.5000000000000002E-2</v>
      </c>
      <c r="G40" s="54">
        <v>28050</v>
      </c>
      <c r="H40" s="62">
        <v>30000</v>
      </c>
      <c r="I40" s="65"/>
      <c r="L40" s="66">
        <v>2750.52</v>
      </c>
      <c r="M40" s="67">
        <f t="shared" si="4"/>
        <v>1.3931621334143747</v>
      </c>
      <c r="N40" s="68">
        <f t="shared" si="1"/>
        <v>21533.746346145457</v>
      </c>
      <c r="O40" s="68">
        <f t="shared" si="2"/>
        <v>671312.92966073588</v>
      </c>
    </row>
    <row r="41" spans="1:17" x14ac:dyDescent="0.3">
      <c r="A41">
        <v>34</v>
      </c>
      <c r="B41" s="23" t="s">
        <v>16</v>
      </c>
      <c r="C41" s="24">
        <v>698</v>
      </c>
      <c r="D41" s="23" t="s">
        <v>17</v>
      </c>
      <c r="E41" s="53">
        <v>45280</v>
      </c>
      <c r="F41" s="69">
        <f t="shared" si="0"/>
        <v>6.5000000000000002E-2</v>
      </c>
      <c r="G41" s="54">
        <v>28050</v>
      </c>
      <c r="H41" s="62">
        <v>30000</v>
      </c>
      <c r="I41" s="65"/>
      <c r="L41" s="66">
        <v>2750.52</v>
      </c>
      <c r="M41" s="67">
        <f t="shared" si="4"/>
        <v>1.3931621334143747</v>
      </c>
      <c r="N41" s="68">
        <f t="shared" si="1"/>
        <v>21533.746346145457</v>
      </c>
      <c r="O41" s="68">
        <f t="shared" si="2"/>
        <v>649779.18331459048</v>
      </c>
      <c r="P41" s="38">
        <f>P36*1.033071-SUM(H37:H41)</f>
        <v>905248.68364297191</v>
      </c>
    </row>
    <row r="42" spans="1:17" x14ac:dyDescent="0.3">
      <c r="E42" s="35"/>
      <c r="F42" s="35"/>
      <c r="G42" s="36">
        <f>SUM(G8:G41)</f>
        <v>2591613.39</v>
      </c>
      <c r="H42" s="36">
        <f>SUM(H8:H41)</f>
        <v>2805002.9299999997</v>
      </c>
      <c r="N42" s="68">
        <f>SUM(N8:N41)</f>
        <v>2428737.1666854098</v>
      </c>
      <c r="O42" s="68"/>
      <c r="Q42" s="38"/>
    </row>
    <row r="44" spans="1:17" x14ac:dyDescent="0.3">
      <c r="B44" t="s">
        <v>18</v>
      </c>
    </row>
    <row r="45" spans="1:17" s="25" customFormat="1" ht="17.100000000000001" customHeight="1" x14ac:dyDescent="0.3">
      <c r="B45" s="26" t="s">
        <v>10</v>
      </c>
      <c r="C45" s="26" t="s">
        <v>11</v>
      </c>
      <c r="D45" s="26" t="s">
        <v>12</v>
      </c>
      <c r="E45" s="27" t="s">
        <v>69</v>
      </c>
      <c r="F45" s="27"/>
      <c r="G45" s="28" t="s">
        <v>13</v>
      </c>
      <c r="H45" s="28" t="s">
        <v>14</v>
      </c>
      <c r="I45" s="27" t="s">
        <v>15</v>
      </c>
    </row>
    <row r="46" spans="1:17" ht="17.100000000000001" customHeight="1" x14ac:dyDescent="0.3">
      <c r="A46">
        <v>1</v>
      </c>
      <c r="B46" s="17" t="s">
        <v>16</v>
      </c>
      <c r="C46" s="18">
        <v>30101</v>
      </c>
      <c r="D46" s="17" t="s">
        <v>19</v>
      </c>
      <c r="E46" s="19">
        <v>44411</v>
      </c>
      <c r="F46" s="71">
        <f t="shared" ref="F46:F62" si="5">(H46-G46)/H46</f>
        <v>0.02</v>
      </c>
      <c r="G46" s="20">
        <v>4410</v>
      </c>
      <c r="H46" s="21">
        <v>4500</v>
      </c>
      <c r="I46" s="19">
        <v>44414</v>
      </c>
    </row>
    <row r="47" spans="1:17" ht="17.100000000000001" customHeight="1" x14ac:dyDescent="0.3">
      <c r="A47">
        <v>2</v>
      </c>
      <c r="B47" s="17" t="s">
        <v>16</v>
      </c>
      <c r="C47" s="18" t="s">
        <v>70</v>
      </c>
      <c r="D47" s="17" t="s">
        <v>19</v>
      </c>
      <c r="E47" s="19">
        <v>44440</v>
      </c>
      <c r="F47" s="71">
        <f t="shared" si="5"/>
        <v>0.02</v>
      </c>
      <c r="G47" s="20">
        <v>4900</v>
      </c>
      <c r="H47" s="21">
        <v>5000</v>
      </c>
      <c r="I47" s="19">
        <v>44447</v>
      </c>
    </row>
    <row r="48" spans="1:17" ht="17.100000000000001" customHeight="1" x14ac:dyDescent="0.3">
      <c r="A48">
        <v>3</v>
      </c>
      <c r="B48" s="17" t="s">
        <v>16</v>
      </c>
      <c r="C48" s="18" t="s">
        <v>71</v>
      </c>
      <c r="D48" s="17" t="s">
        <v>19</v>
      </c>
      <c r="E48" s="19">
        <v>44474</v>
      </c>
      <c r="F48" s="71">
        <f t="shared" si="5"/>
        <v>0.02</v>
      </c>
      <c r="G48" s="20">
        <v>5390</v>
      </c>
      <c r="H48" s="21">
        <v>5500</v>
      </c>
      <c r="I48" s="19">
        <v>44477</v>
      </c>
    </row>
    <row r="49" spans="1:9" ht="17.100000000000001" customHeight="1" x14ac:dyDescent="0.3">
      <c r="A49">
        <v>4</v>
      </c>
      <c r="B49" s="17" t="s">
        <v>16</v>
      </c>
      <c r="C49" s="18" t="s">
        <v>72</v>
      </c>
      <c r="D49" s="17" t="s">
        <v>19</v>
      </c>
      <c r="E49" s="19">
        <v>44505</v>
      </c>
      <c r="F49" s="71">
        <f t="shared" si="5"/>
        <v>2.0400000000000001E-2</v>
      </c>
      <c r="G49" s="20">
        <v>7347</v>
      </c>
      <c r="H49" s="22">
        <v>7500</v>
      </c>
      <c r="I49" s="19">
        <v>44511</v>
      </c>
    </row>
    <row r="50" spans="1:9" ht="17.100000000000001" customHeight="1" x14ac:dyDescent="0.3">
      <c r="A50">
        <v>5</v>
      </c>
      <c r="B50" s="17" t="s">
        <v>16</v>
      </c>
      <c r="C50" s="18" t="s">
        <v>73</v>
      </c>
      <c r="D50" s="17" t="s">
        <v>19</v>
      </c>
      <c r="E50" s="19">
        <v>44530</v>
      </c>
      <c r="F50" s="71">
        <f t="shared" si="5"/>
        <v>2.0399999999999977E-2</v>
      </c>
      <c r="G50" s="20">
        <v>3918.4</v>
      </c>
      <c r="H50" s="22">
        <v>4000</v>
      </c>
      <c r="I50" s="19">
        <v>44536</v>
      </c>
    </row>
    <row r="51" spans="1:9" ht="17.100000000000001" customHeight="1" x14ac:dyDescent="0.3">
      <c r="A51">
        <v>6</v>
      </c>
      <c r="B51" s="17" t="s">
        <v>16</v>
      </c>
      <c r="C51" s="18" t="s">
        <v>74</v>
      </c>
      <c r="D51" s="17" t="s">
        <v>19</v>
      </c>
      <c r="E51" s="19">
        <v>44566</v>
      </c>
      <c r="F51" s="71">
        <f t="shared" si="5"/>
        <v>0.02</v>
      </c>
      <c r="G51" s="20">
        <v>2352</v>
      </c>
      <c r="H51" s="22">
        <v>2400</v>
      </c>
      <c r="I51" s="19">
        <v>44571</v>
      </c>
    </row>
    <row r="52" spans="1:9" ht="17.100000000000001" customHeight="1" x14ac:dyDescent="0.3">
      <c r="A52">
        <v>7</v>
      </c>
      <c r="B52" s="17" t="s">
        <v>16</v>
      </c>
      <c r="C52" s="18" t="s">
        <v>75</v>
      </c>
      <c r="D52" s="17" t="s">
        <v>19</v>
      </c>
      <c r="E52" s="19">
        <v>44623</v>
      </c>
      <c r="F52" s="71">
        <f t="shared" si="5"/>
        <v>0.02</v>
      </c>
      <c r="G52" s="20">
        <v>3920</v>
      </c>
      <c r="H52" s="22">
        <v>4000</v>
      </c>
      <c r="I52" s="19">
        <v>44629</v>
      </c>
    </row>
    <row r="53" spans="1:9" ht="17.100000000000001" customHeight="1" x14ac:dyDescent="0.3">
      <c r="A53">
        <v>8</v>
      </c>
      <c r="B53" s="17" t="s">
        <v>16</v>
      </c>
      <c r="C53" s="18" t="s">
        <v>76</v>
      </c>
      <c r="D53" s="17" t="s">
        <v>19</v>
      </c>
      <c r="E53" s="19">
        <v>44655</v>
      </c>
      <c r="F53" s="71">
        <f t="shared" si="5"/>
        <v>0.02</v>
      </c>
      <c r="G53" s="20">
        <v>8330</v>
      </c>
      <c r="H53" s="22">
        <v>8500</v>
      </c>
      <c r="I53" s="19">
        <v>44655</v>
      </c>
    </row>
    <row r="54" spans="1:9" ht="17.100000000000001" customHeight="1" x14ac:dyDescent="0.3">
      <c r="A54">
        <v>9</v>
      </c>
      <c r="B54" s="17" t="s">
        <v>16</v>
      </c>
      <c r="C54" s="18" t="s">
        <v>77</v>
      </c>
      <c r="D54" s="17" t="s">
        <v>19</v>
      </c>
      <c r="E54" s="19">
        <v>44684</v>
      </c>
      <c r="F54" s="71">
        <f t="shared" si="5"/>
        <v>2.0700000000000017E-2</v>
      </c>
      <c r="G54" s="20">
        <f>H54-180.09</f>
        <v>8519.91</v>
      </c>
      <c r="H54" s="22">
        <v>8700</v>
      </c>
      <c r="I54" s="37"/>
    </row>
    <row r="55" spans="1:9" ht="17.100000000000001" customHeight="1" x14ac:dyDescent="0.3">
      <c r="A55">
        <v>10</v>
      </c>
      <c r="B55" s="17" t="s">
        <v>16</v>
      </c>
      <c r="C55" s="18" t="s">
        <v>78</v>
      </c>
      <c r="D55" s="17" t="s">
        <v>19</v>
      </c>
      <c r="E55" s="19">
        <v>44715</v>
      </c>
      <c r="F55" s="71">
        <f t="shared" si="5"/>
        <v>2.2300000000000025E-2</v>
      </c>
      <c r="G55" s="20">
        <f>H55-194.01</f>
        <v>8505.99</v>
      </c>
      <c r="H55" s="22">
        <v>8700</v>
      </c>
      <c r="I55" s="37"/>
    </row>
    <row r="56" spans="1:9" ht="17.100000000000001" customHeight="1" x14ac:dyDescent="0.3">
      <c r="A56">
        <v>11</v>
      </c>
      <c r="B56" s="17" t="s">
        <v>16</v>
      </c>
      <c r="C56" s="18" t="s">
        <v>79</v>
      </c>
      <c r="D56" s="17" t="s">
        <v>19</v>
      </c>
      <c r="E56" s="19">
        <v>44748</v>
      </c>
      <c r="F56" s="71">
        <f t="shared" si="5"/>
        <v>2.2599999999999908E-2</v>
      </c>
      <c r="G56" s="20">
        <f>H56-198.88</f>
        <v>8601.1200000000008</v>
      </c>
      <c r="H56" s="22">
        <v>8800</v>
      </c>
      <c r="I56" s="37"/>
    </row>
    <row r="57" spans="1:9" ht="17.100000000000001" customHeight="1" x14ac:dyDescent="0.3">
      <c r="A57">
        <v>12</v>
      </c>
      <c r="B57" s="17" t="s">
        <v>16</v>
      </c>
      <c r="C57" s="18" t="s">
        <v>80</v>
      </c>
      <c r="D57" s="17" t="s">
        <v>19</v>
      </c>
      <c r="E57" s="19">
        <v>44777</v>
      </c>
      <c r="F57" s="71">
        <f t="shared" si="5"/>
        <v>2.3900000000000025E-2</v>
      </c>
      <c r="G57" s="20">
        <f>H57-167.3</f>
        <v>6832.7</v>
      </c>
      <c r="H57" s="22">
        <v>7000</v>
      </c>
      <c r="I57" s="37"/>
    </row>
    <row r="58" spans="1:9" x14ac:dyDescent="0.3">
      <c r="A58">
        <v>13</v>
      </c>
      <c r="B58" s="17" t="s">
        <v>16</v>
      </c>
      <c r="C58" s="18" t="s">
        <v>81</v>
      </c>
      <c r="D58" s="17" t="s">
        <v>19</v>
      </c>
      <c r="E58" s="19">
        <v>44802</v>
      </c>
      <c r="F58" s="71">
        <f t="shared" si="5"/>
        <v>2.3900000000000036E-2</v>
      </c>
      <c r="G58" s="20">
        <f>H58-174.47</f>
        <v>7125.53</v>
      </c>
      <c r="H58" s="22">
        <v>7300</v>
      </c>
    </row>
    <row r="59" spans="1:9" x14ac:dyDescent="0.3">
      <c r="A59">
        <v>14</v>
      </c>
      <c r="B59" s="17" t="s">
        <v>16</v>
      </c>
      <c r="C59" s="44" t="s">
        <v>103</v>
      </c>
      <c r="D59" s="17" t="s">
        <v>19</v>
      </c>
      <c r="E59" s="37">
        <v>45111</v>
      </c>
      <c r="F59" s="71">
        <f t="shared" si="5"/>
        <v>2.5000101204058475E-2</v>
      </c>
      <c r="G59" s="45">
        <v>7225.5</v>
      </c>
      <c r="H59" s="46">
        <v>7410.77</v>
      </c>
    </row>
    <row r="60" spans="1:9" x14ac:dyDescent="0.3">
      <c r="A60">
        <v>15</v>
      </c>
      <c r="B60" s="17" t="s">
        <v>16</v>
      </c>
      <c r="C60" s="44" t="s">
        <v>37</v>
      </c>
      <c r="D60" s="17" t="s">
        <v>19</v>
      </c>
      <c r="E60" s="37">
        <v>45143</v>
      </c>
      <c r="F60" s="71">
        <f t="shared" si="5"/>
        <v>2.4599333132724423E-2</v>
      </c>
      <c r="G60" s="45">
        <v>7228.47</v>
      </c>
      <c r="H60" s="46">
        <v>7410.77</v>
      </c>
    </row>
    <row r="61" spans="1:9" x14ac:dyDescent="0.3">
      <c r="A61">
        <v>16</v>
      </c>
      <c r="B61" s="17" t="s">
        <v>16</v>
      </c>
      <c r="C61" s="44" t="s">
        <v>104</v>
      </c>
      <c r="D61" s="17" t="s">
        <v>19</v>
      </c>
      <c r="E61" s="37">
        <v>45203</v>
      </c>
      <c r="F61" s="71">
        <f t="shared" si="5"/>
        <v>2.4199914448835968E-2</v>
      </c>
      <c r="G61" s="45">
        <v>7231.43</v>
      </c>
      <c r="H61" s="46">
        <v>7410.77</v>
      </c>
    </row>
    <row r="62" spans="1:9" x14ac:dyDescent="0.3">
      <c r="F62" s="71">
        <f t="shared" si="5"/>
        <v>2.2032162736042478E-2</v>
      </c>
      <c r="G62" s="10">
        <f>SUM(G46:G61)</f>
        <v>101838.04999999999</v>
      </c>
      <c r="H62" s="10">
        <f>SUM(H46:H61)</f>
        <v>104132.31000000001</v>
      </c>
    </row>
    <row r="63" spans="1:9" x14ac:dyDescent="0.3">
      <c r="G63" s="10"/>
      <c r="H63" s="10"/>
    </row>
    <row r="64" spans="1:9" x14ac:dyDescent="0.3">
      <c r="G64" s="10"/>
      <c r="H64" s="10"/>
    </row>
    <row r="65" spans="1:9" x14ac:dyDescent="0.3">
      <c r="B65" t="s">
        <v>20</v>
      </c>
    </row>
    <row r="66" spans="1:9" s="25" customFormat="1" ht="17.100000000000001" customHeight="1" x14ac:dyDescent="0.3">
      <c r="B66" s="26" t="s">
        <v>10</v>
      </c>
      <c r="C66" s="26" t="s">
        <v>11</v>
      </c>
      <c r="D66" s="26" t="s">
        <v>12</v>
      </c>
      <c r="E66" s="27" t="s">
        <v>57</v>
      </c>
      <c r="F66" s="27"/>
      <c r="G66" s="28" t="s">
        <v>13</v>
      </c>
      <c r="H66" s="28" t="s">
        <v>14</v>
      </c>
      <c r="I66" s="27" t="s">
        <v>15</v>
      </c>
    </row>
    <row r="67" spans="1:9" ht="17.100000000000001" customHeight="1" x14ac:dyDescent="0.3">
      <c r="A67">
        <v>1</v>
      </c>
      <c r="B67" s="17" t="s">
        <v>16</v>
      </c>
      <c r="C67" s="18" t="s">
        <v>51</v>
      </c>
      <c r="D67" s="17" t="s">
        <v>21</v>
      </c>
      <c r="E67" s="19">
        <v>44412</v>
      </c>
      <c r="F67" s="71">
        <f t="shared" ref="F67:F85" si="6">(H67-G67)/H67</f>
        <v>5.5000578368999374E-2</v>
      </c>
      <c r="G67" s="20">
        <v>8169.52</v>
      </c>
      <c r="H67" s="21">
        <v>8645</v>
      </c>
      <c r="I67" s="19">
        <v>44414</v>
      </c>
    </row>
    <row r="68" spans="1:9" ht="17.100000000000001" customHeight="1" x14ac:dyDescent="0.3">
      <c r="A68">
        <v>2</v>
      </c>
      <c r="B68" s="17" t="s">
        <v>16</v>
      </c>
      <c r="C68" s="18" t="s">
        <v>49</v>
      </c>
      <c r="D68" s="17" t="s">
        <v>21</v>
      </c>
      <c r="E68" s="19">
        <v>44440</v>
      </c>
      <c r="F68" s="71">
        <f t="shared" si="6"/>
        <v>5.5001356116083526E-2</v>
      </c>
      <c r="G68" s="20">
        <v>3484.21</v>
      </c>
      <c r="H68" s="21">
        <v>3687</v>
      </c>
      <c r="I68" s="19">
        <v>44447</v>
      </c>
    </row>
    <row r="69" spans="1:9" ht="17.100000000000001" customHeight="1" x14ac:dyDescent="0.3">
      <c r="A69">
        <v>3</v>
      </c>
      <c r="B69" s="17" t="s">
        <v>16</v>
      </c>
      <c r="C69" s="18" t="s">
        <v>50</v>
      </c>
      <c r="D69" s="17" t="s">
        <v>21</v>
      </c>
      <c r="E69" s="19">
        <v>44474</v>
      </c>
      <c r="F69" s="71">
        <f t="shared" si="6"/>
        <v>5.4999999999999966E-2</v>
      </c>
      <c r="G69" s="20">
        <v>2334.15</v>
      </c>
      <c r="H69" s="21">
        <v>2470</v>
      </c>
      <c r="I69" s="19">
        <v>44477</v>
      </c>
    </row>
    <row r="70" spans="1:9" ht="17.100000000000001" customHeight="1" x14ac:dyDescent="0.3">
      <c r="A70">
        <v>4</v>
      </c>
      <c r="B70" s="17" t="s">
        <v>16</v>
      </c>
      <c r="C70" s="18" t="s">
        <v>52</v>
      </c>
      <c r="D70" s="17" t="s">
        <v>21</v>
      </c>
      <c r="E70" s="19">
        <v>44503</v>
      </c>
      <c r="F70" s="71">
        <f t="shared" si="6"/>
        <v>5.4999550157444871E-2</v>
      </c>
      <c r="G70" s="20">
        <v>5251.84</v>
      </c>
      <c r="H70" s="21">
        <v>5557.5</v>
      </c>
      <c r="I70" s="19">
        <v>44511</v>
      </c>
    </row>
    <row r="71" spans="1:9" ht="17.100000000000001" customHeight="1" x14ac:dyDescent="0.3">
      <c r="A71">
        <v>5</v>
      </c>
      <c r="B71" s="17" t="s">
        <v>16</v>
      </c>
      <c r="C71" s="18" t="s">
        <v>55</v>
      </c>
      <c r="D71" s="17" t="s">
        <v>21</v>
      </c>
      <c r="E71" s="19">
        <v>44623</v>
      </c>
      <c r="F71" s="71">
        <f t="shared" si="6"/>
        <v>0.13000000000000006</v>
      </c>
      <c r="G71" s="20">
        <v>536.79</v>
      </c>
      <c r="H71" s="21">
        <v>617</v>
      </c>
      <c r="I71" s="19">
        <v>44629</v>
      </c>
    </row>
    <row r="72" spans="1:9" ht="17.100000000000001" customHeight="1" x14ac:dyDescent="0.3">
      <c r="A72">
        <v>6</v>
      </c>
      <c r="B72" s="17" t="s">
        <v>16</v>
      </c>
      <c r="C72" s="18" t="s">
        <v>56</v>
      </c>
      <c r="D72" s="17" t="s">
        <v>21</v>
      </c>
      <c r="E72" s="19">
        <v>44623</v>
      </c>
      <c r="F72" s="71">
        <f t="shared" si="6"/>
        <v>0.13</v>
      </c>
      <c r="G72" s="20">
        <v>1305</v>
      </c>
      <c r="H72" s="21">
        <v>1500</v>
      </c>
      <c r="I72" s="19">
        <v>44634</v>
      </c>
    </row>
    <row r="73" spans="1:9" x14ac:dyDescent="0.3">
      <c r="A73">
        <v>7</v>
      </c>
      <c r="B73" s="17" t="s">
        <v>16</v>
      </c>
      <c r="C73" s="18">
        <v>147</v>
      </c>
      <c r="D73" s="17" t="s">
        <v>21</v>
      </c>
      <c r="E73" s="19">
        <v>44686</v>
      </c>
      <c r="F73" s="71">
        <f t="shared" si="6"/>
        <v>0.13</v>
      </c>
      <c r="G73" s="20">
        <v>1783.5</v>
      </c>
      <c r="H73" s="20">
        <v>2050</v>
      </c>
    </row>
    <row r="74" spans="1:9" x14ac:dyDescent="0.3">
      <c r="A74">
        <v>8</v>
      </c>
      <c r="B74" s="17" t="s">
        <v>16</v>
      </c>
      <c r="C74" s="18" t="s">
        <v>58</v>
      </c>
      <c r="D74" s="17" t="s">
        <v>21</v>
      </c>
      <c r="E74" s="19">
        <v>44714</v>
      </c>
      <c r="F74" s="71">
        <f t="shared" si="6"/>
        <v>0.13</v>
      </c>
      <c r="G74" s="20">
        <v>6981.75</v>
      </c>
      <c r="H74" s="20">
        <v>8025</v>
      </c>
    </row>
    <row r="75" spans="1:9" x14ac:dyDescent="0.3">
      <c r="A75">
        <v>9</v>
      </c>
      <c r="B75" s="17" t="s">
        <v>16</v>
      </c>
      <c r="C75" s="18" t="s">
        <v>59</v>
      </c>
      <c r="D75" s="17" t="s">
        <v>21</v>
      </c>
      <c r="E75" s="19">
        <v>44746</v>
      </c>
      <c r="F75" s="71">
        <f t="shared" si="6"/>
        <v>0.13</v>
      </c>
      <c r="G75" s="20">
        <v>5372.25</v>
      </c>
      <c r="H75" s="20">
        <v>6175</v>
      </c>
    </row>
    <row r="76" spans="1:9" x14ac:dyDescent="0.3">
      <c r="A76">
        <v>10</v>
      </c>
      <c r="B76" s="17" t="s">
        <v>16</v>
      </c>
      <c r="C76" s="18" t="s">
        <v>60</v>
      </c>
      <c r="D76" s="17" t="s">
        <v>21</v>
      </c>
      <c r="E76" s="19">
        <v>44770</v>
      </c>
      <c r="F76" s="71">
        <f t="shared" si="6"/>
        <v>0.13000161943319841</v>
      </c>
      <c r="G76" s="20">
        <v>2686.12</v>
      </c>
      <c r="H76" s="20">
        <v>3087.5</v>
      </c>
    </row>
    <row r="77" spans="1:9" x14ac:dyDescent="0.3">
      <c r="A77">
        <v>11</v>
      </c>
      <c r="B77" s="17" t="s">
        <v>16</v>
      </c>
      <c r="C77" s="18" t="s">
        <v>61</v>
      </c>
      <c r="D77" s="17" t="s">
        <v>21</v>
      </c>
      <c r="E77" s="19">
        <v>44805</v>
      </c>
      <c r="F77" s="71">
        <f t="shared" si="6"/>
        <v>0.12999999999999995</v>
      </c>
      <c r="G77" s="20">
        <v>4840.68</v>
      </c>
      <c r="H77" s="20">
        <v>5564</v>
      </c>
    </row>
    <row r="78" spans="1:9" x14ac:dyDescent="0.3">
      <c r="A78">
        <v>12</v>
      </c>
      <c r="B78" s="17" t="s">
        <v>16</v>
      </c>
      <c r="C78" s="18" t="s">
        <v>62</v>
      </c>
      <c r="D78" s="17" t="s">
        <v>21</v>
      </c>
      <c r="E78" s="19">
        <v>44839</v>
      </c>
      <c r="F78" s="71">
        <f t="shared" si="6"/>
        <v>0.13000000000000003</v>
      </c>
      <c r="G78" s="20">
        <v>3223.35</v>
      </c>
      <c r="H78" s="20">
        <v>3705</v>
      </c>
    </row>
    <row r="79" spans="1:9" x14ac:dyDescent="0.3">
      <c r="A79">
        <v>13</v>
      </c>
      <c r="B79" s="17" t="s">
        <v>16</v>
      </c>
      <c r="C79" s="18" t="s">
        <v>63</v>
      </c>
      <c r="D79" s="17" t="s">
        <v>21</v>
      </c>
      <c r="E79" s="19">
        <v>44890</v>
      </c>
      <c r="F79" s="71">
        <f t="shared" si="6"/>
        <v>0.13</v>
      </c>
      <c r="G79" s="20">
        <v>6525</v>
      </c>
      <c r="H79" s="20">
        <v>7500</v>
      </c>
    </row>
    <row r="80" spans="1:9" x14ac:dyDescent="0.3">
      <c r="A80">
        <v>14</v>
      </c>
      <c r="B80" s="17" t="s">
        <v>16</v>
      </c>
      <c r="C80" s="18">
        <v>210</v>
      </c>
      <c r="D80" s="17" t="s">
        <v>21</v>
      </c>
      <c r="E80" s="19">
        <v>44959</v>
      </c>
      <c r="F80" s="71">
        <f t="shared" si="6"/>
        <v>0.16</v>
      </c>
      <c r="G80" s="20">
        <v>6300</v>
      </c>
      <c r="H80" s="20">
        <v>7500</v>
      </c>
    </row>
    <row r="81" spans="1:8" x14ac:dyDescent="0.3">
      <c r="A81">
        <v>15</v>
      </c>
      <c r="B81" s="17" t="s">
        <v>16</v>
      </c>
      <c r="C81" s="18" t="s">
        <v>64</v>
      </c>
      <c r="D81" s="17" t="s">
        <v>21</v>
      </c>
      <c r="E81" s="19">
        <v>45079</v>
      </c>
      <c r="F81" s="71">
        <f t="shared" si="6"/>
        <v>0.1599995643291012</v>
      </c>
      <c r="G81" s="20">
        <v>14653.27</v>
      </c>
      <c r="H81" s="20">
        <v>17444.36</v>
      </c>
    </row>
    <row r="82" spans="1:8" x14ac:dyDescent="0.3">
      <c r="A82">
        <v>16</v>
      </c>
      <c r="B82" s="17" t="s">
        <v>16</v>
      </c>
      <c r="C82" s="18" t="s">
        <v>65</v>
      </c>
      <c r="D82" s="17" t="s">
        <v>21</v>
      </c>
      <c r="E82" s="19">
        <v>45110</v>
      </c>
      <c r="F82" s="71">
        <f t="shared" si="6"/>
        <v>0.13000025108594665</v>
      </c>
      <c r="G82" s="20">
        <v>17324.740000000002</v>
      </c>
      <c r="H82" s="20">
        <v>19913.5</v>
      </c>
    </row>
    <row r="83" spans="1:8" x14ac:dyDescent="0.3">
      <c r="A83">
        <v>17</v>
      </c>
      <c r="B83" s="17" t="s">
        <v>16</v>
      </c>
      <c r="C83" s="18" t="s">
        <v>66</v>
      </c>
      <c r="D83" s="17" t="s">
        <v>21</v>
      </c>
      <c r="E83" s="19">
        <v>45139</v>
      </c>
      <c r="F83" s="71">
        <f t="shared" si="6"/>
        <v>0.12999970995156193</v>
      </c>
      <c r="G83" s="20">
        <v>8998.5</v>
      </c>
      <c r="H83" s="20">
        <v>10343.1</v>
      </c>
    </row>
    <row r="84" spans="1:8" x14ac:dyDescent="0.3">
      <c r="A84">
        <v>18</v>
      </c>
      <c r="B84" s="17" t="s">
        <v>16</v>
      </c>
      <c r="C84" s="18" t="s">
        <v>67</v>
      </c>
      <c r="D84" s="17" t="s">
        <v>21</v>
      </c>
      <c r="E84" s="19">
        <v>45237</v>
      </c>
      <c r="F84" s="71">
        <f t="shared" si="6"/>
        <v>0.13</v>
      </c>
      <c r="G84" s="20">
        <v>6960</v>
      </c>
      <c r="H84" s="20">
        <v>8000</v>
      </c>
    </row>
    <row r="85" spans="1:8" x14ac:dyDescent="0.3">
      <c r="A85">
        <v>19</v>
      </c>
      <c r="B85" s="17" t="s">
        <v>16</v>
      </c>
      <c r="C85" s="18" t="s">
        <v>68</v>
      </c>
      <c r="D85" s="17" t="s">
        <v>21</v>
      </c>
      <c r="E85" s="19">
        <v>45261</v>
      </c>
      <c r="F85" s="71">
        <f t="shared" si="6"/>
        <v>0.13</v>
      </c>
      <c r="G85" s="20">
        <v>652.5</v>
      </c>
      <c r="H85" s="20">
        <v>750</v>
      </c>
    </row>
    <row r="86" spans="1:8" x14ac:dyDescent="0.3">
      <c r="C86" s="18"/>
      <c r="D86" s="17"/>
      <c r="E86" s="19"/>
      <c r="F86" s="37"/>
      <c r="G86" s="10">
        <f>SUM(G67:G85)</f>
        <v>107383.17000000001</v>
      </c>
      <c r="H86" s="10">
        <f>SUM(H67:H85)</f>
        <v>122533.96</v>
      </c>
    </row>
    <row r="1048576" spans="12:12" x14ac:dyDescent="0.3">
      <c r="L1048576" s="66"/>
    </row>
  </sheetData>
  <mergeCells count="1">
    <mergeCell ref="Q2:R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showGridLines="0" workbookViewId="0">
      <selection activeCell="C3" sqref="C3:C4"/>
    </sheetView>
  </sheetViews>
  <sheetFormatPr defaultColWidth="8.88671875" defaultRowHeight="14.4" x14ac:dyDescent="0.3"/>
  <cols>
    <col min="2" max="2" width="9" bestFit="1" customWidth="1"/>
    <col min="3" max="3" width="13.44140625" customWidth="1"/>
  </cols>
  <sheetData>
    <row r="2" spans="2:4" ht="21.6" x14ac:dyDescent="0.3">
      <c r="B2" s="1" t="s">
        <v>15</v>
      </c>
      <c r="C2" s="1" t="s">
        <v>22</v>
      </c>
    </row>
    <row r="3" spans="2:4" x14ac:dyDescent="0.3">
      <c r="B3" s="2">
        <v>43796</v>
      </c>
      <c r="C3" s="8">
        <v>41685.410000000003</v>
      </c>
      <c r="D3" t="s">
        <v>23</v>
      </c>
    </row>
    <row r="4" spans="2:4" x14ac:dyDescent="0.3">
      <c r="B4" s="2">
        <v>43819</v>
      </c>
      <c r="C4" s="8">
        <v>81896.800000000003</v>
      </c>
      <c r="D4" t="s">
        <v>23</v>
      </c>
    </row>
    <row r="5" spans="2:4" x14ac:dyDescent="0.3">
      <c r="B5" s="2">
        <v>44077</v>
      </c>
      <c r="C5" s="8">
        <v>24999.99</v>
      </c>
      <c r="D5" t="s">
        <v>23</v>
      </c>
    </row>
    <row r="6" spans="2:4" x14ac:dyDescent="0.3">
      <c r="B6" s="2">
        <v>44110</v>
      </c>
      <c r="C6" s="8">
        <v>120000</v>
      </c>
      <c r="D6" t="s">
        <v>23</v>
      </c>
    </row>
    <row r="7" spans="2:4" x14ac:dyDescent="0.3">
      <c r="B7" s="2">
        <v>44117</v>
      </c>
      <c r="C7" s="8">
        <v>30000</v>
      </c>
      <c r="D7" t="s">
        <v>23</v>
      </c>
    </row>
    <row r="8" spans="2:4" x14ac:dyDescent="0.3">
      <c r="B8" s="2">
        <v>44141</v>
      </c>
      <c r="C8" s="8">
        <v>100000</v>
      </c>
      <c r="D8" t="s">
        <v>23</v>
      </c>
    </row>
    <row r="9" spans="2:4" x14ac:dyDescent="0.3">
      <c r="B9" s="2">
        <v>44155</v>
      </c>
      <c r="C9" s="8">
        <v>50000</v>
      </c>
      <c r="D9" t="s">
        <v>23</v>
      </c>
    </row>
    <row r="10" spans="2:4" x14ac:dyDescent="0.3">
      <c r="B10" s="2">
        <v>44174</v>
      </c>
      <c r="C10" s="8">
        <v>140000</v>
      </c>
      <c r="D10" t="s">
        <v>23</v>
      </c>
    </row>
    <row r="11" spans="2:4" x14ac:dyDescent="0.3">
      <c r="B11" s="2">
        <v>44203</v>
      </c>
      <c r="C11" s="8">
        <v>51601.66</v>
      </c>
      <c r="D11" t="s">
        <v>23</v>
      </c>
    </row>
    <row r="12" spans="2:4" x14ac:dyDescent="0.3">
      <c r="B12" s="2">
        <v>44237</v>
      </c>
      <c r="C12" s="8">
        <v>69288.320000000007</v>
      </c>
      <c r="D12" t="s">
        <v>23</v>
      </c>
    </row>
    <row r="13" spans="2:4" x14ac:dyDescent="0.3">
      <c r="B13" s="2">
        <v>44260</v>
      </c>
      <c r="C13" s="8">
        <v>60000</v>
      </c>
      <c r="D13" t="s">
        <v>23</v>
      </c>
    </row>
    <row r="14" spans="2:4" x14ac:dyDescent="0.3">
      <c r="B14" s="2">
        <v>44272</v>
      </c>
      <c r="C14" s="8">
        <v>10370.15</v>
      </c>
      <c r="D14" t="s">
        <v>23</v>
      </c>
    </row>
    <row r="15" spans="2:4" x14ac:dyDescent="0.3">
      <c r="B15" s="2">
        <v>44291</v>
      </c>
      <c r="C15" s="8">
        <v>60000</v>
      </c>
      <c r="D15" t="s">
        <v>23</v>
      </c>
    </row>
    <row r="16" spans="2:4" x14ac:dyDescent="0.3">
      <c r="B16" s="2">
        <v>44326</v>
      </c>
      <c r="C16" s="8">
        <v>40000</v>
      </c>
      <c r="D16" t="s">
        <v>23</v>
      </c>
    </row>
    <row r="17" spans="2:4" x14ac:dyDescent="0.3">
      <c r="B17" s="2">
        <v>44327</v>
      </c>
      <c r="C17" s="8">
        <v>40000</v>
      </c>
      <c r="D17" t="s">
        <v>23</v>
      </c>
    </row>
    <row r="18" spans="2:4" x14ac:dyDescent="0.3">
      <c r="B18" s="2">
        <v>44328</v>
      </c>
      <c r="C18" s="7">
        <v>29949.47</v>
      </c>
      <c r="D18" t="s">
        <v>23</v>
      </c>
    </row>
    <row r="19" spans="2:4" x14ac:dyDescent="0.3">
      <c r="B19" s="2">
        <v>44349</v>
      </c>
      <c r="C19" s="8">
        <v>60000</v>
      </c>
      <c r="D19" t="s">
        <v>23</v>
      </c>
    </row>
    <row r="20" spans="2:4" x14ac:dyDescent="0.3">
      <c r="B20" s="2">
        <v>44361</v>
      </c>
      <c r="C20" s="8">
        <v>67709.64</v>
      </c>
      <c r="D20" t="s">
        <v>23</v>
      </c>
    </row>
    <row r="21" spans="2:4" x14ac:dyDescent="0.3">
      <c r="B21" s="2">
        <v>44382</v>
      </c>
      <c r="C21" s="8">
        <v>60000</v>
      </c>
      <c r="D21" t="s">
        <v>23</v>
      </c>
    </row>
    <row r="22" spans="2:4" x14ac:dyDescent="0.3">
      <c r="B22" s="2">
        <v>44410</v>
      </c>
      <c r="C22" s="8">
        <v>60000</v>
      </c>
      <c r="D22" t="s">
        <v>23</v>
      </c>
    </row>
    <row r="23" spans="2:4" x14ac:dyDescent="0.3">
      <c r="B23" s="2">
        <v>44424</v>
      </c>
      <c r="C23" s="8">
        <v>19308.64</v>
      </c>
    </row>
    <row r="24" spans="2:4" x14ac:dyDescent="0.3">
      <c r="B24" s="2">
        <v>44455</v>
      </c>
      <c r="C24" s="8">
        <v>53761.51</v>
      </c>
    </row>
    <row r="25" spans="2:4" x14ac:dyDescent="0.3">
      <c r="B25" s="2">
        <v>44476</v>
      </c>
      <c r="C25" s="8">
        <v>40000</v>
      </c>
    </row>
    <row r="26" spans="2:4" x14ac:dyDescent="0.3">
      <c r="B26" s="2">
        <v>44490</v>
      </c>
      <c r="C26" s="8">
        <v>34662.01</v>
      </c>
    </row>
    <row r="27" spans="2:4" x14ac:dyDescent="0.3">
      <c r="B27" s="2">
        <v>44504</v>
      </c>
      <c r="C27" s="8">
        <v>20000</v>
      </c>
    </row>
    <row r="28" spans="2:4" x14ac:dyDescent="0.3">
      <c r="B28" s="2">
        <v>44516</v>
      </c>
      <c r="C28" s="8">
        <v>20502.52</v>
      </c>
    </row>
    <row r="29" spans="2:4" x14ac:dyDescent="0.3">
      <c r="B29" s="2">
        <v>44533</v>
      </c>
      <c r="C29" s="8">
        <v>46456.43</v>
      </c>
    </row>
    <row r="30" spans="2:4" x14ac:dyDescent="0.3">
      <c r="B30" s="3">
        <v>44571</v>
      </c>
      <c r="C30" s="9">
        <v>47078.46</v>
      </c>
    </row>
    <row r="31" spans="2:4" x14ac:dyDescent="0.3">
      <c r="B31" s="3">
        <v>44599</v>
      </c>
      <c r="C31" s="9">
        <v>51914.9</v>
      </c>
    </row>
    <row r="32" spans="2:4" x14ac:dyDescent="0.3">
      <c r="B32" s="5">
        <v>44623</v>
      </c>
      <c r="C32" s="4">
        <v>57985.98</v>
      </c>
    </row>
    <row r="33" spans="2:3" x14ac:dyDescent="0.3">
      <c r="B33" s="5">
        <v>44655</v>
      </c>
      <c r="C33" s="4">
        <v>128432.32000000001</v>
      </c>
    </row>
    <row r="34" spans="2:3" x14ac:dyDescent="0.3">
      <c r="C34" s="6">
        <f>SUM(C3:C33)</f>
        <v>1717604.2099999997</v>
      </c>
    </row>
  </sheetData>
  <sortState xmlns:xlrd2="http://schemas.microsoft.com/office/spreadsheetml/2017/richdata2" ref="B3:D34">
    <sortCondition ref="B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3F80-C61A-42B5-945D-935B49ECD918}">
  <dimension ref="B1:F10"/>
  <sheetViews>
    <sheetView workbookViewId="0">
      <selection activeCell="E10" sqref="E10"/>
    </sheetView>
  </sheetViews>
  <sheetFormatPr defaultRowHeight="14.4" x14ac:dyDescent="0.3"/>
  <cols>
    <col min="4" max="4" width="10.5546875" bestFit="1" customWidth="1"/>
    <col min="5" max="5" width="10" bestFit="1" customWidth="1"/>
  </cols>
  <sheetData>
    <row r="1" spans="2:6" x14ac:dyDescent="0.3">
      <c r="C1" t="s">
        <v>82</v>
      </c>
      <c r="E1" t="s">
        <v>83</v>
      </c>
      <c r="F1" t="s">
        <v>84</v>
      </c>
    </row>
    <row r="2" spans="2:6" x14ac:dyDescent="0.3">
      <c r="B2">
        <v>1</v>
      </c>
      <c r="C2">
        <v>94</v>
      </c>
      <c r="D2" s="39">
        <v>44869</v>
      </c>
      <c r="E2" s="6">
        <v>20000</v>
      </c>
      <c r="F2" s="6">
        <v>16800</v>
      </c>
    </row>
    <row r="3" spans="2:6" x14ac:dyDescent="0.3">
      <c r="B3">
        <v>2</v>
      </c>
      <c r="C3">
        <v>99</v>
      </c>
      <c r="D3" s="39">
        <v>44900</v>
      </c>
      <c r="E3" s="6">
        <v>25000</v>
      </c>
      <c r="F3" s="6">
        <v>21000</v>
      </c>
    </row>
    <row r="4" spans="2:6" x14ac:dyDescent="0.3">
      <c r="B4">
        <v>3</v>
      </c>
      <c r="C4">
        <v>105</v>
      </c>
      <c r="D4" s="39">
        <v>44960</v>
      </c>
      <c r="E4" s="6">
        <v>43534.31</v>
      </c>
      <c r="F4" s="6">
        <v>38745.54</v>
      </c>
    </row>
    <row r="5" spans="2:6" x14ac:dyDescent="0.3">
      <c r="B5">
        <v>4</v>
      </c>
      <c r="C5">
        <v>118</v>
      </c>
      <c r="D5" s="39">
        <v>44986</v>
      </c>
      <c r="E5" s="6">
        <v>10000</v>
      </c>
      <c r="F5" s="6">
        <v>8400</v>
      </c>
    </row>
    <row r="6" spans="2:6" x14ac:dyDescent="0.3">
      <c r="B6">
        <v>5</v>
      </c>
      <c r="C6">
        <v>129</v>
      </c>
      <c r="D6" s="39">
        <v>45140</v>
      </c>
      <c r="E6" s="6">
        <v>18000</v>
      </c>
      <c r="F6" s="6">
        <v>15120</v>
      </c>
    </row>
    <row r="7" spans="2:6" x14ac:dyDescent="0.3">
      <c r="B7">
        <v>6</v>
      </c>
      <c r="C7">
        <v>131</v>
      </c>
      <c r="D7" s="39">
        <v>45174</v>
      </c>
      <c r="E7" s="6">
        <v>20000</v>
      </c>
      <c r="F7" s="6">
        <v>16800</v>
      </c>
    </row>
    <row r="8" spans="2:6" x14ac:dyDescent="0.3">
      <c r="B8">
        <v>7</v>
      </c>
      <c r="C8">
        <v>132</v>
      </c>
      <c r="D8" s="39">
        <v>45202</v>
      </c>
      <c r="E8" s="6">
        <v>20000</v>
      </c>
      <c r="F8" s="6">
        <v>16800</v>
      </c>
    </row>
    <row r="9" spans="2:6" x14ac:dyDescent="0.3">
      <c r="B9">
        <v>8</v>
      </c>
      <c r="C9">
        <v>134</v>
      </c>
      <c r="D9" s="39">
        <v>45237</v>
      </c>
      <c r="E9" s="6">
        <v>23000</v>
      </c>
      <c r="F9" s="6">
        <v>19320</v>
      </c>
    </row>
    <row r="10" spans="2:6" x14ac:dyDescent="0.3">
      <c r="E10" s="6">
        <f>SUM(E2:E9)</f>
        <v>179534.31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9AE8-D1AD-40D9-BE3E-C8D6DBFAA350}">
  <dimension ref="B2:D6"/>
  <sheetViews>
    <sheetView workbookViewId="0">
      <selection activeCell="C3" sqref="C3:C6"/>
    </sheetView>
  </sheetViews>
  <sheetFormatPr defaultRowHeight="14.4" x14ac:dyDescent="0.3"/>
  <cols>
    <col min="2" max="2" width="10.5546875" bestFit="1" customWidth="1"/>
  </cols>
  <sheetData>
    <row r="2" spans="2:4" x14ac:dyDescent="0.3">
      <c r="B2" t="s">
        <v>85</v>
      </c>
      <c r="C2" t="s">
        <v>86</v>
      </c>
      <c r="D2" t="s">
        <v>87</v>
      </c>
    </row>
    <row r="3" spans="2:4" x14ac:dyDescent="0.3">
      <c r="B3" s="39">
        <v>45237</v>
      </c>
      <c r="C3">
        <v>13000</v>
      </c>
      <c r="D3">
        <v>13000</v>
      </c>
    </row>
    <row r="4" spans="2:4" x14ac:dyDescent="0.3">
      <c r="B4" s="39">
        <v>45330</v>
      </c>
      <c r="C4">
        <v>1000</v>
      </c>
      <c r="D4">
        <v>1000</v>
      </c>
    </row>
    <row r="5" spans="2:4" x14ac:dyDescent="0.3">
      <c r="B5" s="39">
        <v>45348</v>
      </c>
      <c r="C5">
        <v>1600</v>
      </c>
      <c r="D5">
        <v>1600</v>
      </c>
    </row>
    <row r="6" spans="2:4" x14ac:dyDescent="0.3">
      <c r="C6">
        <f>SUM(C3:C5)</f>
        <v>15600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5507-3984-4462-BB9B-460C42D24306}">
  <dimension ref="C1:G18"/>
  <sheetViews>
    <sheetView workbookViewId="0">
      <selection activeCell="G22" sqref="G22"/>
    </sheetView>
  </sheetViews>
  <sheetFormatPr defaultRowHeight="14.4" x14ac:dyDescent="0.3"/>
  <cols>
    <col min="4" max="4" width="10.5546875" bestFit="1" customWidth="1"/>
    <col min="7" max="7" width="70.109375" customWidth="1"/>
  </cols>
  <sheetData>
    <row r="1" spans="3:7" x14ac:dyDescent="0.3">
      <c r="C1" t="s">
        <v>82</v>
      </c>
      <c r="D1" t="s">
        <v>85</v>
      </c>
      <c r="E1" t="s">
        <v>86</v>
      </c>
      <c r="F1" t="s">
        <v>87</v>
      </c>
      <c r="G1" t="s">
        <v>98</v>
      </c>
    </row>
    <row r="2" spans="3:7" x14ac:dyDescent="0.3">
      <c r="C2">
        <v>21</v>
      </c>
      <c r="D2" s="39">
        <v>44897</v>
      </c>
      <c r="E2" s="6">
        <v>3366.67</v>
      </c>
      <c r="F2" s="6">
        <v>3366.67</v>
      </c>
    </row>
    <row r="3" spans="3:7" x14ac:dyDescent="0.3">
      <c r="C3">
        <v>22</v>
      </c>
      <c r="D3" s="39">
        <v>44915</v>
      </c>
      <c r="E3" s="6">
        <v>4466.4799999999996</v>
      </c>
      <c r="F3" s="6">
        <v>4466.4799999999996</v>
      </c>
    </row>
    <row r="4" spans="3:7" x14ac:dyDescent="0.3">
      <c r="C4">
        <v>23</v>
      </c>
      <c r="D4" s="39">
        <v>44928</v>
      </c>
      <c r="E4" s="6">
        <v>3466.76</v>
      </c>
      <c r="F4" s="6">
        <v>3466.76</v>
      </c>
    </row>
    <row r="5" spans="3:7" x14ac:dyDescent="0.3">
      <c r="C5">
        <v>25</v>
      </c>
      <c r="D5" s="39">
        <v>44958</v>
      </c>
      <c r="E5" s="6">
        <v>7583</v>
      </c>
      <c r="F5" s="6">
        <v>7583</v>
      </c>
    </row>
    <row r="6" spans="3:7" x14ac:dyDescent="0.3">
      <c r="C6">
        <v>26</v>
      </c>
      <c r="D6" s="39">
        <v>44986</v>
      </c>
      <c r="E6" s="6">
        <v>6783.33</v>
      </c>
      <c r="F6" s="6">
        <v>6783.33</v>
      </c>
    </row>
    <row r="7" spans="3:7" x14ac:dyDescent="0.3">
      <c r="C7">
        <v>1</v>
      </c>
      <c r="D7" s="39">
        <v>45019</v>
      </c>
      <c r="E7" s="6">
        <v>8366.66</v>
      </c>
      <c r="F7" s="6">
        <v>8366.66</v>
      </c>
      <c r="G7" s="42" t="s">
        <v>99</v>
      </c>
    </row>
    <row r="8" spans="3:7" x14ac:dyDescent="0.3">
      <c r="C8">
        <v>27</v>
      </c>
      <c r="D8" s="39">
        <v>45048</v>
      </c>
      <c r="E8" s="6">
        <v>7466.65</v>
      </c>
      <c r="F8" s="6">
        <v>7466.665</v>
      </c>
    </row>
    <row r="9" spans="3:7" x14ac:dyDescent="0.3">
      <c r="C9">
        <v>28</v>
      </c>
      <c r="D9" s="39">
        <v>45078</v>
      </c>
      <c r="E9" s="6">
        <v>6866</v>
      </c>
      <c r="F9" s="6">
        <v>6866</v>
      </c>
    </row>
    <row r="10" spans="3:7" x14ac:dyDescent="0.3">
      <c r="C10">
        <v>29</v>
      </c>
      <c r="D10" s="39">
        <v>45110</v>
      </c>
      <c r="E10" s="6">
        <v>6866</v>
      </c>
      <c r="F10" s="6">
        <v>6866</v>
      </c>
    </row>
    <row r="11" spans="3:7" x14ac:dyDescent="0.3">
      <c r="C11">
        <v>30</v>
      </c>
      <c r="D11" s="39">
        <v>45139</v>
      </c>
      <c r="E11" s="6">
        <v>6866</v>
      </c>
      <c r="F11" s="6">
        <v>6866</v>
      </c>
    </row>
    <row r="12" spans="3:7" x14ac:dyDescent="0.3">
      <c r="C12">
        <v>2</v>
      </c>
      <c r="D12" s="39">
        <v>45173</v>
      </c>
      <c r="E12" s="6">
        <v>6866.66</v>
      </c>
      <c r="F12" s="6">
        <v>6866.66</v>
      </c>
    </row>
    <row r="13" spans="3:7" x14ac:dyDescent="0.3">
      <c r="C13">
        <v>3</v>
      </c>
      <c r="D13" s="39">
        <v>45201</v>
      </c>
      <c r="E13" s="6">
        <v>6866.66</v>
      </c>
      <c r="F13" s="6">
        <v>6866.66</v>
      </c>
    </row>
    <row r="14" spans="3:7" x14ac:dyDescent="0.3">
      <c r="C14">
        <v>4</v>
      </c>
      <c r="D14" s="39">
        <v>45231</v>
      </c>
      <c r="E14" s="6">
        <v>6866</v>
      </c>
      <c r="F14" s="6">
        <v>6866</v>
      </c>
    </row>
    <row r="15" spans="3:7" x14ac:dyDescent="0.3">
      <c r="C15">
        <v>6</v>
      </c>
      <c r="D15" s="39">
        <v>45266</v>
      </c>
      <c r="E15" s="6">
        <v>6999.94</v>
      </c>
      <c r="F15" s="6">
        <v>6999.94</v>
      </c>
      <c r="G15" s="43" t="s">
        <v>100</v>
      </c>
    </row>
    <row r="16" spans="3:7" x14ac:dyDescent="0.3">
      <c r="C16">
        <v>7</v>
      </c>
      <c r="D16" s="39">
        <v>45293</v>
      </c>
      <c r="E16" s="6">
        <v>8119.21</v>
      </c>
      <c r="F16" s="6">
        <v>8119.21</v>
      </c>
      <c r="G16" s="43" t="s">
        <v>100</v>
      </c>
    </row>
    <row r="17" spans="3:6" x14ac:dyDescent="0.3">
      <c r="C17">
        <v>8</v>
      </c>
      <c r="D17" s="39">
        <v>45302</v>
      </c>
      <c r="E17" s="6">
        <v>1833.23</v>
      </c>
      <c r="F17" s="6">
        <v>1833.23</v>
      </c>
    </row>
    <row r="18" spans="3:6" x14ac:dyDescent="0.3">
      <c r="E18" s="6">
        <f>SUM(E2:E17)</f>
        <v>99649.25</v>
      </c>
      <c r="F18" s="6">
        <f>SUM(F2:F17)</f>
        <v>99649.264999999999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9E42-5907-4139-B2A8-D45827F4A3D0}">
  <dimension ref="B1:F7"/>
  <sheetViews>
    <sheetView workbookViewId="0">
      <selection activeCell="F9" sqref="F9"/>
    </sheetView>
  </sheetViews>
  <sheetFormatPr defaultRowHeight="14.4" x14ac:dyDescent="0.3"/>
  <cols>
    <col min="4" max="4" width="10.5546875" bestFit="1" customWidth="1"/>
  </cols>
  <sheetData>
    <row r="1" spans="2:6" x14ac:dyDescent="0.3">
      <c r="C1" t="s">
        <v>82</v>
      </c>
      <c r="D1" t="s">
        <v>85</v>
      </c>
      <c r="E1" t="s">
        <v>86</v>
      </c>
      <c r="F1" t="s">
        <v>87</v>
      </c>
    </row>
    <row r="2" spans="2:6" x14ac:dyDescent="0.3">
      <c r="B2">
        <v>1</v>
      </c>
      <c r="C2">
        <v>5</v>
      </c>
      <c r="D2" s="39">
        <v>44809</v>
      </c>
      <c r="E2" s="6">
        <v>15300</v>
      </c>
      <c r="F2" s="6">
        <v>15300</v>
      </c>
    </row>
    <row r="3" spans="2:6" x14ac:dyDescent="0.3">
      <c r="B3">
        <v>2</v>
      </c>
      <c r="C3">
        <v>6</v>
      </c>
      <c r="D3" s="39">
        <v>44837</v>
      </c>
      <c r="E3" s="6">
        <v>26968.6</v>
      </c>
      <c r="F3" s="6">
        <v>26968.6</v>
      </c>
    </row>
    <row r="4" spans="2:6" x14ac:dyDescent="0.3">
      <c r="B4">
        <v>3</v>
      </c>
      <c r="C4">
        <v>10</v>
      </c>
      <c r="D4" s="39">
        <v>44866</v>
      </c>
      <c r="E4" s="6">
        <v>13150.12</v>
      </c>
      <c r="F4" s="6">
        <v>13150.12</v>
      </c>
    </row>
    <row r="5" spans="2:6" x14ac:dyDescent="0.3">
      <c r="B5">
        <v>4</v>
      </c>
      <c r="C5">
        <v>13</v>
      </c>
      <c r="D5" s="39">
        <v>44900</v>
      </c>
      <c r="E5" s="6">
        <v>6957.88</v>
      </c>
      <c r="F5" s="6">
        <v>6957.88</v>
      </c>
    </row>
    <row r="6" spans="2:6" x14ac:dyDescent="0.3">
      <c r="B6">
        <v>5</v>
      </c>
      <c r="C6">
        <v>17</v>
      </c>
      <c r="D6" s="39">
        <v>44915</v>
      </c>
      <c r="E6" s="6">
        <v>3850.05</v>
      </c>
      <c r="F6" s="6">
        <v>3850.05</v>
      </c>
    </row>
    <row r="7" spans="2:6" x14ac:dyDescent="0.3">
      <c r="E7" s="6">
        <f>SUM(E2:E6)</f>
        <v>66226.649999999994</v>
      </c>
      <c r="F7" s="6">
        <f>SUM(F2:F6)</f>
        <v>66226.649999999994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85FE-2668-45E3-B2C3-297E30F2DECF}">
  <dimension ref="B1:F11"/>
  <sheetViews>
    <sheetView workbookViewId="0">
      <selection activeCell="F8" sqref="F8"/>
    </sheetView>
  </sheetViews>
  <sheetFormatPr defaultRowHeight="14.4" x14ac:dyDescent="0.3"/>
  <cols>
    <col min="4" max="4" width="10.5546875" bestFit="1" customWidth="1"/>
  </cols>
  <sheetData>
    <row r="1" spans="2:6" x14ac:dyDescent="0.3">
      <c r="C1" t="s">
        <v>82</v>
      </c>
      <c r="D1" t="s">
        <v>85</v>
      </c>
      <c r="E1" t="s">
        <v>86</v>
      </c>
      <c r="F1" t="s">
        <v>87</v>
      </c>
    </row>
    <row r="2" spans="2:6" x14ac:dyDescent="0.3">
      <c r="B2">
        <v>1</v>
      </c>
      <c r="C2">
        <v>4</v>
      </c>
      <c r="D2" s="39">
        <v>44805</v>
      </c>
      <c r="E2" s="6">
        <v>19074</v>
      </c>
      <c r="F2" s="6">
        <v>19074</v>
      </c>
    </row>
    <row r="3" spans="2:6" x14ac:dyDescent="0.3">
      <c r="B3">
        <v>2</v>
      </c>
      <c r="C3">
        <v>7</v>
      </c>
      <c r="D3" s="39">
        <v>44837</v>
      </c>
      <c r="E3" s="6">
        <v>13000</v>
      </c>
      <c r="F3" s="6">
        <v>13000</v>
      </c>
    </row>
    <row r="4" spans="2:6" x14ac:dyDescent="0.3">
      <c r="B4">
        <v>3</v>
      </c>
      <c r="C4">
        <v>8</v>
      </c>
      <c r="D4" s="39">
        <v>44865</v>
      </c>
      <c r="E4" s="6">
        <v>6647</v>
      </c>
      <c r="F4" s="6">
        <v>6647</v>
      </c>
    </row>
    <row r="5" spans="2:6" x14ac:dyDescent="0.3">
      <c r="B5">
        <v>4</v>
      </c>
      <c r="C5">
        <v>11</v>
      </c>
      <c r="D5" s="39">
        <v>44915</v>
      </c>
      <c r="E5" s="6">
        <v>7340</v>
      </c>
      <c r="F5" s="6">
        <v>7340</v>
      </c>
    </row>
    <row r="6" spans="2:6" x14ac:dyDescent="0.3">
      <c r="B6">
        <v>5</v>
      </c>
      <c r="C6">
        <v>13</v>
      </c>
      <c r="D6" s="39">
        <v>44958</v>
      </c>
      <c r="E6" s="6">
        <v>3200</v>
      </c>
      <c r="F6" s="6">
        <v>3200</v>
      </c>
    </row>
    <row r="7" spans="2:6" x14ac:dyDescent="0.3">
      <c r="B7">
        <v>6</v>
      </c>
      <c r="C7">
        <v>10</v>
      </c>
      <c r="D7" s="39">
        <v>45159</v>
      </c>
      <c r="E7" s="6">
        <v>450</v>
      </c>
      <c r="F7" s="6">
        <v>450</v>
      </c>
    </row>
    <row r="8" spans="2:6" x14ac:dyDescent="0.3">
      <c r="B8">
        <v>7</v>
      </c>
      <c r="C8">
        <v>11</v>
      </c>
      <c r="D8" s="39">
        <v>45194</v>
      </c>
      <c r="E8" s="6">
        <v>900</v>
      </c>
      <c r="F8" s="6">
        <v>900</v>
      </c>
    </row>
    <row r="9" spans="2:6" x14ac:dyDescent="0.3">
      <c r="B9">
        <v>8</v>
      </c>
      <c r="C9">
        <v>17</v>
      </c>
      <c r="D9" s="39">
        <v>45432</v>
      </c>
      <c r="E9" s="6">
        <v>250</v>
      </c>
      <c r="F9" s="6">
        <v>250</v>
      </c>
    </row>
    <row r="10" spans="2:6" x14ac:dyDescent="0.3">
      <c r="B10">
        <v>9</v>
      </c>
      <c r="C10">
        <v>18</v>
      </c>
      <c r="D10" s="39">
        <v>45492</v>
      </c>
      <c r="E10" s="6">
        <v>370</v>
      </c>
      <c r="F10" s="6">
        <v>370</v>
      </c>
    </row>
    <row r="11" spans="2:6" x14ac:dyDescent="0.3">
      <c r="E11" s="6">
        <f>SUM(E2:E10)</f>
        <v>51231</v>
      </c>
      <c r="F11" s="6">
        <f>SUM(F2:F10)</f>
        <v>51231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4639-D471-4112-B83F-037400995A2D}">
  <dimension ref="B1:F15"/>
  <sheetViews>
    <sheetView workbookViewId="0">
      <selection activeCell="E2" sqref="E2:F15"/>
    </sheetView>
  </sheetViews>
  <sheetFormatPr defaultRowHeight="14.4" x14ac:dyDescent="0.3"/>
  <cols>
    <col min="4" max="4" width="10.5546875" bestFit="1" customWidth="1"/>
  </cols>
  <sheetData>
    <row r="1" spans="2:6" x14ac:dyDescent="0.3">
      <c r="C1" t="s">
        <v>82</v>
      </c>
      <c r="D1" t="s">
        <v>85</v>
      </c>
      <c r="E1" t="s">
        <v>86</v>
      </c>
      <c r="F1" t="s">
        <v>87</v>
      </c>
    </row>
    <row r="2" spans="2:6" x14ac:dyDescent="0.3">
      <c r="B2">
        <v>1</v>
      </c>
      <c r="C2">
        <v>7</v>
      </c>
      <c r="D2" s="39">
        <v>45372</v>
      </c>
      <c r="E2" s="6">
        <v>2800</v>
      </c>
      <c r="F2" s="6">
        <v>2800</v>
      </c>
    </row>
    <row r="3" spans="2:6" x14ac:dyDescent="0.3">
      <c r="B3">
        <v>2</v>
      </c>
      <c r="C3">
        <v>14</v>
      </c>
      <c r="D3" s="39">
        <v>45408</v>
      </c>
      <c r="E3" s="6">
        <v>2500</v>
      </c>
      <c r="F3" s="6">
        <v>2500</v>
      </c>
    </row>
    <row r="4" spans="2:6" x14ac:dyDescent="0.3">
      <c r="B4">
        <v>3</v>
      </c>
      <c r="C4">
        <v>16</v>
      </c>
      <c r="D4" s="39">
        <v>45418</v>
      </c>
      <c r="E4" s="6">
        <v>2800</v>
      </c>
      <c r="F4" s="6">
        <v>2800</v>
      </c>
    </row>
    <row r="5" spans="2:6" x14ac:dyDescent="0.3">
      <c r="B5">
        <v>4</v>
      </c>
      <c r="C5">
        <v>9</v>
      </c>
      <c r="D5" s="39">
        <v>45372</v>
      </c>
      <c r="E5" s="6">
        <v>600</v>
      </c>
      <c r="F5" s="6">
        <v>600</v>
      </c>
    </row>
    <row r="6" spans="2:6" x14ac:dyDescent="0.3">
      <c r="B6">
        <v>5</v>
      </c>
      <c r="C6">
        <v>17</v>
      </c>
      <c r="D6" s="39">
        <v>45443</v>
      </c>
      <c r="E6" s="6">
        <v>2800</v>
      </c>
      <c r="F6" s="6">
        <v>2800</v>
      </c>
    </row>
    <row r="7" spans="2:6" x14ac:dyDescent="0.3">
      <c r="B7">
        <v>6</v>
      </c>
      <c r="C7">
        <v>49</v>
      </c>
      <c r="D7" s="39">
        <v>45737</v>
      </c>
      <c r="E7" s="6">
        <v>800</v>
      </c>
      <c r="F7" s="6">
        <v>800</v>
      </c>
    </row>
    <row r="8" spans="2:6" x14ac:dyDescent="0.3">
      <c r="B8">
        <v>7</v>
      </c>
      <c r="C8">
        <v>52</v>
      </c>
      <c r="D8" s="39">
        <v>45763</v>
      </c>
      <c r="E8" s="6">
        <v>2000</v>
      </c>
      <c r="F8" s="6">
        <v>2000</v>
      </c>
    </row>
    <row r="9" spans="2:6" x14ac:dyDescent="0.3">
      <c r="B9">
        <v>8</v>
      </c>
      <c r="C9">
        <v>55</v>
      </c>
      <c r="D9" s="39">
        <v>45771</v>
      </c>
      <c r="E9" s="6">
        <v>2500</v>
      </c>
      <c r="F9" s="6">
        <v>2500</v>
      </c>
    </row>
    <row r="10" spans="2:6" x14ac:dyDescent="0.3">
      <c r="B10">
        <v>9</v>
      </c>
      <c r="C10">
        <v>56</v>
      </c>
      <c r="D10" s="39">
        <v>45778</v>
      </c>
      <c r="E10" s="6">
        <v>3500</v>
      </c>
      <c r="F10" s="6">
        <v>3500</v>
      </c>
    </row>
    <row r="11" spans="2:6" x14ac:dyDescent="0.3">
      <c r="B11">
        <v>10</v>
      </c>
      <c r="C11">
        <v>57</v>
      </c>
      <c r="D11" s="39">
        <v>45786</v>
      </c>
      <c r="E11" s="6">
        <v>3500</v>
      </c>
      <c r="F11" s="6">
        <v>3500</v>
      </c>
    </row>
    <row r="12" spans="2:6" x14ac:dyDescent="0.3">
      <c r="B12">
        <v>11</v>
      </c>
      <c r="C12">
        <v>59</v>
      </c>
      <c r="D12" s="39">
        <v>45793</v>
      </c>
      <c r="E12" s="6">
        <v>2000</v>
      </c>
      <c r="F12" s="6">
        <v>2000</v>
      </c>
    </row>
    <row r="13" spans="2:6" x14ac:dyDescent="0.3">
      <c r="B13">
        <v>12</v>
      </c>
      <c r="C13">
        <v>60</v>
      </c>
      <c r="D13" s="39">
        <v>45799</v>
      </c>
      <c r="E13" s="6">
        <v>1500</v>
      </c>
      <c r="F13" s="6">
        <v>1500</v>
      </c>
    </row>
    <row r="14" spans="2:6" x14ac:dyDescent="0.3">
      <c r="B14">
        <v>13</v>
      </c>
      <c r="C14">
        <v>62</v>
      </c>
      <c r="D14" s="39">
        <v>45806</v>
      </c>
      <c r="E14" s="6">
        <v>1000</v>
      </c>
      <c r="F14" s="6">
        <v>1000</v>
      </c>
    </row>
    <row r="15" spans="2:6" x14ac:dyDescent="0.3">
      <c r="E15" s="6">
        <f>SUM(E2:E14)</f>
        <v>28300</v>
      </c>
      <c r="F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DDA1-07B5-40A5-9706-FED173191DD8}">
  <dimension ref="B1:F8"/>
  <sheetViews>
    <sheetView workbookViewId="0">
      <selection activeCell="F13" sqref="F13"/>
    </sheetView>
  </sheetViews>
  <sheetFormatPr defaultRowHeight="14.4" x14ac:dyDescent="0.3"/>
  <cols>
    <col min="4" max="4" width="10.5546875" bestFit="1" customWidth="1"/>
    <col min="5" max="5" width="9" bestFit="1" customWidth="1"/>
    <col min="6" max="6" width="11.88671875" bestFit="1" customWidth="1"/>
  </cols>
  <sheetData>
    <row r="1" spans="2:6" x14ac:dyDescent="0.3">
      <c r="C1" t="s">
        <v>82</v>
      </c>
      <c r="D1" t="s">
        <v>85</v>
      </c>
      <c r="E1" t="s">
        <v>86</v>
      </c>
      <c r="F1" t="s">
        <v>87</v>
      </c>
    </row>
    <row r="2" spans="2:6" x14ac:dyDescent="0.3">
      <c r="B2">
        <v>1</v>
      </c>
      <c r="C2">
        <v>157</v>
      </c>
      <c r="D2" s="39">
        <v>44761</v>
      </c>
      <c r="E2" s="40">
        <v>6850</v>
      </c>
      <c r="F2" s="40">
        <v>6850</v>
      </c>
    </row>
    <row r="3" spans="2:6" x14ac:dyDescent="0.3">
      <c r="B3">
        <v>2</v>
      </c>
      <c r="C3">
        <v>159</v>
      </c>
      <c r="D3" s="39">
        <v>44784</v>
      </c>
      <c r="E3" s="40">
        <v>7050</v>
      </c>
      <c r="F3" s="40">
        <v>7050</v>
      </c>
    </row>
    <row r="4" spans="2:6" x14ac:dyDescent="0.3">
      <c r="B4">
        <v>3</v>
      </c>
      <c r="C4">
        <v>161</v>
      </c>
      <c r="D4" s="39">
        <v>44803</v>
      </c>
      <c r="E4" s="40">
        <v>6205</v>
      </c>
      <c r="F4" s="40">
        <v>6205</v>
      </c>
    </row>
    <row r="5" spans="2:6" x14ac:dyDescent="0.3">
      <c r="B5">
        <v>4</v>
      </c>
      <c r="C5">
        <v>162</v>
      </c>
      <c r="D5" s="39">
        <v>44839</v>
      </c>
      <c r="E5" s="40">
        <v>6230</v>
      </c>
      <c r="F5" s="40">
        <v>6230</v>
      </c>
    </row>
    <row r="6" spans="2:6" x14ac:dyDescent="0.3">
      <c r="B6">
        <v>5</v>
      </c>
      <c r="C6">
        <v>163</v>
      </c>
      <c r="D6" s="39">
        <v>44825</v>
      </c>
      <c r="E6" s="40">
        <v>6925</v>
      </c>
      <c r="F6" s="40">
        <v>6925</v>
      </c>
    </row>
    <row r="7" spans="2:6" x14ac:dyDescent="0.3">
      <c r="B7">
        <v>6</v>
      </c>
      <c r="C7">
        <v>171</v>
      </c>
      <c r="D7" s="39">
        <v>44909</v>
      </c>
      <c r="E7" s="40">
        <v>3030</v>
      </c>
      <c r="F7" s="40">
        <v>3030</v>
      </c>
    </row>
    <row r="8" spans="2:6" x14ac:dyDescent="0.3">
      <c r="E8" s="40">
        <f>SUM(E2:E7)</f>
        <v>36290</v>
      </c>
      <c r="F8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FC04-8F8F-4174-B608-E17014857339}">
  <dimension ref="A1:C24"/>
  <sheetViews>
    <sheetView tabSelected="1" workbookViewId="0">
      <selection activeCell="A25" sqref="A25"/>
    </sheetView>
  </sheetViews>
  <sheetFormatPr defaultRowHeight="14.4" x14ac:dyDescent="0.3"/>
  <cols>
    <col min="2" max="2" width="29.88671875" bestFit="1" customWidth="1"/>
    <col min="3" max="3" width="16" bestFit="1" customWidth="1"/>
  </cols>
  <sheetData>
    <row r="1" spans="1:3" x14ac:dyDescent="0.3">
      <c r="B1" t="s">
        <v>101</v>
      </c>
    </row>
    <row r="3" spans="1:3" x14ac:dyDescent="0.3">
      <c r="C3" t="s">
        <v>95</v>
      </c>
    </row>
    <row r="4" spans="1:3" x14ac:dyDescent="0.3">
      <c r="A4">
        <v>1</v>
      </c>
      <c r="B4" t="s">
        <v>88</v>
      </c>
      <c r="C4" s="38">
        <f>'DJ, R&amp;E E LATRONICO'!H42</f>
        <v>2805002.9299999997</v>
      </c>
    </row>
    <row r="5" spans="1:3" x14ac:dyDescent="0.3">
      <c r="A5">
        <v>2</v>
      </c>
      <c r="B5" t="s">
        <v>89</v>
      </c>
      <c r="C5" s="38">
        <f>'DJ, R&amp;E E LATRONICO'!H86</f>
        <v>122533.96</v>
      </c>
    </row>
    <row r="6" spans="1:3" x14ac:dyDescent="0.3">
      <c r="A6">
        <v>3</v>
      </c>
      <c r="B6" t="s">
        <v>90</v>
      </c>
      <c r="C6" s="38">
        <f>'DJ, R&amp;E E LATRONICO'!H62</f>
        <v>104132.31000000001</v>
      </c>
    </row>
    <row r="7" spans="1:3" x14ac:dyDescent="0.3">
      <c r="A7">
        <v>4</v>
      </c>
      <c r="B7" t="s">
        <v>94</v>
      </c>
      <c r="C7" s="38">
        <f>CRISBORBA!E10</f>
        <v>179534.31</v>
      </c>
    </row>
    <row r="8" spans="1:3" x14ac:dyDescent="0.3">
      <c r="A8">
        <v>5</v>
      </c>
      <c r="B8" t="s">
        <v>110</v>
      </c>
      <c r="C8" s="38">
        <v>13000</v>
      </c>
    </row>
    <row r="9" spans="1:3" x14ac:dyDescent="0.3">
      <c r="A9">
        <v>6</v>
      </c>
      <c r="B9" t="s">
        <v>97</v>
      </c>
      <c r="C9" s="38">
        <f>'PC SEVERINO'!E18-C21</f>
        <v>89696.81</v>
      </c>
    </row>
    <row r="10" spans="1:3" x14ac:dyDescent="0.3">
      <c r="A10">
        <v>7</v>
      </c>
      <c r="B10" t="s">
        <v>92</v>
      </c>
      <c r="C10" s="38">
        <f>SILVA!E7</f>
        <v>66226.649999999994</v>
      </c>
    </row>
    <row r="11" spans="1:3" x14ac:dyDescent="0.3">
      <c r="A11">
        <v>8</v>
      </c>
      <c r="B11" t="s">
        <v>91</v>
      </c>
      <c r="C11" s="38">
        <f>ELIEZER!E11</f>
        <v>51231</v>
      </c>
    </row>
    <row r="12" spans="1:3" x14ac:dyDescent="0.3">
      <c r="A12">
        <v>9</v>
      </c>
      <c r="B12" t="s">
        <v>93</v>
      </c>
      <c r="C12" s="38">
        <f>MAURICIO!E15-C24</f>
        <v>0</v>
      </c>
    </row>
    <row r="13" spans="1:3" x14ac:dyDescent="0.3">
      <c r="B13" s="41" t="s">
        <v>96</v>
      </c>
      <c r="C13" s="10">
        <f>SUM(C4:C12)</f>
        <v>3431357.9699999997</v>
      </c>
    </row>
    <row r="15" spans="1:3" x14ac:dyDescent="0.3">
      <c r="B15" t="s">
        <v>102</v>
      </c>
    </row>
    <row r="16" spans="1:3" x14ac:dyDescent="0.3">
      <c r="A16">
        <v>1</v>
      </c>
      <c r="B16" t="s">
        <v>88</v>
      </c>
      <c r="C16" s="38">
        <v>150000</v>
      </c>
    </row>
    <row r="17" spans="1:3" x14ac:dyDescent="0.3">
      <c r="A17">
        <v>2</v>
      </c>
      <c r="B17" t="s">
        <v>89</v>
      </c>
      <c r="C17" s="38">
        <v>0</v>
      </c>
    </row>
    <row r="18" spans="1:3" x14ac:dyDescent="0.3">
      <c r="A18">
        <v>3</v>
      </c>
      <c r="B18" t="s">
        <v>90</v>
      </c>
      <c r="C18" s="38">
        <v>0</v>
      </c>
    </row>
    <row r="19" spans="1:3" x14ac:dyDescent="0.3">
      <c r="A19">
        <v>4</v>
      </c>
      <c r="B19" t="s">
        <v>94</v>
      </c>
      <c r="C19" s="38">
        <v>0</v>
      </c>
    </row>
    <row r="20" spans="1:3" x14ac:dyDescent="0.3">
      <c r="A20">
        <v>5</v>
      </c>
      <c r="B20" t="s">
        <v>110</v>
      </c>
      <c r="C20" s="38">
        <v>2600</v>
      </c>
    </row>
    <row r="21" spans="1:3" x14ac:dyDescent="0.3">
      <c r="A21">
        <v>6</v>
      </c>
      <c r="B21" t="s">
        <v>97</v>
      </c>
      <c r="C21" s="38">
        <f>'PC SEVERINO'!E16+'PC SEVERINO'!E17</f>
        <v>9952.44</v>
      </c>
    </row>
    <row r="22" spans="1:3" x14ac:dyDescent="0.3">
      <c r="A22">
        <v>7</v>
      </c>
      <c r="B22" t="s">
        <v>92</v>
      </c>
      <c r="C22" s="38">
        <f>SILVA!E18</f>
        <v>0</v>
      </c>
    </row>
    <row r="23" spans="1:3" x14ac:dyDescent="0.3">
      <c r="A23">
        <v>8</v>
      </c>
      <c r="B23" t="s">
        <v>91</v>
      </c>
      <c r="C23" s="38">
        <f>ELIEZER!E9+ELIEZER!E10</f>
        <v>620</v>
      </c>
    </row>
    <row r="24" spans="1:3" x14ac:dyDescent="0.3">
      <c r="A24">
        <v>9</v>
      </c>
      <c r="B24" t="s">
        <v>93</v>
      </c>
      <c r="C24" s="38">
        <f>MAURICIO!E15</f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DJ, R&amp;E E LATRONICO</vt:lpstr>
      <vt:lpstr>PAGAMENTOS DJ</vt:lpstr>
      <vt:lpstr>CRISBORBA</vt:lpstr>
      <vt:lpstr>ISMAEL</vt:lpstr>
      <vt:lpstr>PC SEVERINO</vt:lpstr>
      <vt:lpstr>SILVA</vt:lpstr>
      <vt:lpstr>ELIEZER</vt:lpstr>
      <vt:lpstr>MAURICIO</vt:lpstr>
      <vt:lpstr>IMPERIOGESSO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Julia Schimidt</dc:creator>
  <cp:keywords/>
  <dc:description/>
  <cp:lastModifiedBy>Luiz F P Droubi</cp:lastModifiedBy>
  <cp:revision/>
  <dcterms:created xsi:type="dcterms:W3CDTF">2022-04-25T13:17:11Z</dcterms:created>
  <dcterms:modified xsi:type="dcterms:W3CDTF">2025-08-28T22:03:00Z</dcterms:modified>
  <cp:category/>
  <cp:contentStatus/>
</cp:coreProperties>
</file>